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NDOTTrafficEngineering/Shared Documents/Office of Traffic Safety/TSAM and SFT Business Rules Update/2026/Final to Publish/"/>
    </mc:Choice>
  </mc:AlternateContent>
  <xr:revisionPtr revIDLastSave="0" documentId="8_{2D479E67-2870-4011-8283-BEFAF30CD2D5}" xr6:coauthVersionLast="47" xr6:coauthVersionMax="47" xr10:uidLastSave="{00000000-0000-0000-0000-000000000000}"/>
  <bookViews>
    <workbookView xWindow="-120" yWindow="-120" windowWidth="29040" windowHeight="15720" tabRatio="874" xr2:uid="{00000000-000D-0000-FFFF-FFFF00000000}"/>
  </bookViews>
  <sheets>
    <sheet name="TSAT" sheetId="32" r:id="rId1"/>
    <sheet name="TSAT Calculations" sheetId="28" state="hidden" r:id="rId2"/>
    <sheet name="TSAT Lookups" sheetId="30" state="hidden" r:id="rId3"/>
  </sheets>
  <definedNames>
    <definedName name="Crawfordsville" localSheetId="0">#REF!</definedName>
    <definedName name="Crawfordsville">#REF!</definedName>
    <definedName name="District" localSheetId="0">#REF!</definedName>
    <definedName name="District">#REF!</definedName>
    <definedName name="FtWayne" localSheetId="0">#REF!</definedName>
    <definedName name="FtWayne">#REF!</definedName>
    <definedName name="Greenfield" localSheetId="0">#REF!</definedName>
    <definedName name="Greenfield">#REF!</definedName>
    <definedName name="LaPorte" localSheetId="0">#REF!</definedName>
    <definedName name="LaPorte">#REF!</definedName>
    <definedName name="_xlnm.Print_Area" localSheetId="0">TSAT!$A$1:$K$40</definedName>
    <definedName name="Seymour" localSheetId="0">#REF!</definedName>
    <definedName name="Seymour">#REF!</definedName>
    <definedName name="Vincennes" localSheetId="0">#REF!</definedName>
    <definedName name="Vincenn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28" l="1"/>
  <c r="D53" i="28"/>
  <c r="K10" i="32" l="1"/>
  <c r="H15" i="32" l="1"/>
  <c r="H14" i="32"/>
  <c r="D54" i="28"/>
  <c r="D50" i="28"/>
  <c r="D52" i="28"/>
  <c r="K17" i="28" l="1"/>
  <c r="L17" i="28" s="1"/>
  <c r="K18" i="28"/>
  <c r="L18" i="28" s="1"/>
  <c r="K19" i="28"/>
  <c r="L19" i="28" s="1"/>
  <c r="K20" i="28"/>
  <c r="L20" i="28" s="1"/>
  <c r="K16" i="28"/>
  <c r="L16" i="28" s="1"/>
  <c r="J20" i="28"/>
  <c r="J19" i="28"/>
  <c r="J18" i="28"/>
  <c r="J17" i="28"/>
  <c r="J16" i="28"/>
  <c r="B17" i="28"/>
  <c r="B18" i="28"/>
  <c r="B19" i="28"/>
  <c r="B20" i="28"/>
  <c r="B16" i="28"/>
  <c r="B3" i="28"/>
  <c r="K3" i="28"/>
  <c r="L3" i="28" s="1"/>
  <c r="K4" i="28"/>
  <c r="L4" i="28" s="1"/>
  <c r="K5" i="28"/>
  <c r="L5" i="28" s="1"/>
  <c r="K6" i="28"/>
  <c r="L6" i="28" s="1"/>
  <c r="K2" i="28"/>
  <c r="L2" i="28" s="1"/>
  <c r="B7" i="28"/>
  <c r="B8" i="28"/>
  <c r="B4" i="28"/>
  <c r="B5" i="28"/>
  <c r="B6" i="28"/>
  <c r="B2" i="28"/>
  <c r="J3" i="28"/>
  <c r="J4" i="28"/>
  <c r="J5" i="28"/>
  <c r="J6" i="28"/>
  <c r="J2" i="28"/>
  <c r="U35" i="28" l="1"/>
  <c r="AF33" i="28"/>
  <c r="AF34" i="28"/>
  <c r="AF35" i="28"/>
  <c r="AF36" i="28"/>
  <c r="AF39" i="28"/>
  <c r="AF40" i="28"/>
  <c r="AF41" i="28"/>
  <c r="AF42" i="28"/>
  <c r="AF31" i="28"/>
  <c r="AF32" i="28"/>
  <c r="AF37" i="28"/>
  <c r="AF38" i="28"/>
  <c r="AC32" i="28"/>
  <c r="AC37" i="28"/>
  <c r="AC41" i="28"/>
  <c r="AC34" i="28"/>
  <c r="AC36" i="28"/>
  <c r="AC39" i="28"/>
  <c r="AC33" i="28"/>
  <c r="AC38" i="28"/>
  <c r="AC40" i="28"/>
  <c r="AC31" i="28"/>
  <c r="AC35" i="28"/>
  <c r="AC42" i="28"/>
  <c r="O39" i="28"/>
  <c r="M16" i="28"/>
  <c r="I55" i="28"/>
  <c r="I50" i="28"/>
  <c r="I52" i="28"/>
  <c r="I56" i="28"/>
  <c r="K21" i="28"/>
  <c r="M2" i="28"/>
  <c r="M17" i="28"/>
  <c r="I49" i="28"/>
  <c r="I54" i="28"/>
  <c r="I53" i="28"/>
  <c r="I51" i="28"/>
  <c r="M52" i="28"/>
  <c r="M51" i="28"/>
  <c r="M53" i="28"/>
  <c r="M54" i="28"/>
  <c r="M19" i="28"/>
  <c r="M50" i="28"/>
  <c r="M20" i="28"/>
  <c r="M49" i="28"/>
  <c r="M56" i="28"/>
  <c r="M55" i="28"/>
  <c r="M18" i="28"/>
  <c r="I31" i="28"/>
  <c r="U31" i="28"/>
  <c r="A22" i="28"/>
  <c r="B49" i="28" s="1"/>
  <c r="M3" i="28"/>
  <c r="I32" i="28"/>
  <c r="L7" i="28"/>
  <c r="K7" i="28"/>
  <c r="A10" i="28"/>
  <c r="O34" i="28"/>
  <c r="O32" i="28"/>
  <c r="U42" i="28"/>
  <c r="O38" i="28"/>
  <c r="I33" i="28"/>
  <c r="O40" i="28"/>
  <c r="U41" i="28"/>
  <c r="U40" i="28"/>
  <c r="U39" i="28"/>
  <c r="U38" i="28"/>
  <c r="U37" i="28"/>
  <c r="U36" i="28"/>
  <c r="I42" i="28"/>
  <c r="U34" i="28"/>
  <c r="I41" i="28"/>
  <c r="U33" i="28"/>
  <c r="I40" i="28"/>
  <c r="U32" i="28"/>
  <c r="I39" i="28"/>
  <c r="I38" i="28"/>
  <c r="I37" i="28"/>
  <c r="I36" i="28"/>
  <c r="I35" i="28"/>
  <c r="I34" i="28"/>
  <c r="O31" i="28"/>
  <c r="O42" i="28"/>
  <c r="O41" i="28"/>
  <c r="O36" i="28"/>
  <c r="O35" i="28"/>
  <c r="O37" i="28"/>
  <c r="O33" i="28"/>
  <c r="M4" i="28"/>
  <c r="M6" i="28"/>
  <c r="M5" i="28"/>
  <c r="AS35" i="28" l="1"/>
  <c r="AP35" i="28"/>
  <c r="AR35" i="28"/>
  <c r="AQ35" i="28"/>
  <c r="AT35" i="28"/>
  <c r="AP42" i="28"/>
  <c r="AS42" i="28"/>
  <c r="AR42" i="28"/>
  <c r="AQ42" i="28"/>
  <c r="AT42" i="28"/>
  <c r="AS31" i="28"/>
  <c r="AP31" i="28"/>
  <c r="AQ31" i="28"/>
  <c r="AT31" i="28"/>
  <c r="AR31" i="28"/>
  <c r="AQ40" i="28"/>
  <c r="AS40" i="28"/>
  <c r="AT40" i="28"/>
  <c r="AP40" i="28"/>
  <c r="AR40" i="28"/>
  <c r="AS33" i="28"/>
  <c r="AT33" i="28"/>
  <c r="AP33" i="28"/>
  <c r="AQ33" i="28"/>
  <c r="AR33" i="28"/>
  <c r="AP38" i="28"/>
  <c r="AQ38" i="28"/>
  <c r="AR38" i="28"/>
  <c r="AS38" i="28"/>
  <c r="AT38" i="28"/>
  <c r="AR39" i="28"/>
  <c r="AS39" i="28"/>
  <c r="AT39" i="28"/>
  <c r="AP39" i="28"/>
  <c r="AQ39" i="28"/>
  <c r="AQ41" i="28"/>
  <c r="AT41" i="28"/>
  <c r="AS41" i="28"/>
  <c r="AP41" i="28"/>
  <c r="AR41" i="28"/>
  <c r="AR32" i="28"/>
  <c r="AS32" i="28"/>
  <c r="AT32" i="28"/>
  <c r="AQ32" i="28"/>
  <c r="AP32" i="28"/>
  <c r="AR36" i="28"/>
  <c r="AQ36" i="28"/>
  <c r="AT36" i="28"/>
  <c r="AS36" i="28"/>
  <c r="AP36" i="28"/>
  <c r="AQ37" i="28"/>
  <c r="AR37" i="28"/>
  <c r="AT37" i="28"/>
  <c r="AP37" i="28"/>
  <c r="AS37" i="28"/>
  <c r="AP34" i="28"/>
  <c r="AQ34" i="28"/>
  <c r="AS34" i="28"/>
  <c r="AT34" i="28"/>
  <c r="AR34" i="28"/>
  <c r="W49" i="28"/>
  <c r="B34" i="28"/>
  <c r="B31" i="28"/>
  <c r="Z49" i="28"/>
  <c r="W51" i="28"/>
  <c r="L21" i="28"/>
  <c r="M21" i="28"/>
  <c r="AA52" i="28"/>
  <c r="W52" i="28"/>
  <c r="Y52" i="28"/>
  <c r="Z52" i="28"/>
  <c r="X52" i="28"/>
  <c r="Z55" i="28"/>
  <c r="AA55" i="28"/>
  <c r="W55" i="28"/>
  <c r="X55" i="28"/>
  <c r="Y55" i="28"/>
  <c r="Z51" i="28"/>
  <c r="X51" i="28"/>
  <c r="Y51" i="28"/>
  <c r="AA51" i="28"/>
  <c r="W53" i="28"/>
  <c r="X53" i="28"/>
  <c r="Y53" i="28"/>
  <c r="Z53" i="28"/>
  <c r="AA53" i="28"/>
  <c r="AA54" i="28"/>
  <c r="X54" i="28"/>
  <c r="Z54" i="28"/>
  <c r="Y54" i="28"/>
  <c r="W54" i="28"/>
  <c r="X49" i="28"/>
  <c r="Y49" i="28"/>
  <c r="AA49" i="28"/>
  <c r="W56" i="28"/>
  <c r="X56" i="28"/>
  <c r="Y56" i="28"/>
  <c r="Z56" i="28"/>
  <c r="AA56" i="28"/>
  <c r="W50" i="28"/>
  <c r="Z50" i="28"/>
  <c r="AA50" i="28"/>
  <c r="X50" i="28"/>
  <c r="Y50" i="28"/>
  <c r="B50" i="28"/>
  <c r="B53" i="28"/>
  <c r="B51" i="28"/>
  <c r="B55" i="28"/>
  <c r="B54" i="28"/>
  <c r="B52" i="28"/>
  <c r="B56" i="28"/>
  <c r="M7" i="28"/>
  <c r="B32" i="28"/>
  <c r="B36" i="28"/>
  <c r="B37" i="28"/>
  <c r="B39" i="28"/>
  <c r="B40" i="28"/>
  <c r="B42" i="28"/>
  <c r="B33" i="28"/>
  <c r="B38" i="28"/>
  <c r="B41" i="28"/>
  <c r="B35" i="28"/>
  <c r="C31" i="28" l="1"/>
  <c r="C49" i="28"/>
  <c r="C56" i="28"/>
  <c r="C52" i="28"/>
  <c r="C54" i="28"/>
  <c r="C55" i="28"/>
  <c r="C51" i="28"/>
  <c r="C53" i="28"/>
  <c r="C50" i="28"/>
  <c r="C32" i="28"/>
  <c r="C35" i="28"/>
  <c r="C38" i="28"/>
  <c r="C33" i="28"/>
  <c r="C42" i="28"/>
  <c r="C40" i="28"/>
  <c r="C39" i="28"/>
  <c r="C41" i="28"/>
  <c r="C37" i="28"/>
  <c r="C36" i="28"/>
  <c r="C34" i="28"/>
  <c r="I12" i="28" l="1"/>
  <c r="I11" i="28"/>
  <c r="I26" i="28"/>
  <c r="I25" i="28"/>
  <c r="N16" i="28" a="1"/>
  <c r="N16" i="28" s="1"/>
  <c r="O16" i="28" s="1"/>
  <c r="N20" i="28" a="1"/>
  <c r="N20" i="28" s="1"/>
  <c r="O20" i="28" s="1"/>
  <c r="N18" i="28" a="1"/>
  <c r="N18" i="28" s="1"/>
  <c r="O18" i="28" s="1"/>
  <c r="N19" i="28" a="1"/>
  <c r="N19" i="28" s="1"/>
  <c r="O19" i="28" s="1"/>
  <c r="N17" i="28" a="1"/>
  <c r="N17" i="28" s="1"/>
  <c r="O17" i="28" s="1"/>
  <c r="I24" i="28" a="1"/>
  <c r="I24" i="28" s="1"/>
  <c r="I27" i="28" s="1"/>
  <c r="P16" i="28" l="1"/>
  <c r="O21" i="28"/>
  <c r="Q17" i="28"/>
  <c r="Q19" i="28"/>
  <c r="Q18" i="28"/>
  <c r="Q20" i="28"/>
  <c r="Q16" i="28"/>
  <c r="P17" i="28"/>
  <c r="P18" i="28"/>
  <c r="P19" i="28"/>
  <c r="P20" i="28"/>
  <c r="N21" i="28"/>
  <c r="P21" i="28" l="1"/>
  <c r="Q21" i="28"/>
  <c r="L24" i="28" l="1"/>
  <c r="L23" i="28"/>
  <c r="I10" i="28" l="1" a="1"/>
  <c r="I10" i="28" s="1"/>
  <c r="I13" i="28" s="1"/>
  <c r="N3" i="28" l="1" a="1"/>
  <c r="N3" i="28" s="1"/>
  <c r="N4" i="28" a="1"/>
  <c r="N4" i="28" s="1"/>
  <c r="N5" i="28" a="1"/>
  <c r="N5" i="28" s="1"/>
  <c r="N6" i="28" a="1"/>
  <c r="N6" i="28" s="1"/>
  <c r="N2" i="28" a="1"/>
  <c r="N2" i="28" s="1"/>
  <c r="O6" i="28" l="1"/>
  <c r="Q6" i="28" s="1"/>
  <c r="P6" i="28"/>
  <c r="O5" i="28"/>
  <c r="Q5" i="28" s="1"/>
  <c r="P5" i="28"/>
  <c r="O4" i="28"/>
  <c r="Q4" i="28" s="1"/>
  <c r="P4" i="28"/>
  <c r="N7" i="28"/>
  <c r="J15" i="32" s="1"/>
  <c r="P2" i="28"/>
  <c r="O2" i="28"/>
  <c r="O3" i="28"/>
  <c r="Q3" i="28" s="1"/>
  <c r="P3" i="28"/>
  <c r="P7" i="28" l="1"/>
  <c r="J14" i="32" s="1"/>
  <c r="O7" i="28"/>
  <c r="I15" i="32" s="1"/>
  <c r="Q2" i="28"/>
  <c r="Q7" i="28" s="1"/>
  <c r="I14" i="32" s="1"/>
  <c r="L10" i="28" l="1"/>
  <c r="I11" i="32" s="1"/>
  <c r="L9" i="28"/>
  <c r="J11" i="3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<sst xmlns="http://schemas.openxmlformats.org/spreadsheetml/2006/main" count="211" uniqueCount="133">
  <si>
    <r>
      <t xml:space="preserve">Traffic Safety Analysis Tool
</t>
    </r>
    <r>
      <rPr>
        <b/>
        <sz val="11"/>
        <color theme="1"/>
        <rFont val="Calibri"/>
        <family val="2"/>
        <scheme val="minor"/>
      </rPr>
      <t>Version 26.2</t>
    </r>
  </si>
  <si>
    <t>This tool uses crash data and facility information to produce an index of crash cost (ICC) and an index of crash frequency (ICF) for a project.</t>
  </si>
  <si>
    <t>BACK TO COVER SHEET</t>
  </si>
  <si>
    <t>Project Location</t>
  </si>
  <si>
    <t>Crash Data</t>
  </si>
  <si>
    <t>Index of Crash Cost</t>
  </si>
  <si>
    <t>Index of Crash Frequency</t>
  </si>
  <si>
    <t>Number of Years</t>
  </si>
  <si>
    <t>For FY2032 projects, if not 4 years, provide justification:</t>
  </si>
  <si>
    <t>Fatal Crashes (K)</t>
  </si>
  <si>
    <t>Equivalent PDO Crashes</t>
  </si>
  <si>
    <t>Total Crashes</t>
  </si>
  <si>
    <t>Suspected Serious Injury Crashes (A)</t>
  </si>
  <si>
    <t>Non-Suspected Serious Injury Crashes (B)</t>
  </si>
  <si>
    <t>Minor Injury Crashes (C)</t>
  </si>
  <si>
    <t>Property Damage Only Crashes (O)</t>
  </si>
  <si>
    <t>Facility Information</t>
  </si>
  <si>
    <t>Intersection or Segment?</t>
  </si>
  <si>
    <r>
      <rPr>
        <b/>
        <u/>
        <sz val="11"/>
        <color theme="0"/>
        <rFont val="Calibri"/>
        <family val="2"/>
        <scheme val="minor"/>
      </rPr>
      <t>NOTE</t>
    </r>
    <r>
      <rPr>
        <sz val="11"/>
        <color theme="0"/>
        <rFont val="Calibri"/>
        <family val="2"/>
        <scheme val="minor"/>
      </rPr>
      <t>: All interstate and divided highway segments should be analyzed one direction at a time. All other segments should be analyzed with both directions together</t>
    </r>
  </si>
  <si>
    <t>Intersection</t>
  </si>
  <si>
    <t>Segment</t>
  </si>
  <si>
    <t>Major AADT</t>
  </si>
  <si>
    <t>AADT</t>
  </si>
  <si>
    <t>Minor AADT</t>
  </si>
  <si>
    <t>Segment Length? (miles)</t>
  </si>
  <si>
    <t>State or Locally Owned?</t>
  </si>
  <si>
    <t>Urban or Rural?</t>
  </si>
  <si>
    <t>Number of Legs?</t>
  </si>
  <si>
    <t>Number of Lanes?</t>
  </si>
  <si>
    <t>Freeway, Non-Freeway, or Ramp Segment?</t>
  </si>
  <si>
    <t>Interchange Area or Non-Interchange Area?</t>
  </si>
  <si>
    <t>Segment Info from User:</t>
  </si>
  <si>
    <t>Cost/Crash</t>
  </si>
  <si>
    <t>EPDO Factor</t>
  </si>
  <si>
    <t>Experienced Crashes (Total)</t>
  </si>
  <si>
    <t>Experienced Crashes per Year per Mile</t>
  </si>
  <si>
    <t>Experienced EPDO per Year per Mile</t>
  </si>
  <si>
    <t>Predicted Crashes per Year per Mile</t>
  </si>
  <si>
    <t>Predicted EPDO per Year per Mile</t>
  </si>
  <si>
    <t>Expected Crashes per Year per Mile</t>
  </si>
  <si>
    <t>Expected EPDO Per Year per Mile</t>
  </si>
  <si>
    <t>Predicted=spf</t>
  </si>
  <si>
    <t>AADT:</t>
  </si>
  <si>
    <t>K</t>
  </si>
  <si>
    <t>Expected=EB adjusted experienced</t>
  </si>
  <si>
    <t>Segment Length?</t>
  </si>
  <si>
    <t>A</t>
  </si>
  <si>
    <t>B</t>
  </si>
  <si>
    <t>C</t>
  </si>
  <si>
    <t>O</t>
  </si>
  <si>
    <t>Total</t>
  </si>
  <si>
    <t>Used for Calcs</t>
  </si>
  <si>
    <t>ICF:</t>
  </si>
  <si>
    <t>OD</t>
  </si>
  <si>
    <t>ICC:</t>
  </si>
  <si>
    <t>Floor:</t>
  </si>
  <si>
    <t>Excess Crashes Std Dev</t>
  </si>
  <si>
    <t>Excess EPDO Std Dev</t>
  </si>
  <si>
    <t>Weight Factor</t>
  </si>
  <si>
    <t>Intersection Info from User:</t>
  </si>
  <si>
    <t>Experienced Crashes</t>
  </si>
  <si>
    <t>Experienced Crashes per Year</t>
  </si>
  <si>
    <t>Experienced EPDO per Year</t>
  </si>
  <si>
    <t>Predicted Crashes per Year</t>
  </si>
  <si>
    <t>Predicted EPDO per Year</t>
  </si>
  <si>
    <t>Expected Crashes per Year</t>
  </si>
  <si>
    <t>Expected EPDO per Year</t>
  </si>
  <si>
    <t>Major AADT:</t>
  </si>
  <si>
    <t>Minor AADT:</t>
  </si>
  <si>
    <t>IF SPFS ARE CHANGED, MUST ALSO BE CHANGED IN THE SYSTEMIC BC CALCULATIONS TAB</t>
  </si>
  <si>
    <t>Predicted Crashes by Severity</t>
  </si>
  <si>
    <t>Description</t>
  </si>
  <si>
    <t>Find</t>
  </si>
  <si>
    <t>Use?</t>
  </si>
  <si>
    <t>a</t>
  </si>
  <si>
    <t>b</t>
  </si>
  <si>
    <t>c</t>
  </si>
  <si>
    <t>d</t>
  </si>
  <si>
    <t>f</t>
  </si>
  <si>
    <t>Predicted Crashes/Mile/Yr</t>
  </si>
  <si>
    <t>g</t>
  </si>
  <si>
    <t>h</t>
  </si>
  <si>
    <t>j</t>
  </si>
  <si>
    <t>k</t>
  </si>
  <si>
    <t>m</t>
  </si>
  <si>
    <t>n</t>
  </si>
  <si>
    <t>o</t>
  </si>
  <si>
    <t>p</t>
  </si>
  <si>
    <t>q</t>
  </si>
  <si>
    <t>r</t>
  </si>
  <si>
    <t>y</t>
  </si>
  <si>
    <t>z</t>
  </si>
  <si>
    <t xml:space="preserve"> SPFs and Info Last Updated</t>
  </si>
  <si>
    <t>Kp</t>
  </si>
  <si>
    <t>Ap</t>
  </si>
  <si>
    <t>Bp</t>
  </si>
  <si>
    <t>Cp</t>
  </si>
  <si>
    <t>Op</t>
  </si>
  <si>
    <t>State OwnedUrbanNon-Freeway&gt;2</t>
  </si>
  <si>
    <t>State OwnedUrbanNon-Freeway&lt;=2</t>
  </si>
  <si>
    <t>State OwnedRuralNon-Freeway&lt;=2</t>
  </si>
  <si>
    <t>Locally OwnedUrbanNon-Freeway&gt;2</t>
  </si>
  <si>
    <t>Locally OwnedUrbanNon-Freeway&lt;=2</t>
  </si>
  <si>
    <t>Locally OwnedRuralNon-Freeway&lt;=2</t>
  </si>
  <si>
    <t>UrbanFreewayInterchange Area</t>
  </si>
  <si>
    <t>UrbanFreewayNon-Interchange Area</t>
  </si>
  <si>
    <t>RuralFreewayInterchange Area</t>
  </si>
  <si>
    <t>RuralFreewayNon-Interchange Area</t>
  </si>
  <si>
    <t>RuralNon-Freeway&gt;2</t>
  </si>
  <si>
    <t>Ramp Segment</t>
  </si>
  <si>
    <t>Predicted Crashes/Yr</t>
  </si>
  <si>
    <t>i</t>
  </si>
  <si>
    <t xml:space="preserve"> SPFs and Info Last UpdatedUpdated</t>
  </si>
  <si>
    <t>State OwnedUrban3</t>
  </si>
  <si>
    <t>State OwnedUrban4+</t>
  </si>
  <si>
    <t>6/15/2026 (No updates 8/7)</t>
  </si>
  <si>
    <t>State OwnedRural3</t>
  </si>
  <si>
    <t>State OwnedRural4+</t>
  </si>
  <si>
    <t>Locally OwnedUrban3</t>
  </si>
  <si>
    <t>Locally OwnedUrban4+</t>
  </si>
  <si>
    <t>Locally OwnedRural3</t>
  </si>
  <si>
    <t>Locally OwnedRural4+</t>
  </si>
  <si>
    <t>State Owned</t>
  </si>
  <si>
    <t>Urban</t>
  </si>
  <si>
    <t>Freeway</t>
  </si>
  <si>
    <t>&lt;=2</t>
  </si>
  <si>
    <t>Interchange Area</t>
  </si>
  <si>
    <t>Locally Owned</t>
  </si>
  <si>
    <t>Rural</t>
  </si>
  <si>
    <t>Non-Freeway</t>
  </si>
  <si>
    <t>&gt;2</t>
  </si>
  <si>
    <t>4+</t>
  </si>
  <si>
    <t>Non-Interchange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</si>
</sst>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name val="Arial"/>
      <family val="2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3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242424"/>
      <name val="Aptos Narrow"/>
      <family val="2"/>
    </font>
    <font>
      <b/>
      <u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Font="1"/>
    <xf numFmtId="0" fontId="4" fillId="0" borderId="2" xfId="2" applyFont="1" applyBorder="1" applyAlignment="1">
      <alignment horizontal="right" vertical="center"/>
    </xf>
    <xf numFmtId="0" fontId="4" fillId="0" borderId="16" xfId="2" applyFont="1" applyBorder="1" applyAlignment="1">
      <alignment horizontal="right" vertical="center"/>
    </xf>
    <xf numFmtId="0" fontId="4" fillId="0" borderId="0" xfId="2" applyFont="1" applyAlignment="1" applyProtection="1">
      <alignment horizontal="center" vertical="center"/>
      <protection locked="0"/>
    </xf>
    <xf numFmtId="0" fontId="1" fillId="0" borderId="0" xfId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4" fillId="0" borderId="13" xfId="2" applyFont="1" applyBorder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/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10" fontId="0" fillId="0" borderId="5" xfId="4" applyNumberFormat="1" applyFont="1" applyBorder="1"/>
    <xf numFmtId="10" fontId="0" fillId="0" borderId="0" xfId="4" applyNumberFormat="1" applyFont="1" applyBorder="1"/>
    <xf numFmtId="10" fontId="0" fillId="0" borderId="9" xfId="4" applyNumberFormat="1" applyFont="1" applyBorder="1"/>
    <xf numFmtId="0" fontId="12" fillId="0" borderId="28" xfId="0" applyFont="1" applyBorder="1"/>
    <xf numFmtId="10" fontId="0" fillId="0" borderId="10" xfId="4" applyNumberFormat="1" applyFont="1" applyBorder="1"/>
    <xf numFmtId="10" fontId="0" fillId="0" borderId="11" xfId="4" applyNumberFormat="1" applyFont="1" applyBorder="1"/>
    <xf numFmtId="10" fontId="0" fillId="0" borderId="12" xfId="4" applyNumberFormat="1" applyFont="1" applyBorder="1"/>
    <xf numFmtId="10" fontId="0" fillId="0" borderId="5" xfId="4" applyNumberFormat="1" applyFont="1" applyFill="1" applyBorder="1"/>
    <xf numFmtId="10" fontId="0" fillId="0" borderId="0" xfId="4" applyNumberFormat="1" applyFont="1" applyFill="1" applyBorder="1"/>
    <xf numFmtId="10" fontId="0" fillId="0" borderId="9" xfId="4" applyNumberFormat="1" applyFont="1" applyFill="1" applyBorder="1"/>
    <xf numFmtId="0" fontId="12" fillId="0" borderId="22" xfId="0" applyFont="1" applyBorder="1"/>
    <xf numFmtId="0" fontId="0" fillId="0" borderId="31" xfId="0" applyBorder="1"/>
    <xf numFmtId="0" fontId="0" fillId="0" borderId="32" xfId="0" applyBorder="1"/>
    <xf numFmtId="0" fontId="8" fillId="0" borderId="0" xfId="0" applyFont="1"/>
    <xf numFmtId="0" fontId="0" fillId="0" borderId="29" xfId="0" applyBorder="1"/>
    <xf numFmtId="0" fontId="0" fillId="0" borderId="30" xfId="0" applyBorder="1"/>
    <xf numFmtId="44" fontId="0" fillId="0" borderId="0" xfId="3" applyFont="1"/>
    <xf numFmtId="0" fontId="4" fillId="0" borderId="0" xfId="2" applyFont="1" applyAlignment="1">
      <alignment horizontal="right" vertical="center"/>
    </xf>
    <xf numFmtId="0" fontId="4" fillId="0" borderId="4" xfId="2" applyFont="1" applyBorder="1" applyAlignment="1">
      <alignment vertical="center"/>
    </xf>
    <xf numFmtId="0" fontId="0" fillId="0" borderId="9" xfId="4" applyNumberFormat="1" applyFont="1" applyFill="1" applyBorder="1"/>
    <xf numFmtId="0" fontId="7" fillId="0" borderId="0" xfId="0" applyFont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2" fontId="0" fillId="0" borderId="8" xfId="0" applyNumberFormat="1" applyBorder="1"/>
    <xf numFmtId="2" fontId="0" fillId="0" borderId="12" xfId="0" applyNumberFormat="1" applyBorder="1"/>
    <xf numFmtId="0" fontId="0" fillId="0" borderId="28" xfId="0" applyBorder="1"/>
    <xf numFmtId="0" fontId="7" fillId="0" borderId="30" xfId="0" applyFont="1" applyBorder="1"/>
    <xf numFmtId="0" fontId="10" fillId="2" borderId="33" xfId="0" applyFont="1" applyFill="1" applyBorder="1" applyAlignment="1">
      <alignment horizontal="center" vertical="center"/>
    </xf>
    <xf numFmtId="2" fontId="9" fillId="0" borderId="34" xfId="0" applyNumberFormat="1" applyFont="1" applyBorder="1" applyAlignment="1">
      <alignment horizontal="center" vertical="center"/>
    </xf>
    <xf numFmtId="14" fontId="0" fillId="0" borderId="5" xfId="0" applyNumberFormat="1" applyBorder="1"/>
    <xf numFmtId="14" fontId="0" fillId="0" borderId="10" xfId="0" applyNumberFormat="1" applyBorder="1"/>
    <xf numFmtId="0" fontId="0" fillId="0" borderId="35" xfId="0" applyBorder="1"/>
    <xf numFmtId="0" fontId="0" fillId="0" borderId="0" xfId="4" applyNumberFormat="1" applyFont="1" applyFill="1" applyBorder="1"/>
    <xf numFmtId="0" fontId="0" fillId="0" borderId="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2" fontId="9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" xfId="0" applyBorder="1"/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9" fillId="0" borderId="27" xfId="0" applyNumberFormat="1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36" xfId="0" applyBorder="1"/>
    <xf numFmtId="0" fontId="0" fillId="0" borderId="9" xfId="4" applyNumberFormat="1" applyFont="1" applyFill="1" applyBorder="1" applyAlignment="1">
      <alignment wrapText="1"/>
    </xf>
    <xf numFmtId="0" fontId="15" fillId="0" borderId="0" xfId="0" applyFont="1"/>
    <xf numFmtId="0" fontId="0" fillId="0" borderId="12" xfId="4" applyNumberFormat="1" applyFont="1" applyFill="1" applyBorder="1"/>
    <xf numFmtId="0" fontId="16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4" borderId="3" xfId="2" applyFont="1" applyFill="1" applyBorder="1" applyAlignment="1" applyProtection="1">
      <alignment horizontal="center" vertical="center"/>
      <protection locked="0"/>
    </xf>
    <xf numFmtId="0" fontId="4" fillId="4" borderId="15" xfId="2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4" fillId="4" borderId="18" xfId="2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19" xfId="2" applyFont="1" applyBorder="1" applyAlignment="1">
      <alignment horizontal="center" vertical="center"/>
    </xf>
    <xf numFmtId="0" fontId="13" fillId="0" borderId="23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4" fillId="4" borderId="7" xfId="2" applyFont="1" applyFill="1" applyBorder="1" applyAlignment="1" applyProtection="1">
      <alignment horizontal="center" vertical="center"/>
      <protection locked="0"/>
    </xf>
    <xf numFmtId="0" fontId="4" fillId="4" borderId="20" xfId="2" applyFont="1" applyFill="1" applyBorder="1" applyAlignment="1" applyProtection="1">
      <alignment horizontal="center" vertical="center"/>
      <protection locked="0"/>
    </xf>
    <xf numFmtId="0" fontId="4" fillId="4" borderId="23" xfId="2" applyFont="1" applyFill="1" applyBorder="1" applyAlignment="1" applyProtection="1">
      <alignment horizontal="center" vertical="center"/>
      <protection locked="0"/>
    </xf>
    <xf numFmtId="0" fontId="4" fillId="4" borderId="1" xfId="2" applyFont="1" applyFill="1" applyBorder="1" applyAlignment="1" applyProtection="1">
      <alignment horizontal="center" vertical="center"/>
      <protection locked="0"/>
    </xf>
    <xf numFmtId="0" fontId="4" fillId="4" borderId="3" xfId="2" applyFont="1" applyFill="1" applyBorder="1" applyAlignment="1" applyProtection="1">
      <alignment horizontal="center" vertical="center"/>
      <protection locked="0"/>
    </xf>
    <xf numFmtId="0" fontId="4" fillId="4" borderId="17" xfId="2" applyFont="1" applyFill="1" applyBorder="1" applyAlignment="1" applyProtection="1">
      <alignment horizontal="center" vertical="center"/>
      <protection locked="0"/>
    </xf>
    <xf numFmtId="0" fontId="4" fillId="4" borderId="18" xfId="2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4" borderId="14" xfId="2" applyFont="1" applyFill="1" applyBorder="1" applyAlignment="1" applyProtection="1">
      <alignment horizontal="center" vertical="center"/>
      <protection locked="0"/>
    </xf>
    <xf numFmtId="0" fontId="4" fillId="4" borderId="15" xfId="2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0" fontId="4" fillId="4" borderId="26" xfId="2" applyFont="1" applyFill="1" applyBorder="1" applyAlignment="1" applyProtection="1">
      <alignment horizontal="center" vertical="center"/>
      <protection locked="0"/>
    </xf>
    <xf numFmtId="0" fontId="4" fillId="4" borderId="25" xfId="2" applyFont="1" applyFill="1" applyBorder="1" applyAlignment="1" applyProtection="1">
      <alignment horizontal="center" vertical="center"/>
      <protection locked="0"/>
    </xf>
    <xf numFmtId="0" fontId="4" fillId="4" borderId="19" xfId="2" applyFont="1" applyFill="1" applyBorder="1" applyAlignment="1" applyProtection="1">
      <alignment horizontal="center" vertical="center"/>
      <protection locked="0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3" xfId="0" applyFont="1" applyBorder="1" applyAlignment="1">
      <alignment horizontal="center"/>
    </xf>
  </cellXfs>
  <cellStyles count="5">
    <cellStyle name="Currency" xfId="3" builtinId="4"/>
    <cellStyle name="Hyperlink" xfId="1" builtinId="8"/>
    <cellStyle name="Normal" xfId="0" builtinId="0"/>
    <cellStyle name="Normal 2 2" xfId="2" xr:uid="{00000000-0005-0000-0000-000002000000}"/>
    <cellStyle name="Percent" xfId="4" builtinId="5"/>
  </cellStyles>
  <dxfs count="5">
    <dxf>
      <fill>
        <patternFill>
          <bgColor rgb="FFFFFF00"/>
        </patternFill>
      </fill>
    </dxf>
    <dxf>
      <font>
        <strike val="0"/>
        <color auto="1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123825</xdr:rowOff>
    </xdr:from>
    <xdr:to>
      <xdr:col>3</xdr:col>
      <xdr:colOff>2228850</xdr:colOff>
      <xdr:row>39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F52E29-0C2D-44C0-A7D9-2F3264FF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5619750"/>
          <a:ext cx="5581650" cy="2257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1971675</xdr:colOff>
      <xdr:row>0</xdr:row>
      <xdr:rowOff>47625</xdr:rowOff>
    </xdr:from>
    <xdr:to>
      <xdr:col>4</xdr:col>
      <xdr:colOff>1504949</xdr:colOff>
      <xdr:row>6</xdr:row>
      <xdr:rowOff>28449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C306C3-05F7-146D-B94B-2CB7A573A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47625"/>
          <a:ext cx="2562224" cy="1133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771525</xdr:colOff>
      <xdr:row>0</xdr:row>
      <xdr:rowOff>104776</xdr:rowOff>
    </xdr:from>
    <xdr:to>
      <xdr:col>1</xdr:col>
      <xdr:colOff>1714499</xdr:colOff>
      <xdr:row>5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08C421-71D1-ACAC-2D99-D8330782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04776"/>
          <a:ext cx="942974" cy="94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42</xdr:row>
      <xdr:rowOff>4489</xdr:rowOff>
    </xdr:from>
    <xdr:to>
      <xdr:col>8</xdr:col>
      <xdr:colOff>942975</xdr:colOff>
      <xdr:row>44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3DA782-972C-F620-CEB2-83AA2C50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4986064"/>
          <a:ext cx="2162175" cy="414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66675</xdr:colOff>
      <xdr:row>42</xdr:row>
      <xdr:rowOff>85725</xdr:rowOff>
    </xdr:from>
    <xdr:to>
      <xdr:col>13</xdr:col>
      <xdr:colOff>228600</xdr:colOff>
      <xdr:row>43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D80C7C-39AE-A3C4-1352-AE8F32DA8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8300" y="5095875"/>
          <a:ext cx="4781550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371475</xdr:colOff>
      <xdr:row>42</xdr:row>
      <xdr:rowOff>47624</xdr:rowOff>
    </xdr:from>
    <xdr:to>
      <xdr:col>20</xdr:col>
      <xdr:colOff>190501</xdr:colOff>
      <xdr:row>43</xdr:row>
      <xdr:rowOff>154375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9D5FBC5-D556-83F0-75C3-E5BD13DF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49825" y="5029199"/>
          <a:ext cx="2657476" cy="297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571500</xdr:colOff>
      <xdr:row>56</xdr:row>
      <xdr:rowOff>28574</xdr:rowOff>
    </xdr:from>
    <xdr:to>
      <xdr:col>8</xdr:col>
      <xdr:colOff>9525</xdr:colOff>
      <xdr:row>57</xdr:row>
      <xdr:rowOff>171449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7BB4998-6790-7582-EAC8-8F7DD8414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11258549"/>
          <a:ext cx="337185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1357312</xdr:colOff>
      <xdr:row>56</xdr:row>
      <xdr:rowOff>83344</xdr:rowOff>
    </xdr:from>
    <xdr:to>
      <xdr:col>12</xdr:col>
      <xdr:colOff>100012</xdr:colOff>
      <xdr:row>57</xdr:row>
      <xdr:rowOff>111919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15AFB30-C6F3-9D12-AAA5-5D7F85CF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15862" y="11313319"/>
          <a:ext cx="28670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133350</xdr:colOff>
      <xdr:row>42</xdr:row>
      <xdr:rowOff>104775</xdr:rowOff>
    </xdr:from>
    <xdr:to>
      <xdr:col>26</xdr:col>
      <xdr:colOff>590550</xdr:colOff>
      <xdr:row>43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042EB8-50B0-0AD8-4FE3-94A410F5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32775" y="8248650"/>
          <a:ext cx="28575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30</xdr:col>
      <xdr:colOff>28575</xdr:colOff>
      <xdr:row>42</xdr:row>
      <xdr:rowOff>104775</xdr:rowOff>
    </xdr:from>
    <xdr:to>
      <xdr:col>31</xdr:col>
      <xdr:colOff>1019175</xdr:colOff>
      <xdr:row>43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3356F1E-5437-B5FF-1206-26E5B83D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57425" y="8248650"/>
          <a:ext cx="1524000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4D989-8C6A-4853-86CE-59D4CD8783E5}">
  <sheetPr>
    <pageSetUpPr fitToPage="1"/>
  </sheetPr>
  <dimension ref="A1:Q28"/>
  <sheetViews>
    <sheetView showGridLines="0" tabSelected="1" zoomScaleNormal="100" workbookViewId="0">
      <selection activeCell="J23" sqref="J23"/>
    </sheetView>
  </sheetViews>
  <sheetFormatPr defaultRowHeight="15"/>
  <cols>
    <col min="1" max="1" width="5.5703125" customWidth="1"/>
    <col min="2" max="2" width="26.85546875" bestFit="1" customWidth="1"/>
    <col min="3" max="3" width="23.42578125" bestFit="1" customWidth="1"/>
    <col min="4" max="4" width="45.42578125" customWidth="1"/>
    <col min="5" max="5" width="23.42578125" bestFit="1" customWidth="1"/>
    <col min="8" max="8" width="34.5703125" bestFit="1" customWidth="1"/>
    <col min="9" max="9" width="32.42578125" customWidth="1"/>
    <col min="10" max="10" width="30.42578125" bestFit="1" customWidth="1"/>
  </cols>
  <sheetData>
    <row r="1" spans="1:17" ht="15" customHeight="1">
      <c r="A1" s="118" t="s">
        <v>0</v>
      </c>
      <c r="B1" s="119"/>
      <c r="C1" s="119"/>
      <c r="D1" s="119"/>
      <c r="E1" s="120"/>
      <c r="F1" s="99" t="s">
        <v>1</v>
      </c>
      <c r="G1" s="100"/>
      <c r="H1" s="100"/>
      <c r="I1" s="100"/>
      <c r="J1" s="100"/>
      <c r="K1" s="101"/>
      <c r="L1" s="55"/>
      <c r="M1" s="5" t="s">
        <v>2</v>
      </c>
      <c r="N1" s="55"/>
      <c r="O1" s="55"/>
      <c r="P1" s="55"/>
      <c r="Q1" s="55"/>
    </row>
    <row r="2" spans="1:17" ht="15" customHeight="1">
      <c r="A2" s="121"/>
      <c r="B2" s="122"/>
      <c r="C2" s="122"/>
      <c r="D2" s="122"/>
      <c r="E2" s="123"/>
      <c r="F2" s="102"/>
      <c r="G2" s="103"/>
      <c r="H2" s="103"/>
      <c r="I2" s="103"/>
      <c r="J2" s="103"/>
      <c r="K2" s="104"/>
      <c r="L2" s="16"/>
      <c r="M2" s="16"/>
      <c r="N2" s="16"/>
      <c r="O2" s="16"/>
      <c r="P2" s="16"/>
      <c r="Q2" s="16"/>
    </row>
    <row r="3" spans="1:17" ht="15" customHeight="1">
      <c r="A3" s="121"/>
      <c r="B3" s="122"/>
      <c r="C3" s="122"/>
      <c r="D3" s="122"/>
      <c r="E3" s="123"/>
      <c r="F3" s="102"/>
      <c r="G3" s="103"/>
      <c r="H3" s="103"/>
      <c r="I3" s="103"/>
      <c r="J3" s="103"/>
      <c r="K3" s="104"/>
      <c r="L3" s="16"/>
      <c r="N3" s="16"/>
      <c r="O3" s="16"/>
      <c r="P3" s="16"/>
      <c r="Q3" s="16"/>
    </row>
    <row r="4" spans="1:17" ht="15" customHeight="1">
      <c r="A4" s="121"/>
      <c r="B4" s="122"/>
      <c r="C4" s="122"/>
      <c r="D4" s="122"/>
      <c r="E4" s="123"/>
      <c r="F4" s="102"/>
      <c r="G4" s="103"/>
      <c r="H4" s="103"/>
      <c r="I4" s="103"/>
      <c r="J4" s="103"/>
      <c r="K4" s="104"/>
      <c r="L4" s="16"/>
      <c r="N4" s="16"/>
      <c r="O4" s="16"/>
      <c r="P4" s="16"/>
      <c r="Q4" s="16"/>
    </row>
    <row r="5" spans="1:17" ht="15" customHeight="1">
      <c r="A5" s="121"/>
      <c r="B5" s="122"/>
      <c r="C5" s="122"/>
      <c r="D5" s="122"/>
      <c r="E5" s="123"/>
      <c r="F5" s="102"/>
      <c r="G5" s="103"/>
      <c r="H5" s="103"/>
      <c r="I5" s="103"/>
      <c r="J5" s="103"/>
      <c r="K5" s="104"/>
      <c r="L5" s="16"/>
      <c r="M5" s="16"/>
      <c r="N5" s="16"/>
      <c r="O5" s="16"/>
      <c r="P5" s="16"/>
      <c r="Q5" s="16"/>
    </row>
    <row r="6" spans="1:17" ht="15.75" customHeight="1" thickBot="1">
      <c r="A6" s="124"/>
      <c r="B6" s="125"/>
      <c r="C6" s="125"/>
      <c r="D6" s="125"/>
      <c r="E6" s="126"/>
      <c r="F6" s="105"/>
      <c r="G6" s="106"/>
      <c r="H6" s="106"/>
      <c r="I6" s="106"/>
      <c r="J6" s="106"/>
      <c r="K6" s="107"/>
      <c r="L6" s="56"/>
      <c r="M6" s="16"/>
      <c r="N6" s="16"/>
      <c r="O6" s="16"/>
      <c r="P6" s="16"/>
      <c r="Q6" s="16"/>
    </row>
    <row r="7" spans="1:17" ht="15.75" customHeight="1">
      <c r="A7" s="77"/>
      <c r="B7" s="77"/>
      <c r="C7" s="77"/>
      <c r="D7" s="77"/>
      <c r="E7" s="77"/>
      <c r="F7" s="74"/>
      <c r="G7" s="74"/>
      <c r="H7" s="74"/>
      <c r="I7" s="74"/>
      <c r="J7" s="74"/>
      <c r="K7" s="74"/>
      <c r="L7" s="16"/>
      <c r="M7" s="16"/>
      <c r="N7" s="16"/>
      <c r="O7" s="16"/>
      <c r="P7" s="16"/>
      <c r="Q7" s="16"/>
    </row>
    <row r="8" spans="1:17" ht="15.75" customHeight="1" thickBot="1">
      <c r="A8" s="77"/>
      <c r="B8" s="77"/>
      <c r="C8" s="77"/>
      <c r="D8" s="77"/>
      <c r="E8" s="77"/>
      <c r="F8" s="74"/>
      <c r="G8" s="74"/>
      <c r="H8" s="74"/>
      <c r="I8" s="74"/>
      <c r="J8" s="74"/>
      <c r="K8" s="74"/>
      <c r="L8" s="16"/>
      <c r="M8" s="16"/>
      <c r="N8" s="16"/>
      <c r="O8" s="16"/>
      <c r="P8" s="16"/>
      <c r="Q8" s="16"/>
    </row>
    <row r="9" spans="1:17" ht="18" thickBot="1">
      <c r="B9" s="73" t="s">
        <v>3</v>
      </c>
      <c r="C9" s="115"/>
      <c r="D9" s="93"/>
      <c r="E9" s="94"/>
    </row>
    <row r="10" spans="1:17" ht="19.5" thickBot="1">
      <c r="B10" s="110" t="s">
        <v>4</v>
      </c>
      <c r="C10" s="80"/>
      <c r="D10" s="80"/>
      <c r="E10" s="81"/>
      <c r="I10" s="49" t="s">
        <v>5</v>
      </c>
      <c r="J10" s="49" t="s">
        <v>6</v>
      </c>
      <c r="K10" s="1" t="str">
        <f>IF(OR(D11="",D13="",D14="",D15="",D16="",D17="",AND(OR(E21="",E22="",E23="",E24="",E25="",E26="",E27=""),OR(C21="",C22="",C23="",C24="",C25=""))),"no","yes")</f>
        <v>no</v>
      </c>
    </row>
    <row r="11" spans="1:17" ht="18" thickBot="1">
      <c r="B11" s="116" t="s">
        <v>7</v>
      </c>
      <c r="C11" s="117"/>
      <c r="D11" s="108"/>
      <c r="E11" s="109"/>
      <c r="I11" s="50" t="str">
        <f>IF(K10="no","",IFERROR(IF(C19="Segment",'TSAT Calculations'!L10,IF(C19="Intersection",'TSAT Calculations'!L24,"")),""))</f>
        <v/>
      </c>
      <c r="J11" s="50" t="str">
        <f>IF(K10="no","",IFERROR(IF(C19="Segment",'TSAT Calculations'!L9,IF(C19="Intersection",'TSAT Calculations'!L23,"")),""))</f>
        <v/>
      </c>
    </row>
    <row r="12" spans="1:17" ht="18" thickBot="1">
      <c r="B12" s="111" t="s">
        <v>8</v>
      </c>
      <c r="C12" s="112"/>
      <c r="D12" s="113"/>
      <c r="E12" s="114"/>
      <c r="H12" s="57"/>
      <c r="I12" s="57"/>
    </row>
    <row r="13" spans="1:17" ht="19.5" thickBot="1">
      <c r="B13" s="84" t="s">
        <v>9</v>
      </c>
      <c r="C13" s="85"/>
      <c r="D13" s="95"/>
      <c r="E13" s="96"/>
      <c r="I13" s="49" t="s">
        <v>10</v>
      </c>
      <c r="J13" s="15" t="s">
        <v>11</v>
      </c>
    </row>
    <row r="14" spans="1:17" ht="19.5" thickBot="1">
      <c r="B14" s="84" t="s">
        <v>12</v>
      </c>
      <c r="C14" s="85"/>
      <c r="D14" s="95"/>
      <c r="E14" s="96"/>
      <c r="H14" s="15" t="str">
        <f>IF(C19="Segment", "Adjusted Crashes/Year/Mile","Adjusted Crashes/Year")</f>
        <v>Adjusted Crashes/Year</v>
      </c>
      <c r="I14" s="67" t="str">
        <f>IF(K10="no","",IFERROR(IF(C19="Segment",'TSAT Calculations'!Q7,IF(C19="Intersection",'TSAT Calculations'!Q21,"")),""))</f>
        <v/>
      </c>
      <c r="J14" s="67" t="str">
        <f>IF(K10="no","",IFERROR(IF(C19="Segment",'TSAT Calculations'!P7,IF(C19="Intersection",'TSAT Calculations'!P21,"")),""))</f>
        <v/>
      </c>
    </row>
    <row r="15" spans="1:17" ht="19.5" thickBot="1">
      <c r="B15" s="84" t="s">
        <v>13</v>
      </c>
      <c r="C15" s="85"/>
      <c r="D15" s="95"/>
      <c r="E15" s="96"/>
      <c r="H15" s="68" t="str">
        <f>IF(C19="Segment", "SPF Predicted/Year/Mile","SPF Predicted Crashes/Year")</f>
        <v>SPF Predicted Crashes/Year</v>
      </c>
      <c r="I15" s="50" t="str">
        <f>IF(K10="no","",IFERROR(IF(C19="Segment",'TSAT Calculations'!O7,IF(C19="Intersection",'TSAT Calculations'!O21,"")),""))</f>
        <v/>
      </c>
      <c r="J15" s="50" t="str">
        <f>IF(K10="no","",IFERROR(IF(C19="Segment",'TSAT Calculations'!N7,IF(C19="Intersection",'TSAT Calculations'!N21,"")),""))</f>
        <v/>
      </c>
    </row>
    <row r="16" spans="1:17" ht="17.25">
      <c r="B16" s="84" t="s">
        <v>14</v>
      </c>
      <c r="C16" s="85"/>
      <c r="D16" s="95"/>
      <c r="E16" s="96"/>
    </row>
    <row r="17" spans="2:9" ht="18" thickBot="1">
      <c r="B17" s="82" t="s">
        <v>15</v>
      </c>
      <c r="C17" s="83"/>
      <c r="D17" s="97"/>
      <c r="E17" s="98"/>
    </row>
    <row r="18" spans="2:9" ht="18.75" thickBot="1">
      <c r="B18" s="79" t="s">
        <v>16</v>
      </c>
      <c r="C18" s="80"/>
      <c r="D18" s="80"/>
      <c r="E18" s="81"/>
    </row>
    <row r="19" spans="2:9" ht="18" thickBot="1">
      <c r="B19" s="39" t="s">
        <v>17</v>
      </c>
      <c r="C19" s="92"/>
      <c r="D19" s="93"/>
      <c r="E19" s="94"/>
      <c r="F19" s="86" t="s">
        <v>18</v>
      </c>
      <c r="G19" s="87"/>
      <c r="H19" s="87"/>
      <c r="I19" s="87"/>
    </row>
    <row r="20" spans="2:9" ht="18" thickBot="1">
      <c r="B20" s="88" t="s">
        <v>19</v>
      </c>
      <c r="C20" s="89"/>
      <c r="D20" s="90" t="s">
        <v>20</v>
      </c>
      <c r="E20" s="91"/>
      <c r="F20" s="86"/>
      <c r="G20" s="87"/>
      <c r="H20" s="87"/>
      <c r="I20" s="87"/>
    </row>
    <row r="21" spans="2:9" ht="17.25">
      <c r="B21" s="14" t="s">
        <v>21</v>
      </c>
      <c r="C21" s="76"/>
      <c r="D21" s="14" t="s">
        <v>22</v>
      </c>
      <c r="E21" s="76"/>
      <c r="F21" s="86"/>
      <c r="G21" s="87"/>
      <c r="H21" s="87"/>
      <c r="I21" s="87"/>
    </row>
    <row r="22" spans="2:9" ht="17.25">
      <c r="B22" s="2" t="s">
        <v>23</v>
      </c>
      <c r="C22" s="75"/>
      <c r="D22" s="2" t="s">
        <v>24</v>
      </c>
      <c r="E22" s="75"/>
    </row>
    <row r="23" spans="2:9" ht="17.25">
      <c r="B23" s="2" t="s">
        <v>25</v>
      </c>
      <c r="C23" s="75"/>
      <c r="D23" s="2" t="s">
        <v>25</v>
      </c>
      <c r="E23" s="75"/>
    </row>
    <row r="24" spans="2:9" ht="17.25">
      <c r="B24" s="2" t="s">
        <v>26</v>
      </c>
      <c r="C24" s="75"/>
      <c r="D24" s="2" t="s">
        <v>26</v>
      </c>
      <c r="E24" s="75"/>
    </row>
    <row r="25" spans="2:9" ht="18" thickBot="1">
      <c r="B25" s="3" t="s">
        <v>27</v>
      </c>
      <c r="C25" s="78"/>
      <c r="D25" s="2" t="s">
        <v>28</v>
      </c>
      <c r="E25" s="75"/>
    </row>
    <row r="26" spans="2:9" ht="17.25">
      <c r="B26" s="38"/>
      <c r="C26" s="4"/>
      <c r="D26" s="2" t="s">
        <v>29</v>
      </c>
      <c r="E26" s="75"/>
    </row>
    <row r="27" spans="2:9" ht="18" thickBot="1">
      <c r="B27" s="38"/>
      <c r="C27" s="4"/>
      <c r="D27" s="3" t="s">
        <v>30</v>
      </c>
      <c r="E27" s="78"/>
    </row>
    <row r="28" spans="2:9" ht="17.25">
      <c r="B28" s="38"/>
      <c r="C28" s="4"/>
    </row>
  </sheetData>
  <sheetProtection algorithmName="SHA-512" hashValue="qw9cq0JcncthBeNxki42jCgPseelTHLfVSNHS4tn0WIqzhcQnKU6T/vsguoKHscpMAcW40XOaUa0EUk9MSUwzA==" saltValue="wUNGn+qTAh0zIF2Aqbfl8w==" spinCount="100000" sheet="1" objects="1" scenarios="1"/>
  <mergeCells count="23">
    <mergeCell ref="F1:K6"/>
    <mergeCell ref="D14:E14"/>
    <mergeCell ref="D13:E13"/>
    <mergeCell ref="D11:E11"/>
    <mergeCell ref="B10:E10"/>
    <mergeCell ref="B14:C14"/>
    <mergeCell ref="B12:C12"/>
    <mergeCell ref="D12:E12"/>
    <mergeCell ref="C9:E9"/>
    <mergeCell ref="B13:C13"/>
    <mergeCell ref="B11:C11"/>
    <mergeCell ref="A1:E6"/>
    <mergeCell ref="B18:E18"/>
    <mergeCell ref="B17:C17"/>
    <mergeCell ref="B16:C16"/>
    <mergeCell ref="B15:C15"/>
    <mergeCell ref="F19:I21"/>
    <mergeCell ref="B20:C20"/>
    <mergeCell ref="D20:E20"/>
    <mergeCell ref="C19:E19"/>
    <mergeCell ref="D16:E16"/>
    <mergeCell ref="D17:E17"/>
    <mergeCell ref="D15:E15"/>
  </mergeCells>
  <conditionalFormatting sqref="B20:C25">
    <cfRule type="expression" dxfId="4" priority="42">
      <formula>$C$19="Segment"</formula>
    </cfRule>
  </conditionalFormatting>
  <conditionalFormatting sqref="B20:E27">
    <cfRule type="expression" dxfId="3" priority="40">
      <formula>$C$19=""</formula>
    </cfRule>
  </conditionalFormatting>
  <conditionalFormatting sqref="D20:E27">
    <cfRule type="expression" dxfId="2" priority="41">
      <formula>$C$19="Intersection"</formula>
    </cfRule>
  </conditionalFormatting>
  <conditionalFormatting sqref="F19:I21">
    <cfRule type="expression" dxfId="1" priority="1">
      <formula>$C$19="Segment"</formula>
    </cfRule>
  </conditionalFormatting>
  <hyperlinks>
    <hyperlink ref="M1" location="'Cover Sheet'!B13" display="BACK TO COVER SHEET" xr:uid="{D848427D-B9E5-4A97-B45F-17D40863AEFC}"/>
  </hyperlinks>
  <pageMargins left="0.7" right="0.7" top="0.75" bottom="0.75" header="0.3" footer="0.3"/>
  <pageSetup scale="49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1B86E236-6B20-418C-84B0-3B95EBDFA525}">
          <x14:formula1>
            <xm:f>'TSAT Lookups'!$F$1:$F$2</xm:f>
          </x14:formula1>
          <xm:sqref>C25</xm:sqref>
        </x14:dataValidation>
        <x14:dataValidation type="list" allowBlank="1" showInputMessage="1" showErrorMessage="1" xr:uid="{845D8C19-EDCA-4D2D-8C4F-1E902F05746F}">
          <x14:formula1>
            <xm:f>'TSAT Lookups'!$A$1:$A$2</xm:f>
          </x14:formula1>
          <xm:sqref>C19</xm:sqref>
        </x14:dataValidation>
        <x14:dataValidation type="list" allowBlank="1" showInputMessage="1" showErrorMessage="1" xr:uid="{3942779F-357D-4C48-9ED0-86828AA1FB1F}">
          <x14:formula1>
            <xm:f>'TSAT Lookups'!$B$1:$B$2</xm:f>
          </x14:formula1>
          <xm:sqref>C23 E23</xm:sqref>
        </x14:dataValidation>
        <x14:dataValidation type="list" allowBlank="1" showInputMessage="1" showErrorMessage="1" xr:uid="{4D295545-C687-4B73-A73E-CB615B463D36}">
          <x14:formula1>
            <xm:f>'TSAT Lookups'!$C$1:$C$2</xm:f>
          </x14:formula1>
          <xm:sqref>C24 E24</xm:sqref>
        </x14:dataValidation>
        <x14:dataValidation type="list" allowBlank="1" showInputMessage="1" showErrorMessage="1" xr:uid="{8256E632-F05F-4985-8004-5167F58F0344}">
          <x14:formula1>
            <xm:f>'TSAT Lookups'!$E$1:$E$2</xm:f>
          </x14:formula1>
          <xm:sqref>E25</xm:sqref>
        </x14:dataValidation>
        <x14:dataValidation type="list" allowBlank="1" showInputMessage="1" showErrorMessage="1" xr:uid="{45E68D88-F093-49B8-B86E-158720A1BF2C}">
          <x14:formula1>
            <xm:f>'TSAT Lookups'!$D$1:$D$3</xm:f>
          </x14:formula1>
          <xm:sqref>E26</xm:sqref>
        </x14:dataValidation>
        <x14:dataValidation type="list" allowBlank="1" showInputMessage="1" showErrorMessage="1" xr:uid="{699C7841-F75E-4B03-94AE-5839099F79F2}">
          <x14:formula1>
            <xm:f>'TSAT Lookups'!$G$1:$G$2</xm:f>
          </x14:formula1>
          <xm:sqref>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05425-B17E-47D3-8D7B-4EAEC86D7D74}">
  <dimension ref="A1:AT58"/>
  <sheetViews>
    <sheetView topLeftCell="A24" zoomScaleNormal="100" workbookViewId="0">
      <pane xSplit="1" topLeftCell="S1" activePane="topRight" state="frozen"/>
      <selection pane="topRight" activeCell="V49" sqref="V49:V56"/>
    </sheetView>
  </sheetViews>
  <sheetFormatPr defaultRowHeight="15"/>
  <cols>
    <col min="1" max="1" width="80.5703125" bestFit="1" customWidth="1"/>
    <col min="2" max="2" width="4.85546875" bestFit="1" customWidth="1"/>
    <col min="3" max="3" width="5.42578125" bestFit="1" customWidth="1"/>
    <col min="4" max="4" width="12" bestFit="1" customWidth="1"/>
    <col min="5" max="5" width="12.7109375" bestFit="1" customWidth="1"/>
    <col min="6" max="6" width="12" bestFit="1" customWidth="1"/>
    <col min="7" max="7" width="12.7109375" bestFit="1" customWidth="1"/>
    <col min="8" max="8" width="21.5703125" bestFit="1" customWidth="1"/>
    <col min="9" max="9" width="22.28515625" bestFit="1" customWidth="1"/>
    <col min="10" max="10" width="12" bestFit="1" customWidth="1"/>
    <col min="11" max="11" width="26.140625" bestFit="1" customWidth="1"/>
    <col min="12" max="12" width="35.7109375" bestFit="1" customWidth="1"/>
    <col min="13" max="13" width="33.5703125" bestFit="1" customWidth="1"/>
    <col min="14" max="14" width="33.140625" bestFit="1" customWidth="1"/>
    <col min="15" max="15" width="31.140625" bestFit="1" customWidth="1"/>
    <col min="16" max="16" width="32.7109375" bestFit="1" customWidth="1"/>
    <col min="17" max="17" width="30.7109375" bestFit="1" customWidth="1"/>
    <col min="18" max="18" width="12" bestFit="1" customWidth="1"/>
    <col min="19" max="19" width="12.7109375" bestFit="1" customWidth="1"/>
    <col min="20" max="20" width="21.5703125" bestFit="1" customWidth="1"/>
    <col min="21" max="21" width="22.28515625" bestFit="1" customWidth="1"/>
    <col min="22" max="22" width="33.5703125" bestFit="1" customWidth="1"/>
    <col min="23" max="27" width="8.42578125" bestFit="1" customWidth="1"/>
    <col min="28" max="28" width="7" bestFit="1" customWidth="1"/>
    <col min="29" max="29" width="22.28515625" customWidth="1"/>
    <col min="30" max="30" width="12" bestFit="1" customWidth="1"/>
    <col min="31" max="31" width="8" bestFit="1" customWidth="1"/>
    <col min="32" max="32" width="25" bestFit="1" customWidth="1"/>
    <col min="33" max="35" width="7.140625" bestFit="1" customWidth="1"/>
    <col min="36" max="36" width="21.5703125" bestFit="1" customWidth="1"/>
    <col min="37" max="37" width="19.42578125" bestFit="1" customWidth="1"/>
    <col min="38" max="38" width="25.7109375" bestFit="1" customWidth="1"/>
    <col min="39" max="39" width="21.5703125" bestFit="1" customWidth="1"/>
    <col min="40" max="40" width="19.42578125" bestFit="1" customWidth="1"/>
    <col min="41" max="41" width="25.7109375" bestFit="1" customWidth="1"/>
    <col min="42" max="43" width="8.42578125" bestFit="1" customWidth="1"/>
    <col min="44" max="44" width="19.42578125" bestFit="1" customWidth="1"/>
    <col min="45" max="45" width="33.5703125" bestFit="1" customWidth="1"/>
    <col min="46" max="50" width="8.42578125" bestFit="1" customWidth="1"/>
    <col min="51" max="51" width="7.140625" bestFit="1" customWidth="1"/>
    <col min="52" max="55" width="12" bestFit="1" customWidth="1"/>
  </cols>
  <sheetData>
    <row r="1" spans="1:19">
      <c r="A1" s="34" t="s">
        <v>31</v>
      </c>
      <c r="I1" t="s">
        <v>32</v>
      </c>
      <c r="J1" t="s">
        <v>33</v>
      </c>
      <c r="K1" s="47" t="s">
        <v>34</v>
      </c>
      <c r="L1" s="11" t="s">
        <v>35</v>
      </c>
      <c r="M1" s="7" t="s">
        <v>36</v>
      </c>
      <c r="N1" s="11" t="s">
        <v>37</v>
      </c>
      <c r="O1" s="6" t="s">
        <v>38</v>
      </c>
      <c r="P1" s="11" t="s">
        <v>39</v>
      </c>
      <c r="Q1" s="7" t="s">
        <v>40</v>
      </c>
      <c r="S1" t="s">
        <v>41</v>
      </c>
    </row>
    <row r="2" spans="1:19">
      <c r="A2" t="s">
        <v>42</v>
      </c>
      <c r="B2" t="str">
        <f>IF(TSAT!E21="","",TSAT!E21)</f>
        <v/>
      </c>
      <c r="H2" t="s">
        <v>43</v>
      </c>
      <c r="I2" s="37">
        <v>857956</v>
      </c>
      <c r="J2">
        <f>I2/$I$6</f>
        <v>55.04304869442484</v>
      </c>
      <c r="K2" s="35">
        <f>TSAT!D13</f>
        <v>0</v>
      </c>
      <c r="L2" s="12" t="e">
        <f>K2/TSAT!$D$11/TSAT!$E$22</f>
        <v>#DIV/0!</v>
      </c>
      <c r="M2" s="13" t="e">
        <f>J2*L2</f>
        <v>#DIV/0!</v>
      </c>
      <c r="N2" s="12" t="e" cm="1">
        <f t="array" ref="N2">INDEX($C$30:$AT$42,_xlfn.XMATCH("Yes",$C$30:$C$42),_xlfn.XMATCH("Kp",$C$30:$AT$30))</f>
        <v>#VALUE!</v>
      </c>
      <c r="O2" t="e">
        <f>J2*N2</f>
        <v>#VALUE!</v>
      </c>
      <c r="P2" s="12" t="e">
        <f>($I$13*N2)+((1-$I$13)*(L2))</f>
        <v>#VALUE!</v>
      </c>
      <c r="Q2" s="13" t="e">
        <f t="shared" ref="P2:Q6" si="0">($I$13*O2)+((1-$I$13)*(M2))</f>
        <v>#VALUE!</v>
      </c>
      <c r="S2" t="s">
        <v>44</v>
      </c>
    </row>
    <row r="3" spans="1:19">
      <c r="A3" t="s">
        <v>45</v>
      </c>
      <c r="B3" t="str">
        <f>IF(TSAT!E22="","",TSAT!E22)</f>
        <v/>
      </c>
      <c r="H3" t="s">
        <v>46</v>
      </c>
      <c r="I3" s="37">
        <v>857956</v>
      </c>
      <c r="J3">
        <f>I3/$I$6</f>
        <v>55.04304869442484</v>
      </c>
      <c r="K3" s="35">
        <f>TSAT!D14</f>
        <v>0</v>
      </c>
      <c r="L3" s="12" t="e">
        <f>K3/TSAT!$D$11/TSAT!$E$22</f>
        <v>#DIV/0!</v>
      </c>
      <c r="M3" s="13" t="e">
        <f>J3*L3</f>
        <v>#DIV/0!</v>
      </c>
      <c r="N3" s="12" t="e" cm="1">
        <f t="array" ref="N3">INDEX($C$30:$AT$42,_xlfn.XMATCH("Yes",$C$30:$C$42),_xlfn.XMATCH("Ap",$C$30:$AT$30))</f>
        <v>#VALUE!</v>
      </c>
      <c r="O3" t="e">
        <f>J3*N3</f>
        <v>#VALUE!</v>
      </c>
      <c r="P3" s="12" t="e">
        <f t="shared" si="0"/>
        <v>#VALUE!</v>
      </c>
      <c r="Q3" s="13" t="e">
        <f t="shared" si="0"/>
        <v>#VALUE!</v>
      </c>
    </row>
    <row r="4" spans="1:19">
      <c r="A4" t="s">
        <v>25</v>
      </c>
      <c r="B4" t="str">
        <f>IF(TSAT!E23="","",TSAT!E23)</f>
        <v/>
      </c>
      <c r="H4" t="s">
        <v>47</v>
      </c>
      <c r="I4" s="37">
        <v>212262</v>
      </c>
      <c r="J4">
        <f>I4/$I$6</f>
        <v>13.617886700455507</v>
      </c>
      <c r="K4" s="35">
        <f>TSAT!D15</f>
        <v>0</v>
      </c>
      <c r="L4" s="12" t="e">
        <f>K4/TSAT!$D$11/TSAT!$E$22</f>
        <v>#DIV/0!</v>
      </c>
      <c r="M4" s="13" t="e">
        <f>J4*L4</f>
        <v>#DIV/0!</v>
      </c>
      <c r="N4" s="12" t="e" cm="1">
        <f t="array" ref="N4">INDEX($C$30:$AT$42,_xlfn.XMATCH("Yes",$C$30:$C$42),_xlfn.XMATCH("Bp",$C$30:$AT$30))</f>
        <v>#VALUE!</v>
      </c>
      <c r="O4" t="e">
        <f>J4*N4</f>
        <v>#VALUE!</v>
      </c>
      <c r="P4" s="12" t="e">
        <f t="shared" si="0"/>
        <v>#VALUE!</v>
      </c>
      <c r="Q4" s="13" t="e">
        <f t="shared" si="0"/>
        <v>#VALUE!</v>
      </c>
    </row>
    <row r="5" spans="1:19">
      <c r="A5" t="s">
        <v>26</v>
      </c>
      <c r="B5" t="str">
        <f>IF(TSAT!E24="","",TSAT!E24)</f>
        <v/>
      </c>
      <c r="H5" t="s">
        <v>48</v>
      </c>
      <c r="I5" s="37">
        <v>125600</v>
      </c>
      <c r="J5">
        <f>I5/$I$6</f>
        <v>8.0579970488227364</v>
      </c>
      <c r="K5" s="35">
        <f>TSAT!D16</f>
        <v>0</v>
      </c>
      <c r="L5" s="12" t="e">
        <f>K5/TSAT!$D$11/TSAT!$E$22</f>
        <v>#DIV/0!</v>
      </c>
      <c r="M5" s="13" t="e">
        <f>J5*L5</f>
        <v>#DIV/0!</v>
      </c>
      <c r="N5" s="12" t="e" cm="1">
        <f t="array" ref="N5">INDEX($C$30:$AT$42,_xlfn.XMATCH("Yes",$C$30:$C$42),_xlfn.XMATCH("Cp",$C$30:$AT$30))</f>
        <v>#VALUE!</v>
      </c>
      <c r="O5" t="e">
        <f>J5*N5</f>
        <v>#VALUE!</v>
      </c>
      <c r="P5" s="12" t="e">
        <f t="shared" si="0"/>
        <v>#VALUE!</v>
      </c>
      <c r="Q5" s="13" t="e">
        <f t="shared" si="0"/>
        <v>#VALUE!</v>
      </c>
    </row>
    <row r="6" spans="1:19">
      <c r="A6" t="s">
        <v>29</v>
      </c>
      <c r="B6" t="str">
        <f>IF(TSAT!E26="","",TSAT!E26)</f>
        <v/>
      </c>
      <c r="H6" t="s">
        <v>49</v>
      </c>
      <c r="I6" s="37">
        <v>15587</v>
      </c>
      <c r="J6">
        <f>I6/$I$6</f>
        <v>1</v>
      </c>
      <c r="K6" s="35">
        <f>TSAT!D17</f>
        <v>0</v>
      </c>
      <c r="L6" s="12" t="e">
        <f>K6/TSAT!$D$11/TSAT!$E$22</f>
        <v>#DIV/0!</v>
      </c>
      <c r="M6" s="13" t="e">
        <f>J6*L6</f>
        <v>#DIV/0!</v>
      </c>
      <c r="N6" s="12" t="e" cm="1">
        <f t="array" ref="N6">INDEX($C$30:$AT$42,_xlfn.XMATCH("Yes",$C$30:$C$42),_xlfn.XMATCH("Op",$C$30:$AT$30))</f>
        <v>#VALUE!</v>
      </c>
      <c r="O6" t="e">
        <f>J6*N6</f>
        <v>#VALUE!</v>
      </c>
      <c r="P6" s="12" t="e">
        <f t="shared" si="0"/>
        <v>#VALUE!</v>
      </c>
      <c r="Q6" s="13" t="e">
        <f t="shared" si="0"/>
        <v>#VALUE!</v>
      </c>
    </row>
    <row r="7" spans="1:19" ht="15.75" thickBot="1">
      <c r="A7" t="s">
        <v>28</v>
      </c>
      <c r="B7" t="str">
        <f>IF(TSAT!E26&lt;&gt;"Non-Freeway","",IF(TSAT!E25="","",TSAT!E25))</f>
        <v/>
      </c>
      <c r="H7" s="41" t="s">
        <v>50</v>
      </c>
      <c r="I7" s="41"/>
      <c r="J7" s="41"/>
      <c r="K7" s="48">
        <f>SUM(K2:K6)</f>
        <v>0</v>
      </c>
      <c r="L7" s="42" t="e">
        <f t="shared" ref="L7:Q7" si="1">SUM(L2:L6)</f>
        <v>#DIV/0!</v>
      </c>
      <c r="M7" s="44" t="e">
        <f t="shared" si="1"/>
        <v>#DIV/0!</v>
      </c>
      <c r="N7" s="42" t="e">
        <f t="shared" si="1"/>
        <v>#VALUE!</v>
      </c>
      <c r="O7" s="43" t="e">
        <f t="shared" si="1"/>
        <v>#VALUE!</v>
      </c>
      <c r="P7" s="42" t="e">
        <f t="shared" si="1"/>
        <v>#VALUE!</v>
      </c>
      <c r="Q7" s="44" t="e">
        <f t="shared" si="1"/>
        <v>#VALUE!</v>
      </c>
    </row>
    <row r="8" spans="1:19" ht="15.75" thickBot="1">
      <c r="A8" t="s">
        <v>30</v>
      </c>
      <c r="B8" t="str">
        <f>IF(TSAT!E26&lt;&gt;"Freeway","",IF(TSAT!E27="","",TSAT!E27))</f>
        <v/>
      </c>
    </row>
    <row r="9" spans="1:19">
      <c r="H9" s="34" t="s">
        <v>51</v>
      </c>
      <c r="K9" s="11" t="s">
        <v>52</v>
      </c>
      <c r="L9" s="45" t="e">
        <f>(P7-N7)/(I11)</f>
        <v>#VALUE!</v>
      </c>
    </row>
    <row r="10" spans="1:19" ht="15.75" thickBot="1">
      <c r="A10" t="str">
        <f>_xlfn.CONCAT(B4:B8)</f>
        <v/>
      </c>
      <c r="H10" t="s">
        <v>53</v>
      </c>
      <c r="I10" cm="1">
        <f t="array" ref="I10">INDEX($C$30:$AT$42,_xlfn.XMATCH("Yes",$C$30:$C$42),_xlfn.XMATCH(H10,$C$30:$AT$30))</f>
        <v>3.0075409356100402</v>
      </c>
      <c r="K10" s="8" t="s">
        <v>54</v>
      </c>
      <c r="L10" s="46" t="e">
        <f>(Q7-O7)/I12</f>
        <v>#VALUE!</v>
      </c>
    </row>
    <row r="11" spans="1:19">
      <c r="F11" t="s">
        <v>55</v>
      </c>
      <c r="G11">
        <v>6</v>
      </c>
      <c r="H11" t="s">
        <v>56</v>
      </c>
      <c r="I11">
        <f>MAX(INDEX($C$30:$AT$42,_xlfn.XMATCH("Yes",$C$30:$C$42),_xlfn.XMATCH(H11,$C$30:$AT$30)),G11)</f>
        <v>20.024072835797199</v>
      </c>
    </row>
    <row r="12" spans="1:19">
      <c r="F12" t="s">
        <v>55</v>
      </c>
      <c r="G12">
        <v>25</v>
      </c>
      <c r="H12" t="s">
        <v>57</v>
      </c>
      <c r="I12">
        <f>MAX(INDEX($C$30:$AT$42,_xlfn.XMATCH("Yes",$C$30:$C$42),_xlfn.XMATCH(H12,$C$30:$AT$30)),G12)</f>
        <v>126.410706321353</v>
      </c>
    </row>
    <row r="13" spans="1:19" s="53" customFormat="1" ht="15.75" thickBot="1">
      <c r="H13" s="53" t="s">
        <v>58</v>
      </c>
      <c r="I13" s="53">
        <f>1/(1+(I10*K7))</f>
        <v>1</v>
      </c>
    </row>
    <row r="14" spans="1:19" ht="16.5" thickTop="1" thickBot="1"/>
    <row r="15" spans="1:19">
      <c r="A15" s="34" t="s">
        <v>59</v>
      </c>
      <c r="I15" t="s">
        <v>32</v>
      </c>
      <c r="J15" t="s">
        <v>33</v>
      </c>
      <c r="K15" s="47" t="s">
        <v>60</v>
      </c>
      <c r="L15" s="11" t="s">
        <v>61</v>
      </c>
      <c r="M15" s="7" t="s">
        <v>62</v>
      </c>
      <c r="N15" s="11" t="s">
        <v>63</v>
      </c>
      <c r="O15" s="7" t="s">
        <v>64</v>
      </c>
      <c r="P15" s="11" t="s">
        <v>65</v>
      </c>
      <c r="Q15" s="7" t="s">
        <v>66</v>
      </c>
    </row>
    <row r="16" spans="1:19">
      <c r="A16" t="s">
        <v>67</v>
      </c>
      <c r="B16" t="str">
        <f>IF(TSAT!C21="","",TSAT!C21)</f>
        <v/>
      </c>
      <c r="H16" t="s">
        <v>43</v>
      </c>
      <c r="I16" s="37">
        <v>857956</v>
      </c>
      <c r="J16">
        <f>I16/$I$6</f>
        <v>55.04304869442484</v>
      </c>
      <c r="K16" s="35">
        <f>TSAT!D13</f>
        <v>0</v>
      </c>
      <c r="L16" s="12" t="e">
        <f>K16/TSAT!$D$11</f>
        <v>#DIV/0!</v>
      </c>
      <c r="M16" s="13" t="e">
        <f>J16*L16</f>
        <v>#DIV/0!</v>
      </c>
      <c r="N16" s="12" t="e" cm="1">
        <f t="array" ref="N16">INDEX($C$48:$AA$56,_xlfn.XMATCH("Yes",$C$48:$C$56),_xlfn.XMATCH("Kp",$C$48:$AA$48))</f>
        <v>#VALUE!</v>
      </c>
      <c r="O16" s="13" t="e">
        <f>N16*J16</f>
        <v>#VALUE!</v>
      </c>
      <c r="P16" s="12" t="e">
        <f>($I$27*N16)+((1-$I$27)*(L16))</f>
        <v>#VALUE!</v>
      </c>
      <c r="Q16" s="13" t="e">
        <f>($I$27*O16)+((1-$I$27)*(M16))</f>
        <v>#VALUE!</v>
      </c>
    </row>
    <row r="17" spans="1:46">
      <c r="A17" t="s">
        <v>68</v>
      </c>
      <c r="B17" t="str">
        <f>IF(TSAT!C22="","",TSAT!C22)</f>
        <v/>
      </c>
      <c r="H17" t="s">
        <v>46</v>
      </c>
      <c r="I17" s="37">
        <v>857956</v>
      </c>
      <c r="J17">
        <f>I17/$I$6</f>
        <v>55.04304869442484</v>
      </c>
      <c r="K17" s="35">
        <f>TSAT!D14</f>
        <v>0</v>
      </c>
      <c r="L17" s="12" t="e">
        <f>K17/TSAT!$D$11</f>
        <v>#DIV/0!</v>
      </c>
      <c r="M17" s="13" t="e">
        <f t="shared" ref="M17:M20" si="2">J17*L17</f>
        <v>#DIV/0!</v>
      </c>
      <c r="N17" s="12" t="e" cm="1">
        <f t="array" ref="N17">INDEX($C$48:$AA$56,_xlfn.XMATCH("Yes",$C$48:$C$56),_xlfn.XMATCH("Ap",$C$48:$AA$48))</f>
        <v>#VALUE!</v>
      </c>
      <c r="O17" s="13" t="e">
        <f t="shared" ref="O17:O20" si="3">N17*J17</f>
        <v>#VALUE!</v>
      </c>
      <c r="P17" s="12" t="e">
        <f t="shared" ref="P17:P20" si="4">($I$27*N17)+((1-$I$27)*(L17))</f>
        <v>#VALUE!</v>
      </c>
      <c r="Q17" s="13" t="e">
        <f t="shared" ref="Q17:Q20" si="5">($I$27*O17)+((1-$I$27)*(M17))</f>
        <v>#VALUE!</v>
      </c>
    </row>
    <row r="18" spans="1:46">
      <c r="A18" t="s">
        <v>25</v>
      </c>
      <c r="B18" t="str">
        <f>IF(TSAT!C23="","",TSAT!C23)</f>
        <v/>
      </c>
      <c r="H18" t="s">
        <v>47</v>
      </c>
      <c r="I18" s="37">
        <v>212262</v>
      </c>
      <c r="J18">
        <f>I18/$I$6</f>
        <v>13.617886700455507</v>
      </c>
      <c r="K18" s="35">
        <f>TSAT!D15</f>
        <v>0</v>
      </c>
      <c r="L18" s="12" t="e">
        <f>K18/TSAT!$D$11</f>
        <v>#DIV/0!</v>
      </c>
      <c r="M18" s="13" t="e">
        <f t="shared" si="2"/>
        <v>#DIV/0!</v>
      </c>
      <c r="N18" s="12" t="e" cm="1">
        <f t="array" ref="N18">INDEX($C$48:$AA$56,_xlfn.XMATCH("Yes",$C$48:$C$56),_xlfn.XMATCH("Bp",$C$48:$AA$48))</f>
        <v>#VALUE!</v>
      </c>
      <c r="O18" s="13" t="e">
        <f t="shared" si="3"/>
        <v>#VALUE!</v>
      </c>
      <c r="P18" s="12" t="e">
        <f t="shared" si="4"/>
        <v>#VALUE!</v>
      </c>
      <c r="Q18" s="13" t="e">
        <f t="shared" si="5"/>
        <v>#VALUE!</v>
      </c>
    </row>
    <row r="19" spans="1:46">
      <c r="A19" t="s">
        <v>26</v>
      </c>
      <c r="B19" t="str">
        <f>IF(TSAT!C24="","",TSAT!C24)</f>
        <v/>
      </c>
      <c r="H19" t="s">
        <v>48</v>
      </c>
      <c r="I19" s="37">
        <v>125600</v>
      </c>
      <c r="J19">
        <f>I19/$I$6</f>
        <v>8.0579970488227364</v>
      </c>
      <c r="K19" s="35">
        <f>TSAT!D16</f>
        <v>0</v>
      </c>
      <c r="L19" s="12" t="e">
        <f>K19/TSAT!$D$11</f>
        <v>#DIV/0!</v>
      </c>
      <c r="M19" s="13" t="e">
        <f t="shared" si="2"/>
        <v>#DIV/0!</v>
      </c>
      <c r="N19" s="12" t="e" cm="1">
        <f t="array" ref="N19">INDEX($C$48:$AA$56,_xlfn.XMATCH("Yes",$C$48:$C$56),_xlfn.XMATCH("Cp",$C$48:$AA$48))</f>
        <v>#VALUE!</v>
      </c>
      <c r="O19" s="13" t="e">
        <f t="shared" si="3"/>
        <v>#VALUE!</v>
      </c>
      <c r="P19" s="12" t="e">
        <f t="shared" si="4"/>
        <v>#VALUE!</v>
      </c>
      <c r="Q19" s="13" t="e">
        <f t="shared" si="5"/>
        <v>#VALUE!</v>
      </c>
    </row>
    <row r="20" spans="1:46">
      <c r="A20" t="s">
        <v>27</v>
      </c>
      <c r="B20" t="str">
        <f>IF(TSAT!C25="","",TSAT!C25)</f>
        <v/>
      </c>
      <c r="H20" t="s">
        <v>49</v>
      </c>
      <c r="I20" s="37">
        <v>15587</v>
      </c>
      <c r="J20">
        <f>I20/$I$6</f>
        <v>1</v>
      </c>
      <c r="K20" s="35">
        <f>TSAT!D17</f>
        <v>0</v>
      </c>
      <c r="L20" s="12" t="e">
        <f>K20/TSAT!$D$11</f>
        <v>#DIV/0!</v>
      </c>
      <c r="M20" s="13" t="e">
        <f t="shared" si="2"/>
        <v>#DIV/0!</v>
      </c>
      <c r="N20" s="12" t="e" cm="1">
        <f t="array" ref="N20">INDEX($C$48:$AA$56,_xlfn.XMATCH("Yes",$C$48:$C$56),_xlfn.XMATCH("Op",$C$48:$AA$48))</f>
        <v>#VALUE!</v>
      </c>
      <c r="O20" s="13" t="e">
        <f t="shared" si="3"/>
        <v>#VALUE!</v>
      </c>
      <c r="P20" s="12" t="e">
        <f t="shared" si="4"/>
        <v>#VALUE!</v>
      </c>
      <c r="Q20" s="13" t="e">
        <f t="shared" si="5"/>
        <v>#VALUE!</v>
      </c>
    </row>
    <row r="21" spans="1:46" ht="15.75" thickBot="1">
      <c r="H21" s="41" t="s">
        <v>50</v>
      </c>
      <c r="K21" s="48">
        <f>SUM(K16:K20)</f>
        <v>0</v>
      </c>
      <c r="L21" s="42" t="e">
        <f t="shared" ref="L21:Q21" si="6">SUM(L16:L20)</f>
        <v>#DIV/0!</v>
      </c>
      <c r="M21" s="44" t="e">
        <f t="shared" si="6"/>
        <v>#DIV/0!</v>
      </c>
      <c r="N21" s="42" t="e">
        <f t="shared" si="6"/>
        <v>#VALUE!</v>
      </c>
      <c r="O21" s="44" t="e">
        <f t="shared" si="6"/>
        <v>#VALUE!</v>
      </c>
      <c r="P21" s="42" t="e">
        <f t="shared" si="6"/>
        <v>#VALUE!</v>
      </c>
      <c r="Q21" s="44" t="e">
        <f t="shared" si="6"/>
        <v>#VALUE!</v>
      </c>
    </row>
    <row r="22" spans="1:46" ht="15.75" thickBot="1">
      <c r="A22" t="str">
        <f>_xlfn.CONCAT(B18:B20)</f>
        <v/>
      </c>
    </row>
    <row r="23" spans="1:46">
      <c r="H23" s="34" t="s">
        <v>51</v>
      </c>
      <c r="K23" s="11" t="s">
        <v>52</v>
      </c>
      <c r="L23" s="45" t="e">
        <f>(P21-N21)/(I25)</f>
        <v>#VALUE!</v>
      </c>
    </row>
    <row r="24" spans="1:46" ht="15.75" thickBot="1">
      <c r="H24" t="s">
        <v>53</v>
      </c>
      <c r="I24" cm="1">
        <f t="array" ref="I24">INDEX($C$48:$AA$56,_xlfn.XMATCH("Yes",$C$48:$C$56),_xlfn.XMATCH(H24,$C$48:$AA$48))</f>
        <v>2.8863300441756299</v>
      </c>
      <c r="K24" s="8" t="s">
        <v>54</v>
      </c>
      <c r="L24" s="46" t="e">
        <f>(Q21-O21)/I26</f>
        <v>#VALUE!</v>
      </c>
    </row>
    <row r="25" spans="1:46">
      <c r="F25" t="s">
        <v>55</v>
      </c>
      <c r="G25">
        <v>6</v>
      </c>
      <c r="H25" t="s">
        <v>56</v>
      </c>
      <c r="I25">
        <f>MAX(INDEX($C$48:$AA$56,_xlfn.XMATCH("Yes",$C$48:$C$56),_xlfn.XMATCH(H25,$C$48:$AA$48)),G25)</f>
        <v>8.1458129050500396</v>
      </c>
    </row>
    <row r="26" spans="1:46">
      <c r="F26" t="s">
        <v>55</v>
      </c>
      <c r="G26">
        <v>25</v>
      </c>
      <c r="H26" t="s">
        <v>57</v>
      </c>
      <c r="I26">
        <f>MAX(INDEX($C$48:$AA$56,_xlfn.XMATCH("Yes",$C$48:$C$56),_xlfn.XMATCH(H26,$C$48:$AA$48)),G26)</f>
        <v>32.087990340183097</v>
      </c>
    </row>
    <row r="27" spans="1:46" s="53" customFormat="1" ht="15.75" thickBot="1">
      <c r="H27" s="53" t="s">
        <v>58</v>
      </c>
      <c r="I27" s="53">
        <f>1/(1+(I24*K21))</f>
        <v>1</v>
      </c>
    </row>
    <row r="28" spans="1:46" ht="16.5" thickTop="1" thickBot="1"/>
    <row r="29" spans="1:46" ht="15.75" thickBot="1">
      <c r="A29" s="17" t="s">
        <v>69</v>
      </c>
      <c r="B29" s="17"/>
      <c r="C29" s="17"/>
      <c r="D29" s="17"/>
      <c r="E29" s="17"/>
      <c r="F29" s="17"/>
      <c r="AP29" s="127" t="s">
        <v>70</v>
      </c>
      <c r="AQ29" s="128"/>
      <c r="AR29" s="128"/>
      <c r="AS29" s="128"/>
      <c r="AT29" s="129"/>
    </row>
    <row r="30" spans="1:46" ht="15.75" thickBot="1">
      <c r="A30" s="20" t="s">
        <v>71</v>
      </c>
      <c r="B30" s="24" t="s">
        <v>72</v>
      </c>
      <c r="C30" s="24" t="s">
        <v>73</v>
      </c>
      <c r="D30" s="18" t="s">
        <v>74</v>
      </c>
      <c r="E30" s="19" t="s">
        <v>75</v>
      </c>
      <c r="F30" s="19" t="s">
        <v>76</v>
      </c>
      <c r="G30" s="19" t="s">
        <v>77</v>
      </c>
      <c r="H30" s="31" t="s">
        <v>78</v>
      </c>
      <c r="I30" s="20" t="s">
        <v>79</v>
      </c>
      <c r="J30" s="18" t="s">
        <v>80</v>
      </c>
      <c r="K30" s="19" t="s">
        <v>81</v>
      </c>
      <c r="L30" s="19" t="s">
        <v>82</v>
      </c>
      <c r="M30" s="19" t="s">
        <v>83</v>
      </c>
      <c r="N30" s="31" t="s">
        <v>84</v>
      </c>
      <c r="O30" s="20" t="s">
        <v>79</v>
      </c>
      <c r="P30" s="19" t="s">
        <v>85</v>
      </c>
      <c r="Q30" s="19" t="s">
        <v>86</v>
      </c>
      <c r="R30" s="19" t="s">
        <v>87</v>
      </c>
      <c r="S30" s="19" t="s">
        <v>88</v>
      </c>
      <c r="T30" s="31" t="s">
        <v>89</v>
      </c>
      <c r="U30" s="20" t="s">
        <v>79</v>
      </c>
      <c r="V30" s="18" t="s">
        <v>90</v>
      </c>
      <c r="W30" s="19" t="s">
        <v>91</v>
      </c>
      <c r="X30" s="19" t="s">
        <v>74</v>
      </c>
      <c r="Y30" s="19" t="s">
        <v>75</v>
      </c>
      <c r="Z30" s="19" t="s">
        <v>76</v>
      </c>
      <c r="AA30" s="19" t="s">
        <v>77</v>
      </c>
      <c r="AB30" s="19" t="s">
        <v>78</v>
      </c>
      <c r="AC30" s="19" t="s">
        <v>79</v>
      </c>
      <c r="AD30" s="18" t="s">
        <v>80</v>
      </c>
      <c r="AE30" s="19" t="s">
        <v>81</v>
      </c>
      <c r="AF30" s="19" t="s">
        <v>79</v>
      </c>
      <c r="AG30" s="24" t="s">
        <v>53</v>
      </c>
      <c r="AH30" s="18" t="s">
        <v>43</v>
      </c>
      <c r="AI30" s="19" t="s">
        <v>46</v>
      </c>
      <c r="AJ30" s="19" t="s">
        <v>47</v>
      </c>
      <c r="AK30" s="19" t="s">
        <v>48</v>
      </c>
      <c r="AL30" s="20" t="s">
        <v>49</v>
      </c>
      <c r="AM30" s="20" t="s">
        <v>56</v>
      </c>
      <c r="AN30" s="20" t="s">
        <v>57</v>
      </c>
      <c r="AO30" s="24" t="s">
        <v>92</v>
      </c>
      <c r="AP30" s="18" t="s">
        <v>93</v>
      </c>
      <c r="AQ30" s="19" t="s">
        <v>94</v>
      </c>
      <c r="AR30" s="19" t="s">
        <v>95</v>
      </c>
      <c r="AS30" s="19" t="s">
        <v>96</v>
      </c>
      <c r="AT30" s="20" t="s">
        <v>97</v>
      </c>
    </row>
    <row r="31" spans="1:46">
      <c r="A31" s="13" t="s">
        <v>98</v>
      </c>
      <c r="B31" s="35">
        <f t="shared" ref="B31:B42" si="7">IFERROR(FIND(A31,$A$10,1),0)</f>
        <v>0</v>
      </c>
      <c r="C31" s="35" t="str">
        <f t="shared" ref="C31:C42" si="8">IF(B31=MAX($B$31:$B$42),"Yes","No")</f>
        <v>Yes</v>
      </c>
      <c r="D31" s="12"/>
      <c r="H31" s="32"/>
      <c r="I31" s="13" t="e">
        <f>(D31)/(1+EXP(-1*((E31*10^-F31)*($B$2-G31))))+H31</f>
        <v>#VALUE!</v>
      </c>
      <c r="J31" s="12"/>
      <c r="N31" s="32"/>
      <c r="O31" s="13" t="e">
        <f t="shared" ref="O31:O42" si="9">(J31*(10^-K31)*($B$2^2))+(L31*(10^-M31)*$B$2)+N31</f>
        <v>#VALUE!</v>
      </c>
      <c r="T31" s="32"/>
      <c r="U31" t="e">
        <f>(P31*(10^-Q31)*($B$2^R31)*EXP((S31*(10^-T31)*$B$2)))</f>
        <v>#VALUE!</v>
      </c>
      <c r="V31" s="12"/>
      <c r="AC31" s="69" t="e">
        <f>(V31*(10^W31)*($B$2^3))+(X31*(10^Y31)*($B$2^2))+(Z31*(10^AA31)*$B$2)+AB31</f>
        <v>#VALUE!</v>
      </c>
      <c r="AD31" s="12">
        <v>-8.6039999999999992</v>
      </c>
      <c r="AE31">
        <v>1.04</v>
      </c>
      <c r="AF31" t="e">
        <f>EXP(AD31)*($B$2^AE31)</f>
        <v>#VALUE!</v>
      </c>
      <c r="AG31" s="35">
        <v>3.0075409356100402</v>
      </c>
      <c r="AH31" s="21">
        <v>4.4999999999999997E-3</v>
      </c>
      <c r="AI31" s="22">
        <v>1.77E-2</v>
      </c>
      <c r="AJ31" s="22">
        <v>0.11269999999999999</v>
      </c>
      <c r="AK31" s="22">
        <v>4.5999999999999999E-2</v>
      </c>
      <c r="AL31" s="30">
        <v>0.81910000000000005</v>
      </c>
      <c r="AM31" s="40">
        <v>20.024072835797199</v>
      </c>
      <c r="AN31" s="70">
        <v>126.410706321353</v>
      </c>
      <c r="AO31" s="51">
        <v>46241</v>
      </c>
      <c r="AP31" s="59" t="e">
        <f>MAX($I31,$O31,$U31,$AC31&amp;$AF31)*AH31</f>
        <v>#VALUE!</v>
      </c>
      <c r="AQ31" s="60" t="e">
        <f t="shared" ref="AQ31:AT42" si="10">MAX($I31,$O31,$U31,$AC31&amp;$AF31)*AI31</f>
        <v>#VALUE!</v>
      </c>
      <c r="AR31" s="60" t="e">
        <f t="shared" si="10"/>
        <v>#VALUE!</v>
      </c>
      <c r="AS31" s="60" t="e">
        <f t="shared" si="10"/>
        <v>#VALUE!</v>
      </c>
      <c r="AT31" s="61" t="e">
        <f t="shared" si="10"/>
        <v>#VALUE!</v>
      </c>
    </row>
    <row r="32" spans="1:46">
      <c r="A32" s="13" t="s">
        <v>99</v>
      </c>
      <c r="B32" s="35">
        <f t="shared" si="7"/>
        <v>0</v>
      </c>
      <c r="C32" s="35" t="str">
        <f t="shared" si="8"/>
        <v>Yes</v>
      </c>
      <c r="D32" s="12"/>
      <c r="H32" s="32"/>
      <c r="I32" s="13" t="e">
        <f>(D32)/(1+EXP(-1*((E32*10^-F32)*($B$2-G32))))+H32</f>
        <v>#VALUE!</v>
      </c>
      <c r="J32" s="12"/>
      <c r="N32" s="32"/>
      <c r="O32" s="13" t="e">
        <f t="shared" si="9"/>
        <v>#VALUE!</v>
      </c>
      <c r="T32" s="32"/>
      <c r="U32" t="e">
        <f t="shared" ref="U32:U42" si="11">(P32*(10^-Q32)*($B$2^R32)*EXP((S32*(10^-T32)*$B$2)))</f>
        <v>#VALUE!</v>
      </c>
      <c r="V32" s="12"/>
      <c r="AC32" s="69" t="e">
        <f t="shared" ref="AC32:AC42" si="12">(V32*(10^W32)*($B$2^3))+(X32*(10^Y32)*($B$2^2))+(Z32*(10^AA32)*$B$2)+AB32</f>
        <v>#VALUE!</v>
      </c>
      <c r="AD32" s="12">
        <v>-5.4560000000000004</v>
      </c>
      <c r="AE32">
        <v>0.73399999999999999</v>
      </c>
      <c r="AF32" t="e">
        <f t="shared" ref="AF32:AF42" si="13">EXP(AD32)*($B$2^AE32)</f>
        <v>#VALUE!</v>
      </c>
      <c r="AG32" s="35">
        <v>4.38106107924302</v>
      </c>
      <c r="AH32" s="28">
        <v>5.3E-3</v>
      </c>
      <c r="AI32" s="29">
        <v>2.1000000000000001E-2</v>
      </c>
      <c r="AJ32" s="29">
        <v>0.1152</v>
      </c>
      <c r="AK32" s="29">
        <v>4.48E-2</v>
      </c>
      <c r="AL32" s="30">
        <v>0.81369999999999998</v>
      </c>
      <c r="AM32" s="40">
        <v>21.419472003427</v>
      </c>
      <c r="AN32" s="40">
        <v>100.474038549959</v>
      </c>
      <c r="AO32" s="51">
        <v>46241</v>
      </c>
      <c r="AP32" s="62" t="e">
        <f t="shared" ref="AP32:AP42" si="14">MAX($I32,$O32,$U32,$AC32&amp;$AF32)*AH32</f>
        <v>#VALUE!</v>
      </c>
      <c r="AQ32" s="58" t="e">
        <f t="shared" si="10"/>
        <v>#VALUE!</v>
      </c>
      <c r="AR32" s="58" t="e">
        <f t="shared" si="10"/>
        <v>#VALUE!</v>
      </c>
      <c r="AS32" s="58" t="e">
        <f t="shared" si="10"/>
        <v>#VALUE!</v>
      </c>
      <c r="AT32" s="63" t="e">
        <f t="shared" si="10"/>
        <v>#VALUE!</v>
      </c>
    </row>
    <row r="33" spans="1:46">
      <c r="A33" s="13" t="s">
        <v>100</v>
      </c>
      <c r="B33" s="35">
        <f t="shared" si="7"/>
        <v>0</v>
      </c>
      <c r="C33" s="35" t="str">
        <f t="shared" si="8"/>
        <v>Yes</v>
      </c>
      <c r="D33" s="12"/>
      <c r="H33" s="32"/>
      <c r="I33" s="13" t="e">
        <f t="shared" ref="I33:I42" si="15">(D33)/(1+EXP(-1*((E33*10^-F33)*($B$2-G33))))+H33</f>
        <v>#VALUE!</v>
      </c>
      <c r="J33" s="12"/>
      <c r="N33" s="32"/>
      <c r="O33" s="13" t="e">
        <f t="shared" si="9"/>
        <v>#VALUE!</v>
      </c>
      <c r="T33" s="32"/>
      <c r="U33" t="e">
        <f t="shared" si="11"/>
        <v>#VALUE!</v>
      </c>
      <c r="V33" s="12"/>
      <c r="AC33" s="69" t="e">
        <f t="shared" si="12"/>
        <v>#VALUE!</v>
      </c>
      <c r="AD33" s="12">
        <v>-5.5350000000000001</v>
      </c>
      <c r="AE33">
        <v>0.68579999999999997</v>
      </c>
      <c r="AF33" t="e">
        <f t="shared" si="13"/>
        <v>#VALUE!</v>
      </c>
      <c r="AG33" s="35">
        <v>1.53597186109109</v>
      </c>
      <c r="AH33" s="21">
        <v>9.1000000000000004E-3</v>
      </c>
      <c r="AI33" s="22">
        <v>2.81E-2</v>
      </c>
      <c r="AJ33" s="22">
        <v>9.7900000000000001E-2</v>
      </c>
      <c r="AK33" s="22">
        <v>4.1500000000000002E-2</v>
      </c>
      <c r="AL33" s="23">
        <v>0.82350000000000001</v>
      </c>
      <c r="AM33" s="40">
        <v>8.7261341115952007</v>
      </c>
      <c r="AN33" s="40">
        <v>18.813892494356999</v>
      </c>
      <c r="AO33" s="51">
        <v>46241</v>
      </c>
      <c r="AP33" s="62" t="e">
        <f t="shared" si="14"/>
        <v>#VALUE!</v>
      </c>
      <c r="AQ33" s="58" t="e">
        <f t="shared" si="10"/>
        <v>#VALUE!</v>
      </c>
      <c r="AR33" s="58" t="e">
        <f t="shared" si="10"/>
        <v>#VALUE!</v>
      </c>
      <c r="AS33" s="58" t="e">
        <f t="shared" si="10"/>
        <v>#VALUE!</v>
      </c>
      <c r="AT33" s="63" t="e">
        <f t="shared" si="10"/>
        <v>#VALUE!</v>
      </c>
    </row>
    <row r="34" spans="1:46">
      <c r="A34" s="13" t="s">
        <v>101</v>
      </c>
      <c r="B34" s="35">
        <f t="shared" si="7"/>
        <v>0</v>
      </c>
      <c r="C34" s="35" t="str">
        <f t="shared" si="8"/>
        <v>Yes</v>
      </c>
      <c r="D34" s="12"/>
      <c r="H34" s="32"/>
      <c r="I34" s="13" t="e">
        <f t="shared" si="15"/>
        <v>#VALUE!</v>
      </c>
      <c r="J34" s="12"/>
      <c r="N34" s="32"/>
      <c r="O34" s="13" t="e">
        <f t="shared" si="9"/>
        <v>#VALUE!</v>
      </c>
      <c r="T34" s="32"/>
      <c r="U34" t="e">
        <f t="shared" si="11"/>
        <v>#VALUE!</v>
      </c>
      <c r="V34" s="12"/>
      <c r="AC34" s="69" t="e">
        <f t="shared" si="12"/>
        <v>#VALUE!</v>
      </c>
      <c r="AD34" s="12">
        <v>-4.3879999999999999</v>
      </c>
      <c r="AE34">
        <v>0.65200000000000002</v>
      </c>
      <c r="AF34" t="e">
        <f t="shared" si="13"/>
        <v>#VALUE!</v>
      </c>
      <c r="AG34" s="35">
        <v>3.33552723761365</v>
      </c>
      <c r="AH34" s="21">
        <v>3.8E-3</v>
      </c>
      <c r="AI34" s="22">
        <v>1.5800000000000002E-2</v>
      </c>
      <c r="AJ34" s="22">
        <v>0.1105</v>
      </c>
      <c r="AK34" s="22">
        <v>3.9399999999999998E-2</v>
      </c>
      <c r="AL34" s="23">
        <v>0.8306</v>
      </c>
      <c r="AM34" s="40">
        <v>27.929276883142599</v>
      </c>
      <c r="AN34" s="71">
        <v>130.19871386383201</v>
      </c>
      <c r="AO34" s="51">
        <v>46241</v>
      </c>
      <c r="AP34" s="62" t="e">
        <f t="shared" si="14"/>
        <v>#VALUE!</v>
      </c>
      <c r="AQ34" s="58" t="e">
        <f t="shared" si="10"/>
        <v>#VALUE!</v>
      </c>
      <c r="AR34" s="58" t="e">
        <f t="shared" si="10"/>
        <v>#VALUE!</v>
      </c>
      <c r="AS34" s="58" t="e">
        <f t="shared" si="10"/>
        <v>#VALUE!</v>
      </c>
      <c r="AT34" s="63" t="e">
        <f t="shared" si="10"/>
        <v>#VALUE!</v>
      </c>
    </row>
    <row r="35" spans="1:46">
      <c r="A35" s="13" t="s">
        <v>102</v>
      </c>
      <c r="B35" s="35">
        <f t="shared" si="7"/>
        <v>0</v>
      </c>
      <c r="C35" s="35" t="str">
        <f t="shared" si="8"/>
        <v>Yes</v>
      </c>
      <c r="D35" s="12"/>
      <c r="H35" s="32"/>
      <c r="I35" s="13" t="e">
        <f t="shared" si="15"/>
        <v>#VALUE!</v>
      </c>
      <c r="J35" s="12"/>
      <c r="N35" s="32"/>
      <c r="O35" s="13" t="e">
        <f t="shared" si="9"/>
        <v>#VALUE!</v>
      </c>
      <c r="T35" s="32"/>
      <c r="U35" t="e">
        <f>(P35*(10^-Q35)*($B$2^R35)*EXP((S35*(10^-T35)*$B$2)))</f>
        <v>#VALUE!</v>
      </c>
      <c r="V35" s="12"/>
      <c r="AC35" s="69" t="e">
        <f t="shared" si="12"/>
        <v>#VALUE!</v>
      </c>
      <c r="AD35" s="12">
        <v>-10.39</v>
      </c>
      <c r="AE35">
        <v>1.1619999999999999</v>
      </c>
      <c r="AF35" t="e">
        <f t="shared" si="13"/>
        <v>#VALUE!</v>
      </c>
      <c r="AG35" s="35">
        <v>16.653421393643399</v>
      </c>
      <c r="AH35" s="21">
        <v>3.5999999999999999E-3</v>
      </c>
      <c r="AI35" s="22">
        <v>1.7500000000000002E-2</v>
      </c>
      <c r="AJ35" s="22">
        <v>9.3899999999999997E-2</v>
      </c>
      <c r="AK35" s="22">
        <v>3.5499999999999997E-2</v>
      </c>
      <c r="AL35" s="23">
        <v>0.84950000000000003</v>
      </c>
      <c r="AM35" s="40">
        <v>4.7216649238126696</v>
      </c>
      <c r="AN35" s="40">
        <v>22.540194967098799</v>
      </c>
      <c r="AO35" s="51">
        <v>46241</v>
      </c>
      <c r="AP35" s="62" t="e">
        <f t="shared" si="14"/>
        <v>#VALUE!</v>
      </c>
      <c r="AQ35" s="58" t="e">
        <f t="shared" si="10"/>
        <v>#VALUE!</v>
      </c>
      <c r="AR35" s="58" t="e">
        <f t="shared" si="10"/>
        <v>#VALUE!</v>
      </c>
      <c r="AS35" s="58" t="e">
        <f t="shared" si="10"/>
        <v>#VALUE!</v>
      </c>
      <c r="AT35" s="63" t="e">
        <f t="shared" si="10"/>
        <v>#VALUE!</v>
      </c>
    </row>
    <row r="36" spans="1:46">
      <c r="A36" s="13" t="s">
        <v>103</v>
      </c>
      <c r="B36" s="35">
        <f t="shared" si="7"/>
        <v>0</v>
      </c>
      <c r="C36" s="35" t="str">
        <f t="shared" si="8"/>
        <v>Yes</v>
      </c>
      <c r="D36" s="12"/>
      <c r="H36" s="32"/>
      <c r="I36" s="13" t="e">
        <f t="shared" si="15"/>
        <v>#VALUE!</v>
      </c>
      <c r="J36" s="12"/>
      <c r="N36" s="32"/>
      <c r="O36" s="13" t="e">
        <f t="shared" si="9"/>
        <v>#VALUE!</v>
      </c>
      <c r="T36" s="32"/>
      <c r="U36" t="e">
        <f t="shared" si="11"/>
        <v>#VALUE!</v>
      </c>
      <c r="V36" s="12"/>
      <c r="AC36" s="69" t="e">
        <f t="shared" si="12"/>
        <v>#VALUE!</v>
      </c>
      <c r="AD36" s="12">
        <v>-8.9090000000000007</v>
      </c>
      <c r="AE36">
        <v>0.94633999999999996</v>
      </c>
      <c r="AF36" t="e">
        <f t="shared" si="13"/>
        <v>#VALUE!</v>
      </c>
      <c r="AG36" s="35">
        <v>10.086831007889</v>
      </c>
      <c r="AH36" s="28">
        <v>9.4000000000000004E-3</v>
      </c>
      <c r="AI36" s="29">
        <v>3.3500000000000002E-2</v>
      </c>
      <c r="AJ36" s="29">
        <v>0.1014</v>
      </c>
      <c r="AK36" s="29">
        <v>4.1500000000000002E-2</v>
      </c>
      <c r="AL36" s="30">
        <v>0.81430000000000002</v>
      </c>
      <c r="AM36" s="40">
        <v>2.3908959966069001</v>
      </c>
      <c r="AN36" s="70">
        <v>6.5063072852270798</v>
      </c>
      <c r="AO36" s="51">
        <v>46241</v>
      </c>
      <c r="AP36" s="62" t="e">
        <f t="shared" si="14"/>
        <v>#VALUE!</v>
      </c>
      <c r="AQ36" s="58" t="e">
        <f t="shared" si="10"/>
        <v>#VALUE!</v>
      </c>
      <c r="AR36" s="58" t="e">
        <f t="shared" si="10"/>
        <v>#VALUE!</v>
      </c>
      <c r="AS36" s="58" t="e">
        <f t="shared" si="10"/>
        <v>#VALUE!</v>
      </c>
      <c r="AT36" s="63" t="e">
        <f t="shared" si="10"/>
        <v>#VALUE!</v>
      </c>
    </row>
    <row r="37" spans="1:46">
      <c r="A37" s="13" t="s">
        <v>104</v>
      </c>
      <c r="B37" s="35">
        <f t="shared" si="7"/>
        <v>0</v>
      </c>
      <c r="C37" s="35" t="str">
        <f t="shared" si="8"/>
        <v>Yes</v>
      </c>
      <c r="D37" s="12"/>
      <c r="H37" s="32"/>
      <c r="I37" s="13" t="e">
        <f t="shared" si="15"/>
        <v>#VALUE!</v>
      </c>
      <c r="J37" s="12"/>
      <c r="N37" s="32"/>
      <c r="O37" s="13" t="e">
        <f t="shared" si="9"/>
        <v>#VALUE!</v>
      </c>
      <c r="T37" s="32"/>
      <c r="U37" t="e">
        <f t="shared" si="11"/>
        <v>#VALUE!</v>
      </c>
      <c r="V37" s="12"/>
      <c r="AC37" s="69" t="e">
        <f t="shared" si="12"/>
        <v>#VALUE!</v>
      </c>
      <c r="AD37" s="12">
        <v>-15.57</v>
      </c>
      <c r="AE37">
        <v>1.627</v>
      </c>
      <c r="AF37" t="e">
        <f t="shared" si="13"/>
        <v>#VALUE!</v>
      </c>
      <c r="AG37" s="35">
        <v>3.0827992968327398</v>
      </c>
      <c r="AH37" s="21">
        <v>3.5999999999999999E-3</v>
      </c>
      <c r="AI37" s="22">
        <v>1.61E-2</v>
      </c>
      <c r="AJ37" s="22">
        <v>0.1019</v>
      </c>
      <c r="AK37" s="22">
        <v>2.2200000000000001E-2</v>
      </c>
      <c r="AL37" s="30">
        <v>0.85619999999999996</v>
      </c>
      <c r="AM37" s="40">
        <v>28.4178873478158</v>
      </c>
      <c r="AN37" s="70">
        <v>175.92634685947601</v>
      </c>
      <c r="AO37" s="51">
        <v>46241</v>
      </c>
      <c r="AP37" s="62" t="e">
        <f t="shared" si="14"/>
        <v>#VALUE!</v>
      </c>
      <c r="AQ37" s="58" t="e">
        <f t="shared" si="10"/>
        <v>#VALUE!</v>
      </c>
      <c r="AR37" s="58" t="e">
        <f t="shared" si="10"/>
        <v>#VALUE!</v>
      </c>
      <c r="AS37" s="58" t="e">
        <f t="shared" si="10"/>
        <v>#VALUE!</v>
      </c>
      <c r="AT37" s="63" t="e">
        <f t="shared" si="10"/>
        <v>#VALUE!</v>
      </c>
    </row>
    <row r="38" spans="1:46">
      <c r="A38" s="13" t="s">
        <v>105</v>
      </c>
      <c r="B38" s="35">
        <f t="shared" si="7"/>
        <v>0</v>
      </c>
      <c r="C38" s="35" t="str">
        <f t="shared" si="8"/>
        <v>Yes</v>
      </c>
      <c r="D38" s="12"/>
      <c r="H38" s="32"/>
      <c r="I38" s="13" t="e">
        <f t="shared" si="15"/>
        <v>#VALUE!</v>
      </c>
      <c r="J38" s="12"/>
      <c r="N38" s="32"/>
      <c r="O38" s="13" t="e">
        <f t="shared" si="9"/>
        <v>#VALUE!</v>
      </c>
      <c r="T38" s="32"/>
      <c r="U38" t="e">
        <f t="shared" si="11"/>
        <v>#VALUE!</v>
      </c>
      <c r="V38" s="12"/>
      <c r="AC38" s="69" t="e">
        <f t="shared" si="12"/>
        <v>#VALUE!</v>
      </c>
      <c r="AD38" s="12">
        <v>-18.75</v>
      </c>
      <c r="AE38">
        <v>1.917</v>
      </c>
      <c r="AF38" t="e">
        <f t="shared" si="13"/>
        <v>#VALUE!</v>
      </c>
      <c r="AG38" s="35">
        <v>3.0341679740009599</v>
      </c>
      <c r="AH38" s="28">
        <v>4.1000000000000003E-3</v>
      </c>
      <c r="AI38" s="29">
        <v>1.7899999999999999E-2</v>
      </c>
      <c r="AJ38" s="29">
        <v>0.1069</v>
      </c>
      <c r="AK38" s="29">
        <v>2.3300000000000001E-2</v>
      </c>
      <c r="AL38" s="30">
        <v>0.8478</v>
      </c>
      <c r="AM38" s="40">
        <v>41.208279236669</v>
      </c>
      <c r="AN38" s="70">
        <v>163.547434337173</v>
      </c>
      <c r="AO38" s="51">
        <v>46241</v>
      </c>
      <c r="AP38" s="62" t="e">
        <f t="shared" si="14"/>
        <v>#VALUE!</v>
      </c>
      <c r="AQ38" s="58" t="e">
        <f t="shared" si="10"/>
        <v>#VALUE!</v>
      </c>
      <c r="AR38" s="58" t="e">
        <f t="shared" si="10"/>
        <v>#VALUE!</v>
      </c>
      <c r="AS38" s="58" t="e">
        <f t="shared" si="10"/>
        <v>#VALUE!</v>
      </c>
      <c r="AT38" s="63" t="e">
        <f t="shared" si="10"/>
        <v>#VALUE!</v>
      </c>
    </row>
    <row r="39" spans="1:46">
      <c r="A39" s="13" t="s">
        <v>106</v>
      </c>
      <c r="B39" s="35">
        <f t="shared" si="7"/>
        <v>0</v>
      </c>
      <c r="C39" s="35" t="str">
        <f t="shared" si="8"/>
        <v>Yes</v>
      </c>
      <c r="D39" s="12"/>
      <c r="H39" s="32"/>
      <c r="I39" s="13" t="e">
        <f t="shared" si="15"/>
        <v>#VALUE!</v>
      </c>
      <c r="J39" s="12"/>
      <c r="N39" s="32"/>
      <c r="O39" s="13" t="e">
        <f t="shared" si="9"/>
        <v>#VALUE!</v>
      </c>
      <c r="T39" s="32"/>
      <c r="U39" t="e">
        <f t="shared" si="11"/>
        <v>#VALUE!</v>
      </c>
      <c r="V39" s="12"/>
      <c r="AC39" s="69" t="e">
        <f t="shared" si="12"/>
        <v>#VALUE!</v>
      </c>
      <c r="AD39" s="12">
        <v>-18.09</v>
      </c>
      <c r="AE39">
        <v>1.827</v>
      </c>
      <c r="AF39" t="e">
        <f t="shared" si="13"/>
        <v>#VALUE!</v>
      </c>
      <c r="AG39" s="35">
        <v>3.8779771009320898</v>
      </c>
      <c r="AH39" s="21">
        <v>6.1999999999999998E-3</v>
      </c>
      <c r="AI39" s="22">
        <v>2.0299999999999999E-2</v>
      </c>
      <c r="AJ39" s="22">
        <v>9.2399999999999996E-2</v>
      </c>
      <c r="AK39" s="22">
        <v>3.6600000000000001E-2</v>
      </c>
      <c r="AL39" s="23">
        <v>0.84440000000000004</v>
      </c>
      <c r="AM39" s="40">
        <v>8.8990406336294399</v>
      </c>
      <c r="AN39" s="40">
        <v>50.755453814350503</v>
      </c>
      <c r="AO39" s="51">
        <v>46241</v>
      </c>
      <c r="AP39" s="62" t="e">
        <f t="shared" si="14"/>
        <v>#VALUE!</v>
      </c>
      <c r="AQ39" s="58" t="e">
        <f t="shared" si="10"/>
        <v>#VALUE!</v>
      </c>
      <c r="AR39" s="58" t="e">
        <f t="shared" si="10"/>
        <v>#VALUE!</v>
      </c>
      <c r="AS39" s="58" t="e">
        <f t="shared" si="10"/>
        <v>#VALUE!</v>
      </c>
      <c r="AT39" s="63" t="e">
        <f t="shared" si="10"/>
        <v>#VALUE!</v>
      </c>
    </row>
    <row r="40" spans="1:46">
      <c r="A40" s="13" t="s">
        <v>107</v>
      </c>
      <c r="B40" s="35">
        <f t="shared" si="7"/>
        <v>0</v>
      </c>
      <c r="C40" s="35" t="str">
        <f t="shared" si="8"/>
        <v>Yes</v>
      </c>
      <c r="D40" s="12"/>
      <c r="H40" s="32"/>
      <c r="I40" s="13" t="e">
        <f t="shared" si="15"/>
        <v>#VALUE!</v>
      </c>
      <c r="J40" s="12"/>
      <c r="N40" s="32"/>
      <c r="O40" s="13" t="e">
        <f t="shared" si="9"/>
        <v>#VALUE!</v>
      </c>
      <c r="T40" s="32"/>
      <c r="U40" t="e">
        <f t="shared" si="11"/>
        <v>#VALUE!</v>
      </c>
      <c r="V40" s="12"/>
      <c r="AC40" s="69" t="e">
        <f t="shared" si="12"/>
        <v>#VALUE!</v>
      </c>
      <c r="AD40" s="12">
        <v>-15.72</v>
      </c>
      <c r="AE40">
        <v>1.6319999999999999</v>
      </c>
      <c r="AF40" t="e">
        <f t="shared" si="13"/>
        <v>#VALUE!</v>
      </c>
      <c r="AG40" s="35">
        <v>0.83640175897905</v>
      </c>
      <c r="AH40" s="28">
        <v>7.4999999999999997E-3</v>
      </c>
      <c r="AI40" s="29">
        <v>2.2700000000000001E-2</v>
      </c>
      <c r="AJ40" s="29">
        <v>0.10150000000000001</v>
      </c>
      <c r="AK40" s="29">
        <v>3.4500000000000003E-2</v>
      </c>
      <c r="AL40" s="30">
        <v>0.8337</v>
      </c>
      <c r="AM40" s="70">
        <v>24.307773462640899</v>
      </c>
      <c r="AN40" s="40">
        <v>26.4347148129008</v>
      </c>
      <c r="AO40" s="51">
        <v>46241</v>
      </c>
      <c r="AP40" s="62" t="e">
        <f t="shared" si="14"/>
        <v>#VALUE!</v>
      </c>
      <c r="AQ40" s="58" t="e">
        <f t="shared" si="10"/>
        <v>#VALUE!</v>
      </c>
      <c r="AR40" s="58" t="e">
        <f t="shared" si="10"/>
        <v>#VALUE!</v>
      </c>
      <c r="AS40" s="58" t="e">
        <f t="shared" si="10"/>
        <v>#VALUE!</v>
      </c>
      <c r="AT40" s="63" t="e">
        <f t="shared" si="10"/>
        <v>#VALUE!</v>
      </c>
    </row>
    <row r="41" spans="1:46">
      <c r="A41" s="13" t="s">
        <v>108</v>
      </c>
      <c r="B41" s="35">
        <f t="shared" si="7"/>
        <v>0</v>
      </c>
      <c r="C41" s="35" t="str">
        <f t="shared" si="8"/>
        <v>Yes</v>
      </c>
      <c r="D41" s="12"/>
      <c r="H41" s="32"/>
      <c r="I41" s="13" t="e">
        <f t="shared" si="15"/>
        <v>#VALUE!</v>
      </c>
      <c r="J41" s="12"/>
      <c r="N41" s="32"/>
      <c r="O41" s="13" t="e">
        <f t="shared" si="9"/>
        <v>#VALUE!</v>
      </c>
      <c r="T41" s="32"/>
      <c r="U41" t="e">
        <f t="shared" si="11"/>
        <v>#VALUE!</v>
      </c>
      <c r="V41" s="12"/>
      <c r="AC41" s="69" t="e">
        <f t="shared" si="12"/>
        <v>#VALUE!</v>
      </c>
      <c r="AD41" s="12">
        <v>-6.4359999999999999</v>
      </c>
      <c r="AE41">
        <v>0.73839999999999995</v>
      </c>
      <c r="AF41" t="e">
        <f t="shared" si="13"/>
        <v>#VALUE!</v>
      </c>
      <c r="AG41" s="35">
        <v>3.06881030874839</v>
      </c>
      <c r="AH41" s="21">
        <v>1.04E-2</v>
      </c>
      <c r="AI41" s="22">
        <v>2.8400000000000002E-2</v>
      </c>
      <c r="AJ41" s="22">
        <v>0.10539999999999999</v>
      </c>
      <c r="AK41" s="22">
        <v>4.19E-2</v>
      </c>
      <c r="AL41" s="23">
        <v>0.81379999999999997</v>
      </c>
      <c r="AM41" s="70">
        <v>6.7715223265180002</v>
      </c>
      <c r="AN41" s="40">
        <v>42.120162262287998</v>
      </c>
      <c r="AO41" s="51">
        <v>46241</v>
      </c>
      <c r="AP41" s="62" t="e">
        <f t="shared" si="14"/>
        <v>#VALUE!</v>
      </c>
      <c r="AQ41" s="58" t="e">
        <f t="shared" si="10"/>
        <v>#VALUE!</v>
      </c>
      <c r="AR41" s="58" t="e">
        <f t="shared" si="10"/>
        <v>#VALUE!</v>
      </c>
      <c r="AS41" s="58" t="e">
        <f t="shared" si="10"/>
        <v>#VALUE!</v>
      </c>
      <c r="AT41" s="63" t="e">
        <f t="shared" si="10"/>
        <v>#VALUE!</v>
      </c>
    </row>
    <row r="42" spans="1:46" ht="15.75" thickBot="1">
      <c r="A42" s="10" t="s">
        <v>109</v>
      </c>
      <c r="B42" s="36">
        <f t="shared" si="7"/>
        <v>0</v>
      </c>
      <c r="C42" s="36" t="str">
        <f t="shared" si="8"/>
        <v>Yes</v>
      </c>
      <c r="D42" s="8"/>
      <c r="E42" s="9"/>
      <c r="F42" s="9"/>
      <c r="G42" s="9"/>
      <c r="H42" s="33"/>
      <c r="I42" s="13" t="e">
        <f t="shared" si="15"/>
        <v>#VALUE!</v>
      </c>
      <c r="J42" s="8"/>
      <c r="K42" s="9"/>
      <c r="L42" s="9"/>
      <c r="M42" s="9"/>
      <c r="N42" s="33"/>
      <c r="O42" s="13" t="e">
        <f t="shared" si="9"/>
        <v>#VALUE!</v>
      </c>
      <c r="P42" s="9"/>
      <c r="Q42" s="9"/>
      <c r="R42" s="9"/>
      <c r="S42" s="9"/>
      <c r="T42" s="33"/>
      <c r="U42" t="e">
        <f t="shared" si="11"/>
        <v>#VALUE!</v>
      </c>
      <c r="V42" s="8"/>
      <c r="W42" s="9"/>
      <c r="X42" s="9"/>
      <c r="Y42" s="9"/>
      <c r="Z42" s="9"/>
      <c r="AA42" s="9"/>
      <c r="AB42" s="9"/>
      <c r="AC42" s="69" t="e">
        <f t="shared" si="12"/>
        <v>#VALUE!</v>
      </c>
      <c r="AD42" s="8">
        <v>-3.218</v>
      </c>
      <c r="AE42" s="9">
        <v>0.50490000000000002</v>
      </c>
      <c r="AF42" t="e">
        <f t="shared" si="13"/>
        <v>#VALUE!</v>
      </c>
      <c r="AG42" s="36">
        <v>10.6875187463309</v>
      </c>
      <c r="AH42" s="25">
        <v>4.4000000000000003E-3</v>
      </c>
      <c r="AI42" s="26">
        <v>2.0400000000000001E-2</v>
      </c>
      <c r="AJ42" s="26">
        <v>0.1011</v>
      </c>
      <c r="AK42" s="26">
        <v>2.93E-2</v>
      </c>
      <c r="AL42" s="27">
        <v>0.8448</v>
      </c>
      <c r="AM42" s="72">
        <v>6.1541381803799098</v>
      </c>
      <c r="AN42" s="72">
        <v>98.286746787535805</v>
      </c>
      <c r="AO42" s="52">
        <v>46241</v>
      </c>
      <c r="AP42" s="64" t="e">
        <f t="shared" si="14"/>
        <v>#VALUE!</v>
      </c>
      <c r="AQ42" s="65" t="e">
        <f t="shared" si="10"/>
        <v>#VALUE!</v>
      </c>
      <c r="AR42" s="65" t="e">
        <f t="shared" si="10"/>
        <v>#VALUE!</v>
      </c>
      <c r="AS42" s="65" t="e">
        <f t="shared" si="10"/>
        <v>#VALUE!</v>
      </c>
      <c r="AT42" s="66" t="e">
        <f t="shared" si="10"/>
        <v>#VALUE!</v>
      </c>
    </row>
    <row r="43" spans="1:46">
      <c r="D43" s="11"/>
      <c r="E43" s="6"/>
      <c r="F43" s="6"/>
      <c r="G43" s="6"/>
      <c r="H43" s="6"/>
      <c r="I43" s="7"/>
      <c r="J43" s="11"/>
      <c r="K43" s="6"/>
      <c r="L43" s="6"/>
      <c r="M43" s="6"/>
      <c r="N43" s="6"/>
      <c r="O43" s="7"/>
      <c r="P43" s="11"/>
      <c r="Q43" s="6"/>
      <c r="R43" s="6"/>
      <c r="S43" s="6"/>
      <c r="T43" s="6"/>
      <c r="U43" s="7"/>
      <c r="V43" s="11"/>
      <c r="W43" s="6"/>
      <c r="X43" s="6"/>
      <c r="Y43" s="6"/>
      <c r="Z43" s="6"/>
      <c r="AA43" s="6"/>
      <c r="AB43" s="6"/>
      <c r="AC43" s="7"/>
      <c r="AD43" s="11"/>
      <c r="AE43" s="6"/>
      <c r="AF43" s="7"/>
    </row>
    <row r="44" spans="1:46" ht="15.75" thickBot="1">
      <c r="D44" s="8"/>
      <c r="E44" s="9"/>
      <c r="F44" s="9"/>
      <c r="G44" s="9"/>
      <c r="H44" s="9"/>
      <c r="I44" s="10"/>
      <c r="J44" s="8"/>
      <c r="K44" s="9"/>
      <c r="L44" s="9"/>
      <c r="M44" s="9"/>
      <c r="N44" s="9"/>
      <c r="O44" s="10"/>
      <c r="P44" s="8"/>
      <c r="Q44" s="9"/>
      <c r="R44" s="9"/>
      <c r="S44" s="9"/>
      <c r="T44" s="9"/>
      <c r="U44" s="10"/>
      <c r="V44" s="8"/>
      <c r="W44" s="9"/>
      <c r="X44" s="9"/>
      <c r="Y44" s="9"/>
      <c r="Z44" s="9"/>
      <c r="AA44" s="9"/>
      <c r="AB44" s="9"/>
      <c r="AC44" s="10"/>
      <c r="AD44" s="8"/>
      <c r="AE44" s="9"/>
      <c r="AF44" s="10"/>
    </row>
    <row r="45" spans="1:46" s="53" customFormat="1" ht="15.75" thickBot="1"/>
    <row r="46" spans="1:46" ht="16.5" thickTop="1" thickBot="1"/>
    <row r="47" spans="1:46" ht="15.75" thickBot="1">
      <c r="W47" s="127" t="s">
        <v>70</v>
      </c>
      <c r="X47" s="128"/>
      <c r="Y47" s="128"/>
      <c r="Z47" s="128"/>
      <c r="AA47" s="129"/>
    </row>
    <row r="48" spans="1:46">
      <c r="A48" s="24" t="s">
        <v>71</v>
      </c>
      <c r="B48" s="24" t="s">
        <v>72</v>
      </c>
      <c r="C48" s="24" t="s">
        <v>73</v>
      </c>
      <c r="D48" s="18" t="s">
        <v>74</v>
      </c>
      <c r="E48" s="19" t="s">
        <v>75</v>
      </c>
      <c r="F48" s="19" t="s">
        <v>76</v>
      </c>
      <c r="G48" s="19" t="s">
        <v>77</v>
      </c>
      <c r="H48" s="31" t="s">
        <v>78</v>
      </c>
      <c r="I48" s="20" t="s">
        <v>110</v>
      </c>
      <c r="J48" s="18" t="s">
        <v>80</v>
      </c>
      <c r="K48" s="19" t="s">
        <v>81</v>
      </c>
      <c r="L48" s="31" t="s">
        <v>111</v>
      </c>
      <c r="M48" s="20" t="s">
        <v>110</v>
      </c>
      <c r="N48" s="24" t="s">
        <v>53</v>
      </c>
      <c r="O48" s="19" t="s">
        <v>43</v>
      </c>
      <c r="P48" s="19" t="s">
        <v>46</v>
      </c>
      <c r="Q48" s="19" t="s">
        <v>47</v>
      </c>
      <c r="R48" s="19" t="s">
        <v>48</v>
      </c>
      <c r="S48" s="19" t="s">
        <v>49</v>
      </c>
      <c r="T48" s="24" t="s">
        <v>56</v>
      </c>
      <c r="U48" s="20" t="s">
        <v>57</v>
      </c>
      <c r="V48" s="24" t="s">
        <v>112</v>
      </c>
      <c r="W48" s="18" t="s">
        <v>93</v>
      </c>
      <c r="X48" s="19" t="s">
        <v>94</v>
      </c>
      <c r="Y48" s="19" t="s">
        <v>95</v>
      </c>
      <c r="Z48" s="19" t="s">
        <v>96</v>
      </c>
      <c r="AA48" s="20" t="s">
        <v>97</v>
      </c>
    </row>
    <row r="49" spans="1:27">
      <c r="A49" s="35" t="s">
        <v>113</v>
      </c>
      <c r="B49" s="35">
        <f t="shared" ref="B49:B56" si="16">IFERROR(FIND(A49,$A$22,1),0)</f>
        <v>0</v>
      </c>
      <c r="C49" s="35" t="str">
        <f t="shared" ref="C49:C56" si="17">IF(B49=MAX($B$49:$B$56),"Yes","No")</f>
        <v>Yes</v>
      </c>
      <c r="D49" s="12">
        <f>6.29652764590517*10^-4</f>
        <v>6.2965276459051695E-4</v>
      </c>
      <c r="E49">
        <v>0.169783260872614</v>
      </c>
      <c r="F49">
        <v>0.64687610606813595</v>
      </c>
      <c r="G49">
        <v>-9.5304698717862593</v>
      </c>
      <c r="H49" s="32">
        <v>7</v>
      </c>
      <c r="I49" s="13" t="e">
        <f t="shared" ref="I49:I56" si="18">D49*($B$17^E49)*($B$16^F49)*EXP(G49*(10^-H49)*$B$17)</f>
        <v>#VALUE!</v>
      </c>
      <c r="J49" s="12"/>
      <c r="L49" s="32"/>
      <c r="M49" s="13" t="e">
        <f t="shared" ref="M49:M56" si="19">J49*($B$17^K49)*($B$16^L49)</f>
        <v>#VALUE!</v>
      </c>
      <c r="N49" s="35">
        <v>2.8863300441756299</v>
      </c>
      <c r="O49" s="29">
        <v>3.5999999999999999E-3</v>
      </c>
      <c r="P49" s="29">
        <v>1.95E-2</v>
      </c>
      <c r="Q49" s="29">
        <v>0.1147</v>
      </c>
      <c r="R49" s="29">
        <v>4.36E-2</v>
      </c>
      <c r="S49" s="29">
        <v>0.8206</v>
      </c>
      <c r="T49" s="35">
        <v>8.1458129050500396</v>
      </c>
      <c r="U49" s="54">
        <v>32.087990340183097</v>
      </c>
      <c r="V49" s="51">
        <v>46241</v>
      </c>
      <c r="W49" s="12" t="e">
        <f>MAX($I49,$M49)*O49</f>
        <v>#VALUE!</v>
      </c>
      <c r="X49" t="e">
        <f t="shared" ref="X49:X56" si="20">MAX($I49,$M49)*P49</f>
        <v>#VALUE!</v>
      </c>
      <c r="Y49" t="e">
        <f t="shared" ref="Y49:Y56" si="21">MAX($I49,$M49)*Q49</f>
        <v>#VALUE!</v>
      </c>
      <c r="Z49" t="e">
        <f>MAX($I49,$M49)*R49</f>
        <v>#VALUE!</v>
      </c>
      <c r="AA49" s="13" t="e">
        <f t="shared" ref="AA49:AA56" si="22">MAX($I49,$M49)*S49</f>
        <v>#VALUE!</v>
      </c>
    </row>
    <row r="50" spans="1:27">
      <c r="A50" s="35" t="s">
        <v>114</v>
      </c>
      <c r="B50" s="35">
        <f t="shared" si="16"/>
        <v>0</v>
      </c>
      <c r="C50" s="35" t="str">
        <f t="shared" si="17"/>
        <v>Yes</v>
      </c>
      <c r="D50" s="12">
        <f>3.77366814757066*10^-4</f>
        <v>3.7736681475706603E-4</v>
      </c>
      <c r="E50">
        <v>0.40554833691984898</v>
      </c>
      <c r="F50">
        <v>0.64182229054200302</v>
      </c>
      <c r="G50">
        <v>-4.0190765173197196</v>
      </c>
      <c r="H50" s="32">
        <v>5</v>
      </c>
      <c r="I50" s="13" t="e">
        <f t="shared" si="18"/>
        <v>#VALUE!</v>
      </c>
      <c r="J50" s="12"/>
      <c r="L50" s="32"/>
      <c r="M50" s="13" t="e">
        <f t="shared" si="19"/>
        <v>#VALUE!</v>
      </c>
      <c r="N50" s="35">
        <v>2.1755226705004902</v>
      </c>
      <c r="O50" s="22">
        <v>2.7000000000000001E-3</v>
      </c>
      <c r="P50" s="22">
        <v>1.7999999999999999E-2</v>
      </c>
      <c r="Q50" s="22">
        <v>0.1273</v>
      </c>
      <c r="R50" s="22">
        <v>5.0900000000000001E-2</v>
      </c>
      <c r="S50" s="22">
        <v>0.80210000000000004</v>
      </c>
      <c r="T50" s="35">
        <v>21.738740043998501</v>
      </c>
      <c r="U50" s="54">
        <v>87.459961062668896</v>
      </c>
      <c r="V50" s="51" t="s">
        <v>115</v>
      </c>
      <c r="W50" s="12" t="e">
        <f t="shared" ref="W50:W56" si="23">MAX($I50,$M50)*O50</f>
        <v>#VALUE!</v>
      </c>
      <c r="X50" t="e">
        <f t="shared" si="20"/>
        <v>#VALUE!</v>
      </c>
      <c r="Y50" t="e">
        <f t="shared" si="21"/>
        <v>#VALUE!</v>
      </c>
      <c r="Z50" t="e">
        <f t="shared" ref="Z50:Z56" si="24">MAX($I50,$M50)*R50</f>
        <v>#VALUE!</v>
      </c>
      <c r="AA50" s="13" t="e">
        <f t="shared" si="22"/>
        <v>#VALUE!</v>
      </c>
    </row>
    <row r="51" spans="1:27">
      <c r="A51" s="35" t="s">
        <v>116</v>
      </c>
      <c r="B51" s="35">
        <f t="shared" si="16"/>
        <v>0</v>
      </c>
      <c r="C51" s="35" t="str">
        <f t="shared" si="17"/>
        <v>Yes</v>
      </c>
      <c r="D51" s="12">
        <v>1.84192737501879E-3</v>
      </c>
      <c r="E51">
        <v>0.14045815881340401</v>
      </c>
      <c r="F51">
        <v>0.55368897502344305</v>
      </c>
      <c r="G51">
        <v>-1.2217696581815201</v>
      </c>
      <c r="H51" s="32">
        <v>5</v>
      </c>
      <c r="I51" s="13" t="e">
        <f t="shared" si="18"/>
        <v>#VALUE!</v>
      </c>
      <c r="J51" s="12"/>
      <c r="L51" s="32"/>
      <c r="M51" s="13" t="e">
        <f t="shared" si="19"/>
        <v>#VALUE!</v>
      </c>
      <c r="N51" s="35">
        <v>2.1474020043222999</v>
      </c>
      <c r="O51" s="22">
        <v>7.3000000000000001E-3</v>
      </c>
      <c r="P51" s="22">
        <v>2.9499999999999998E-2</v>
      </c>
      <c r="Q51" s="22">
        <v>0.107</v>
      </c>
      <c r="R51" s="22">
        <v>4.6300000000000001E-2</v>
      </c>
      <c r="S51" s="22">
        <v>0.81040000000000001</v>
      </c>
      <c r="T51" s="35">
        <v>2.59638756158791</v>
      </c>
      <c r="U51" s="54">
        <v>12.074019305402899</v>
      </c>
      <c r="V51" s="51">
        <v>46241</v>
      </c>
      <c r="W51" s="12" t="e">
        <f>MAX($I51,$M51)*O51</f>
        <v>#VALUE!</v>
      </c>
      <c r="X51" t="e">
        <f t="shared" si="20"/>
        <v>#VALUE!</v>
      </c>
      <c r="Y51" t="e">
        <f t="shared" si="21"/>
        <v>#VALUE!</v>
      </c>
      <c r="Z51" t="e">
        <f t="shared" si="24"/>
        <v>#VALUE!</v>
      </c>
      <c r="AA51" s="13" t="e">
        <f t="shared" si="22"/>
        <v>#VALUE!</v>
      </c>
    </row>
    <row r="52" spans="1:27">
      <c r="A52" s="35" t="s">
        <v>117</v>
      </c>
      <c r="B52" s="35">
        <f t="shared" si="16"/>
        <v>0</v>
      </c>
      <c r="C52" s="35" t="str">
        <f t="shared" si="17"/>
        <v>Yes</v>
      </c>
      <c r="D52" s="12">
        <f>1.6116914117599*10^-5</f>
        <v>1.6116914117599001E-5</v>
      </c>
      <c r="E52">
        <v>0.37101282157932503</v>
      </c>
      <c r="F52">
        <v>1.0111281895714599</v>
      </c>
      <c r="G52">
        <v>-1.2318315571460201</v>
      </c>
      <c r="H52" s="32">
        <v>4</v>
      </c>
      <c r="I52" s="13" t="e">
        <f t="shared" si="18"/>
        <v>#VALUE!</v>
      </c>
      <c r="J52" s="12"/>
      <c r="L52" s="32"/>
      <c r="M52" s="13" t="e">
        <f t="shared" si="19"/>
        <v>#VALUE!</v>
      </c>
      <c r="N52" s="35">
        <v>2.9610030215735099</v>
      </c>
      <c r="O52" s="29">
        <v>9.4000000000000004E-3</v>
      </c>
      <c r="P52" s="29">
        <v>3.6400000000000002E-2</v>
      </c>
      <c r="Q52" s="29">
        <v>0.1399</v>
      </c>
      <c r="R52" s="29">
        <v>5.4699999999999999E-2</v>
      </c>
      <c r="S52" s="29">
        <v>0.75990000000000002</v>
      </c>
      <c r="T52" s="35">
        <v>6.1003855296090599</v>
      </c>
      <c r="U52" s="54">
        <v>34.186657208914397</v>
      </c>
      <c r="V52" s="51" t="s">
        <v>115</v>
      </c>
      <c r="W52" s="12" t="e">
        <f t="shared" si="23"/>
        <v>#VALUE!</v>
      </c>
      <c r="X52" t="e">
        <f t="shared" si="20"/>
        <v>#VALUE!</v>
      </c>
      <c r="Y52" t="e">
        <f t="shared" si="21"/>
        <v>#VALUE!</v>
      </c>
      <c r="Z52" t="e">
        <f t="shared" si="24"/>
        <v>#VALUE!</v>
      </c>
      <c r="AA52" s="13" t="e">
        <f t="shared" si="22"/>
        <v>#VALUE!</v>
      </c>
    </row>
    <row r="53" spans="1:27">
      <c r="A53" s="35" t="s">
        <v>118</v>
      </c>
      <c r="B53" s="35">
        <f t="shared" si="16"/>
        <v>0</v>
      </c>
      <c r="C53" s="35" t="str">
        <f t="shared" si="17"/>
        <v>Yes</v>
      </c>
      <c r="D53" s="12">
        <f>2.40550555414895*10^-5</f>
        <v>2.4055055541489501E-5</v>
      </c>
      <c r="E53">
        <v>-2.6333429471042901E-2</v>
      </c>
      <c r="F53">
        <v>1.22825860529463</v>
      </c>
      <c r="G53">
        <v>-3.1439694632625499</v>
      </c>
      <c r="H53" s="32">
        <v>5</v>
      </c>
      <c r="I53" s="13" t="e">
        <f t="shared" si="18"/>
        <v>#VALUE!</v>
      </c>
      <c r="J53" s="12"/>
      <c r="L53" s="32"/>
      <c r="M53" s="13" t="e">
        <f t="shared" si="19"/>
        <v>#VALUE!</v>
      </c>
      <c r="N53" s="35">
        <v>4.3909983547268396</v>
      </c>
      <c r="O53" s="29">
        <v>3.2000000000000002E-3</v>
      </c>
      <c r="P53" s="29">
        <v>1.7500000000000002E-2</v>
      </c>
      <c r="Q53" s="29">
        <v>0.1094</v>
      </c>
      <c r="R53" s="29">
        <v>4.1399999999999999E-2</v>
      </c>
      <c r="S53" s="29">
        <v>0.82920000000000005</v>
      </c>
      <c r="T53" s="35">
        <v>5.3247839208323304</v>
      </c>
      <c r="U53" s="54">
        <v>11.532548309349799</v>
      </c>
      <c r="V53" s="51">
        <v>46241</v>
      </c>
      <c r="W53" s="12" t="e">
        <f t="shared" si="23"/>
        <v>#VALUE!</v>
      </c>
      <c r="X53" t="e">
        <f t="shared" si="20"/>
        <v>#VALUE!</v>
      </c>
      <c r="Y53" t="e">
        <f t="shared" si="21"/>
        <v>#VALUE!</v>
      </c>
      <c r="Z53" t="e">
        <f t="shared" si="24"/>
        <v>#VALUE!</v>
      </c>
      <c r="AA53" s="13" t="e">
        <f t="shared" si="22"/>
        <v>#VALUE!</v>
      </c>
    </row>
    <row r="54" spans="1:27">
      <c r="A54" s="35" t="s">
        <v>119</v>
      </c>
      <c r="B54" s="35">
        <f t="shared" si="16"/>
        <v>0</v>
      </c>
      <c r="C54" s="35" t="str">
        <f t="shared" si="17"/>
        <v>Yes</v>
      </c>
      <c r="D54" s="12">
        <f>1.65295793381876*10^-4</f>
        <v>1.6529579338187602E-4</v>
      </c>
      <c r="E54">
        <v>6.7838287649427495E-2</v>
      </c>
      <c r="F54">
        <v>1.0038336306022999</v>
      </c>
      <c r="G54">
        <v>-3.33998051620331</v>
      </c>
      <c r="H54" s="32">
        <v>5</v>
      </c>
      <c r="I54" s="13" t="e">
        <f t="shared" si="18"/>
        <v>#VALUE!</v>
      </c>
      <c r="J54" s="12"/>
      <c r="L54" s="32"/>
      <c r="M54" s="13" t="e">
        <f t="shared" si="19"/>
        <v>#VALUE!</v>
      </c>
      <c r="N54" s="35">
        <v>4.8182192955458003</v>
      </c>
      <c r="O54" s="22">
        <v>2.3E-3</v>
      </c>
      <c r="P54" s="29">
        <v>1.7399999999999999E-2</v>
      </c>
      <c r="Q54" s="22">
        <v>0.12839999999999999</v>
      </c>
      <c r="R54" s="22">
        <v>4.7500000000000001E-2</v>
      </c>
      <c r="S54" s="22">
        <v>0.80559999999999998</v>
      </c>
      <c r="T54" s="35">
        <v>10.7705602099331</v>
      </c>
      <c r="U54" s="54">
        <v>26.2757949820395</v>
      </c>
      <c r="V54" s="51" t="s">
        <v>115</v>
      </c>
      <c r="W54" s="12" t="e">
        <f t="shared" si="23"/>
        <v>#VALUE!</v>
      </c>
      <c r="X54" t="e">
        <f t="shared" si="20"/>
        <v>#VALUE!</v>
      </c>
      <c r="Y54" t="e">
        <f t="shared" si="21"/>
        <v>#VALUE!</v>
      </c>
      <c r="Z54" t="e">
        <f t="shared" si="24"/>
        <v>#VALUE!</v>
      </c>
      <c r="AA54" s="13" t="e">
        <f t="shared" si="22"/>
        <v>#VALUE!</v>
      </c>
    </row>
    <row r="55" spans="1:27">
      <c r="A55" s="35" t="s">
        <v>120</v>
      </c>
      <c r="B55" s="35">
        <f t="shared" si="16"/>
        <v>0</v>
      </c>
      <c r="C55" s="35" t="str">
        <f t="shared" si="17"/>
        <v>Yes</v>
      </c>
      <c r="D55" s="12">
        <v>1.2686465790272201E-3</v>
      </c>
      <c r="E55">
        <v>9.9708649237106206E-2</v>
      </c>
      <c r="F55">
        <v>0.64607462910903102</v>
      </c>
      <c r="G55">
        <v>-1.54531964630144</v>
      </c>
      <c r="H55" s="32">
        <v>4</v>
      </c>
      <c r="I55" s="13" t="e">
        <f t="shared" si="18"/>
        <v>#VALUE!</v>
      </c>
      <c r="J55" s="12"/>
      <c r="L55" s="32"/>
      <c r="M55" s="13" t="e">
        <f t="shared" si="19"/>
        <v>#VALUE!</v>
      </c>
      <c r="N55" s="35">
        <v>2.9528057433294999</v>
      </c>
      <c r="O55" s="22">
        <v>6.8999999999999999E-3</v>
      </c>
      <c r="P55" s="22">
        <v>3.1199999999999999E-2</v>
      </c>
      <c r="Q55" s="22">
        <v>9.8900000000000002E-2</v>
      </c>
      <c r="R55" s="22">
        <v>4.3400000000000001E-2</v>
      </c>
      <c r="S55" s="22">
        <v>0.82040000000000002</v>
      </c>
      <c r="T55" s="35">
        <v>1.01157107868534</v>
      </c>
      <c r="U55" s="54">
        <v>2.66395037950622</v>
      </c>
      <c r="V55" s="51">
        <v>46241</v>
      </c>
      <c r="W55" s="12" t="e">
        <f t="shared" si="23"/>
        <v>#VALUE!</v>
      </c>
      <c r="X55" t="e">
        <f t="shared" si="20"/>
        <v>#VALUE!</v>
      </c>
      <c r="Y55" t="e">
        <f t="shared" si="21"/>
        <v>#VALUE!</v>
      </c>
      <c r="Z55" t="e">
        <f t="shared" si="24"/>
        <v>#VALUE!</v>
      </c>
      <c r="AA55" s="13" t="e">
        <f t="shared" si="22"/>
        <v>#VALUE!</v>
      </c>
    </row>
    <row r="56" spans="1:27" s="9" customFormat="1" ht="15.75" thickBot="1">
      <c r="A56" s="36" t="s">
        <v>121</v>
      </c>
      <c r="B56" s="36">
        <f t="shared" si="16"/>
        <v>0</v>
      </c>
      <c r="C56" s="36" t="str">
        <f t="shared" si="17"/>
        <v>Yes</v>
      </c>
      <c r="D56" s="8">
        <v>1.0707435436928001E-3</v>
      </c>
      <c r="E56" s="9">
        <v>0.157109185470134</v>
      </c>
      <c r="F56" s="9">
        <v>0.64920078239595103</v>
      </c>
      <c r="G56" s="9">
        <v>-1.1566505106874601</v>
      </c>
      <c r="H56" s="33">
        <v>4</v>
      </c>
      <c r="I56" s="13" t="e">
        <f t="shared" si="18"/>
        <v>#VALUE!</v>
      </c>
      <c r="J56" s="8"/>
      <c r="L56" s="33"/>
      <c r="M56" s="13" t="e">
        <f t="shared" si="19"/>
        <v>#VALUE!</v>
      </c>
      <c r="N56" s="36">
        <v>4.4092933045593004</v>
      </c>
      <c r="O56" s="26">
        <v>7.0000000000000001E-3</v>
      </c>
      <c r="P56" s="26">
        <v>3.1699999999999999E-2</v>
      </c>
      <c r="Q56" s="26">
        <v>0.1288</v>
      </c>
      <c r="R56" s="26">
        <v>4.8500000000000001E-2</v>
      </c>
      <c r="S56" s="26">
        <v>0.78469999999999995</v>
      </c>
      <c r="T56" s="36">
        <v>1.9691990133214801</v>
      </c>
      <c r="U56" s="9">
        <v>6.0054073572909799</v>
      </c>
      <c r="V56" s="51" t="s">
        <v>115</v>
      </c>
      <c r="W56" s="8" t="e">
        <f t="shared" si="23"/>
        <v>#VALUE!</v>
      </c>
      <c r="X56" s="9" t="e">
        <f t="shared" si="20"/>
        <v>#VALUE!</v>
      </c>
      <c r="Y56" s="9" t="e">
        <f t="shared" si="21"/>
        <v>#VALUE!</v>
      </c>
      <c r="Z56" s="9" t="e">
        <f t="shared" si="24"/>
        <v>#VALUE!</v>
      </c>
      <c r="AA56" s="10" t="e">
        <f t="shared" si="22"/>
        <v>#VALUE!</v>
      </c>
    </row>
    <row r="57" spans="1:27">
      <c r="D57" s="11"/>
      <c r="E57" s="6"/>
      <c r="F57" s="6"/>
      <c r="G57" s="6"/>
      <c r="H57" s="6"/>
      <c r="I57" s="7"/>
      <c r="J57" s="11"/>
      <c r="K57" s="6"/>
      <c r="L57" s="6"/>
      <c r="M57" s="7"/>
    </row>
    <row r="58" spans="1:27" ht="15.75" thickBot="1">
      <c r="D58" s="8"/>
      <c r="E58" s="9"/>
      <c r="F58" s="9"/>
      <c r="G58" s="9"/>
      <c r="H58" s="9"/>
      <c r="I58" s="10"/>
      <c r="J58" s="8"/>
      <c r="K58" s="9"/>
      <c r="L58" s="9"/>
      <c r="M58" s="10"/>
    </row>
  </sheetData>
  <sheetProtection algorithmName="SHA-512" hashValue="iX4JGsPLv8rdiFQyINFJ0oZXgIUiF0Q+CxMUqJjLH68dH0ubAOShBrutwJtvLi5bkU/hwwlYmJjNgQq4FEkYwQ==" saltValue="7tANWM49mlxk3Sut6E5w6g==" spinCount="100000" sheet="1" objects="1" scenarios="1"/>
  <mergeCells count="2">
    <mergeCell ref="W47:AA47"/>
    <mergeCell ref="AP29:AT29"/>
  </mergeCells>
  <conditionalFormatting sqref="A31:A42">
    <cfRule type="cellIs" dxfId="0" priority="42" operator="equal">
      <formula>#REF!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9EAE0-EB76-4111-8783-45C388F8BAF0}">
  <dimension ref="A1:G3"/>
  <sheetViews>
    <sheetView workbookViewId="0">
      <selection activeCell="H32" sqref="H32"/>
    </sheetView>
  </sheetViews>
  <sheetFormatPr defaultRowHeight="15"/>
  <cols>
    <col min="1" max="1" width="11.7109375" bestFit="1" customWidth="1"/>
    <col min="2" max="2" width="14" bestFit="1" customWidth="1"/>
    <col min="3" max="3" width="6.28515625" bestFit="1" customWidth="1"/>
    <col min="4" max="4" width="14.42578125" bestFit="1" customWidth="1"/>
    <col min="5" max="5" width="4" bestFit="1" customWidth="1"/>
    <col min="6" max="6" width="3" bestFit="1" customWidth="1"/>
    <col min="7" max="7" width="20.85546875" bestFit="1" customWidth="1"/>
  </cols>
  <sheetData>
    <row r="1" spans="1:7">
      <c r="A1" t="s">
        <v>19</v>
      </c>
      <c r="B1" t="s">
        <v>122</v>
      </c>
      <c r="C1" t="s">
        <v>123</v>
      </c>
      <c r="D1" t="s">
        <v>124</v>
      </c>
      <c r="E1" t="s">
        <v>125</v>
      </c>
      <c r="F1">
        <v>3</v>
      </c>
      <c r="G1" t="s">
        <v>126</v>
      </c>
    </row>
    <row r="2" spans="1:7">
      <c r="A2" t="s">
        <v>20</v>
      </c>
      <c r="B2" t="s">
        <v>127</v>
      </c>
      <c r="C2" t="s">
        <v>128</v>
      </c>
      <c r="D2" t="s">
        <v>129</v>
      </c>
      <c r="E2" t="s">
        <v>130</v>
      </c>
      <c r="F2" t="s">
        <v>131</v>
      </c>
      <c r="G2" t="s">
        <v>132</v>
      </c>
    </row>
    <row r="3" spans="1:7">
      <c r="D3" t="s">
        <v>109</v>
      </c>
    </row>
  </sheetData>
  <sheetProtection algorithmName="SHA-512" hashValue="+1mUz2JBGlzD4cgHWGipayTwySR3jstSrjw2mmkNlEENg/40cBYInDsuOE1X3iFSNIqzqJ1twRUOj1y4+QbrTg==" saltValue="W0p4uuF5ihLS3EODoY2Cs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DC8C3-FD15-47E3-8EEE-7BFFE863193D}"/>
</file>

<file path=customXml/itemProps2.xml><?xml version="1.0" encoding="utf-8"?>
<ds:datastoreItem xmlns:ds="http://schemas.openxmlformats.org/officeDocument/2006/customXml" ds:itemID="{C7E8B096-3224-4FE9-9BFB-8BFAC4E29583}"/>
</file>

<file path=customXml/itemProps3.xml><?xml version="1.0" encoding="utf-8"?>
<ds:datastoreItem xmlns:ds="http://schemas.openxmlformats.org/officeDocument/2006/customXml" ds:itemID="{B4494CA7-A39B-4849-AC26-940610082804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Gallagher, Jack</dc:creator>
  <cp:keywords/>
  <dc:description/>
  <cp:lastModifiedBy/>
  <cp:revision/>
  <dcterms:created xsi:type="dcterms:W3CDTF">2006-09-16T00:00:00Z</dcterms:created>
  <dcterms:modified xsi:type="dcterms:W3CDTF">2026-08-19T12:24:05Z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  <property fmtid="{D5CDD505-2E9C-101B-9397-08002B2CF9AE}" pid="4" name="ESRI_WORKBOOK_ID">
    <vt:lpwstr>4d5265224a3140af9293a5c3ab94ee69</vt:lpwstr>
  </property>
  <property fmtid="{D5CDD505-2E9C-101B-9397-08002B2CF9AE}" pid="5" name="Folder_Number">
    <vt:lpwstr/>
  </property>
  <property fmtid="{D5CDD505-2E9C-101B-9397-08002B2CF9AE}" pid="6" name="Folder_Code">
    <vt:lpwstr/>
  </property>
  <property fmtid="{D5CDD505-2E9C-101B-9397-08002B2CF9AE}" pid="7" name="Folder_Name">
    <vt:lpwstr/>
  </property>
  <property fmtid="{D5CDD505-2E9C-101B-9397-08002B2CF9AE}" pid="8" name="Folder_Description">
    <vt:lpwstr/>
  </property>
  <property fmtid="{D5CDD505-2E9C-101B-9397-08002B2CF9AE}" pid="9" name="/Folder_Name/">
    <vt:lpwstr/>
  </property>
  <property fmtid="{D5CDD505-2E9C-101B-9397-08002B2CF9AE}" pid="10" name="/Folder_Description/">
    <vt:lpwstr/>
  </property>
  <property fmtid="{D5CDD505-2E9C-101B-9397-08002B2CF9AE}" pid="11" name="Folder_Version">
    <vt:lpwstr/>
  </property>
  <property fmtid="{D5CDD505-2E9C-101B-9397-08002B2CF9AE}" pid="12" name="Folder_VersionSeq">
    <vt:lpwstr/>
  </property>
  <property fmtid="{D5CDD505-2E9C-101B-9397-08002B2CF9AE}" pid="13" name="Folder_Manager">
    <vt:lpwstr/>
  </property>
  <property fmtid="{D5CDD505-2E9C-101B-9397-08002B2CF9AE}" pid="14" name="Folder_ManagerDesc">
    <vt:lpwstr/>
  </property>
  <property fmtid="{D5CDD505-2E9C-101B-9397-08002B2CF9AE}" pid="15" name="Folder_Storage">
    <vt:lpwstr/>
  </property>
  <property fmtid="{D5CDD505-2E9C-101B-9397-08002B2CF9AE}" pid="16" name="Folder_StorageDesc">
    <vt:lpwstr/>
  </property>
  <property fmtid="{D5CDD505-2E9C-101B-9397-08002B2CF9AE}" pid="17" name="Folder_Creator">
    <vt:lpwstr/>
  </property>
  <property fmtid="{D5CDD505-2E9C-101B-9397-08002B2CF9AE}" pid="18" name="Folder_CreatorDesc">
    <vt:lpwstr/>
  </property>
  <property fmtid="{D5CDD505-2E9C-101B-9397-08002B2CF9AE}" pid="19" name="Folder_CreateDate">
    <vt:lpwstr/>
  </property>
  <property fmtid="{D5CDD505-2E9C-101B-9397-08002B2CF9AE}" pid="20" name="Folder_Updater">
    <vt:lpwstr/>
  </property>
  <property fmtid="{D5CDD505-2E9C-101B-9397-08002B2CF9AE}" pid="21" name="Folder_UpdaterDesc">
    <vt:lpwstr/>
  </property>
  <property fmtid="{D5CDD505-2E9C-101B-9397-08002B2CF9AE}" pid="22" name="Folder_UpdateDate">
    <vt:lpwstr/>
  </property>
  <property fmtid="{D5CDD505-2E9C-101B-9397-08002B2CF9AE}" pid="23" name="Document_Number">
    <vt:lpwstr/>
  </property>
  <property fmtid="{D5CDD505-2E9C-101B-9397-08002B2CF9AE}" pid="24" name="Document_Name">
    <vt:lpwstr/>
  </property>
  <property fmtid="{D5CDD505-2E9C-101B-9397-08002B2CF9AE}" pid="25" name="Document_FileName">
    <vt:lpwstr/>
  </property>
  <property fmtid="{D5CDD505-2E9C-101B-9397-08002B2CF9AE}" pid="26" name="Document_Version">
    <vt:lpwstr/>
  </property>
  <property fmtid="{D5CDD505-2E9C-101B-9397-08002B2CF9AE}" pid="27" name="Document_VersionSeq">
    <vt:lpwstr/>
  </property>
  <property fmtid="{D5CDD505-2E9C-101B-9397-08002B2CF9AE}" pid="28" name="Document_Creator">
    <vt:lpwstr/>
  </property>
  <property fmtid="{D5CDD505-2E9C-101B-9397-08002B2CF9AE}" pid="29" name="Document_CreatorDesc">
    <vt:lpwstr/>
  </property>
  <property fmtid="{D5CDD505-2E9C-101B-9397-08002B2CF9AE}" pid="30" name="Document_CreateDate">
    <vt:lpwstr/>
  </property>
  <property fmtid="{D5CDD505-2E9C-101B-9397-08002B2CF9AE}" pid="31" name="Document_Updater">
    <vt:lpwstr/>
  </property>
  <property fmtid="{D5CDD505-2E9C-101B-9397-08002B2CF9AE}" pid="32" name="Document_UpdaterDesc">
    <vt:lpwstr/>
  </property>
  <property fmtid="{D5CDD505-2E9C-101B-9397-08002B2CF9AE}" pid="33" name="Document_UpdateDate">
    <vt:lpwstr/>
  </property>
  <property fmtid="{D5CDD505-2E9C-101B-9397-08002B2CF9AE}" pid="34" name="Document_Size">
    <vt:lpwstr/>
  </property>
  <property fmtid="{D5CDD505-2E9C-101B-9397-08002B2CF9AE}" pid="35" name="Document_Storage">
    <vt:lpwstr/>
  </property>
  <property fmtid="{D5CDD505-2E9C-101B-9397-08002B2CF9AE}" pid="36" name="Document_StorageDesc">
    <vt:lpwstr/>
  </property>
  <property fmtid="{D5CDD505-2E9C-101B-9397-08002B2CF9AE}" pid="37" name="Document_Department">
    <vt:lpwstr/>
  </property>
  <property fmtid="{D5CDD505-2E9C-101B-9397-08002B2CF9AE}" pid="38" name="Document_DepartmentDesc">
    <vt:lpwstr/>
  </property>
</Properties>
</file>