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ingov.sharepoint.com/sites/INDOTTrafficEngineering/Shared Documents/Office of Traffic Safety/Employee Folders/Jack Gallagher/TSAM/Safety Scoring Updates/2026 Updates/Final for Publication/"/>
    </mc:Choice>
  </mc:AlternateContent>
  <xr:revisionPtr revIDLastSave="1428" documentId="13_ncr:1_{404E0C24-0370-4D0B-AE4C-A85C0772C2E7}" xr6:coauthVersionLast="47" xr6:coauthVersionMax="47" xr10:uidLastSave="{1429EA91-AC10-4167-80ED-3C412B0F1B77}"/>
  <bookViews>
    <workbookView xWindow="-120" yWindow="-120" windowWidth="29040" windowHeight="15720" tabRatio="874" xr2:uid="{00000000-000D-0000-FFFF-FFFF00000000}"/>
  </bookViews>
  <sheets>
    <sheet name="Cover Sheet" sheetId="1" r:id="rId1"/>
    <sheet name="Cover Calculations" sheetId="21" state="hidden" r:id="rId2"/>
    <sheet name="Systemic Safety BC" sheetId="36" r:id="rId3"/>
    <sheet name="Systemic BC Calculations" sheetId="37" state="hidden" r:id="rId4"/>
    <sheet name="Systemic BC Lookups" sheetId="38" state="hidden" r:id="rId5"/>
    <sheet name="TSAT" sheetId="32" r:id="rId6"/>
    <sheet name="TSAT Calculations" sheetId="28" state="hidden" r:id="rId7"/>
    <sheet name="TSAT Lookups" sheetId="30" state="hidden" r:id="rId8"/>
    <sheet name="F1 Crash Severity" sheetId="2" r:id="rId9"/>
    <sheet name="Factor 1 Calculations" sheetId="19" state="hidden" r:id="rId10"/>
    <sheet name="F2 Crash Frequency" sheetId="4" r:id="rId11"/>
    <sheet name="Factor 2 Calculations" sheetId="18" state="hidden" r:id="rId12"/>
    <sheet name="F3 Cost Effectiveness" sheetId="29" r:id="rId13"/>
    <sheet name="Factor 3 Calculations" sheetId="33" state="hidden" r:id="rId14"/>
    <sheet name="CRF Data" sheetId="12" r:id="rId15"/>
    <sheet name="F4 Trauma Center Proximity" sheetId="34" r:id="rId16"/>
    <sheet name="Factor 4 Calculations" sheetId="35" state="hidden" r:id="rId17"/>
    <sheet name="F5 Mobility Improvement" sheetId="7" r:id="rId18"/>
    <sheet name="Factor 5 Calculations" sheetId="25" state="hidden" r:id="rId19"/>
    <sheet name="F6 Public and Other Interest" sheetId="3" r:id="rId20"/>
    <sheet name="Factor 6 Calculations" sheetId="20" state="hidden" r:id="rId21"/>
    <sheet name="F7 Economic Factors" sheetId="23" r:id="rId22"/>
    <sheet name="Factor 7 Calculations" sheetId="27" state="hidden" r:id="rId23"/>
    <sheet name="F8 Earmarks and External Cont." sheetId="8" r:id="rId24"/>
    <sheet name="Factor 8 Calculations" sheetId="26" state="hidden" r:id="rId25"/>
  </sheets>
  <definedNames>
    <definedName name="Crawfordsville" localSheetId="12">Table2[Crawfordsville]</definedName>
    <definedName name="Crawfordsville" localSheetId="15">Table2[Crawfordsville]</definedName>
    <definedName name="Crawfordsville" localSheetId="13">Table2[Crawfordsville]</definedName>
    <definedName name="Crawfordsville" localSheetId="16">Table2[Crawfordsville]</definedName>
    <definedName name="Crawfordsville" localSheetId="3">Table2[Crawfordsville]</definedName>
    <definedName name="Crawfordsville" localSheetId="2">Table2[Crawfordsville]</definedName>
    <definedName name="Crawfordsville" localSheetId="5">Table2[Crawfordsville]</definedName>
    <definedName name="Crawfordsville">Table2[Crawfordsville]</definedName>
    <definedName name="District" localSheetId="12">Table1[District]</definedName>
    <definedName name="District" localSheetId="15">Table1[District]</definedName>
    <definedName name="District" localSheetId="13">Table1[District]</definedName>
    <definedName name="District" localSheetId="16">Table1[District]</definedName>
    <definedName name="District" localSheetId="3">Table1[District]</definedName>
    <definedName name="District" localSheetId="2">Table1[District]</definedName>
    <definedName name="District" localSheetId="5">Table1[District]</definedName>
    <definedName name="District">Table1[District]</definedName>
    <definedName name="FtWayne" localSheetId="12">Table3[Fort Wayne]</definedName>
    <definedName name="FtWayne" localSheetId="15">Table3[Fort Wayne]</definedName>
    <definedName name="FtWayne" localSheetId="13">Table3[Fort Wayne]</definedName>
    <definedName name="FtWayne" localSheetId="16">Table3[Fort Wayne]</definedName>
    <definedName name="FtWayne" localSheetId="3">Table3[Fort Wayne]</definedName>
    <definedName name="FtWayne" localSheetId="2">Table3[Fort Wayne]</definedName>
    <definedName name="FtWayne" localSheetId="5">Table3[Fort Wayne]</definedName>
    <definedName name="FtWayne">Table3[Fort Wayne]</definedName>
    <definedName name="Greenfield" localSheetId="12">Table4[Greenfield]</definedName>
    <definedName name="Greenfield" localSheetId="15">Table4[Greenfield]</definedName>
    <definedName name="Greenfield" localSheetId="13">Table4[Greenfield]</definedName>
    <definedName name="Greenfield" localSheetId="16">Table4[Greenfield]</definedName>
    <definedName name="Greenfield" localSheetId="3">Table4[Greenfield]</definedName>
    <definedName name="Greenfield" localSheetId="2">Table4[Greenfield]</definedName>
    <definedName name="Greenfield" localSheetId="5">Table4[Greenfield]</definedName>
    <definedName name="Greenfield">Table4[Greenfield]</definedName>
    <definedName name="LaPorte" localSheetId="12">Table5[La Porte]</definedName>
    <definedName name="LaPorte" localSheetId="15">Table5[La Porte]</definedName>
    <definedName name="LaPorte" localSheetId="13">Table5[La Porte]</definedName>
    <definedName name="LaPorte" localSheetId="16">Table5[La Porte]</definedName>
    <definedName name="LaPorte" localSheetId="3">Table5[La Porte]</definedName>
    <definedName name="LaPorte" localSheetId="2">Table5[La Porte]</definedName>
    <definedName name="LaPorte" localSheetId="5">Table5[La Porte]</definedName>
    <definedName name="LaPorte">Table5[La Porte]</definedName>
    <definedName name="_xlnm.Print_Area" localSheetId="0">'Cover Sheet'!$B$1:$I$51</definedName>
    <definedName name="_xlnm.Print_Area" localSheetId="14">'CRF Data'!$L$1</definedName>
    <definedName name="_xlnm.Print_Area" localSheetId="8">'F1 Crash Severity'!$A$1:$P$25</definedName>
    <definedName name="_xlnm.Print_Area" localSheetId="10">'F2 Crash Frequency'!$A$1:$P$25</definedName>
    <definedName name="_xlnm.Print_Area" localSheetId="12">'F3 Cost Effectiveness'!$A$7:$J$51</definedName>
    <definedName name="_xlnm.Print_Area" localSheetId="15">'F4 Trauma Center Proximity'!$A$1:$F$16</definedName>
    <definedName name="_xlnm.Print_Area" localSheetId="17">'F5 Mobility Improvement'!$A$1:$F$16</definedName>
    <definedName name="_xlnm.Print_Area" localSheetId="19">'F6 Public and Other Interest'!$A$1:$F$19</definedName>
    <definedName name="_xlnm.Print_Area" localSheetId="21">'F7 Economic Factors'!$A$1:$F$22</definedName>
    <definedName name="_xlnm.Print_Area" localSheetId="23">'F8 Earmarks and External Cont.'!$A$1:$F$17</definedName>
    <definedName name="_xlnm.Print_Area" localSheetId="2">'Systemic Safety BC'!$A$1:$I$55</definedName>
    <definedName name="_xlnm.Print_Area" localSheetId="5">TSAT!$A$1:$K$40</definedName>
    <definedName name="Seymour" localSheetId="12">Table6[Seymour]</definedName>
    <definedName name="Seymour" localSheetId="15">Table6[Seymour]</definedName>
    <definedName name="Seymour" localSheetId="13">Table6[Seymour]</definedName>
    <definedName name="Seymour" localSheetId="16">Table6[Seymour]</definedName>
    <definedName name="Seymour" localSheetId="3">Table6[Seymour]</definedName>
    <definedName name="Seymour" localSheetId="2">Table6[Seymour]</definedName>
    <definedName name="Seymour" localSheetId="5">Table6[Seymour]</definedName>
    <definedName name="Seymour">Table6[Seymour]</definedName>
    <definedName name="Vincennes" localSheetId="12">Table7[Vincennes]</definedName>
    <definedName name="Vincennes" localSheetId="15">Table7[Vincennes]</definedName>
    <definedName name="Vincennes" localSheetId="13">Table7[Vincennes]</definedName>
    <definedName name="Vincennes" localSheetId="16">Table7[Vincennes]</definedName>
    <definedName name="Vincennes" localSheetId="3">Table7[Vincennes]</definedName>
    <definedName name="Vincennes" localSheetId="2">Table7[Vincennes]</definedName>
    <definedName name="Vincennes" localSheetId="5">Table7[Vincennes]</definedName>
    <definedName name="Vincennes">Table7[Vincennes]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1" l="1"/>
  <c r="C9" i="32"/>
  <c r="D54" i="37" l="1"/>
  <c r="D53" i="37"/>
  <c r="D52" i="37"/>
  <c r="D50" i="37"/>
  <c r="D49" i="37"/>
  <c r="D49" i="28"/>
  <c r="D53" i="28"/>
  <c r="C11" i="34"/>
  <c r="B49" i="33"/>
  <c r="B50" i="33"/>
  <c r="B51" i="33"/>
  <c r="B52" i="33"/>
  <c r="B53" i="33"/>
  <c r="B54" i="33"/>
  <c r="B55" i="33"/>
  <c r="B56" i="33"/>
  <c r="B57" i="33"/>
  <c r="B58" i="33"/>
  <c r="B48" i="33"/>
  <c r="C13" i="29"/>
  <c r="C14" i="29" s="1"/>
  <c r="B33" i="18"/>
  <c r="B32" i="18"/>
  <c r="B31" i="18"/>
  <c r="B3" i="18"/>
  <c r="B4" i="18"/>
  <c r="B5" i="18"/>
  <c r="B6" i="18"/>
  <c r="B7" i="18"/>
  <c r="B8" i="18"/>
  <c r="B9" i="18"/>
  <c r="B10" i="18"/>
  <c r="B11" i="18"/>
  <c r="B14" i="18"/>
  <c r="B15" i="18"/>
  <c r="B16" i="18"/>
  <c r="B17" i="18"/>
  <c r="B18" i="18"/>
  <c r="B19" i="18"/>
  <c r="B20" i="18"/>
  <c r="B21" i="18"/>
  <c r="B22" i="18"/>
  <c r="B23" i="18"/>
  <c r="B24" i="18"/>
  <c r="B25" i="18"/>
  <c r="B26" i="18"/>
  <c r="B27" i="18"/>
  <c r="B28" i="18"/>
  <c r="B29" i="18"/>
  <c r="B30" i="18"/>
  <c r="B2" i="18"/>
  <c r="B25" i="19" l="1"/>
  <c r="B26" i="19"/>
  <c r="B27" i="19"/>
  <c r="B24" i="19"/>
  <c r="B4" i="19"/>
  <c r="B5" i="19"/>
  <c r="B6" i="19"/>
  <c r="B7" i="19"/>
  <c r="B3" i="19"/>
  <c r="B8" i="19"/>
  <c r="B9" i="19"/>
  <c r="B10" i="19"/>
  <c r="B11" i="19"/>
  <c r="B12" i="19"/>
  <c r="B13" i="19"/>
  <c r="B14" i="19"/>
  <c r="B15" i="19"/>
  <c r="B16" i="19"/>
  <c r="B17" i="19"/>
  <c r="B18" i="19"/>
  <c r="B19" i="19"/>
  <c r="B20" i="19"/>
  <c r="B21" i="19"/>
  <c r="B22" i="19"/>
  <c r="B23" i="19"/>
  <c r="B2" i="19"/>
  <c r="K10" i="32" l="1"/>
  <c r="C18" i="29"/>
  <c r="C28" i="29"/>
  <c r="H15" i="32" l="1"/>
  <c r="H14" i="32"/>
  <c r="J6" i="37"/>
  <c r="B27" i="37"/>
  <c r="B6" i="37"/>
  <c r="B26" i="37"/>
  <c r="B25" i="37"/>
  <c r="B16" i="37"/>
  <c r="B18" i="37"/>
  <c r="B19" i="37"/>
  <c r="B20" i="37"/>
  <c r="B21" i="37"/>
  <c r="B17" i="37"/>
  <c r="B8" i="37"/>
  <c r="B7" i="37"/>
  <c r="B3" i="37"/>
  <c r="B4" i="37"/>
  <c r="B5" i="37"/>
  <c r="B2" i="37"/>
  <c r="D54" i="28"/>
  <c r="D50" i="28"/>
  <c r="D52" i="28"/>
  <c r="AC39" i="37" l="1"/>
  <c r="AF42" i="37"/>
  <c r="AF41" i="37"/>
  <c r="AF40" i="37"/>
  <c r="AF39" i="37"/>
  <c r="AF38" i="37"/>
  <c r="AF37" i="37"/>
  <c r="AF36" i="37"/>
  <c r="AF35" i="37"/>
  <c r="AF33" i="37"/>
  <c r="AF32" i="37"/>
  <c r="AF31" i="37"/>
  <c r="AF34" i="37"/>
  <c r="U39" i="37"/>
  <c r="I41" i="37"/>
  <c r="AC37" i="37"/>
  <c r="O41" i="37"/>
  <c r="AC36" i="37"/>
  <c r="U41" i="37"/>
  <c r="AC35" i="37"/>
  <c r="AC34" i="37"/>
  <c r="AC33" i="37"/>
  <c r="O39" i="37"/>
  <c r="AC38" i="37"/>
  <c r="A22" i="37"/>
  <c r="B56" i="37" s="1"/>
  <c r="I31" i="37"/>
  <c r="I37" i="37"/>
  <c r="O37" i="37"/>
  <c r="U37" i="37"/>
  <c r="O35" i="37"/>
  <c r="I39" i="37"/>
  <c r="AZ37" i="37"/>
  <c r="BE37" i="37" s="1"/>
  <c r="U35" i="37"/>
  <c r="I32" i="37"/>
  <c r="AC32" i="37"/>
  <c r="AC42" i="37"/>
  <c r="O32" i="37"/>
  <c r="AC31" i="37"/>
  <c r="U32" i="37"/>
  <c r="I33" i="37"/>
  <c r="O33" i="37"/>
  <c r="AC41" i="37"/>
  <c r="U34" i="37"/>
  <c r="AC40" i="37"/>
  <c r="I35" i="37"/>
  <c r="A10" i="37"/>
  <c r="B39" i="37" s="1"/>
  <c r="U33" i="37"/>
  <c r="I49" i="37"/>
  <c r="I50" i="37"/>
  <c r="I52" i="37"/>
  <c r="M49" i="37"/>
  <c r="I53" i="37"/>
  <c r="I54" i="37"/>
  <c r="O31" i="37"/>
  <c r="M50" i="37"/>
  <c r="M55" i="37"/>
  <c r="I42" i="37"/>
  <c r="I55" i="37"/>
  <c r="U31" i="37"/>
  <c r="O42" i="37"/>
  <c r="I40" i="37"/>
  <c r="U42" i="37"/>
  <c r="O40" i="37"/>
  <c r="I38" i="37"/>
  <c r="U40" i="37"/>
  <c r="M53" i="37"/>
  <c r="M52" i="37"/>
  <c r="I36" i="37"/>
  <c r="O38" i="37"/>
  <c r="O36" i="37"/>
  <c r="U38" i="37"/>
  <c r="I51" i="37"/>
  <c r="I56" i="37"/>
  <c r="M54" i="37"/>
  <c r="I34" i="37"/>
  <c r="U36" i="37"/>
  <c r="O34" i="37"/>
  <c r="M51" i="37"/>
  <c r="M56" i="37"/>
  <c r="B34" i="29"/>
  <c r="B32" i="29"/>
  <c r="B30" i="29"/>
  <c r="B29" i="29"/>
  <c r="B28" i="29"/>
  <c r="C50" i="1"/>
  <c r="L19" i="27"/>
  <c r="L20" i="27"/>
  <c r="L21" i="27"/>
  <c r="L22" i="27"/>
  <c r="L23" i="27"/>
  <c r="L24" i="27"/>
  <c r="L25" i="27"/>
  <c r="L26" i="27"/>
  <c r="L27" i="27"/>
  <c r="L28" i="27"/>
  <c r="L29" i="27"/>
  <c r="L30" i="27"/>
  <c r="L31" i="27"/>
  <c r="L32" i="27"/>
  <c r="L33" i="27"/>
  <c r="L34" i="27"/>
  <c r="L18" i="27"/>
  <c r="F22" i="1"/>
  <c r="H26" i="1"/>
  <c r="D28" i="29"/>
  <c r="B3" i="33"/>
  <c r="C13" i="33"/>
  <c r="B1" i="33"/>
  <c r="K17" i="28"/>
  <c r="L17" i="28" s="1"/>
  <c r="K18" i="28"/>
  <c r="L18" i="28" s="1"/>
  <c r="K19" i="28"/>
  <c r="L19" i="28" s="1"/>
  <c r="K20" i="28"/>
  <c r="L20" i="28" s="1"/>
  <c r="K16" i="28"/>
  <c r="L16" i="28" s="1"/>
  <c r="J20" i="28"/>
  <c r="J19" i="28"/>
  <c r="J18" i="28"/>
  <c r="J17" i="28"/>
  <c r="J16" i="28"/>
  <c r="B17" i="28"/>
  <c r="B18" i="28"/>
  <c r="B19" i="28"/>
  <c r="B20" i="28"/>
  <c r="B16" i="28"/>
  <c r="B15" i="33"/>
  <c r="B3" i="28"/>
  <c r="K3" i="28"/>
  <c r="L3" i="28" s="1"/>
  <c r="K4" i="28"/>
  <c r="L4" i="28" s="1"/>
  <c r="K5" i="28"/>
  <c r="L5" i="28" s="1"/>
  <c r="K6" i="28"/>
  <c r="L6" i="28" s="1"/>
  <c r="K2" i="28"/>
  <c r="L2" i="28" s="1"/>
  <c r="B7" i="28"/>
  <c r="B8" i="28"/>
  <c r="B4" i="28"/>
  <c r="B5" i="28"/>
  <c r="B6" i="28"/>
  <c r="B2" i="28"/>
  <c r="J3" i="28"/>
  <c r="J4" i="28"/>
  <c r="J5" i="28"/>
  <c r="J6" i="28"/>
  <c r="J2" i="28"/>
  <c r="BH40" i="29"/>
  <c r="BH41" i="29" s="1"/>
  <c r="B13" i="33"/>
  <c r="B19" i="33"/>
  <c r="B23" i="33" s="1"/>
  <c r="C9" i="29"/>
  <c r="C12" i="29" s="1"/>
  <c r="G105" i="12"/>
  <c r="G104" i="12"/>
  <c r="G103" i="12"/>
  <c r="G102" i="12"/>
  <c r="G101" i="12"/>
  <c r="G100" i="12"/>
  <c r="G99" i="12"/>
  <c r="G98" i="12"/>
  <c r="G97" i="12"/>
  <c r="G96" i="12"/>
  <c r="G95" i="12"/>
  <c r="G94" i="12"/>
  <c r="G93" i="12"/>
  <c r="G92" i="12"/>
  <c r="G91" i="12"/>
  <c r="G90" i="12"/>
  <c r="G89" i="12"/>
  <c r="G88" i="12"/>
  <c r="G87" i="12"/>
  <c r="G86" i="12"/>
  <c r="G85" i="12"/>
  <c r="G84" i="12"/>
  <c r="G83" i="12"/>
  <c r="G82" i="12"/>
  <c r="G76" i="12"/>
  <c r="G75" i="12"/>
  <c r="G74"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AP36" i="37" l="1"/>
  <c r="AQ36" i="37"/>
  <c r="AW36" i="37" s="1"/>
  <c r="BB36" i="37" s="1"/>
  <c r="AR36" i="37"/>
  <c r="AS36" i="37"/>
  <c r="AY36" i="37" s="1"/>
  <c r="BD36" i="37" s="1"/>
  <c r="AT36" i="37"/>
  <c r="AU36" i="37"/>
  <c r="AP33" i="37"/>
  <c r="AR33" i="37"/>
  <c r="AX33" i="37" s="1"/>
  <c r="BC33" i="37" s="1"/>
  <c r="AT33" i="37"/>
  <c r="AU33" i="37"/>
  <c r="AQ33" i="37"/>
  <c r="AW33" i="37" s="1"/>
  <c r="BB33" i="37" s="1"/>
  <c r="AS33" i="37"/>
  <c r="AY33" i="37" s="1"/>
  <c r="BD33" i="37" s="1"/>
  <c r="AP39" i="37"/>
  <c r="AV39" i="37" s="1"/>
  <c r="BA39" i="37" s="1"/>
  <c r="AR39" i="37"/>
  <c r="AQ39" i="37"/>
  <c r="AW39" i="37" s="1"/>
  <c r="BB39" i="37" s="1"/>
  <c r="AS39" i="37"/>
  <c r="AY39" i="37" s="1"/>
  <c r="BD39" i="37" s="1"/>
  <c r="AT39" i="37"/>
  <c r="AU39" i="37"/>
  <c r="AQ42" i="37"/>
  <c r="AW42" i="37" s="1"/>
  <c r="BB42" i="37" s="1"/>
  <c r="AT42" i="37"/>
  <c r="AP42" i="37"/>
  <c r="AR42" i="37"/>
  <c r="AX42" i="37" s="1"/>
  <c r="BC42" i="37" s="1"/>
  <c r="AS42" i="37"/>
  <c r="AY42" i="37" s="1"/>
  <c r="BD42" i="37" s="1"/>
  <c r="AU42" i="37"/>
  <c r="AP38" i="37"/>
  <c r="AR38" i="37"/>
  <c r="AT38" i="37"/>
  <c r="AU38" i="37"/>
  <c r="AQ38" i="37"/>
  <c r="AW38" i="37" s="1"/>
  <c r="BB38" i="37" s="1"/>
  <c r="AS38" i="37"/>
  <c r="AY38" i="37" s="1"/>
  <c r="BD38" i="37" s="1"/>
  <c r="AQ35" i="37"/>
  <c r="AW35" i="37" s="1"/>
  <c r="BB35" i="37" s="1"/>
  <c r="AS35" i="37"/>
  <c r="AY35" i="37" s="1"/>
  <c r="BD35" i="37" s="1"/>
  <c r="AT35" i="37"/>
  <c r="AU35" i="37"/>
  <c r="AP35" i="37"/>
  <c r="AR35" i="37"/>
  <c r="AX35" i="37" s="1"/>
  <c r="BC35" i="37" s="1"/>
  <c r="AP32" i="37"/>
  <c r="AR32" i="37"/>
  <c r="AX32" i="37" s="1"/>
  <c r="BC32" i="37" s="1"/>
  <c r="AQ32" i="37"/>
  <c r="AW32" i="37" s="1"/>
  <c r="BB32" i="37" s="1"/>
  <c r="AS32" i="37"/>
  <c r="AY32" i="37" s="1"/>
  <c r="BD32" i="37" s="1"/>
  <c r="AT32" i="37"/>
  <c r="AU32" i="37"/>
  <c r="AQ37" i="37"/>
  <c r="AW37" i="37" s="1"/>
  <c r="BB37" i="37" s="1"/>
  <c r="AS37" i="37"/>
  <c r="AY37" i="37" s="1"/>
  <c r="BD37" i="37" s="1"/>
  <c r="AP37" i="37"/>
  <c r="AR37" i="37"/>
  <c r="AX37" i="37" s="1"/>
  <c r="BC37" i="37" s="1"/>
  <c r="AT37" i="37"/>
  <c r="AU37" i="37"/>
  <c r="AP40" i="37"/>
  <c r="AQ40" i="37"/>
  <c r="AW40" i="37" s="1"/>
  <c r="BB40" i="37" s="1"/>
  <c r="AR40" i="37"/>
  <c r="AS40" i="37"/>
  <c r="AT40" i="37"/>
  <c r="AU40" i="37"/>
  <c r="AR31" i="37"/>
  <c r="AX31" i="37" s="1"/>
  <c r="BC31" i="37" s="1"/>
  <c r="AT31" i="37"/>
  <c r="AP31" i="37"/>
  <c r="AQ31" i="37"/>
  <c r="AW31" i="37" s="1"/>
  <c r="BB31" i="37" s="1"/>
  <c r="AS31" i="37"/>
  <c r="AY31" i="37" s="1"/>
  <c r="BD31" i="37" s="1"/>
  <c r="AU31" i="37"/>
  <c r="AP41" i="37"/>
  <c r="AR41" i="37"/>
  <c r="AX41" i="37" s="1"/>
  <c r="BC41" i="37" s="1"/>
  <c r="AU41" i="37"/>
  <c r="AQ41" i="37"/>
  <c r="AW41" i="37" s="1"/>
  <c r="BB41" i="37" s="1"/>
  <c r="AS41" i="37"/>
  <c r="AY41" i="37" s="1"/>
  <c r="BD41" i="37" s="1"/>
  <c r="AT41" i="37"/>
  <c r="AQ34" i="37"/>
  <c r="AW34" i="37" s="1"/>
  <c r="BB34" i="37" s="1"/>
  <c r="AS34" i="37"/>
  <c r="AY34" i="37" s="1"/>
  <c r="BD34" i="37" s="1"/>
  <c r="AP34" i="37"/>
  <c r="AR34" i="37"/>
  <c r="AX34" i="37" s="1"/>
  <c r="BC34" i="37" s="1"/>
  <c r="AT34" i="37"/>
  <c r="AU34" i="37"/>
  <c r="U35" i="28"/>
  <c r="AF33" i="28"/>
  <c r="AF34" i="28"/>
  <c r="AF35" i="28"/>
  <c r="AF36" i="28"/>
  <c r="AF39" i="28"/>
  <c r="AF40" i="28"/>
  <c r="AF41" i="28"/>
  <c r="AF42" i="28"/>
  <c r="AF31" i="28"/>
  <c r="AF32" i="28"/>
  <c r="AF37" i="28"/>
  <c r="AF38" i="28"/>
  <c r="C19" i="33"/>
  <c r="B21" i="33"/>
  <c r="B22" i="33" s="1"/>
  <c r="AZ34" i="37"/>
  <c r="BE34" i="37" s="1"/>
  <c r="AZ39" i="37"/>
  <c r="BE39" i="37" s="1"/>
  <c r="AX39" i="37"/>
  <c r="BC39" i="37" s="1"/>
  <c r="AZ40" i="37"/>
  <c r="BE40" i="37" s="1"/>
  <c r="AC32" i="28"/>
  <c r="AC37" i="28"/>
  <c r="AC41" i="28"/>
  <c r="AC34" i="28"/>
  <c r="AC36" i="28"/>
  <c r="AC39" i="28"/>
  <c r="AC33" i="28"/>
  <c r="AC38" i="28"/>
  <c r="AC40" i="28"/>
  <c r="AC31" i="28"/>
  <c r="AC35" i="28"/>
  <c r="AC42" i="28"/>
  <c r="B52" i="37"/>
  <c r="B54" i="37"/>
  <c r="B55" i="37"/>
  <c r="B53" i="37"/>
  <c r="B50" i="37"/>
  <c r="B49" i="37"/>
  <c r="B51" i="37"/>
  <c r="W49" i="37"/>
  <c r="AA52" i="37"/>
  <c r="AG52" i="37" s="1"/>
  <c r="AL52" i="37" s="1"/>
  <c r="AX40" i="37"/>
  <c r="BC40" i="37" s="1"/>
  <c r="AY40" i="37"/>
  <c r="BD40" i="37" s="1"/>
  <c r="AZ36" i="37"/>
  <c r="BE36" i="37" s="1"/>
  <c r="AX36" i="37"/>
  <c r="BC36" i="37" s="1"/>
  <c r="AX38" i="37"/>
  <c r="BC38" i="37" s="1"/>
  <c r="AZ38" i="37"/>
  <c r="BE38" i="37" s="1"/>
  <c r="AZ33" i="37"/>
  <c r="BE33" i="37" s="1"/>
  <c r="AZ31" i="37"/>
  <c r="BE31" i="37" s="1"/>
  <c r="AZ41" i="37"/>
  <c r="BE41" i="37" s="1"/>
  <c r="AZ35" i="37"/>
  <c r="BE35" i="37" s="1"/>
  <c r="AZ42" i="37"/>
  <c r="BE42" i="37" s="1"/>
  <c r="AZ32" i="37"/>
  <c r="BE32" i="37" s="1"/>
  <c r="B31" i="37"/>
  <c r="B41" i="37"/>
  <c r="B34" i="37"/>
  <c r="B40" i="37"/>
  <c r="B37" i="37"/>
  <c r="B36" i="37"/>
  <c r="B32" i="37"/>
  <c r="B33" i="37"/>
  <c r="B38" i="37"/>
  <c r="B35" i="37"/>
  <c r="B42" i="37"/>
  <c r="W54" i="37"/>
  <c r="W53" i="37"/>
  <c r="X53" i="37"/>
  <c r="AD53" i="37" s="1"/>
  <c r="AI53" i="37" s="1"/>
  <c r="Y53" i="37"/>
  <c r="AE53" i="37" s="1"/>
  <c r="AJ53" i="37" s="1"/>
  <c r="Z50" i="37"/>
  <c r="AF50" i="37" s="1"/>
  <c r="AK50" i="37" s="1"/>
  <c r="W50" i="37"/>
  <c r="X50" i="37"/>
  <c r="AD50" i="37" s="1"/>
  <c r="AI50" i="37" s="1"/>
  <c r="Y50" i="37"/>
  <c r="AE50" i="37" s="1"/>
  <c r="AJ50" i="37" s="1"/>
  <c r="AA50" i="37"/>
  <c r="AG50" i="37" s="1"/>
  <c r="AL50" i="37" s="1"/>
  <c r="Z53" i="37"/>
  <c r="AF53" i="37" s="1"/>
  <c r="AK53" i="37" s="1"/>
  <c r="Z55" i="37"/>
  <c r="AF55" i="37" s="1"/>
  <c r="AK55" i="37" s="1"/>
  <c r="AA55" i="37"/>
  <c r="AG55" i="37" s="1"/>
  <c r="AL55" i="37" s="1"/>
  <c r="W55" i="37"/>
  <c r="AA53" i="37"/>
  <c r="AG53" i="37" s="1"/>
  <c r="AL53" i="37" s="1"/>
  <c r="X54" i="37"/>
  <c r="AD54" i="37" s="1"/>
  <c r="AI54" i="37" s="1"/>
  <c r="Y54" i="37"/>
  <c r="AE54" i="37" s="1"/>
  <c r="AJ54" i="37" s="1"/>
  <c r="X56" i="37"/>
  <c r="AD56" i="37" s="1"/>
  <c r="AI56" i="37" s="1"/>
  <c r="Y56" i="37"/>
  <c r="AE56" i="37" s="1"/>
  <c r="AJ56" i="37" s="1"/>
  <c r="Z56" i="37"/>
  <c r="AF56" i="37" s="1"/>
  <c r="AK56" i="37" s="1"/>
  <c r="AA56" i="37"/>
  <c r="AG56" i="37" s="1"/>
  <c r="AL56" i="37" s="1"/>
  <c r="W56" i="37"/>
  <c r="Z54" i="37"/>
  <c r="AF54" i="37" s="1"/>
  <c r="AK54" i="37" s="1"/>
  <c r="AA54" i="37"/>
  <c r="AG54" i="37" s="1"/>
  <c r="AL54" i="37" s="1"/>
  <c r="X51" i="37"/>
  <c r="AD51" i="37" s="1"/>
  <c r="AI51" i="37" s="1"/>
  <c r="Y51" i="37"/>
  <c r="AE51" i="37" s="1"/>
  <c r="AJ51" i="37" s="1"/>
  <c r="Z51" i="37"/>
  <c r="AF51" i="37" s="1"/>
  <c r="AK51" i="37" s="1"/>
  <c r="AA51" i="37"/>
  <c r="AG51" i="37" s="1"/>
  <c r="AL51" i="37" s="1"/>
  <c r="W51" i="37"/>
  <c r="Z49" i="37"/>
  <c r="AF49" i="37" s="1"/>
  <c r="AK49" i="37" s="1"/>
  <c r="AA49" i="37"/>
  <c r="AG49" i="37" s="1"/>
  <c r="AL49" i="37" s="1"/>
  <c r="X49" i="37"/>
  <c r="AD49" i="37" s="1"/>
  <c r="AI49" i="37" s="1"/>
  <c r="X55" i="37"/>
  <c r="AD55" i="37" s="1"/>
  <c r="AI55" i="37" s="1"/>
  <c r="Y49" i="37"/>
  <c r="AE49" i="37" s="1"/>
  <c r="AJ49" i="37" s="1"/>
  <c r="Y55" i="37"/>
  <c r="AE55" i="37" s="1"/>
  <c r="AJ55" i="37" s="1"/>
  <c r="W52" i="37"/>
  <c r="X52" i="37"/>
  <c r="AD52" i="37" s="1"/>
  <c r="AI52" i="37" s="1"/>
  <c r="Y52" i="37"/>
  <c r="AE52" i="37" s="1"/>
  <c r="AJ52" i="37" s="1"/>
  <c r="Z52" i="37"/>
  <c r="AF52" i="37" s="1"/>
  <c r="AK52" i="37" s="1"/>
  <c r="O39" i="28"/>
  <c r="M16" i="28"/>
  <c r="I55" i="28"/>
  <c r="I50" i="28"/>
  <c r="I52" i="28"/>
  <c r="I56" i="28"/>
  <c r="K21" i="28"/>
  <c r="M2" i="28"/>
  <c r="M17" i="28"/>
  <c r="I49" i="28"/>
  <c r="I54" i="28"/>
  <c r="I53" i="28"/>
  <c r="I51" i="28"/>
  <c r="M52" i="28"/>
  <c r="M51" i="28"/>
  <c r="M53" i="28"/>
  <c r="M54" i="28"/>
  <c r="M19" i="28"/>
  <c r="M50" i="28"/>
  <c r="M20" i="28"/>
  <c r="M49" i="28"/>
  <c r="M56" i="28"/>
  <c r="M55" i="28"/>
  <c r="M18" i="28"/>
  <c r="I31" i="28"/>
  <c r="U31" i="28"/>
  <c r="A22" i="28"/>
  <c r="B49" i="28" s="1"/>
  <c r="M3" i="28"/>
  <c r="I32" i="28"/>
  <c r="L7" i="28"/>
  <c r="K7" i="28"/>
  <c r="A10" i="28"/>
  <c r="O34" i="28"/>
  <c r="O32" i="28"/>
  <c r="U42" i="28"/>
  <c r="O38" i="28"/>
  <c r="I33" i="28"/>
  <c r="O40" i="28"/>
  <c r="U41" i="28"/>
  <c r="U40" i="28"/>
  <c r="U39" i="28"/>
  <c r="U38" i="28"/>
  <c r="U37" i="28"/>
  <c r="U36" i="28"/>
  <c r="I42" i="28"/>
  <c r="U34" i="28"/>
  <c r="I41" i="28"/>
  <c r="U33" i="28"/>
  <c r="I40" i="28"/>
  <c r="U32" i="28"/>
  <c r="I39" i="28"/>
  <c r="I38" i="28"/>
  <c r="I37" i="28"/>
  <c r="I36" i="28"/>
  <c r="I35" i="28"/>
  <c r="I34" i="28"/>
  <c r="O31" i="28"/>
  <c r="O42" i="28"/>
  <c r="O41" i="28"/>
  <c r="O36" i="28"/>
  <c r="O35" i="28"/>
  <c r="O37" i="28"/>
  <c r="O33" i="28"/>
  <c r="M4" i="28"/>
  <c r="M6" i="28"/>
  <c r="M5" i="28"/>
  <c r="BI40" i="29"/>
  <c r="C9" i="23"/>
  <c r="L35" i="27"/>
  <c r="B1" i="27"/>
  <c r="AS35" i="28" l="1"/>
  <c r="AP35" i="28"/>
  <c r="AR35" i="28"/>
  <c r="AQ35" i="28"/>
  <c r="AT35" i="28"/>
  <c r="AP42" i="28"/>
  <c r="AS42" i="28"/>
  <c r="AR42" i="28"/>
  <c r="AQ42" i="28"/>
  <c r="AT42" i="28"/>
  <c r="AS31" i="28"/>
  <c r="AP31" i="28"/>
  <c r="AQ31" i="28"/>
  <c r="AT31" i="28"/>
  <c r="AR31" i="28"/>
  <c r="AQ40" i="28"/>
  <c r="AS40" i="28"/>
  <c r="AT40" i="28"/>
  <c r="AP40" i="28"/>
  <c r="AR40" i="28"/>
  <c r="AS33" i="28"/>
  <c r="AT33" i="28"/>
  <c r="AP33" i="28"/>
  <c r="AQ33" i="28"/>
  <c r="AR33" i="28"/>
  <c r="AP38" i="28"/>
  <c r="AQ38" i="28"/>
  <c r="AR38" i="28"/>
  <c r="AS38" i="28"/>
  <c r="AT38" i="28"/>
  <c r="AR39" i="28"/>
  <c r="AS39" i="28"/>
  <c r="AT39" i="28"/>
  <c r="AP39" i="28"/>
  <c r="AQ39" i="28"/>
  <c r="AQ41" i="28"/>
  <c r="AT41" i="28"/>
  <c r="AS41" i="28"/>
  <c r="AP41" i="28"/>
  <c r="AR41" i="28"/>
  <c r="AR32" i="28"/>
  <c r="AS32" i="28"/>
  <c r="AT32" i="28"/>
  <c r="AQ32" i="28"/>
  <c r="AP32" i="28"/>
  <c r="AR36" i="28"/>
  <c r="AQ36" i="28"/>
  <c r="AT36" i="28"/>
  <c r="AS36" i="28"/>
  <c r="AP36" i="28"/>
  <c r="AQ37" i="28"/>
  <c r="AR37" i="28"/>
  <c r="AT37" i="28"/>
  <c r="AP37" i="28"/>
  <c r="AS37" i="28"/>
  <c r="AP34" i="28"/>
  <c r="AQ34" i="28"/>
  <c r="AS34" i="28"/>
  <c r="AT34" i="28"/>
  <c r="AR34" i="28"/>
  <c r="D19" i="33"/>
  <c r="C21" i="33"/>
  <c r="C22" i="33" s="1"/>
  <c r="BF39" i="37"/>
  <c r="W49" i="28"/>
  <c r="AC53" i="37"/>
  <c r="AH53" i="37" s="1"/>
  <c r="AM53" i="37" s="1"/>
  <c r="AB53" i="37"/>
  <c r="AC54" i="37"/>
  <c r="AH54" i="37" s="1"/>
  <c r="AM54" i="37" s="1"/>
  <c r="AB54" i="37"/>
  <c r="AC56" i="37"/>
  <c r="AH56" i="37" s="1"/>
  <c r="AM56" i="37" s="1"/>
  <c r="AB56" i="37"/>
  <c r="AC55" i="37"/>
  <c r="AH55" i="37" s="1"/>
  <c r="AM55" i="37" s="1"/>
  <c r="AB55" i="37"/>
  <c r="AC52" i="37"/>
  <c r="AH52" i="37" s="1"/>
  <c r="AM52" i="37" s="1"/>
  <c r="AB52" i="37"/>
  <c r="AC49" i="37"/>
  <c r="AH49" i="37" s="1"/>
  <c r="AM49" i="37" s="1"/>
  <c r="AB49" i="37"/>
  <c r="AC50" i="37"/>
  <c r="AH50" i="37" s="1"/>
  <c r="AM50" i="37" s="1"/>
  <c r="AB50" i="37"/>
  <c r="AC51" i="37"/>
  <c r="AH51" i="37" s="1"/>
  <c r="AM51" i="37" s="1"/>
  <c r="AB51" i="37"/>
  <c r="AV37" i="37"/>
  <c r="BA37" i="37" s="1"/>
  <c r="BF37" i="37" s="1"/>
  <c r="AV35" i="37"/>
  <c r="BA35" i="37" s="1"/>
  <c r="BF35" i="37" s="1"/>
  <c r="AV40" i="37"/>
  <c r="BA40" i="37" s="1"/>
  <c r="BF40" i="37" s="1"/>
  <c r="AV33" i="37"/>
  <c r="BA33" i="37" s="1"/>
  <c r="BF33" i="37" s="1"/>
  <c r="AV32" i="37"/>
  <c r="BA32" i="37" s="1"/>
  <c r="BF32" i="37" s="1"/>
  <c r="AV38" i="37"/>
  <c r="BA38" i="37" s="1"/>
  <c r="BF38" i="37" s="1"/>
  <c r="AV41" i="37"/>
  <c r="BA41" i="37" s="1"/>
  <c r="BF41" i="37" s="1"/>
  <c r="AV36" i="37"/>
  <c r="BA36" i="37" s="1"/>
  <c r="BF36" i="37" s="1"/>
  <c r="AV42" i="37"/>
  <c r="BA42" i="37" s="1"/>
  <c r="BF42" i="37" s="1"/>
  <c r="AV34" i="37"/>
  <c r="BA34" i="37" s="1"/>
  <c r="BF34" i="37" s="1"/>
  <c r="C53" i="37"/>
  <c r="C56" i="37"/>
  <c r="C49" i="37"/>
  <c r="C50" i="37"/>
  <c r="C51" i="37"/>
  <c r="C54" i="37"/>
  <c r="C52" i="37"/>
  <c r="C55" i="37"/>
  <c r="AV31" i="37"/>
  <c r="BA31" i="37" s="1"/>
  <c r="BF31" i="37" s="1"/>
  <c r="C42" i="37"/>
  <c r="C38" i="37"/>
  <c r="C34" i="37"/>
  <c r="C37" i="37"/>
  <c r="C39" i="37"/>
  <c r="C36" i="37"/>
  <c r="C40" i="37"/>
  <c r="C32" i="37"/>
  <c r="C41" i="37"/>
  <c r="C33" i="37"/>
  <c r="C35" i="37"/>
  <c r="C31" i="37"/>
  <c r="B34" i="28"/>
  <c r="B31" i="28"/>
  <c r="Z49" i="28"/>
  <c r="W51" i="28"/>
  <c r="L21" i="28"/>
  <c r="M21" i="28"/>
  <c r="AA52" i="28"/>
  <c r="W52" i="28"/>
  <c r="Y52" i="28"/>
  <c r="Z52" i="28"/>
  <c r="X52" i="28"/>
  <c r="Z55" i="28"/>
  <c r="AA55" i="28"/>
  <c r="W55" i="28"/>
  <c r="X55" i="28"/>
  <c r="Y55" i="28"/>
  <c r="Z51" i="28"/>
  <c r="X51" i="28"/>
  <c r="Y51" i="28"/>
  <c r="AA51" i="28"/>
  <c r="W53" i="28"/>
  <c r="X53" i="28"/>
  <c r="Y53" i="28"/>
  <c r="Z53" i="28"/>
  <c r="AA53" i="28"/>
  <c r="AA54" i="28"/>
  <c r="X54" i="28"/>
  <c r="Z54" i="28"/>
  <c r="Y54" i="28"/>
  <c r="W54" i="28"/>
  <c r="X49" i="28"/>
  <c r="Y49" i="28"/>
  <c r="AA49" i="28"/>
  <c r="W56" i="28"/>
  <c r="X56" i="28"/>
  <c r="Y56" i="28"/>
  <c r="Z56" i="28"/>
  <c r="AA56" i="28"/>
  <c r="W50" i="28"/>
  <c r="Z50" i="28"/>
  <c r="AA50" i="28"/>
  <c r="X50" i="28"/>
  <c r="Y50" i="28"/>
  <c r="B50" i="28"/>
  <c r="B53" i="28"/>
  <c r="B51" i="28"/>
  <c r="B55" i="28"/>
  <c r="B54" i="28"/>
  <c r="B52" i="28"/>
  <c r="B56" i="28"/>
  <c r="M7" i="28"/>
  <c r="B32" i="28"/>
  <c r="B36" i="28"/>
  <c r="B37" i="28"/>
  <c r="B39" i="28"/>
  <c r="B40" i="28"/>
  <c r="B42" i="28"/>
  <c r="B33" i="28"/>
  <c r="B38" i="28"/>
  <c r="B41" i="28"/>
  <c r="B35" i="28"/>
  <c r="BJ40" i="29"/>
  <c r="BI41" i="29"/>
  <c r="E19" i="33" l="1"/>
  <c r="D21" i="33"/>
  <c r="J2" i="37" a="1"/>
  <c r="J2" i="37" s="1"/>
  <c r="K2" i="37" a="1"/>
  <c r="K2" i="37" s="1"/>
  <c r="J7" i="37" a="1"/>
  <c r="J7" i="37" s="1"/>
  <c r="K7" i="37" a="1"/>
  <c r="K7" i="37" s="1"/>
  <c r="C31" i="28"/>
  <c r="C49" i="28"/>
  <c r="C56" i="28"/>
  <c r="C52" i="28"/>
  <c r="C54" i="28"/>
  <c r="C55" i="28"/>
  <c r="C51" i="28"/>
  <c r="C53" i="28"/>
  <c r="C50" i="28"/>
  <c r="C32" i="28"/>
  <c r="C35" i="28"/>
  <c r="C38" i="28"/>
  <c r="C33" i="28"/>
  <c r="C42" i="28"/>
  <c r="C40" i="28"/>
  <c r="C39" i="28"/>
  <c r="C41" i="28"/>
  <c r="C37" i="28"/>
  <c r="C36" i="28"/>
  <c r="C34" i="28"/>
  <c r="BK40" i="29"/>
  <c r="BJ41" i="29"/>
  <c r="I12" i="28" l="1"/>
  <c r="I11" i="28"/>
  <c r="F19" i="33"/>
  <c r="E21" i="33"/>
  <c r="I26" i="28"/>
  <c r="I25" i="28"/>
  <c r="J8" i="37"/>
  <c r="H13" i="36" s="1"/>
  <c r="H12" i="36"/>
  <c r="J3" i="37"/>
  <c r="H9" i="36"/>
  <c r="K4" i="37"/>
  <c r="J4" i="37"/>
  <c r="K3" i="37"/>
  <c r="N16" i="28" a="1"/>
  <c r="N16" i="28" s="1"/>
  <c r="O16" i="28" s="1"/>
  <c r="N20" i="28" a="1"/>
  <c r="N20" i="28" s="1"/>
  <c r="O20" i="28" s="1"/>
  <c r="N18" i="28" a="1"/>
  <c r="N18" i="28" s="1"/>
  <c r="O18" i="28" s="1"/>
  <c r="N19" i="28" a="1"/>
  <c r="N19" i="28" s="1"/>
  <c r="O19" i="28" s="1"/>
  <c r="N17" i="28" a="1"/>
  <c r="N17" i="28" s="1"/>
  <c r="O17" i="28" s="1"/>
  <c r="I24" i="28" a="1"/>
  <c r="I24" i="28" s="1"/>
  <c r="I27" i="28" s="1"/>
  <c r="BK41" i="29"/>
  <c r="BL40" i="29"/>
  <c r="C9" i="3"/>
  <c r="F24" i="1" s="1"/>
  <c r="C9" i="8"/>
  <c r="B10" i="8" s="1"/>
  <c r="C9" i="7"/>
  <c r="F23" i="1" s="1"/>
  <c r="J2" i="21"/>
  <c r="I9" i="36" l="1"/>
  <c r="G19" i="33"/>
  <c r="F21" i="33"/>
  <c r="J5" i="37"/>
  <c r="H10" i="36"/>
  <c r="K5" i="37"/>
  <c r="P16" i="28"/>
  <c r="O21" i="28"/>
  <c r="Q17" i="28"/>
  <c r="Q19" i="28"/>
  <c r="Q18" i="28"/>
  <c r="Q20" i="28"/>
  <c r="Q16" i="28"/>
  <c r="P17" i="28"/>
  <c r="P18" i="28"/>
  <c r="P19" i="28"/>
  <c r="P20" i="28"/>
  <c r="N21" i="28"/>
  <c r="BM40" i="29"/>
  <c r="BL41" i="29"/>
  <c r="B2" i="27"/>
  <c r="B3" i="27" s="1"/>
  <c r="B4" i="27" s="1"/>
  <c r="F29" i="1"/>
  <c r="B10" i="3"/>
  <c r="I10" i="36" l="1"/>
  <c r="H19" i="33"/>
  <c r="G21" i="33"/>
  <c r="D22" i="33"/>
  <c r="P21" i="28"/>
  <c r="Q21" i="28"/>
  <c r="BN40" i="29"/>
  <c r="BM41" i="29"/>
  <c r="C12" i="23"/>
  <c r="D9" i="23" s="1"/>
  <c r="I19" i="33" l="1"/>
  <c r="H21" i="33"/>
  <c r="L24" i="28"/>
  <c r="L23" i="28"/>
  <c r="E22" i="33"/>
  <c r="BN41" i="29"/>
  <c r="BO40" i="29"/>
  <c r="F25" i="1"/>
  <c r="F26" i="1" s="1"/>
  <c r="J19" i="33" l="1"/>
  <c r="I21" i="33"/>
  <c r="F22" i="33"/>
  <c r="BO41" i="29"/>
  <c r="BP40" i="29"/>
  <c r="K19" i="33" l="1"/>
  <c r="J21" i="33"/>
  <c r="G22" i="33"/>
  <c r="BP41" i="29"/>
  <c r="BQ40" i="29"/>
  <c r="L19" i="33" l="1"/>
  <c r="K21" i="33"/>
  <c r="H22" i="33"/>
  <c r="BQ41" i="29"/>
  <c r="BR40" i="29"/>
  <c r="M19" i="33" l="1"/>
  <c r="L21" i="33"/>
  <c r="I22" i="33"/>
  <c r="BR41" i="29"/>
  <c r="BS40" i="29"/>
  <c r="N19" i="33" l="1"/>
  <c r="M21" i="33"/>
  <c r="J22" i="33"/>
  <c r="BS41" i="29"/>
  <c r="BT40" i="29"/>
  <c r="O19" i="33" l="1"/>
  <c r="N21" i="33"/>
  <c r="K22" i="33"/>
  <c r="BT41" i="29"/>
  <c r="BU40" i="29"/>
  <c r="P19" i="33" l="1"/>
  <c r="O21" i="33"/>
  <c r="L22" i="33"/>
  <c r="BV40" i="29"/>
  <c r="BU41" i="29"/>
  <c r="Q19" i="33" l="1"/>
  <c r="P21" i="33"/>
  <c r="M22" i="33"/>
  <c r="BV41" i="29"/>
  <c r="BW40" i="29"/>
  <c r="R19" i="33" l="1"/>
  <c r="Q21" i="33"/>
  <c r="N22" i="33"/>
  <c r="BW41" i="29"/>
  <c r="BX40" i="29"/>
  <c r="S19" i="33" l="1"/>
  <c r="R21" i="33"/>
  <c r="O22" i="33"/>
  <c r="BX41" i="29"/>
  <c r="BY40" i="29"/>
  <c r="T19" i="33" l="1"/>
  <c r="S21" i="33"/>
  <c r="P22" i="33"/>
  <c r="BZ40" i="29"/>
  <c r="BY41" i="29"/>
  <c r="U19" i="33" l="1"/>
  <c r="T21" i="33"/>
  <c r="Q22" i="33"/>
  <c r="CA40" i="29"/>
  <c r="BZ41" i="29"/>
  <c r="V19" i="33" l="1"/>
  <c r="U21" i="33"/>
  <c r="R22" i="33"/>
  <c r="CB40" i="29"/>
  <c r="CA41" i="29"/>
  <c r="W19" i="33" l="1"/>
  <c r="V21" i="33"/>
  <c r="S22" i="33"/>
  <c r="CC40" i="29"/>
  <c r="CB41" i="29"/>
  <c r="X19" i="33" l="1"/>
  <c r="W21" i="33"/>
  <c r="T22" i="33"/>
  <c r="CC41" i="29"/>
  <c r="CD40" i="29"/>
  <c r="Y19" i="33" l="1"/>
  <c r="X21" i="33"/>
  <c r="U22" i="33"/>
  <c r="CE40" i="29"/>
  <c r="CD41" i="29"/>
  <c r="Z19" i="33" l="1"/>
  <c r="Y21" i="33"/>
  <c r="V22" i="33"/>
  <c r="CE41" i="29"/>
  <c r="CF40" i="29"/>
  <c r="AA19" i="33" l="1"/>
  <c r="Z21" i="33"/>
  <c r="W22" i="33"/>
  <c r="CG40" i="29"/>
  <c r="CF41" i="29"/>
  <c r="AB19" i="33" l="1"/>
  <c r="AA21" i="33"/>
  <c r="X22" i="33"/>
  <c r="CH40" i="29"/>
  <c r="CG41" i="29"/>
  <c r="AC19" i="33" l="1"/>
  <c r="AB21" i="33"/>
  <c r="Y22" i="33"/>
  <c r="CI40" i="29"/>
  <c r="CH41" i="29"/>
  <c r="AD19" i="33" l="1"/>
  <c r="AC21" i="33"/>
  <c r="Z22" i="33"/>
  <c r="CI41" i="29"/>
  <c r="CJ40" i="29"/>
  <c r="AE19" i="33" l="1"/>
  <c r="AD21" i="33"/>
  <c r="AA22" i="33"/>
  <c r="CK40" i="29"/>
  <c r="CJ41" i="29"/>
  <c r="AF19" i="33" l="1"/>
  <c r="AE21" i="33"/>
  <c r="AB22" i="33"/>
  <c r="CL40" i="29"/>
  <c r="CK41" i="29"/>
  <c r="AG19" i="33" l="1"/>
  <c r="AF21" i="33"/>
  <c r="AC22" i="33"/>
  <c r="CM40" i="29"/>
  <c r="CM41" i="29" s="1"/>
  <c r="CL41" i="29"/>
  <c r="AH19" i="33" l="1"/>
  <c r="AG21" i="33"/>
  <c r="AD22" i="33"/>
  <c r="AI19" i="33" l="1"/>
  <c r="AH21" i="33"/>
  <c r="AE22" i="33"/>
  <c r="AJ19" i="33" l="1"/>
  <c r="AI21" i="33"/>
  <c r="AF22" i="33"/>
  <c r="AK19" i="33" l="1"/>
  <c r="AK21" i="33" s="1"/>
  <c r="AJ21" i="33"/>
  <c r="AG22" i="33"/>
  <c r="AH22" i="33" l="1"/>
  <c r="AI22" i="33" l="1"/>
  <c r="AJ22" i="33" l="1"/>
  <c r="AK22" i="33" l="1"/>
  <c r="B24" i="33" s="1"/>
  <c r="K20" i="29" s="1"/>
  <c r="H30" i="1" l="1"/>
  <c r="C44" i="1"/>
  <c r="C46" i="1"/>
  <c r="C42" i="1" l="1"/>
  <c r="C40" i="1"/>
  <c r="C38" i="1"/>
  <c r="C48" i="1" l="1"/>
  <c r="B8" i="1" l="1"/>
  <c r="H19" i="1" l="1"/>
  <c r="H32" i="1" s="1"/>
  <c r="C36" i="1" l="1"/>
  <c r="I10" i="28" l="1" a="1"/>
  <c r="I10" i="28" s="1"/>
  <c r="I13" i="28" s="1"/>
  <c r="N3" i="28" l="1" a="1"/>
  <c r="N3" i="28" s="1"/>
  <c r="N4" i="28" a="1"/>
  <c r="N4" i="28" s="1"/>
  <c r="N5" i="28" a="1"/>
  <c r="N5" i="28" s="1"/>
  <c r="N6" i="28" a="1"/>
  <c r="N6" i="28" s="1"/>
  <c r="N2" i="28" a="1"/>
  <c r="N2" i="28" s="1"/>
  <c r="O6" i="28" l="1"/>
  <c r="Q6" i="28" s="1"/>
  <c r="P6" i="28"/>
  <c r="C10" i="33" s="1"/>
  <c r="E10" i="33" s="1"/>
  <c r="O5" i="28"/>
  <c r="Q5" i="28" s="1"/>
  <c r="P5" i="28"/>
  <c r="C9" i="33" s="1"/>
  <c r="O4" i="28"/>
  <c r="Q4" i="28" s="1"/>
  <c r="P4" i="28"/>
  <c r="C8" i="33" s="1"/>
  <c r="N7" i="28"/>
  <c r="J15" i="32" s="1"/>
  <c r="P2" i="28"/>
  <c r="C6" i="33" s="1"/>
  <c r="O2" i="28"/>
  <c r="O3" i="28"/>
  <c r="Q3" i="28" s="1"/>
  <c r="P3" i="28"/>
  <c r="C7" i="33" s="1"/>
  <c r="D7" i="33" l="1"/>
  <c r="E7" i="33"/>
  <c r="E6" i="33"/>
  <c r="D6" i="33"/>
  <c r="E8" i="33"/>
  <c r="D8" i="33"/>
  <c r="E9" i="33"/>
  <c r="D9" i="33"/>
  <c r="P7" i="28"/>
  <c r="J14" i="32" s="1"/>
  <c r="O7" i="28"/>
  <c r="I15" i="32" s="1"/>
  <c r="Q2" i="28"/>
  <c r="Q7" i="28" s="1"/>
  <c r="I14" i="32" s="1"/>
  <c r="D10" i="33"/>
  <c r="C11" i="33"/>
  <c r="D11" i="33" l="1"/>
  <c r="E11" i="33"/>
  <c r="L10" i="28"/>
  <c r="I11" i="32" s="1"/>
  <c r="B9" i="2" s="1"/>
  <c r="L9" i="28"/>
  <c r="J11" i="32" s="1"/>
  <c r="F17" i="1" s="1"/>
  <c r="C28" i="33" l="1"/>
  <c r="C29" i="33" s="1"/>
  <c r="AA28" i="33"/>
  <c r="AA29" i="33" s="1"/>
  <c r="D28" i="33"/>
  <c r="D29" i="33" s="1"/>
  <c r="AB28" i="33"/>
  <c r="AB29" i="33" s="1"/>
  <c r="E28" i="33"/>
  <c r="E29" i="33" s="1"/>
  <c r="AC28" i="33"/>
  <c r="AC29" i="33" s="1"/>
  <c r="K28" i="33"/>
  <c r="K29" i="33" s="1"/>
  <c r="L28" i="33"/>
  <c r="L29" i="33" s="1"/>
  <c r="M28" i="33"/>
  <c r="M29" i="33" s="1"/>
  <c r="AK28" i="33"/>
  <c r="AK29" i="33" s="1"/>
  <c r="B28" i="33"/>
  <c r="B29" i="33" s="1"/>
  <c r="K14" i="29" s="1"/>
  <c r="O28" i="33"/>
  <c r="O29" i="33" s="1"/>
  <c r="Q28" i="33"/>
  <c r="Q29" i="33" s="1"/>
  <c r="T28" i="33"/>
  <c r="T29" i="33" s="1"/>
  <c r="V28" i="33"/>
  <c r="V29" i="33" s="1"/>
  <c r="W28" i="33"/>
  <c r="W29" i="33" s="1"/>
  <c r="Z28" i="33"/>
  <c r="Z29" i="33" s="1"/>
  <c r="F28" i="33"/>
  <c r="F29" i="33" s="1"/>
  <c r="AD28" i="33"/>
  <c r="AD29" i="33" s="1"/>
  <c r="H28" i="33"/>
  <c r="H29" i="33" s="1"/>
  <c r="AF28" i="33"/>
  <c r="AF29" i="33" s="1"/>
  <c r="I28" i="33"/>
  <c r="I29" i="33" s="1"/>
  <c r="AH28" i="33"/>
  <c r="AH29" i="33" s="1"/>
  <c r="AJ28" i="33"/>
  <c r="AJ29" i="33" s="1"/>
  <c r="N28" i="33"/>
  <c r="N29" i="33" s="1"/>
  <c r="P28" i="33"/>
  <c r="P29" i="33" s="1"/>
  <c r="S28" i="33"/>
  <c r="S29" i="33" s="1"/>
  <c r="Y28" i="33"/>
  <c r="Y29" i="33" s="1"/>
  <c r="G28" i="33"/>
  <c r="G29" i="33" s="1"/>
  <c r="AE28" i="33"/>
  <c r="AE29" i="33" s="1"/>
  <c r="AG28" i="33"/>
  <c r="AG29" i="33" s="1"/>
  <c r="J28" i="33"/>
  <c r="J29" i="33" s="1"/>
  <c r="AI28" i="33"/>
  <c r="AI29" i="33" s="1"/>
  <c r="R28" i="33"/>
  <c r="R29" i="33" s="1"/>
  <c r="U28" i="33"/>
  <c r="U29" i="33" s="1"/>
  <c r="X28" i="33"/>
  <c r="X29" i="33" s="1"/>
  <c r="O26" i="33"/>
  <c r="O27" i="33" s="1"/>
  <c r="P26" i="33"/>
  <c r="P27" i="33" s="1"/>
  <c r="Q26" i="33"/>
  <c r="Q27" i="33" s="1"/>
  <c r="V26" i="33"/>
  <c r="V27" i="33" s="1"/>
  <c r="Z26" i="33"/>
  <c r="Z27" i="33" s="1"/>
  <c r="AA26" i="33"/>
  <c r="AA27" i="33" s="1"/>
  <c r="D26" i="33"/>
  <c r="D27" i="33" s="1"/>
  <c r="AC26" i="33"/>
  <c r="AC27" i="33" s="1"/>
  <c r="F26" i="33"/>
  <c r="F27" i="33" s="1"/>
  <c r="AD26" i="33"/>
  <c r="AD27" i="33" s="1"/>
  <c r="G26" i="33"/>
  <c r="G27" i="33" s="1"/>
  <c r="AF26" i="33"/>
  <c r="AF27" i="33" s="1"/>
  <c r="I26" i="33"/>
  <c r="I27" i="33" s="1"/>
  <c r="J26" i="33"/>
  <c r="J27" i="33" s="1"/>
  <c r="AI26" i="33"/>
  <c r="AI27" i="33" s="1"/>
  <c r="AJ26" i="33"/>
  <c r="AJ27" i="33" s="1"/>
  <c r="M26" i="33"/>
  <c r="M27" i="33" s="1"/>
  <c r="R26" i="33"/>
  <c r="R27" i="33" s="1"/>
  <c r="S26" i="33"/>
  <c r="S27" i="33" s="1"/>
  <c r="U26" i="33"/>
  <c r="U27" i="33" s="1"/>
  <c r="W26" i="33"/>
  <c r="W27" i="33" s="1"/>
  <c r="E26" i="33"/>
  <c r="E27" i="33" s="1"/>
  <c r="H26" i="33"/>
  <c r="H27" i="33" s="1"/>
  <c r="AG26" i="33"/>
  <c r="AG27" i="33" s="1"/>
  <c r="K26" i="33"/>
  <c r="K27" i="33" s="1"/>
  <c r="B26" i="33"/>
  <c r="B27" i="33" s="1"/>
  <c r="K11" i="29" s="1"/>
  <c r="T26" i="33"/>
  <c r="T27" i="33" s="1"/>
  <c r="X26" i="33"/>
  <c r="X27" i="33" s="1"/>
  <c r="Y26" i="33"/>
  <c r="Y27" i="33" s="1"/>
  <c r="C26" i="33"/>
  <c r="C27" i="33" s="1"/>
  <c r="AB26" i="33"/>
  <c r="AB27" i="33" s="1"/>
  <c r="AE26" i="33"/>
  <c r="AE27" i="33" s="1"/>
  <c r="AH26" i="33"/>
  <c r="AH27" i="33" s="1"/>
  <c r="AK26" i="33"/>
  <c r="AK27" i="33" s="1"/>
  <c r="N26" i="33"/>
  <c r="N27" i="33" s="1"/>
  <c r="L26" i="33"/>
  <c r="L27" i="33" s="1"/>
  <c r="B13" i="2"/>
  <c r="C9" i="2"/>
  <c r="G16" i="1" s="1"/>
  <c r="F16" i="1"/>
  <c r="B9" i="4"/>
  <c r="B13" i="4" l="1"/>
  <c r="C9" i="4"/>
  <c r="G17" i="1" s="1"/>
  <c r="B30" i="33"/>
  <c r="B31" i="33" s="1"/>
  <c r="K23" i="29" l="1"/>
  <c r="K26" i="29" s="1"/>
  <c r="G18" i="1" s="1"/>
  <c r="G19" i="1" s="1"/>
  <c r="F32" i="1" s="1"/>
  <c r="H8" i="1" s="1"/>
  <c r="K17" i="29"/>
  <c r="F18" i="1"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2">
    <bk>
      <extLst>
        <ext uri="{3e2802c4-a4d2-4d8b-9148-e3be6c30e623}">
          <xlrd:rvb i="0"/>
        </ext>
      </extLst>
    </bk>
    <bk>
      <extLst>
        <ext uri="{3e2802c4-a4d2-4d8b-9148-e3be6c30e623}">
          <xlrd:rvb i="1"/>
        </ext>
      </extLst>
    </bk>
  </futureMetadata>
  <futureMetadata name="XLDAPR" count="1">
    <bk>
      <extLst>
        <ext uri="{bdbb8cdc-fa1e-496e-a857-3c3f30c029c3}">
          <xda:dynamicArrayProperties fDynamic="1" fCollapsed="0"/>
        </ext>
      </extLst>
    </bk>
  </futureMetadata>
  <cellMetadata count="1">
    <bk>
      <rc t="2" v="0"/>
    </bk>
  </cellMetadata>
  <valueMetadata count="2">
    <bk>
      <rc t="1" v="0"/>
    </bk>
    <bk>
      <rc t="1" v="1"/>
    </bk>
  </valueMetadata>
</metadata>
</file>

<file path=xl/sharedStrings.xml><?xml version="1.0" encoding="utf-8"?>
<sst xmlns="http://schemas.openxmlformats.org/spreadsheetml/2006/main" count="2803" uniqueCount="2246">
  <si>
    <t>PW4 ID:</t>
  </si>
  <si>
    <t>Date:</t>
  </si>
  <si>
    <t>Analyst:</t>
  </si>
  <si>
    <t>Total Project Cost (today's dollars):</t>
  </si>
  <si>
    <t>District:</t>
  </si>
  <si>
    <t>City:</t>
  </si>
  <si>
    <t>Route:</t>
  </si>
  <si>
    <t>County:</t>
  </si>
  <si>
    <t xml:space="preserve"> Location:</t>
  </si>
  <si>
    <t>Treatment:</t>
  </si>
  <si>
    <t xml:space="preserve">Final Score: </t>
  </si>
  <si>
    <t>Notes:</t>
  </si>
  <si>
    <t>Core Safety Factors</t>
  </si>
  <si>
    <t>Value</t>
  </si>
  <si>
    <t>Points Awarded</t>
  </si>
  <si>
    <t>Points Possible</t>
  </si>
  <si>
    <t>Factor 1: Crash Severity (ICC)</t>
  </si>
  <si>
    <t>Factor 2: Crash Frequency (ICF)</t>
  </si>
  <si>
    <t>Factor 3: Cost-Effectiveness (B/C)</t>
  </si>
  <si>
    <t>Core Safety Factors Subtotal:</t>
  </si>
  <si>
    <t>Supplemental Factors</t>
  </si>
  <si>
    <t>Supplemental Factors Subtotal:</t>
  </si>
  <si>
    <t>Bonus Factors</t>
  </si>
  <si>
    <t>Bonus Factors Subtotal:</t>
  </si>
  <si>
    <t>Final Score:</t>
  </si>
  <si>
    <t>Provide any additional notes or justification in the space below:</t>
  </si>
  <si>
    <t>Factor 1:</t>
  </si>
  <si>
    <t>Factor 2:</t>
  </si>
  <si>
    <t>Factor 3:</t>
  </si>
  <si>
    <t>Factor 4:</t>
  </si>
  <si>
    <t>Factor 5:</t>
  </si>
  <si>
    <t>Factor 6:</t>
  </si>
  <si>
    <t>Factor 7:</t>
  </si>
  <si>
    <t>District</t>
  </si>
  <si>
    <t>Crawfordsville</t>
  </si>
  <si>
    <t>Fort Wayne</t>
  </si>
  <si>
    <t>Greenfield</t>
  </si>
  <si>
    <t>La Porte</t>
  </si>
  <si>
    <t>Seymour</t>
  </si>
  <si>
    <t>Vincennes</t>
  </si>
  <si>
    <t>Unlock password is: TSAM</t>
  </si>
  <si>
    <t>Benton</t>
  </si>
  <si>
    <t>Adams</t>
  </si>
  <si>
    <t>Blackford</t>
  </si>
  <si>
    <t>Caroll</t>
  </si>
  <si>
    <t>Bartholomew</t>
  </si>
  <si>
    <t>Clay</t>
  </si>
  <si>
    <t>Boone</t>
  </si>
  <si>
    <t>Allen</t>
  </si>
  <si>
    <t>Cass</t>
  </si>
  <si>
    <t>Brown</t>
  </si>
  <si>
    <t>Crawford</t>
  </si>
  <si>
    <t>Carroll</t>
  </si>
  <si>
    <t>Clinton</t>
  </si>
  <si>
    <t>Clark</t>
  </si>
  <si>
    <t>Daviess</t>
  </si>
  <si>
    <t>DeKalb</t>
  </si>
  <si>
    <t>Elkhart</t>
  </si>
  <si>
    <t>Dubois</t>
  </si>
  <si>
    <t>Delaware</t>
  </si>
  <si>
    <t>Fulton</t>
  </si>
  <si>
    <t>Dearborn</t>
  </si>
  <si>
    <t>Gibson</t>
  </si>
  <si>
    <t>Fountain</t>
  </si>
  <si>
    <t>Fayette</t>
  </si>
  <si>
    <t>Jasper</t>
  </si>
  <si>
    <t>Decatur</t>
  </si>
  <si>
    <t>Greene</t>
  </si>
  <si>
    <t>Hendricks</t>
  </si>
  <si>
    <t>Grant</t>
  </si>
  <si>
    <t>Franklin</t>
  </si>
  <si>
    <t>Kosciusko</t>
  </si>
  <si>
    <t>Floyd</t>
  </si>
  <si>
    <t>Knox</t>
  </si>
  <si>
    <t>Montgomery</t>
  </si>
  <si>
    <t>Huntington</t>
  </si>
  <si>
    <t>Lawrence</t>
  </si>
  <si>
    <t>Morgan</t>
  </si>
  <si>
    <t>Jay</t>
  </si>
  <si>
    <t>Hamilton</t>
  </si>
  <si>
    <t>Lake</t>
  </si>
  <si>
    <t>Martin</t>
  </si>
  <si>
    <t>Owen</t>
  </si>
  <si>
    <t>Hancock</t>
  </si>
  <si>
    <t>Marshall</t>
  </si>
  <si>
    <t>Harrison</t>
  </si>
  <si>
    <t>Monroe</t>
  </si>
  <si>
    <t>Parke</t>
  </si>
  <si>
    <t>LaGrange</t>
  </si>
  <si>
    <t>Miami</t>
  </si>
  <si>
    <t>Jackson</t>
  </si>
  <si>
    <t>Orange</t>
  </si>
  <si>
    <t>Putnam</t>
  </si>
  <si>
    <t>Henry</t>
  </si>
  <si>
    <t>Newton</t>
  </si>
  <si>
    <t>Jefferson</t>
  </si>
  <si>
    <t>Tippecanoe</t>
  </si>
  <si>
    <t>Noble</t>
  </si>
  <si>
    <t>Howard</t>
  </si>
  <si>
    <t>Porter</t>
  </si>
  <si>
    <t>Jennings</t>
  </si>
  <si>
    <t>Perry</t>
  </si>
  <si>
    <t>Vermillion</t>
  </si>
  <si>
    <t>St. Joseph</t>
  </si>
  <si>
    <t>Pulaski</t>
  </si>
  <si>
    <t>Johnson</t>
  </si>
  <si>
    <t>Pike</t>
  </si>
  <si>
    <t>Vigo</t>
  </si>
  <si>
    <t>Steuben</t>
  </si>
  <si>
    <t>Madison</t>
  </si>
  <si>
    <t>Posey</t>
  </si>
  <si>
    <t>Warren</t>
  </si>
  <si>
    <t>Wabash</t>
  </si>
  <si>
    <t>Marion</t>
  </si>
  <si>
    <t>Starke</t>
  </si>
  <si>
    <t>Spencer</t>
  </si>
  <si>
    <t>White</t>
  </si>
  <si>
    <t>Wells</t>
  </si>
  <si>
    <t>Sullivan</t>
  </si>
  <si>
    <t>Whitley</t>
  </si>
  <si>
    <t>Randolph</t>
  </si>
  <si>
    <t>Ohio</t>
  </si>
  <si>
    <t>Vanderburgh</t>
  </si>
  <si>
    <t>Rush</t>
  </si>
  <si>
    <t>Shelby</t>
  </si>
  <si>
    <t>Ripley</t>
  </si>
  <si>
    <t>Warrick</t>
  </si>
  <si>
    <t>Tipton</t>
  </si>
  <si>
    <t>Scott</t>
  </si>
  <si>
    <t>Washington</t>
  </si>
  <si>
    <t>Union</t>
  </si>
  <si>
    <t>Wayne</t>
  </si>
  <si>
    <t>Switzerland</t>
  </si>
  <si>
    <r>
      <t xml:space="preserve">Factor 1: Crash Severity
</t>
    </r>
    <r>
      <rPr>
        <sz val="14"/>
        <color theme="1"/>
        <rFont val="Calibri"/>
        <family val="2"/>
        <scheme val="minor"/>
      </rPr>
      <t>Input the project's ICC value in the shaded box below</t>
    </r>
  </si>
  <si>
    <t>BACK TO COVER SHEET</t>
  </si>
  <si>
    <t>Index of Crash Cost</t>
  </si>
  <si>
    <t>ICC</t>
  </si>
  <si>
    <t>Score (No Outliers)</t>
  </si>
  <si>
    <r>
      <t xml:space="preserve">Factor 2: Crash Frequency
</t>
    </r>
    <r>
      <rPr>
        <sz val="14"/>
        <color theme="1"/>
        <rFont val="Calibri"/>
        <family val="2"/>
        <scheme val="minor"/>
      </rPr>
      <t>Input the project's ICF value in the shaded box below</t>
    </r>
  </si>
  <si>
    <t>Index of Crash Frequency</t>
  </si>
  <si>
    <t>Score</t>
  </si>
  <si>
    <r>
      <t xml:space="preserve">Factor 3: Cost Effectiveness
</t>
    </r>
    <r>
      <rPr>
        <sz val="14"/>
        <color theme="1"/>
        <rFont val="Calibri"/>
        <family val="2"/>
        <scheme val="minor"/>
      </rPr>
      <t>Provide inputs in the shaded boxes below</t>
    </r>
  </si>
  <si>
    <t>A</t>
  </si>
  <si>
    <t>B</t>
  </si>
  <si>
    <t>Project Information</t>
  </si>
  <si>
    <t>Factor 3 Results</t>
  </si>
  <si>
    <t>Total Project Cost (Current Year $)</t>
  </si>
  <si>
    <t>Cost Deduction from Other Disciplines</t>
  </si>
  <si>
    <t>Deduction Notes/Justification</t>
  </si>
  <si>
    <t>Net Cost (Current Year $)</t>
  </si>
  <si>
    <t>Current Year</t>
  </si>
  <si>
    <t>Project Build Year (FY being prepared for)</t>
  </si>
  <si>
    <t>Project Life (Years)</t>
  </si>
  <si>
    <t>Traffic Growth (%)</t>
  </si>
  <si>
    <t>Maintenance Information</t>
  </si>
  <si>
    <t>Added Pavement (syd)</t>
  </si>
  <si>
    <t>Benefit Cost Ratio</t>
  </si>
  <si>
    <t>/</t>
  </si>
  <si>
    <t>Crash Reduction Factors (%, By Severity)</t>
  </si>
  <si>
    <t>Using Custom CRF?</t>
  </si>
  <si>
    <t>No</t>
  </si>
  <si>
    <t>Using CRFs for</t>
  </si>
  <si>
    <t>Countermeasure 1 Description/Source</t>
  </si>
  <si>
    <t>Countermeasure 2 Description/Source</t>
  </si>
  <si>
    <t>Countermeasure 3 Description/Source</t>
  </si>
  <si>
    <t>Traffic Growth:</t>
  </si>
  <si>
    <t>Build Year</t>
  </si>
  <si>
    <t>Year</t>
  </si>
  <si>
    <t>COSTS</t>
  </si>
  <si>
    <t>Annual Maintenance Cost (Specified Year Dollars)</t>
  </si>
  <si>
    <t>Annual Maintenance Cost (Build Year Dollars)</t>
  </si>
  <si>
    <t>Project Build Cost (Build Year Dollars)</t>
  </si>
  <si>
    <t>Total Cost (Build Year Dollars)</t>
  </si>
  <si>
    <t>BENEFITS</t>
  </si>
  <si>
    <t>Annual Crash Savings (Specified Year Dollars)</t>
  </si>
  <si>
    <t>Annual Crash Savings (Build Year Dollars)</t>
  </si>
  <si>
    <t>Total Lifetime Crash Savings (Build Year Dollars)</t>
  </si>
  <si>
    <t>B/C Ratio:</t>
  </si>
  <si>
    <t>Yes</t>
  </si>
  <si>
    <t>KABC Crashes</t>
  </si>
  <si>
    <t>All Crash Severities</t>
  </si>
  <si>
    <t>B/C</t>
  </si>
  <si>
    <t>Pts</t>
  </si>
  <si>
    <t>Factor 3</t>
  </si>
  <si>
    <t>Mobility Improvement</t>
  </si>
  <si>
    <t>Scoring Key</t>
  </si>
  <si>
    <t>Input</t>
  </si>
  <si>
    <t>Negative Effect on Mobility</t>
  </si>
  <si>
    <t>Neutral Effect on Mobility</t>
  </si>
  <si>
    <t>LOS Improvement from D to C or Better, or reduction in delay of ≥ 15 seconds</t>
  </si>
  <si>
    <t xml:space="preserve"> LOS improvement from F to C or better, or reduction in delay of ≥ 35 seconds</t>
  </si>
  <si>
    <t>Public and Other Interest</t>
  </si>
  <si>
    <t>Documented public concern with location</t>
  </si>
  <si>
    <t>Documented concern with location from public official</t>
  </si>
  <si>
    <t>Documented support of chosen countermeasure from government official</t>
  </si>
  <si>
    <t>Documented support of chosen countermeasure from multiple government officials</t>
  </si>
  <si>
    <t>EQUITY</t>
  </si>
  <si>
    <t>County</t>
  </si>
  <si>
    <t>Census Tract</t>
  </si>
  <si>
    <t>Census Tract Map</t>
  </si>
  <si>
    <t>Does the project require the complete purchase of any developed parcels?</t>
  </si>
  <si>
    <t>https://experience.arcgis.com/experience/0920984aa80a4362b8778d779b090723/page/ETC-Explorer---State-Results/</t>
  </si>
  <si>
    <t>Tract:</t>
  </si>
  <si>
    <t>Text:</t>
  </si>
  <si>
    <t>lctn</t>
  </si>
  <si>
    <t>Census Tract 301, Adams County, Indiana</t>
  </si>
  <si>
    <t>Census Tract 302, Adams County, Indiana</t>
  </si>
  <si>
    <t>Census Tract 303, Adams County, Indiana</t>
  </si>
  <si>
    <t>Census Tract 304, Adams County, Indiana</t>
  </si>
  <si>
    <t>Census Tract 305, Adams County, Indiana</t>
  </si>
  <si>
    <t>Census Tract 306, Adams County, Indiana</t>
  </si>
  <si>
    <t>Census Tract 307, Adams County, Indiana</t>
  </si>
  <si>
    <t>Census Tract 1, Allen County, Indiana</t>
  </si>
  <si>
    <t>Census Tract 3, Allen County, Indiana</t>
  </si>
  <si>
    <t>Census Tract 4, Allen County, Indiana</t>
  </si>
  <si>
    <t>Census Tract 5, Allen County, Indiana</t>
  </si>
  <si>
    <t>Census Tract 6, Allen County, Indiana</t>
  </si>
  <si>
    <t>Census Tract 7.01, Allen County, Indiana</t>
  </si>
  <si>
    <t>Census Tract 7.04, Allen County, Indiana</t>
  </si>
  <si>
    <t>Census Tract 8, Allen County, Indiana</t>
  </si>
  <si>
    <t>Census Tract 9, Allen County, Indiana</t>
  </si>
  <si>
    <t>Census Tract 10, Allen County, Indiana</t>
  </si>
  <si>
    <t>Census Tract 11, Allen County, Indiana</t>
  </si>
  <si>
    <t>Census Tract 12, Allen County, Indiana</t>
  </si>
  <si>
    <t>Census Tract 13, Allen County, Indiana</t>
  </si>
  <si>
    <t>Census Tract 16, Allen County, Indiana</t>
  </si>
  <si>
    <t>Census Tract 17, Allen County, Indiana</t>
  </si>
  <si>
    <t>Census Tract 20, Allen County, Indiana</t>
  </si>
  <si>
    <t>Census Tract 21, Allen County, Indiana</t>
  </si>
  <si>
    <t>Census Tract 22, Allen County, Indiana</t>
  </si>
  <si>
    <t>Census Tract 23, Allen County, Indiana</t>
  </si>
  <si>
    <t>Census Tract 25, Allen County, Indiana</t>
  </si>
  <si>
    <t>Census Tract 26, Allen County, Indiana</t>
  </si>
  <si>
    <t>Census Tract 28, Allen County, Indiana</t>
  </si>
  <si>
    <t>Census Tract 29, Allen County, Indiana</t>
  </si>
  <si>
    <t>Census Tract 30, Allen County, Indiana</t>
  </si>
  <si>
    <t>Census Tract 31, Allen County, Indiana</t>
  </si>
  <si>
    <t>Census Tract 32, Allen County, Indiana</t>
  </si>
  <si>
    <t>Census Tract 33.01, Allen County, Indiana</t>
  </si>
  <si>
    <t>Census Tract 33.04, Allen County, Indiana</t>
  </si>
  <si>
    <t>Census Tract 34, Allen County, Indiana</t>
  </si>
  <si>
    <t>Census Tract 35, Allen County, Indiana</t>
  </si>
  <si>
    <t>Census Tract 36, Allen County, Indiana</t>
  </si>
  <si>
    <t>Census Tract 37, Allen County, Indiana</t>
  </si>
  <si>
    <t>Census Tract 38, Allen County, Indiana</t>
  </si>
  <si>
    <t>Census Tract 39.01, Allen County, Indiana</t>
  </si>
  <si>
    <t>Census Tract 39.02, Allen County, Indiana</t>
  </si>
  <si>
    <t>Census Tract 40, Allen County, Indiana</t>
  </si>
  <si>
    <t>Census Tract 41.01, Allen County, Indiana</t>
  </si>
  <si>
    <t>Census Tract 41.03, Allen County, Indiana</t>
  </si>
  <si>
    <t>Census Tract 43, Allen County, Indiana</t>
  </si>
  <si>
    <t>Census Tract 44, Allen County, Indiana</t>
  </si>
  <si>
    <t>Census Tract 101, Allen County, Indiana</t>
  </si>
  <si>
    <t>Census Tract 102.01, Allen County, Indiana</t>
  </si>
  <si>
    <t>Census Tract 102.02, Allen County, Indiana</t>
  </si>
  <si>
    <t>Census Tract 103.04, Allen County, Indiana</t>
  </si>
  <si>
    <t>Census Tract 103.05, Allen County, Indiana</t>
  </si>
  <si>
    <t>Census Tract 103.06, Allen County, Indiana</t>
  </si>
  <si>
    <t>Census Tract 103.07, Allen County, Indiana</t>
  </si>
  <si>
    <t>Census Tract 103.08, Allen County, Indiana</t>
  </si>
  <si>
    <t>Census Tract 104, Allen County, Indiana</t>
  </si>
  <si>
    <t>Census Tract 105, Allen County, Indiana</t>
  </si>
  <si>
    <t>Census Tract 106.01, Allen County, Indiana</t>
  </si>
  <si>
    <t>Census Tract 106.02, Allen County, Indiana</t>
  </si>
  <si>
    <t>Census Tract 106.03, Allen County, Indiana</t>
  </si>
  <si>
    <t>Census Tract 106.04, Allen County, Indiana</t>
  </si>
  <si>
    <t>Census Tract 107.05, Allen County, Indiana</t>
  </si>
  <si>
    <t>Census Tract 107.06, Allen County, Indiana</t>
  </si>
  <si>
    <t>Census Tract 107.07, Allen County, Indiana</t>
  </si>
  <si>
    <t>Census Tract 108.03, Allen County, Indiana</t>
  </si>
  <si>
    <t>Census Tract 108.04, Allen County, Indiana</t>
  </si>
  <si>
    <t>Census Tract 108.07, Allen County, Indiana</t>
  </si>
  <si>
    <t>Census Tract 108.08, Allen County, Indiana</t>
  </si>
  <si>
    <t>Census Tract 108.09, Allen County, Indiana</t>
  </si>
  <si>
    <t>Census Tract 108.11, Allen County, Indiana</t>
  </si>
  <si>
    <t>Census Tract 108.12, Allen County, Indiana</t>
  </si>
  <si>
    <t>Census Tract 108.13, Allen County, Indiana</t>
  </si>
  <si>
    <t>Census Tract 108.15, Allen County, Indiana</t>
  </si>
  <si>
    <t>Census Tract 108.16, Allen County, Indiana</t>
  </si>
  <si>
    <t>Census Tract 108.17, Allen County, Indiana</t>
  </si>
  <si>
    <t>Census Tract 108.19, Allen County, Indiana</t>
  </si>
  <si>
    <t>Census Tract 108.21, Allen County, Indiana</t>
  </si>
  <si>
    <t>Census Tract 109, Allen County, Indiana</t>
  </si>
  <si>
    <t>Census Tract 110, Allen County, Indiana</t>
  </si>
  <si>
    <t>Census Tract 111, Allen County, Indiana</t>
  </si>
  <si>
    <t>Census Tract 112.01, Allen County, Indiana</t>
  </si>
  <si>
    <t>Census Tract 112.02, Allen County, Indiana</t>
  </si>
  <si>
    <t>Census Tract 112.04, Allen County, Indiana</t>
  </si>
  <si>
    <t>Census Tract 112.05, Allen County, Indiana</t>
  </si>
  <si>
    <t>Census Tract 113.02, Allen County, Indiana</t>
  </si>
  <si>
    <t>Census Tract 113.03, Allen County, Indiana</t>
  </si>
  <si>
    <t>Census Tract 113.04, Allen County, Indiana</t>
  </si>
  <si>
    <t>Census Tract 115.01, Allen County, Indiana</t>
  </si>
  <si>
    <t>Census Tract 115.02, Allen County, Indiana</t>
  </si>
  <si>
    <t>Census Tract 116.03, Allen County, Indiana</t>
  </si>
  <si>
    <t>Census Tract 116.04, Allen County, Indiana</t>
  </si>
  <si>
    <t>Census Tract 116.05, Allen County, Indiana</t>
  </si>
  <si>
    <t>Census Tract 116.06, Allen County, Indiana</t>
  </si>
  <si>
    <t>Census Tract 116.07, Allen County, Indiana</t>
  </si>
  <si>
    <t>Census Tract 116.08, Allen County, Indiana</t>
  </si>
  <si>
    <t>Census Tract 116.09, Allen County, Indiana</t>
  </si>
  <si>
    <t>Census Tract 117.01, Allen County, Indiana</t>
  </si>
  <si>
    <t>Census Tract 117.02, Allen County, Indiana</t>
  </si>
  <si>
    <t>Census Tract 118.01, Allen County, Indiana</t>
  </si>
  <si>
    <t>Census Tract 118.02, Allen County, Indiana</t>
  </si>
  <si>
    <t>Census Tract 119, Allen County, Indiana</t>
  </si>
  <si>
    <t>Census Tract 9800.01, Allen County, Indiana</t>
  </si>
  <si>
    <t>Census Tract 9800.02, Allen County, Indiana</t>
  </si>
  <si>
    <t>Census Tract 101, Bartholomew County, Indiana</t>
  </si>
  <si>
    <t>Census Tract 102, Bartholomew County, Indiana</t>
  </si>
  <si>
    <t>Census Tract 103, Bartholomew County, Indiana</t>
  </si>
  <si>
    <t>Census Tract 104, Bartholomew County, Indiana</t>
  </si>
  <si>
    <t>Census Tract 105, Bartholomew County, Indiana</t>
  </si>
  <si>
    <t>Census Tract 106, Bartholomew County, Indiana</t>
  </si>
  <si>
    <t>Census Tract 107, Bartholomew County, Indiana</t>
  </si>
  <si>
    <t>Census Tract 108, Bartholomew County, Indiana</t>
  </si>
  <si>
    <t>Census Tract 109, Bartholomew County, Indiana</t>
  </si>
  <si>
    <t>Census Tract 110, Bartholomew County, Indiana</t>
  </si>
  <si>
    <t>Census Tract 111.01, Bartholomew County, Indiana</t>
  </si>
  <si>
    <t>Census Tract 111.02, Bartholomew County, Indiana</t>
  </si>
  <si>
    <t>Census Tract 112, Bartholomew County, Indiana</t>
  </si>
  <si>
    <t>Census Tract 113, Bartholomew County, Indiana</t>
  </si>
  <si>
    <t>Census Tract 114, Bartholomew County, Indiana</t>
  </si>
  <si>
    <t>Census Tract 115, Bartholomew County, Indiana</t>
  </si>
  <si>
    <t>Census Tract 1001, Benton County, Indiana</t>
  </si>
  <si>
    <t>Census Tract 1002, Benton County, Indiana</t>
  </si>
  <si>
    <t>Census Tract 1003, Benton County, Indiana</t>
  </si>
  <si>
    <t>Census Tract 9751, Blackford County, Indiana</t>
  </si>
  <si>
    <t>Census Tract 9752, Blackford County, Indiana</t>
  </si>
  <si>
    <t>Census Tract 9753, Blackford County, Indiana</t>
  </si>
  <si>
    <t>Census Tract 9754, Blackford County, Indiana</t>
  </si>
  <si>
    <t>Census Tract 8101, Boone County, Indiana</t>
  </si>
  <si>
    <t>Census Tract 8102, Boone County, Indiana</t>
  </si>
  <si>
    <t>Census Tract 8103, Boone County, Indiana</t>
  </si>
  <si>
    <t>Census Tract 8104, Boone County, Indiana</t>
  </si>
  <si>
    <t>Census Tract 8105, Boone County, Indiana</t>
  </si>
  <si>
    <t>Census Tract 8106.01, Boone County, Indiana</t>
  </si>
  <si>
    <t>Census Tract 8106.04, Boone County, Indiana</t>
  </si>
  <si>
    <t>Census Tract 8106.05, Boone County, Indiana</t>
  </si>
  <si>
    <t>Census Tract 8106.06, Boone County, Indiana</t>
  </si>
  <si>
    <t>Census Tract 8106.07, Boone County, Indiana</t>
  </si>
  <si>
    <t>Census Tract 8107, Boone County, Indiana</t>
  </si>
  <si>
    <t>Census Tract 9746, Brown County, Indiana</t>
  </si>
  <si>
    <t>Census Tract 9747, Brown County, Indiana</t>
  </si>
  <si>
    <t>Census Tract 9748, Brown County, Indiana</t>
  </si>
  <si>
    <t>Census Tract 9749.01, Brown County, Indiana</t>
  </si>
  <si>
    <t>Census Tract 9749.02, Brown County, Indiana</t>
  </si>
  <si>
    <t>Census Tract 9593, Carroll County, Indiana</t>
  </si>
  <si>
    <t>Census Tract 9594, Carroll County, Indiana</t>
  </si>
  <si>
    <t>Census Tract 9595, Carroll County, Indiana</t>
  </si>
  <si>
    <t>Census Tract 9596, Carroll County, Indiana</t>
  </si>
  <si>
    <t>Census Tract 9597, Carroll County, Indiana</t>
  </si>
  <si>
    <t>Census Tract 9598, Carroll County, Indiana</t>
  </si>
  <si>
    <t>Census Tract 9599, Carroll County, Indiana</t>
  </si>
  <si>
    <t>Census Tract 9509, Cass County, Indiana</t>
  </si>
  <si>
    <t>Census Tract 9510, Cass County, Indiana</t>
  </si>
  <si>
    <t>Census Tract 9511, Cass County, Indiana</t>
  </si>
  <si>
    <t>Census Tract 9512, Cass County, Indiana</t>
  </si>
  <si>
    <t>Census Tract 9513, Cass County, Indiana</t>
  </si>
  <si>
    <t>Census Tract 9514, Cass County, Indiana</t>
  </si>
  <si>
    <t>Census Tract 9515, Cass County, Indiana</t>
  </si>
  <si>
    <t>Census Tract 9516, Cass County, Indiana</t>
  </si>
  <si>
    <t>Census Tract 9517, Cass County, Indiana</t>
  </si>
  <si>
    <t>Census Tract 9518, Cass County, Indiana</t>
  </si>
  <si>
    <t>Census Tract 9519, Cass County, Indiana</t>
  </si>
  <si>
    <t>Census Tract 501, Clark County, Indiana</t>
  </si>
  <si>
    <t>Census Tract 502, Clark County, Indiana</t>
  </si>
  <si>
    <t>Census Tract 503.03, Clark County, Indiana</t>
  </si>
  <si>
    <t>Census Tract 503.04, Clark County, Indiana</t>
  </si>
  <si>
    <t>Census Tract 503.05, Clark County, Indiana</t>
  </si>
  <si>
    <t>Census Tract 503.06, Clark County, Indiana</t>
  </si>
  <si>
    <t>Census Tract 504.01, Clark County, Indiana</t>
  </si>
  <si>
    <t>Census Tract 504.03, Clark County, Indiana</t>
  </si>
  <si>
    <t>Census Tract 504.04, Clark County, Indiana</t>
  </si>
  <si>
    <t>Census Tract 505.03, Clark County, Indiana</t>
  </si>
  <si>
    <t>Census Tract 505.04, Clark County, Indiana</t>
  </si>
  <si>
    <t>Census Tract 505.05, Clark County, Indiana</t>
  </si>
  <si>
    <t>Census Tract 506.03, Clark County, Indiana</t>
  </si>
  <si>
    <t>Census Tract 506.04, Clark County, Indiana</t>
  </si>
  <si>
    <t>Census Tract 506.05, Clark County, Indiana</t>
  </si>
  <si>
    <t>Census Tract 506.06, Clark County, Indiana</t>
  </si>
  <si>
    <t>Census Tract 507.03, Clark County, Indiana</t>
  </si>
  <si>
    <t>Census Tract 507.04, Clark County, Indiana</t>
  </si>
  <si>
    <t>Census Tract 507.05, Clark County, Indiana</t>
  </si>
  <si>
    <t>Census Tract 507.06, Clark County, Indiana</t>
  </si>
  <si>
    <t>Census Tract 508.01, Clark County, Indiana</t>
  </si>
  <si>
    <t>Census Tract 508.03, Clark County, Indiana</t>
  </si>
  <si>
    <t>Census Tract 508.04, Clark County, Indiana</t>
  </si>
  <si>
    <t>Census Tract 509.02, Clark County, Indiana</t>
  </si>
  <si>
    <t>Census Tract 509.03, Clark County, Indiana</t>
  </si>
  <si>
    <t>Census Tract 509.04, Clark County, Indiana</t>
  </si>
  <si>
    <t>Census Tract 510, Clark County, Indiana</t>
  </si>
  <si>
    <t>Census Tract 401, Clay County, Indiana</t>
  </si>
  <si>
    <t>Census Tract 402, Clay County, Indiana</t>
  </si>
  <si>
    <t>Census Tract 403, Clay County, Indiana</t>
  </si>
  <si>
    <t>Census Tract 404, Clay County, Indiana</t>
  </si>
  <si>
    <t>Census Tract 405, Clay County, Indiana</t>
  </si>
  <si>
    <t>Census Tract 406, Clay County, Indiana</t>
  </si>
  <si>
    <t>Census Tract 9501, Clinton County, Indiana</t>
  </si>
  <si>
    <t>Census Tract 9502, Clinton County, Indiana</t>
  </si>
  <si>
    <t>Census Tract 9503, Clinton County, Indiana</t>
  </si>
  <si>
    <t>Census Tract 9504, Clinton County, Indiana</t>
  </si>
  <si>
    <t>Census Tract 9505, Clinton County, Indiana</t>
  </si>
  <si>
    <t>Census Tract 9506, Clinton County, Indiana</t>
  </si>
  <si>
    <t>Census Tract 9507, Clinton County, Indiana</t>
  </si>
  <si>
    <t>Census Tract 9508, Clinton County, Indiana</t>
  </si>
  <si>
    <t>Census Tract 9519, Crawford County, Indiana</t>
  </si>
  <si>
    <t>Census Tract 9520, Crawford County, Indiana</t>
  </si>
  <si>
    <t>Census Tract 9521, Crawford County, Indiana</t>
  </si>
  <si>
    <t>Census Tract 9543, Daviess County, Indiana</t>
  </si>
  <si>
    <t>Census Tract 9544, Daviess County, Indiana</t>
  </si>
  <si>
    <t>Census Tract 9545.01, Daviess County, Indiana</t>
  </si>
  <si>
    <t>Census Tract 9545.02, Daviess County, Indiana</t>
  </si>
  <si>
    <t>Census Tract 9546, Daviess County, Indiana</t>
  </si>
  <si>
    <t>Census Tract 9547, Daviess County, Indiana</t>
  </si>
  <si>
    <t>Census Tract 9548, Daviess County, Indiana</t>
  </si>
  <si>
    <t>Census Tract 9549, Daviess County, Indiana</t>
  </si>
  <si>
    <t>Census Tract 801.01, Dearborn County, Indiana</t>
  </si>
  <si>
    <t>Census Tract 801.03, Dearborn County, Indiana</t>
  </si>
  <si>
    <t>Census Tract 801.04, Dearborn County, Indiana</t>
  </si>
  <si>
    <t>Census Tract 802.01, Dearborn County, Indiana</t>
  </si>
  <si>
    <t>Census Tract 802.03, Dearborn County, Indiana</t>
  </si>
  <si>
    <t>Census Tract 802.04, Dearborn County, Indiana</t>
  </si>
  <si>
    <t>Census Tract 803.01, Dearborn County, Indiana</t>
  </si>
  <si>
    <t>Census Tract 803.02, Dearborn County, Indiana</t>
  </si>
  <si>
    <t>Census Tract 804, Dearborn County, Indiana</t>
  </si>
  <si>
    <t>Census Tract 805, Dearborn County, Indiana</t>
  </si>
  <si>
    <t>Census Tract 806.01, Dearborn County, Indiana</t>
  </si>
  <si>
    <t>Census Tract 806.02, Dearborn County, Indiana</t>
  </si>
  <si>
    <t>Census Tract 807, Dearborn County, Indiana</t>
  </si>
  <si>
    <t>Census Tract 9690, Decatur County, Indiana</t>
  </si>
  <si>
    <t>Census Tract 9691, Decatur County, Indiana</t>
  </si>
  <si>
    <t>Census Tract 9692, Decatur County, Indiana</t>
  </si>
  <si>
    <t>Census Tract 9693, Decatur County, Indiana</t>
  </si>
  <si>
    <t>Census Tract 9694, Decatur County, Indiana</t>
  </si>
  <si>
    <t>Census Tract 9695, Decatur County, Indiana</t>
  </si>
  <si>
    <t>Census Tract 201, DeKalb County, Indiana</t>
  </si>
  <si>
    <t>Census Tract 202, DeKalb County, Indiana</t>
  </si>
  <si>
    <t>Census Tract 203, DeKalb County, Indiana</t>
  </si>
  <si>
    <t>Census Tract 204, DeKalb County, Indiana</t>
  </si>
  <si>
    <t>Census Tract 205, DeKalb County, Indiana</t>
  </si>
  <si>
    <t>Census Tract 206.01, DeKalb County, Indiana</t>
  </si>
  <si>
    <t>Census Tract 206.02, DeKalb County, Indiana</t>
  </si>
  <si>
    <t>Census Tract 207, DeKalb County, Indiana</t>
  </si>
  <si>
    <t>Census Tract 208, DeKalb County, Indiana</t>
  </si>
  <si>
    <t>Census Tract 3, Delaware County, Indiana</t>
  </si>
  <si>
    <t>Census Tract 4, Delaware County, Indiana</t>
  </si>
  <si>
    <t>Census Tract 5, Delaware County, Indiana</t>
  </si>
  <si>
    <t>Census Tract 6, Delaware County, Indiana</t>
  </si>
  <si>
    <t>Census Tract 7, Delaware County, Indiana</t>
  </si>
  <si>
    <t>Census Tract 8, Delaware County, Indiana</t>
  </si>
  <si>
    <t>Census Tract 9.02, Delaware County, Indiana</t>
  </si>
  <si>
    <t>Census Tract 9.03, Delaware County, Indiana</t>
  </si>
  <si>
    <t>Census Tract 9.04, Delaware County, Indiana</t>
  </si>
  <si>
    <t>Census Tract 10, Delaware County, Indiana</t>
  </si>
  <si>
    <t>Census Tract 11, Delaware County, Indiana</t>
  </si>
  <si>
    <t>Census Tract 12, Delaware County, Indiana</t>
  </si>
  <si>
    <t>Census Tract 13, Delaware County, Indiana</t>
  </si>
  <si>
    <t>Census Tract 14, Delaware County, Indiana</t>
  </si>
  <si>
    <t>Census Tract 15, Delaware County, Indiana</t>
  </si>
  <si>
    <t>Census Tract 16, Delaware County, Indiana</t>
  </si>
  <si>
    <t>Census Tract 17, Delaware County, Indiana</t>
  </si>
  <si>
    <t>Census Tract 20, Delaware County, Indiana</t>
  </si>
  <si>
    <t>Census Tract 21, Delaware County, Indiana</t>
  </si>
  <si>
    <t>Census Tract 22.01, Delaware County, Indiana</t>
  </si>
  <si>
    <t>Census Tract 22.02, Delaware County, Indiana</t>
  </si>
  <si>
    <t>Census Tract 23.01, Delaware County, Indiana</t>
  </si>
  <si>
    <t>Census Tract 23.02, Delaware County, Indiana</t>
  </si>
  <si>
    <t>Census Tract 24.01, Delaware County, Indiana</t>
  </si>
  <si>
    <t>Census Tract 24.03, Delaware County, Indiana</t>
  </si>
  <si>
    <t>Census Tract 24.04, Delaware County, Indiana</t>
  </si>
  <si>
    <t>Census Tract 25.01, Delaware County, Indiana</t>
  </si>
  <si>
    <t>Census Tract 25.02, Delaware County, Indiana</t>
  </si>
  <si>
    <t>Census Tract 26.02, Delaware County, Indiana</t>
  </si>
  <si>
    <t>Census Tract 26.03, Delaware County, Indiana</t>
  </si>
  <si>
    <t>Census Tract 26.04, Delaware County, Indiana</t>
  </si>
  <si>
    <t>Census Tract 27, Delaware County, Indiana</t>
  </si>
  <si>
    <t>Census Tract 28, Delaware County, Indiana</t>
  </si>
  <si>
    <t>Census Tract 29, Delaware County, Indiana</t>
  </si>
  <si>
    <t>Census Tract 9532, Dubois County, Indiana</t>
  </si>
  <si>
    <t>Census Tract 9533.01, Dubois County, Indiana</t>
  </si>
  <si>
    <t>Census Tract 9533.02, Dubois County, Indiana</t>
  </si>
  <si>
    <t>Census Tract 9534, Dubois County, Indiana</t>
  </si>
  <si>
    <t>Census Tract 9535, Dubois County, Indiana</t>
  </si>
  <si>
    <t>Census Tract 9536, Dubois County, Indiana</t>
  </si>
  <si>
    <t>Census Tract 9537.01, Dubois County, Indiana</t>
  </si>
  <si>
    <t>Census Tract 9537.02, Dubois County, Indiana</t>
  </si>
  <si>
    <t>Census Tract 9538, Dubois County, Indiana</t>
  </si>
  <si>
    <t>Census Tract 1, Elkhart County, Indiana</t>
  </si>
  <si>
    <t>Census Tract 2.01, Elkhart County, Indiana</t>
  </si>
  <si>
    <t>Census Tract 2.02, Elkhart County, Indiana</t>
  </si>
  <si>
    <t>Census Tract 3.01, Elkhart County, Indiana</t>
  </si>
  <si>
    <t>Census Tract 3.02, Elkhart County, Indiana</t>
  </si>
  <si>
    <t>Census Tract 4, Elkhart County, Indiana</t>
  </si>
  <si>
    <t>Census Tract 5.01, Elkhart County, Indiana</t>
  </si>
  <si>
    <t>Census Tract 5.02, Elkhart County, Indiana</t>
  </si>
  <si>
    <t>Census Tract 6.01, Elkhart County, Indiana</t>
  </si>
  <si>
    <t>Census Tract 6.02, Elkhart County, Indiana</t>
  </si>
  <si>
    <t>Census Tract 7.01, Elkhart County, Indiana</t>
  </si>
  <si>
    <t>Census Tract 7.02, Elkhart County, Indiana</t>
  </si>
  <si>
    <t>Census Tract 8.01, Elkhart County, Indiana</t>
  </si>
  <si>
    <t>Census Tract 8.03, Elkhart County, Indiana</t>
  </si>
  <si>
    <t>Census Tract 8.04, Elkhart County, Indiana</t>
  </si>
  <si>
    <t>Census Tract 9.01, Elkhart County, Indiana</t>
  </si>
  <si>
    <t>Census Tract 9.02, Elkhart County, Indiana</t>
  </si>
  <si>
    <t>Census Tract 10, Elkhart County, Indiana</t>
  </si>
  <si>
    <t>Census Tract 11, Elkhart County, Indiana</t>
  </si>
  <si>
    <t>Census Tract 12, Elkhart County, Indiana</t>
  </si>
  <si>
    <t>Census Tract 13.01, Elkhart County, Indiana</t>
  </si>
  <si>
    <t>Census Tract 13.02, Elkhart County, Indiana</t>
  </si>
  <si>
    <t>Census Tract 14.01, Elkhart County, Indiana</t>
  </si>
  <si>
    <t>Census Tract 14.02, Elkhart County, Indiana</t>
  </si>
  <si>
    <t>Census Tract 15.01, Elkhart County, Indiana</t>
  </si>
  <si>
    <t>Census Tract 15.02, Elkhart County, Indiana</t>
  </si>
  <si>
    <t>Census Tract 16.01, Elkhart County, Indiana</t>
  </si>
  <si>
    <t>Census Tract 16.02, Elkhart County, Indiana</t>
  </si>
  <si>
    <t>Census Tract 17.01, Elkhart County, Indiana</t>
  </si>
  <si>
    <t>Census Tract 17.02, Elkhart County, Indiana</t>
  </si>
  <si>
    <t>Census Tract 18.01, Elkhart County, Indiana</t>
  </si>
  <si>
    <t>Census Tract 18.02, Elkhart County, Indiana</t>
  </si>
  <si>
    <t>Census Tract 19.01, Elkhart County, Indiana</t>
  </si>
  <si>
    <t>Census Tract 19.02, Elkhart County, Indiana</t>
  </si>
  <si>
    <t>Census Tract 20.01, Elkhart County, Indiana</t>
  </si>
  <si>
    <t>Census Tract 20.02, Elkhart County, Indiana</t>
  </si>
  <si>
    <t>Census Tract 21.01, Elkhart County, Indiana</t>
  </si>
  <si>
    <t>Census Tract 21.02, Elkhart County, Indiana</t>
  </si>
  <si>
    <t>Census Tract 22.01, Elkhart County, Indiana</t>
  </si>
  <si>
    <t>Census Tract 22.02, Elkhart County, Indiana</t>
  </si>
  <si>
    <t>Census Tract 23, Elkhart County, Indiana</t>
  </si>
  <si>
    <t>Census Tract 24, Elkhart County, Indiana</t>
  </si>
  <si>
    <t>Census Tract 26, Elkhart County, Indiana</t>
  </si>
  <si>
    <t>Census Tract 27, Elkhart County, Indiana</t>
  </si>
  <si>
    <t>Census Tract 29, Elkhart County, Indiana</t>
  </si>
  <si>
    <t>Census Tract 9540, Fayette County, Indiana</t>
  </si>
  <si>
    <t>Census Tract 9541, Fayette County, Indiana</t>
  </si>
  <si>
    <t>Census Tract 9542, Fayette County, Indiana</t>
  </si>
  <si>
    <t>Census Tract 9543, Fayette County, Indiana</t>
  </si>
  <si>
    <t>Census Tract 9544, Fayette County, Indiana</t>
  </si>
  <si>
    <t>Census Tract 9545, Fayette County, Indiana</t>
  </si>
  <si>
    <t>Census Tract 9546, Fayette County, Indiana</t>
  </si>
  <si>
    <t>Census Tract 702, Floyd County, Indiana</t>
  </si>
  <si>
    <t>Census Tract 703.01, Floyd County, Indiana</t>
  </si>
  <si>
    <t>Census Tract 703.02, Floyd County, Indiana</t>
  </si>
  <si>
    <t>Census Tract 704, Floyd County, Indiana</t>
  </si>
  <si>
    <t>Census Tract 705, Floyd County, Indiana</t>
  </si>
  <si>
    <t>Census Tract 706, Floyd County, Indiana</t>
  </si>
  <si>
    <t>Census Tract 707, Floyd County, Indiana</t>
  </si>
  <si>
    <t>Census Tract 708.01, Floyd County, Indiana</t>
  </si>
  <si>
    <t>Census Tract 708.02, Floyd County, Indiana</t>
  </si>
  <si>
    <t>Census Tract 709.01, Floyd County, Indiana</t>
  </si>
  <si>
    <t>Census Tract 709.02, Floyd County, Indiana</t>
  </si>
  <si>
    <t>Census Tract 710.03, Floyd County, Indiana</t>
  </si>
  <si>
    <t>Census Tract 710.04, Floyd County, Indiana</t>
  </si>
  <si>
    <t>Census Tract 710.05, Floyd County, Indiana</t>
  </si>
  <si>
    <t>Census Tract 710.06, Floyd County, Indiana</t>
  </si>
  <si>
    <t>Census Tract 710.07, Floyd County, Indiana</t>
  </si>
  <si>
    <t>Census Tract 711.01, Floyd County, Indiana</t>
  </si>
  <si>
    <t>Census Tract 711.03, Floyd County, Indiana</t>
  </si>
  <si>
    <t>Census Tract 711.04, Floyd County, Indiana</t>
  </si>
  <si>
    <t>Census Tract 712, Floyd County, Indiana</t>
  </si>
  <si>
    <t>Census Tract 9576, Fountain County, Indiana</t>
  </si>
  <si>
    <t>Census Tract 9577, Fountain County, Indiana</t>
  </si>
  <si>
    <t>Census Tract 9578, Fountain County, Indiana</t>
  </si>
  <si>
    <t>Census Tract 9579, Fountain County, Indiana</t>
  </si>
  <si>
    <t>Census Tract 9580, Fountain County, Indiana</t>
  </si>
  <si>
    <t>Census Tract 9601, Franklin County, Indiana</t>
  </si>
  <si>
    <t>Census Tract 9696, Franklin County, Indiana</t>
  </si>
  <si>
    <t>Census Tract 9697, Franklin County, Indiana</t>
  </si>
  <si>
    <t>Census Tract 9698, Franklin County, Indiana</t>
  </si>
  <si>
    <t>Census Tract 9699, Franklin County, Indiana</t>
  </si>
  <si>
    <t>Census Tract 9530, Fulton County, Indiana</t>
  </si>
  <si>
    <t>Census Tract 9531, Fulton County, Indiana</t>
  </si>
  <si>
    <t>Census Tract 9532, Fulton County, Indiana</t>
  </si>
  <si>
    <t>Census Tract 9533, Fulton County, Indiana</t>
  </si>
  <si>
    <t>Census Tract 9534, Fulton County, Indiana</t>
  </si>
  <si>
    <t>Census Tract 9535, Fulton County, Indiana</t>
  </si>
  <si>
    <t>Census Tract 501, Gibson County, Indiana</t>
  </si>
  <si>
    <t>Census Tract 502.01, Gibson County, Indiana</t>
  </si>
  <si>
    <t>Census Tract 502.02, Gibson County, Indiana</t>
  </si>
  <si>
    <t>Census Tract 503, Gibson County, Indiana</t>
  </si>
  <si>
    <t>Census Tract 504.01, Gibson County, Indiana</t>
  </si>
  <si>
    <t>Census Tract 504.02, Gibson County, Indiana</t>
  </si>
  <si>
    <t>Census Tract 505.01, Gibson County, Indiana</t>
  </si>
  <si>
    <t>Census Tract 505.02, Gibson County, Indiana</t>
  </si>
  <si>
    <t>Census Tract 1, Grant County, Indiana</t>
  </si>
  <si>
    <t>Census Tract 2, Grant County, Indiana</t>
  </si>
  <si>
    <t>Census Tract 4, Grant County, Indiana</t>
  </si>
  <si>
    <t>Census Tract 5, Grant County, Indiana</t>
  </si>
  <si>
    <t>Census Tract 6, Grant County, Indiana</t>
  </si>
  <si>
    <t>Census Tract 7, Grant County, Indiana</t>
  </si>
  <si>
    <t>Census Tract 8, Grant County, Indiana</t>
  </si>
  <si>
    <t>Census Tract 9, Grant County, Indiana</t>
  </si>
  <si>
    <t>Census Tract 101, Grant County, Indiana</t>
  </si>
  <si>
    <t>Census Tract 102, Grant County, Indiana</t>
  </si>
  <si>
    <t>Census Tract 103, Grant County, Indiana</t>
  </si>
  <si>
    <t>Census Tract 104, Grant County, Indiana</t>
  </si>
  <si>
    <t>Census Tract 105, Grant County, Indiana</t>
  </si>
  <si>
    <t>Census Tract 106, Grant County, Indiana</t>
  </si>
  <si>
    <t>Census Tract 107, Grant County, Indiana</t>
  </si>
  <si>
    <t>Census Tract 108, Grant County, Indiana</t>
  </si>
  <si>
    <t>Census Tract 9547.01, Greene County, Indiana</t>
  </si>
  <si>
    <t>Census Tract 9547.02, Greene County, Indiana</t>
  </si>
  <si>
    <t>Census Tract 9548, Greene County, Indiana</t>
  </si>
  <si>
    <t>Census Tract 9549, Greene County, Indiana</t>
  </si>
  <si>
    <t>Census Tract 9550, Greene County, Indiana</t>
  </si>
  <si>
    <t>Census Tract 9551, Greene County, Indiana</t>
  </si>
  <si>
    <t>Census Tract 9552, Greene County, Indiana</t>
  </si>
  <si>
    <t>Census Tract 9553, Greene County, Indiana</t>
  </si>
  <si>
    <t>Census Tract 9554, Greene County, Indiana</t>
  </si>
  <si>
    <t>Census Tract 1101.01, Hamilton County, Indiana</t>
  </si>
  <si>
    <t>Census Tract 1101.02, Hamilton County, Indiana</t>
  </si>
  <si>
    <t>Census Tract 1102.01, Hamilton County, Indiana</t>
  </si>
  <si>
    <t>Census Tract 1102.02, Hamilton County, Indiana</t>
  </si>
  <si>
    <t>Census Tract 1103.01, Hamilton County, Indiana</t>
  </si>
  <si>
    <t>Census Tract 1103.02, Hamilton County, Indiana</t>
  </si>
  <si>
    <t>Census Tract 1103.03, Hamilton County, Indiana</t>
  </si>
  <si>
    <t>Census Tract 1104.01, Hamilton County, Indiana</t>
  </si>
  <si>
    <t>Census Tract 1104.04, Hamilton County, Indiana</t>
  </si>
  <si>
    <t>Census Tract 1104.05, Hamilton County, Indiana</t>
  </si>
  <si>
    <t>Census Tract 1104.06, Hamilton County, Indiana</t>
  </si>
  <si>
    <t>Census Tract 1105.05, Hamilton County, Indiana</t>
  </si>
  <si>
    <t>Census Tract 1105.09, Hamilton County, Indiana</t>
  </si>
  <si>
    <t>Census Tract 1105.11, Hamilton County, Indiana</t>
  </si>
  <si>
    <t>Census Tract 1105.12, Hamilton County, Indiana</t>
  </si>
  <si>
    <t>Census Tract 1105.13, Hamilton County, Indiana</t>
  </si>
  <si>
    <t>Census Tract 1105.14, Hamilton County, Indiana</t>
  </si>
  <si>
    <t>Census Tract 1105.15, Hamilton County, Indiana</t>
  </si>
  <si>
    <t>Census Tract 1105.16, Hamilton County, Indiana</t>
  </si>
  <si>
    <t>Census Tract 1105.17, Hamilton County, Indiana</t>
  </si>
  <si>
    <t>Census Tract 1105.18, Hamilton County, Indiana</t>
  </si>
  <si>
    <t>Census Tract 1106, Hamilton County, Indiana</t>
  </si>
  <si>
    <t>Census Tract 1107, Hamilton County, Indiana</t>
  </si>
  <si>
    <t>Census Tract 1108.05, Hamilton County, Indiana</t>
  </si>
  <si>
    <t>Census Tract 1108.07, Hamilton County, Indiana</t>
  </si>
  <si>
    <t>Census Tract 1108.10, Hamilton County, Indiana</t>
  </si>
  <si>
    <t>Census Tract 1108.11, Hamilton County, Indiana</t>
  </si>
  <si>
    <t>Census Tract 1108.12, Hamilton County, Indiana</t>
  </si>
  <si>
    <t>Census Tract 1108.13, Hamilton County, Indiana</t>
  </si>
  <si>
    <t>Census Tract 1108.14, Hamilton County, Indiana</t>
  </si>
  <si>
    <t>Census Tract 1108.15, Hamilton County, Indiana</t>
  </si>
  <si>
    <t>Census Tract 1108.16, Hamilton County, Indiana</t>
  </si>
  <si>
    <t>Census Tract 1108.17, Hamilton County, Indiana</t>
  </si>
  <si>
    <t>Census Tract 1108.18, Hamilton County, Indiana</t>
  </si>
  <si>
    <t>Census Tract 1108.19, Hamilton County, Indiana</t>
  </si>
  <si>
    <t>Census Tract 1108.20, Hamilton County, Indiana</t>
  </si>
  <si>
    <t>Census Tract 1108.21, Hamilton County, Indiana</t>
  </si>
  <si>
    <t>Census Tract 1108.22, Hamilton County, Indiana</t>
  </si>
  <si>
    <t>Census Tract 1109.04, Hamilton County, Indiana</t>
  </si>
  <si>
    <t>Census Tract 1109.05, Hamilton County, Indiana</t>
  </si>
  <si>
    <t>Census Tract 1109.06, Hamilton County, Indiana</t>
  </si>
  <si>
    <t>Census Tract 1109.07, Hamilton County, Indiana</t>
  </si>
  <si>
    <t>Census Tract 1109.09, Hamilton County, Indiana</t>
  </si>
  <si>
    <t>Census Tract 1109.10, Hamilton County, Indiana</t>
  </si>
  <si>
    <t>Census Tract 1109.11, Hamilton County, Indiana</t>
  </si>
  <si>
    <t>Census Tract 1109.12, Hamilton County, Indiana</t>
  </si>
  <si>
    <t>Census Tract 1110.03, Hamilton County, Indiana</t>
  </si>
  <si>
    <t>Census Tract 1110.04, Hamilton County, Indiana</t>
  </si>
  <si>
    <t>Census Tract 1110.06, Hamilton County, Indiana</t>
  </si>
  <si>
    <t>Census Tract 1110.07, Hamilton County, Indiana</t>
  </si>
  <si>
    <t>Census Tract 1110.09, Hamilton County, Indiana</t>
  </si>
  <si>
    <t>Census Tract 1110.10, Hamilton County, Indiana</t>
  </si>
  <si>
    <t>Census Tract 1110.11, Hamilton County, Indiana</t>
  </si>
  <si>
    <t>Census Tract 1110.12, Hamilton County, Indiana</t>
  </si>
  <si>
    <t>Census Tract 1111.01, Hamilton County, Indiana</t>
  </si>
  <si>
    <t>Census Tract 1111.03, Hamilton County, Indiana</t>
  </si>
  <si>
    <t>Census Tract 1111.04, Hamilton County, Indiana</t>
  </si>
  <si>
    <t>Census Tract 4101, Hancock County, Indiana</t>
  </si>
  <si>
    <t>Census Tract 4102.01, Hancock County, Indiana</t>
  </si>
  <si>
    <t>Census Tract 4102.02, Hancock County, Indiana</t>
  </si>
  <si>
    <t>Census Tract 4103.01, Hancock County, Indiana</t>
  </si>
  <si>
    <t>Census Tract 4103.02, Hancock County, Indiana</t>
  </si>
  <si>
    <t>Census Tract 4104.01, Hancock County, Indiana</t>
  </si>
  <si>
    <t>Census Tract 4104.02, Hancock County, Indiana</t>
  </si>
  <si>
    <t>Census Tract 4105, Hancock County, Indiana</t>
  </si>
  <si>
    <t>Census Tract 4106, Hancock County, Indiana</t>
  </si>
  <si>
    <t>Census Tract 4107, Hancock County, Indiana</t>
  </si>
  <si>
    <t>Census Tract 4108.01, Hancock County, Indiana</t>
  </si>
  <si>
    <t>Census Tract 4108.02, Hancock County, Indiana</t>
  </si>
  <si>
    <t>Census Tract 4109.01, Hancock County, Indiana</t>
  </si>
  <si>
    <t>Census Tract 4109.02, Hancock County, Indiana</t>
  </si>
  <si>
    <t>Census Tract 4110, Hancock County, Indiana</t>
  </si>
  <si>
    <t>Census Tract 601, Harrison County, Indiana</t>
  </si>
  <si>
    <t>Census Tract 602.01, Harrison County, Indiana</t>
  </si>
  <si>
    <t>Census Tract 602.02, Harrison County, Indiana</t>
  </si>
  <si>
    <t>Census Tract 603, Harrison County, Indiana</t>
  </si>
  <si>
    <t>Census Tract 604.01, Harrison County, Indiana</t>
  </si>
  <si>
    <t>Census Tract 604.02, Harrison County, Indiana</t>
  </si>
  <si>
    <t>Census Tract 605, Harrison County, Indiana</t>
  </si>
  <si>
    <t>Census Tract 606.01, Harrison County, Indiana</t>
  </si>
  <si>
    <t>Census Tract 606.02, Harrison County, Indiana</t>
  </si>
  <si>
    <t>Census Tract 2101.03, Hendricks County, Indiana</t>
  </si>
  <si>
    <t>Census Tract 2101.05, Hendricks County, Indiana</t>
  </si>
  <si>
    <t>Census Tract 2101.06, Hendricks County, Indiana</t>
  </si>
  <si>
    <t>Census Tract 2101.07, Hendricks County, Indiana</t>
  </si>
  <si>
    <t>Census Tract 2101.08, Hendricks County, Indiana</t>
  </si>
  <si>
    <t>Census Tract 2101.09, Hendricks County, Indiana</t>
  </si>
  <si>
    <t>Census Tract 2102.01, Hendricks County, Indiana</t>
  </si>
  <si>
    <t>Census Tract 2102.03, Hendricks County, Indiana</t>
  </si>
  <si>
    <t>Census Tract 2102.04, Hendricks County, Indiana</t>
  </si>
  <si>
    <t>Census Tract 2103, Hendricks County, Indiana</t>
  </si>
  <si>
    <t>Census Tract 2104, Hendricks County, Indiana</t>
  </si>
  <si>
    <t>Census Tract 2105.01, Hendricks County, Indiana</t>
  </si>
  <si>
    <t>Census Tract 2105.02, Hendricks County, Indiana</t>
  </si>
  <si>
    <t>Census Tract 2106.07, Hendricks County, Indiana</t>
  </si>
  <si>
    <t>Census Tract 2106.08, Hendricks County, Indiana</t>
  </si>
  <si>
    <t>Census Tract 2106.09, Hendricks County, Indiana</t>
  </si>
  <si>
    <t>Census Tract 2106.10, Hendricks County, Indiana</t>
  </si>
  <si>
    <t>Census Tract 2106.11, Hendricks County, Indiana</t>
  </si>
  <si>
    <t>Census Tract 2106.12, Hendricks County, Indiana</t>
  </si>
  <si>
    <t>Census Tract 2106.13, Hendricks County, Indiana</t>
  </si>
  <si>
    <t>Census Tract 2106.14, Hendricks County, Indiana</t>
  </si>
  <si>
    <t>Census Tract 2106.15, Hendricks County, Indiana</t>
  </si>
  <si>
    <t>Census Tract 2106.16, Hendricks County, Indiana</t>
  </si>
  <si>
    <t>Census Tract 2106.17, Hendricks County, Indiana</t>
  </si>
  <si>
    <t>Census Tract 2107.01, Hendricks County, Indiana</t>
  </si>
  <si>
    <t>Census Tract 2107.02, Hendricks County, Indiana</t>
  </si>
  <si>
    <t>Census Tract 2108.01, Hendricks County, Indiana</t>
  </si>
  <si>
    <t>Census Tract 2108.02, Hendricks County, Indiana</t>
  </si>
  <si>
    <t>Census Tract 2109, Hendricks County, Indiana</t>
  </si>
  <si>
    <t>Census Tract 2110, Hendricks County, Indiana</t>
  </si>
  <si>
    <t>Census Tract 2111, Hendricks County, Indiana</t>
  </si>
  <si>
    <t>Census Tract 9755, Henry County, Indiana</t>
  </si>
  <si>
    <t>Census Tract 9756, Henry County, Indiana</t>
  </si>
  <si>
    <t>Census Tract 9757, Henry County, Indiana</t>
  </si>
  <si>
    <t>Census Tract 9758, Henry County, Indiana</t>
  </si>
  <si>
    <t>Census Tract 9759, Henry County, Indiana</t>
  </si>
  <si>
    <t>Census Tract 9760, Henry County, Indiana</t>
  </si>
  <si>
    <t>Census Tract 9761, Henry County, Indiana</t>
  </si>
  <si>
    <t>Census Tract 9763, Henry County, Indiana</t>
  </si>
  <si>
    <t>Census Tract 9764, Henry County, Indiana</t>
  </si>
  <si>
    <t>Census Tract 9765, Henry County, Indiana</t>
  </si>
  <si>
    <t>Census Tract 9766, Henry County, Indiana</t>
  </si>
  <si>
    <t>Census Tract 9767, Henry County, Indiana</t>
  </si>
  <si>
    <t>Census Tract 9768, Henry County, Indiana</t>
  </si>
  <si>
    <t>Census Tract 2, Howard County, Indiana</t>
  </si>
  <si>
    <t>Census Tract 3, Howard County, Indiana</t>
  </si>
  <si>
    <t>Census Tract 4, Howard County, Indiana</t>
  </si>
  <si>
    <t>Census Tract 5, Howard County, Indiana</t>
  </si>
  <si>
    <t>Census Tract 6, Howard County, Indiana</t>
  </si>
  <si>
    <t>Census Tract 7, Howard County, Indiana</t>
  </si>
  <si>
    <t>Census Tract 8, Howard County, Indiana</t>
  </si>
  <si>
    <t>Census Tract 9, Howard County, Indiana</t>
  </si>
  <si>
    <t>Census Tract 10, Howard County, Indiana</t>
  </si>
  <si>
    <t>Census Tract 11, Howard County, Indiana</t>
  </si>
  <si>
    <t>Census Tract 12, Howard County, Indiana</t>
  </si>
  <si>
    <t>Census Tract 13, Howard County, Indiana</t>
  </si>
  <si>
    <t>Census Tract 14, Howard County, Indiana</t>
  </si>
  <si>
    <t>Census Tract 15, Howard County, Indiana</t>
  </si>
  <si>
    <t>Census Tract 101, Howard County, Indiana</t>
  </si>
  <si>
    <t>Census Tract 102.01, Howard County, Indiana</t>
  </si>
  <si>
    <t>Census Tract 102.02, Howard County, Indiana</t>
  </si>
  <si>
    <t>Census Tract 103, Howard County, Indiana</t>
  </si>
  <si>
    <t>Census Tract 104, Howard County, Indiana</t>
  </si>
  <si>
    <t>Census Tract 105, Howard County, Indiana</t>
  </si>
  <si>
    <t>Census Tract 106, Howard County, Indiana</t>
  </si>
  <si>
    <t>Census Tract 9613, Huntington County, Indiana</t>
  </si>
  <si>
    <t>Census Tract 9614, Huntington County, Indiana</t>
  </si>
  <si>
    <t>Census Tract 9615, Huntington County, Indiana</t>
  </si>
  <si>
    <t>Census Tract 9616, Huntington County, Indiana</t>
  </si>
  <si>
    <t>Census Tract 9617, Huntington County, Indiana</t>
  </si>
  <si>
    <t>Census Tract 9618, Huntington County, Indiana</t>
  </si>
  <si>
    <t>Census Tract 9619, Huntington County, Indiana</t>
  </si>
  <si>
    <t>Census Tract 9620, Huntington County, Indiana</t>
  </si>
  <si>
    <t>Census Tract 9621, Huntington County, Indiana</t>
  </si>
  <si>
    <t>Census Tract 9675.01, Jackson County, Indiana</t>
  </si>
  <si>
    <t>Census Tract 9675.02, Jackson County, Indiana</t>
  </si>
  <si>
    <t>Census Tract 9676, Jackson County, Indiana</t>
  </si>
  <si>
    <t>Census Tract 9677, Jackson County, Indiana</t>
  </si>
  <si>
    <t>Census Tract 9678, Jackson County, Indiana</t>
  </si>
  <si>
    <t>Census Tract 9679.01, Jackson County, Indiana</t>
  </si>
  <si>
    <t>Census Tract 9679.02, Jackson County, Indiana</t>
  </si>
  <si>
    <t>Census Tract 9680, Jackson County, Indiana</t>
  </si>
  <si>
    <t>Census Tract 9681, Jackson County, Indiana</t>
  </si>
  <si>
    <t>Census Tract 9682, Jackson County, Indiana</t>
  </si>
  <si>
    <t>Census Tract 9683, Jackson County, Indiana</t>
  </si>
  <si>
    <t>Census Tract 1004, Jasper County, Indiana</t>
  </si>
  <si>
    <t>Census Tract 1008, Jasper County, Indiana</t>
  </si>
  <si>
    <t>Census Tract 1009.01, Jasper County, Indiana</t>
  </si>
  <si>
    <t>Census Tract 1009.02, Jasper County, Indiana</t>
  </si>
  <si>
    <t>Census Tract 1010, Jasper County, Indiana</t>
  </si>
  <si>
    <t>Census Tract 1011, Jasper County, Indiana</t>
  </si>
  <si>
    <t>Census Tract 1012, Jasper County, Indiana</t>
  </si>
  <si>
    <t>Census Tract 1013, Jasper County, Indiana</t>
  </si>
  <si>
    <t>Census Tract 9627, Jay County, Indiana</t>
  </si>
  <si>
    <t>Census Tract 9628, Jay County, Indiana</t>
  </si>
  <si>
    <t>Census Tract 9629, Jay County, Indiana</t>
  </si>
  <si>
    <t>Census Tract 9630, Jay County, Indiana</t>
  </si>
  <si>
    <t>Census Tract 9631, Jay County, Indiana</t>
  </si>
  <si>
    <t>Census Tract 9632, Jay County, Indiana</t>
  </si>
  <si>
    <t>Census Tract 9633, Jay County, Indiana</t>
  </si>
  <si>
    <t>Census Tract 9660, Jefferson County, Indiana</t>
  </si>
  <si>
    <t>Census Tract 9661, Jefferson County, Indiana</t>
  </si>
  <si>
    <t>Census Tract 9662, Jefferson County, Indiana</t>
  </si>
  <si>
    <t>Census Tract 9663, Jefferson County, Indiana</t>
  </si>
  <si>
    <t>Census Tract 9664, Jefferson County, Indiana</t>
  </si>
  <si>
    <t>Census Tract 9665, Jefferson County, Indiana</t>
  </si>
  <si>
    <t>Census Tract 9666, Jefferson County, Indiana</t>
  </si>
  <si>
    <t>Census Tract 9602, Jennings County, Indiana</t>
  </si>
  <si>
    <t>Census Tract 9603.01, Jennings County, Indiana</t>
  </si>
  <si>
    <t>Census Tract 9603.02, Jennings County, Indiana</t>
  </si>
  <si>
    <t>Census Tract 9604, Jennings County, Indiana</t>
  </si>
  <si>
    <t>Census Tract 9605, Jennings County, Indiana</t>
  </si>
  <si>
    <t>Census Tract 9606, Jennings County, Indiana</t>
  </si>
  <si>
    <t>Census Tract 6101.01, Johnson County, Indiana</t>
  </si>
  <si>
    <t>Census Tract 6101.02, Johnson County, Indiana</t>
  </si>
  <si>
    <t>Census Tract 6102.01, Johnson County, Indiana</t>
  </si>
  <si>
    <t>Census Tract 6102.03, Johnson County, Indiana</t>
  </si>
  <si>
    <t>Census Tract 6102.04, Johnson County, Indiana</t>
  </si>
  <si>
    <t>Census Tract 6103, Johnson County, Indiana</t>
  </si>
  <si>
    <t>Census Tract 6104.01, Johnson County, Indiana</t>
  </si>
  <si>
    <t>Census Tract 6104.03, Johnson County, Indiana</t>
  </si>
  <si>
    <t>Census Tract 6104.04, Johnson County, Indiana</t>
  </si>
  <si>
    <t>Census Tract 6105.01, Johnson County, Indiana</t>
  </si>
  <si>
    <t>Census Tract 6105.02, Johnson County, Indiana</t>
  </si>
  <si>
    <t>Census Tract 6106.03, Johnson County, Indiana</t>
  </si>
  <si>
    <t>Census Tract 6106.05, Johnson County, Indiana</t>
  </si>
  <si>
    <t>Census Tract 6106.06, Johnson County, Indiana</t>
  </si>
  <si>
    <t>Census Tract 6106.07, Johnson County, Indiana</t>
  </si>
  <si>
    <t>Census Tract 6106.08, Johnson County, Indiana</t>
  </si>
  <si>
    <t>Census Tract 6107.03, Johnson County, Indiana</t>
  </si>
  <si>
    <t>Census Tract 6107.04, Johnson County, Indiana</t>
  </si>
  <si>
    <t>Census Tract 6107.05, Johnson County, Indiana</t>
  </si>
  <si>
    <t>Census Tract 6107.06, Johnson County, Indiana</t>
  </si>
  <si>
    <t>Census Tract 6108.01, Johnson County, Indiana</t>
  </si>
  <si>
    <t>Census Tract 6108.02, Johnson County, Indiana</t>
  </si>
  <si>
    <t>Census Tract 6109, Johnson County, Indiana</t>
  </si>
  <si>
    <t>Census Tract 6110, Johnson County, Indiana</t>
  </si>
  <si>
    <t>Census Tract 6111, Johnson County, Indiana</t>
  </si>
  <si>
    <t>Census Tract 6112, Johnson County, Indiana</t>
  </si>
  <si>
    <t>Census Tract 6113, Johnson County, Indiana</t>
  </si>
  <si>
    <t>Census Tract 6114, Johnson County, Indiana</t>
  </si>
  <si>
    <t>Census Tract 9550, Knox County, Indiana</t>
  </si>
  <si>
    <t>Census Tract 9551, Knox County, Indiana</t>
  </si>
  <si>
    <t>Census Tract 9552.01, Knox County, Indiana</t>
  </si>
  <si>
    <t>Census Tract 9552.02, Knox County, Indiana</t>
  </si>
  <si>
    <t>Census Tract 9553, Knox County, Indiana</t>
  </si>
  <si>
    <t>Census Tract 9554, Knox County, Indiana</t>
  </si>
  <si>
    <t>Census Tract 9555, Knox County, Indiana</t>
  </si>
  <si>
    <t>Census Tract 9556, Knox County, Indiana</t>
  </si>
  <si>
    <t>Census Tract 9557, Knox County, Indiana</t>
  </si>
  <si>
    <t>Census Tract 9558, Knox County, Indiana</t>
  </si>
  <si>
    <t>Census Tract 9559, Knox County, Indiana</t>
  </si>
  <si>
    <t>Census Tract 9609, Kosciusko County, Indiana</t>
  </si>
  <si>
    <t>Census Tract 9610.01, Kosciusko County, Indiana</t>
  </si>
  <si>
    <t>Census Tract 9610.02, Kosciusko County, Indiana</t>
  </si>
  <si>
    <t>Census Tract 9611, Kosciusko County, Indiana</t>
  </si>
  <si>
    <t>Census Tract 9612, Kosciusko County, Indiana</t>
  </si>
  <si>
    <t>Census Tract 9613, Kosciusko County, Indiana</t>
  </si>
  <si>
    <t>Census Tract 9614, Kosciusko County, Indiana</t>
  </si>
  <si>
    <t>Census Tract 9615, Kosciusko County, Indiana</t>
  </si>
  <si>
    <t>Census Tract 9616, Kosciusko County, Indiana</t>
  </si>
  <si>
    <t>Census Tract 9617, Kosciusko County, Indiana</t>
  </si>
  <si>
    <t>Census Tract 9618, Kosciusko County, Indiana</t>
  </si>
  <si>
    <t>Census Tract 9619, Kosciusko County, Indiana</t>
  </si>
  <si>
    <t>Census Tract 9620, Kosciusko County, Indiana</t>
  </si>
  <si>
    <t>Census Tract 9621.01, Kosciusko County, Indiana</t>
  </si>
  <si>
    <t>Census Tract 9621.02, Kosciusko County, Indiana</t>
  </si>
  <si>
    <t>Census Tract 9622, Kosciusko County, Indiana</t>
  </si>
  <si>
    <t>Census Tract 9623, Kosciusko County, Indiana</t>
  </si>
  <si>
    <t>Census Tract 9624, Kosciusko County, Indiana</t>
  </si>
  <si>
    <t>Census Tract 9625, Kosciusko County, Indiana</t>
  </si>
  <si>
    <t>Census Tract 9626, Kosciusko County, Indiana</t>
  </si>
  <si>
    <t>Census Tract 9627, Kosciusko County, Indiana</t>
  </si>
  <si>
    <t>Census Tract 9701, LaGrange County, Indiana</t>
  </si>
  <si>
    <t>Census Tract 9702, LaGrange County, Indiana</t>
  </si>
  <si>
    <t>Census Tract 9703.01, LaGrange County, Indiana</t>
  </si>
  <si>
    <t>Census Tract 9703.02, LaGrange County, Indiana</t>
  </si>
  <si>
    <t>Census Tract 9704.01, LaGrange County, Indiana</t>
  </si>
  <si>
    <t>Census Tract 9704.02, LaGrange County, Indiana</t>
  </si>
  <si>
    <t>Census Tract 9705, LaGrange County, Indiana</t>
  </si>
  <si>
    <t>Census Tract 9706, LaGrange County, Indiana</t>
  </si>
  <si>
    <t>Census Tract 9707, LaGrange County, Indiana</t>
  </si>
  <si>
    <t>Census Tract 101, Lake County, Indiana</t>
  </si>
  <si>
    <t>Census Tract 102.03, Lake County, Indiana</t>
  </si>
  <si>
    <t>Census Tract 102.05, Lake County, Indiana</t>
  </si>
  <si>
    <t>Census Tract 102.06, Lake County, Indiana</t>
  </si>
  <si>
    <t>Census Tract 102.07, Lake County, Indiana</t>
  </si>
  <si>
    <t>Census Tract 103.02, Lake County, Indiana</t>
  </si>
  <si>
    <t>Census Tract 103.04, Lake County, Indiana</t>
  </si>
  <si>
    <t>Census Tract 104, Lake County, Indiana</t>
  </si>
  <si>
    <t>Census Tract 105, Lake County, Indiana</t>
  </si>
  <si>
    <t>Census Tract 106, Lake County, Indiana</t>
  </si>
  <si>
    <t>Census Tract 109, Lake County, Indiana</t>
  </si>
  <si>
    <t>Census Tract 110, Lake County, Indiana</t>
  </si>
  <si>
    <t>Census Tract 111, Lake County, Indiana</t>
  </si>
  <si>
    <t>Census Tract 112, Lake County, Indiana</t>
  </si>
  <si>
    <t>Census Tract 113, Lake County, Indiana</t>
  </si>
  <si>
    <t>Census Tract 114, Lake County, Indiana</t>
  </si>
  <si>
    <t>Census Tract 115, Lake County, Indiana</t>
  </si>
  <si>
    <t>Census Tract 116, Lake County, Indiana</t>
  </si>
  <si>
    <t>Census Tract 117, Lake County, Indiana</t>
  </si>
  <si>
    <t>Census Tract 118, Lake County, Indiana</t>
  </si>
  <si>
    <t>Census Tract 119, Lake County, Indiana</t>
  </si>
  <si>
    <t>Census Tract 120, Lake County, Indiana</t>
  </si>
  <si>
    <t>Census Tract 121, Lake County, Indiana</t>
  </si>
  <si>
    <t>Census Tract 122, Lake County, Indiana</t>
  </si>
  <si>
    <t>Census Tract 123, Lake County, Indiana</t>
  </si>
  <si>
    <t>Census Tract 124, Lake County, Indiana</t>
  </si>
  <si>
    <t>Census Tract 125, Lake County, Indiana</t>
  </si>
  <si>
    <t>Census Tract 126, Lake County, Indiana</t>
  </si>
  <si>
    <t>Census Tract 127, Lake County, Indiana</t>
  </si>
  <si>
    <t>Census Tract 128, Lake County, Indiana</t>
  </si>
  <si>
    <t>Census Tract 201, Lake County, Indiana</t>
  </si>
  <si>
    <t>Census Tract 202, Lake County, Indiana</t>
  </si>
  <si>
    <t>Census Tract 203, Lake County, Indiana</t>
  </si>
  <si>
    <t>Census Tract 204, Lake County, Indiana</t>
  </si>
  <si>
    <t>Census Tract 205, Lake County, Indiana</t>
  </si>
  <si>
    <t>Census Tract 206, Lake County, Indiana</t>
  </si>
  <si>
    <t>Census Tract 207, Lake County, Indiana</t>
  </si>
  <si>
    <t>Census Tract 208, Lake County, Indiana</t>
  </si>
  <si>
    <t>Census Tract 209, Lake County, Indiana</t>
  </si>
  <si>
    <t>Census Tract 210, Lake County, Indiana</t>
  </si>
  <si>
    <t>Census Tract 211, Lake County, Indiana</t>
  </si>
  <si>
    <t>Census Tract 213, Lake County, Indiana</t>
  </si>
  <si>
    <t>Census Tract 214, Lake County, Indiana</t>
  </si>
  <si>
    <t>Census Tract 215, Lake County, Indiana</t>
  </si>
  <si>
    <t>Census Tract 216, Lake County, Indiana</t>
  </si>
  <si>
    <t>Census Tract 217, Lake County, Indiana</t>
  </si>
  <si>
    <t>Census Tract 218, Lake County, Indiana</t>
  </si>
  <si>
    <t>Census Tract 219, Lake County, Indiana</t>
  </si>
  <si>
    <t>Census Tract 220, Lake County, Indiana</t>
  </si>
  <si>
    <t>Census Tract 301, Lake County, Indiana</t>
  </si>
  <si>
    <t>Census Tract 302, Lake County, Indiana</t>
  </si>
  <si>
    <t>Census Tract 303, Lake County, Indiana</t>
  </si>
  <si>
    <t>Census Tract 304, Lake County, Indiana</t>
  </si>
  <si>
    <t>Census Tract 305, Lake County, Indiana</t>
  </si>
  <si>
    <t>Census Tract 306, Lake County, Indiana</t>
  </si>
  <si>
    <t>Census Tract 307, Lake County, Indiana</t>
  </si>
  <si>
    <t>Census Tract 308, Lake County, Indiana</t>
  </si>
  <si>
    <t>Census Tract 309, Lake County, Indiana</t>
  </si>
  <si>
    <t>Census Tract 310, Lake County, Indiana</t>
  </si>
  <si>
    <t>Census Tract 401, Lake County, Indiana</t>
  </si>
  <si>
    <t>Census Tract 402, Lake County, Indiana</t>
  </si>
  <si>
    <t>Census Tract 403.01, Lake County, Indiana</t>
  </si>
  <si>
    <t>Census Tract 403.02, Lake County, Indiana</t>
  </si>
  <si>
    <t>Census Tract 404.01, Lake County, Indiana</t>
  </si>
  <si>
    <t>Census Tract 404.02, Lake County, Indiana</t>
  </si>
  <si>
    <t>Census Tract 404.03, Lake County, Indiana</t>
  </si>
  <si>
    <t>Census Tract 405.01, Lake County, Indiana</t>
  </si>
  <si>
    <t>Census Tract 405.02, Lake County, Indiana</t>
  </si>
  <si>
    <t>Census Tract 406, Lake County, Indiana</t>
  </si>
  <si>
    <t>Census Tract 407, Lake County, Indiana</t>
  </si>
  <si>
    <t>Census Tract 408.01, Lake County, Indiana</t>
  </si>
  <si>
    <t>Census Tract 408.02, Lake County, Indiana</t>
  </si>
  <si>
    <t>Census Tract 409, Lake County, Indiana</t>
  </si>
  <si>
    <t>Census Tract 410.01, Lake County, Indiana</t>
  </si>
  <si>
    <t>Census Tract 410.02, Lake County, Indiana</t>
  </si>
  <si>
    <t>Census Tract 411, Lake County, Indiana</t>
  </si>
  <si>
    <t>Census Tract 412, Lake County, Indiana</t>
  </si>
  <si>
    <t>Census Tract 413.02, Lake County, Indiana</t>
  </si>
  <si>
    <t>Census Tract 414, Lake County, Indiana</t>
  </si>
  <si>
    <t>Census Tract 415, Lake County, Indiana</t>
  </si>
  <si>
    <t>Census Tract 416, Lake County, Indiana</t>
  </si>
  <si>
    <t>Census Tract 417, Lake County, Indiana</t>
  </si>
  <si>
    <t>Census Tract 418, Lake County, Indiana</t>
  </si>
  <si>
    <t>Census Tract 419, Lake County, Indiana</t>
  </si>
  <si>
    <t>Census Tract 420, Lake County, Indiana</t>
  </si>
  <si>
    <t>Census Tract 421, Lake County, Indiana</t>
  </si>
  <si>
    <t>Census Tract 422, Lake County, Indiana</t>
  </si>
  <si>
    <t>Census Tract 423.01, Lake County, Indiana</t>
  </si>
  <si>
    <t>Census Tract 423.02, Lake County, Indiana</t>
  </si>
  <si>
    <t>Census Tract 424.01, Lake County, Indiana</t>
  </si>
  <si>
    <t>Census Tract 424.03, Lake County, Indiana</t>
  </si>
  <si>
    <t>Census Tract 424.04, Lake County, Indiana</t>
  </si>
  <si>
    <t>Census Tract 424.05, Lake County, Indiana</t>
  </si>
  <si>
    <t>Census Tract 425.01, Lake County, Indiana</t>
  </si>
  <si>
    <t>Census Tract 425.03, Lake County, Indiana</t>
  </si>
  <si>
    <t>Census Tract 425.06, Lake County, Indiana</t>
  </si>
  <si>
    <t>Census Tract 425.07, Lake County, Indiana</t>
  </si>
  <si>
    <t>Census Tract 425.08, Lake County, Indiana</t>
  </si>
  <si>
    <t>Census Tract 425.09, Lake County, Indiana</t>
  </si>
  <si>
    <t>Census Tract 426.02, Lake County, Indiana</t>
  </si>
  <si>
    <t>Census Tract 426.06, Lake County, Indiana</t>
  </si>
  <si>
    <t>Census Tract 426.07, Lake County, Indiana</t>
  </si>
  <si>
    <t>Census Tract 426.08, Lake County, Indiana</t>
  </si>
  <si>
    <t>Census Tract 426.10, Lake County, Indiana</t>
  </si>
  <si>
    <t>Census Tract 426.11, Lake County, Indiana</t>
  </si>
  <si>
    <t>Census Tract 426.12, Lake County, Indiana</t>
  </si>
  <si>
    <t>Census Tract 426.13, Lake County, Indiana</t>
  </si>
  <si>
    <t>Census Tract 427.02, Lake County, Indiana</t>
  </si>
  <si>
    <t>Census Tract 427.03, Lake County, Indiana</t>
  </si>
  <si>
    <t>Census Tract 427.04, Lake County, Indiana</t>
  </si>
  <si>
    <t>Census Tract 428.02, Lake County, Indiana</t>
  </si>
  <si>
    <t>Census Tract 428.03, Lake County, Indiana</t>
  </si>
  <si>
    <t>Census Tract 428.04, Lake County, Indiana</t>
  </si>
  <si>
    <t>Census Tract 429.01, Lake County, Indiana</t>
  </si>
  <si>
    <t>Census Tract 429.03, Lake County, Indiana</t>
  </si>
  <si>
    <t>Census Tract 429.04, Lake County, Indiana</t>
  </si>
  <si>
    <t>Census Tract 430.01, Lake County, Indiana</t>
  </si>
  <si>
    <t>Census Tract 430.03, Lake County, Indiana</t>
  </si>
  <si>
    <t>Census Tract 430.04, Lake County, Indiana</t>
  </si>
  <si>
    <t>Census Tract 431.01, Lake County, Indiana</t>
  </si>
  <si>
    <t>Census Tract 431.03, Lake County, Indiana</t>
  </si>
  <si>
    <t>Census Tract 431.04, Lake County, Indiana</t>
  </si>
  <si>
    <t>Census Tract 432.01, Lake County, Indiana</t>
  </si>
  <si>
    <t>Census Tract 432.03, Lake County, Indiana</t>
  </si>
  <si>
    <t>Census Tract 432.04, Lake County, Indiana</t>
  </si>
  <si>
    <t>Census Tract 433.01, Lake County, Indiana</t>
  </si>
  <si>
    <t>Census Tract 433.02, Lake County, Indiana</t>
  </si>
  <si>
    <t>Census Tract 434.01, Lake County, Indiana</t>
  </si>
  <si>
    <t>Census Tract 434.03, Lake County, Indiana</t>
  </si>
  <si>
    <t>Census Tract 434.04, Lake County, Indiana</t>
  </si>
  <si>
    <t>Census Tract 434.05, Lake County, Indiana</t>
  </si>
  <si>
    <t>Census Tract 401, LaPorte County, Indiana</t>
  </si>
  <si>
    <t>Census Tract 403, LaPorte County, Indiana</t>
  </si>
  <si>
    <t>Census Tract 404, LaPorte County, Indiana</t>
  </si>
  <si>
    <t>Census Tract 405, LaPorte County, Indiana</t>
  </si>
  <si>
    <t>Census Tract 406, LaPorte County, Indiana</t>
  </si>
  <si>
    <t>Census Tract 407, LaPorte County, Indiana</t>
  </si>
  <si>
    <t>Census Tract 408, LaPorte County, Indiana</t>
  </si>
  <si>
    <t>Census Tract 409, LaPorte County, Indiana</t>
  </si>
  <si>
    <t>Census Tract 411, LaPorte County, Indiana</t>
  </si>
  <si>
    <t>Census Tract 412, LaPorte County, Indiana</t>
  </si>
  <si>
    <t>Census Tract 413, LaPorte County, Indiana</t>
  </si>
  <si>
    <t>Census Tract 414, LaPorte County, Indiana</t>
  </si>
  <si>
    <t>Census Tract 415, LaPorte County, Indiana</t>
  </si>
  <si>
    <t>Census Tract 416, LaPorte County, Indiana</t>
  </si>
  <si>
    <t>Census Tract 417, LaPorte County, Indiana</t>
  </si>
  <si>
    <t>Census Tract 418, LaPorte County, Indiana</t>
  </si>
  <si>
    <t>Census Tract 419, LaPorte County, Indiana</t>
  </si>
  <si>
    <t>Census Tract 420, LaPorte County, Indiana</t>
  </si>
  <si>
    <t>Census Tract 421, LaPorte County, Indiana</t>
  </si>
  <si>
    <t>Census Tract 422, LaPorte County, Indiana</t>
  </si>
  <si>
    <t>Census Tract 423, LaPorte County, Indiana</t>
  </si>
  <si>
    <t>Census Tract 424.01, LaPorte County, Indiana</t>
  </si>
  <si>
    <t>Census Tract 424.02, LaPorte County, Indiana</t>
  </si>
  <si>
    <t>Census Tract 425, LaPorte County, Indiana</t>
  </si>
  <si>
    <t>Census Tract 426.01, LaPorte County, Indiana</t>
  </si>
  <si>
    <t>Census Tract 426.02, LaPorte County, Indiana</t>
  </si>
  <si>
    <t>Census Tract 427, LaPorte County, Indiana</t>
  </si>
  <si>
    <t>Census Tract 428, LaPorte County, Indiana</t>
  </si>
  <si>
    <t>Census Tract 429, LaPorte County, Indiana</t>
  </si>
  <si>
    <t>Census Tract 430, LaPorte County, Indiana</t>
  </si>
  <si>
    <t>Census Tract 9504, Lawrence County, Indiana</t>
  </si>
  <si>
    <t>Census Tract 9505, Lawrence County, Indiana</t>
  </si>
  <si>
    <t>Census Tract 9506.01, Lawrence County, Indiana</t>
  </si>
  <si>
    <t>Census Tract 9506.02, Lawrence County, Indiana</t>
  </si>
  <si>
    <t>Census Tract 9507.01, Lawrence County, Indiana</t>
  </si>
  <si>
    <t>Census Tract 9507.02, Lawrence County, Indiana</t>
  </si>
  <si>
    <t>Census Tract 9508, Lawrence County, Indiana</t>
  </si>
  <si>
    <t>Census Tract 9509, Lawrence County, Indiana</t>
  </si>
  <si>
    <t>Census Tract 9510, Lawrence County, Indiana</t>
  </si>
  <si>
    <t>Census Tract 9511, Lawrence County, Indiana</t>
  </si>
  <si>
    <t>Census Tract 9512.01, Lawrence County, Indiana</t>
  </si>
  <si>
    <t>Census Tract 9512.02, Lawrence County, Indiana</t>
  </si>
  <si>
    <t>Census Tract 9513, Lawrence County, Indiana</t>
  </si>
  <si>
    <t>Census Tract 3, Madison County, Indiana</t>
  </si>
  <si>
    <t>Census Tract 4, Madison County, Indiana</t>
  </si>
  <si>
    <t>Census Tract 5, Madison County, Indiana</t>
  </si>
  <si>
    <t>Census Tract 8, Madison County, Indiana</t>
  </si>
  <si>
    <t>Census Tract 9, Madison County, Indiana</t>
  </si>
  <si>
    <t>Census Tract 10, Madison County, Indiana</t>
  </si>
  <si>
    <t>Census Tract 11, Madison County, Indiana</t>
  </si>
  <si>
    <t>Census Tract 12, Madison County, Indiana</t>
  </si>
  <si>
    <t>Census Tract 13, Madison County, Indiana</t>
  </si>
  <si>
    <t>Census Tract 14, Madison County, Indiana</t>
  </si>
  <si>
    <t>Census Tract 15, Madison County, Indiana</t>
  </si>
  <si>
    <t>Census Tract 16, Madison County, Indiana</t>
  </si>
  <si>
    <t>Census Tract 17, Madison County, Indiana</t>
  </si>
  <si>
    <t>Census Tract 18.01, Madison County, Indiana</t>
  </si>
  <si>
    <t>Census Tract 18.02, Madison County, Indiana</t>
  </si>
  <si>
    <t>Census Tract 19.01, Madison County, Indiana</t>
  </si>
  <si>
    <t>Census Tract 19.02, Madison County, Indiana</t>
  </si>
  <si>
    <t>Census Tract 20, Madison County, Indiana</t>
  </si>
  <si>
    <t>Census Tract 101, Madison County, Indiana</t>
  </si>
  <si>
    <t>Census Tract 102, Madison County, Indiana</t>
  </si>
  <si>
    <t>Census Tract 103, Madison County, Indiana</t>
  </si>
  <si>
    <t>Census Tract 104, Madison County, Indiana</t>
  </si>
  <si>
    <t>Census Tract 105, Madison County, Indiana</t>
  </si>
  <si>
    <t>Census Tract 106, Madison County, Indiana</t>
  </si>
  <si>
    <t>Census Tract 107, Madison County, Indiana</t>
  </si>
  <si>
    <t>Census Tract 108, Madison County, Indiana</t>
  </si>
  <si>
    <t>Census Tract 109, Madison County, Indiana</t>
  </si>
  <si>
    <t>Census Tract 110, Madison County, Indiana</t>
  </si>
  <si>
    <t>Census Tract 111, Madison County, Indiana</t>
  </si>
  <si>
    <t>Census Tract 112, Madison County, Indiana</t>
  </si>
  <si>
    <t>Census Tract 113, Madison County, Indiana</t>
  </si>
  <si>
    <t>Census Tract 114, Madison County, Indiana</t>
  </si>
  <si>
    <t>Census Tract 115.01, Madison County, Indiana</t>
  </si>
  <si>
    <t>Census Tract 115.02, Madison County, Indiana</t>
  </si>
  <si>
    <t>Census Tract 116, Madison County, Indiana</t>
  </si>
  <si>
    <t>Census Tract 117, Madison County, Indiana</t>
  </si>
  <si>
    <t>Census Tract 118, Madison County, Indiana</t>
  </si>
  <si>
    <t>Census Tract 119, Madison County, Indiana</t>
  </si>
  <si>
    <t>Census Tract 120, Madison County, Indiana</t>
  </si>
  <si>
    <t>Census Tract 3101.04, Marion County, Indiana</t>
  </si>
  <si>
    <t>Census Tract 3101.05, Marion County, Indiana</t>
  </si>
  <si>
    <t>Census Tract 3101.06, Marion County, Indiana</t>
  </si>
  <si>
    <t>Census Tract 3101.08, Marion County, Indiana</t>
  </si>
  <si>
    <t>Census Tract 3101.10, Marion County, Indiana</t>
  </si>
  <si>
    <t>Census Tract 3101.11, Marion County, Indiana</t>
  </si>
  <si>
    <t>Census Tract 3101.12, Marion County, Indiana</t>
  </si>
  <si>
    <t>Census Tract 3101.13, Marion County, Indiana</t>
  </si>
  <si>
    <t>Census Tract 3102.01, Marion County, Indiana</t>
  </si>
  <si>
    <t>Census Tract 3102.03, Marion County, Indiana</t>
  </si>
  <si>
    <t>Census Tract 3102.04, Marion County, Indiana</t>
  </si>
  <si>
    <t>Census Tract 3103.05, Marion County, Indiana</t>
  </si>
  <si>
    <t>Census Tract 3103.06, Marion County, Indiana</t>
  </si>
  <si>
    <t>Census Tract 3103.08, Marion County, Indiana</t>
  </si>
  <si>
    <t>Census Tract 3103.09, Marion County, Indiana</t>
  </si>
  <si>
    <t>Census Tract 3103.10, Marion County, Indiana</t>
  </si>
  <si>
    <t>Census Tract 3103.11, Marion County, Indiana</t>
  </si>
  <si>
    <t>Census Tract 3103.12, Marion County, Indiana</t>
  </si>
  <si>
    <t>Census Tract 3201.05, Marion County, Indiana</t>
  </si>
  <si>
    <t>Census Tract 3201.06, Marion County, Indiana</t>
  </si>
  <si>
    <t>Census Tract 3201.07, Marion County, Indiana</t>
  </si>
  <si>
    <t>Census Tract 3201.08, Marion County, Indiana</t>
  </si>
  <si>
    <t>Census Tract 3201.09, Marion County, Indiana</t>
  </si>
  <si>
    <t>Census Tract 3202.02, Marion County, Indiana</t>
  </si>
  <si>
    <t>Census Tract 3202.03, Marion County, Indiana</t>
  </si>
  <si>
    <t>Census Tract 3202.05, Marion County, Indiana</t>
  </si>
  <si>
    <t>Census Tract 3202.06, Marion County, Indiana</t>
  </si>
  <si>
    <t>Census Tract 3203.01, Marion County, Indiana</t>
  </si>
  <si>
    <t>Census Tract 3203.03, Marion County, Indiana</t>
  </si>
  <si>
    <t>Census Tract 3203.05, Marion County, Indiana</t>
  </si>
  <si>
    <t>Census Tract 3203.06, Marion County, Indiana</t>
  </si>
  <si>
    <t>Census Tract 3204, Marion County, Indiana</t>
  </si>
  <si>
    <t>Census Tract 3205, Marion County, Indiana</t>
  </si>
  <si>
    <t>Census Tract 3206, Marion County, Indiana</t>
  </si>
  <si>
    <t>Census Tract 3207, Marion County, Indiana</t>
  </si>
  <si>
    <t>Census Tract 3208, Marion County, Indiana</t>
  </si>
  <si>
    <t>Census Tract 3209.01, Marion County, Indiana</t>
  </si>
  <si>
    <t>Census Tract 3209.02, Marion County, Indiana</t>
  </si>
  <si>
    <t>Census Tract 3209.03, Marion County, Indiana</t>
  </si>
  <si>
    <t>Census Tract 3210.01, Marion County, Indiana</t>
  </si>
  <si>
    <t>Census Tract 3210.02, Marion County, Indiana</t>
  </si>
  <si>
    <t>Census Tract 3211, Marion County, Indiana</t>
  </si>
  <si>
    <t>Census Tract 3212, Marion County, Indiana</t>
  </si>
  <si>
    <t>Census Tract 3213, Marion County, Indiana</t>
  </si>
  <si>
    <t>Census Tract 3214, Marion County, Indiana</t>
  </si>
  <si>
    <t>Census Tract 3216, Marion County, Indiana</t>
  </si>
  <si>
    <t>Census Tract 3217, Marion County, Indiana</t>
  </si>
  <si>
    <t>Census Tract 3218, Marion County, Indiana</t>
  </si>
  <si>
    <t>Census Tract 3219, Marion County, Indiana</t>
  </si>
  <si>
    <t>Census Tract 3220, Marion County, Indiana</t>
  </si>
  <si>
    <t>Census Tract 3221, Marion County, Indiana</t>
  </si>
  <si>
    <t>Census Tract 3222, Marion County, Indiana</t>
  </si>
  <si>
    <t>Census Tract 3223, Marion County, Indiana</t>
  </si>
  <si>
    <t>Census Tract 3224, Marion County, Indiana</t>
  </si>
  <si>
    <t>Census Tract 3225, Marion County, Indiana</t>
  </si>
  <si>
    <t>Census Tract 3226.01, Marion County, Indiana</t>
  </si>
  <si>
    <t>Census Tract 3226.02, Marion County, Indiana</t>
  </si>
  <si>
    <t>Census Tract 3227, Marion County, Indiana</t>
  </si>
  <si>
    <t>Census Tract 3301.03, Marion County, Indiana</t>
  </si>
  <si>
    <t>Census Tract 3301.05, Marion County, Indiana</t>
  </si>
  <si>
    <t>Census Tract 3301.06, Marion County, Indiana</t>
  </si>
  <si>
    <t>Census Tract 3301.07, Marion County, Indiana</t>
  </si>
  <si>
    <t>Census Tract 3301.08, Marion County, Indiana</t>
  </si>
  <si>
    <t>Census Tract 3301.09, Marion County, Indiana</t>
  </si>
  <si>
    <t>Census Tract 3302.03, Marion County, Indiana</t>
  </si>
  <si>
    <t>Census Tract 3302.04, Marion County, Indiana</t>
  </si>
  <si>
    <t>Census Tract 3302.06, Marion County, Indiana</t>
  </si>
  <si>
    <t>Census Tract 3302.08, Marion County, Indiana</t>
  </si>
  <si>
    <t>Census Tract 3302.10, Marion County, Indiana</t>
  </si>
  <si>
    <t>Census Tract 3302.11, Marion County, Indiana</t>
  </si>
  <si>
    <t>Census Tract 3302.12, Marion County, Indiana</t>
  </si>
  <si>
    <t>Census Tract 3302.13, Marion County, Indiana</t>
  </si>
  <si>
    <t>Census Tract 3304.01, Marion County, Indiana</t>
  </si>
  <si>
    <t>Census Tract 3305, Marion County, Indiana</t>
  </si>
  <si>
    <t>Census Tract 3306, Marion County, Indiana</t>
  </si>
  <si>
    <t>Census Tract 3307.01, Marion County, Indiana</t>
  </si>
  <si>
    <t>Census Tract 3307.02, Marion County, Indiana</t>
  </si>
  <si>
    <t>Census Tract 3308.03, Marion County, Indiana</t>
  </si>
  <si>
    <t>Census Tract 3308.04, Marion County, Indiana</t>
  </si>
  <si>
    <t>Census Tract 3308.05, Marion County, Indiana</t>
  </si>
  <si>
    <t>Census Tract 3308.06, Marion County, Indiana</t>
  </si>
  <si>
    <t>Census Tract 3309, Marion County, Indiana</t>
  </si>
  <si>
    <t>Census Tract 3310, Marion County, Indiana</t>
  </si>
  <si>
    <t>Census Tract 3401.01, Marion County, Indiana</t>
  </si>
  <si>
    <t>Census Tract 3401.02, Marion County, Indiana</t>
  </si>
  <si>
    <t>Census Tract 3401.08, Marion County, Indiana</t>
  </si>
  <si>
    <t>Census Tract 3401.11, Marion County, Indiana</t>
  </si>
  <si>
    <t>Census Tract 3401.12, Marion County, Indiana</t>
  </si>
  <si>
    <t>Census Tract 3401.13, Marion County, Indiana</t>
  </si>
  <si>
    <t>Census Tract 3401.14, Marion County, Indiana</t>
  </si>
  <si>
    <t>Census Tract 3401.15, Marion County, Indiana</t>
  </si>
  <si>
    <t>Census Tract 3402.01, Marion County, Indiana</t>
  </si>
  <si>
    <t>Census Tract 3402.02, Marion County, Indiana</t>
  </si>
  <si>
    <t>Census Tract 3403.01, Marion County, Indiana</t>
  </si>
  <si>
    <t>Census Tract 3403.02, Marion County, Indiana</t>
  </si>
  <si>
    <t>Census Tract 3404, Marion County, Indiana</t>
  </si>
  <si>
    <t>Census Tract 3405, Marion County, Indiana</t>
  </si>
  <si>
    <t>Census Tract 3406, Marion County, Indiana</t>
  </si>
  <si>
    <t>Census Tract 3407, Marion County, Indiana</t>
  </si>
  <si>
    <t>Census Tract 3408, Marion County, Indiana</t>
  </si>
  <si>
    <t>Census Tract 3409.01, Marion County, Indiana</t>
  </si>
  <si>
    <t>Census Tract 3409.03, Marion County, Indiana</t>
  </si>
  <si>
    <t>Census Tract 3409.04, Marion County, Indiana</t>
  </si>
  <si>
    <t>Census Tract 3410, Marion County, Indiana</t>
  </si>
  <si>
    <t>Census Tract 3411, Marion County, Indiana</t>
  </si>
  <si>
    <t>Census Tract 3412, Marion County, Indiana</t>
  </si>
  <si>
    <t>Census Tract 3416, Marion County, Indiana</t>
  </si>
  <si>
    <t>Census Tract 3417.01, Marion County, Indiana</t>
  </si>
  <si>
    <t>Census Tract 3417.02, Marion County, Indiana</t>
  </si>
  <si>
    <t>Census Tract 3419.02, Marion County, Indiana</t>
  </si>
  <si>
    <t>Census Tract 3419.03, Marion County, Indiana</t>
  </si>
  <si>
    <t>Census Tract 3419.04, Marion County, Indiana</t>
  </si>
  <si>
    <t>Census Tract 3420, Marion County, Indiana</t>
  </si>
  <si>
    <t>Census Tract 3421.01, Marion County, Indiana</t>
  </si>
  <si>
    <t>Census Tract 3422, Marion County, Indiana</t>
  </si>
  <si>
    <t>Census Tract 3423, Marion County, Indiana</t>
  </si>
  <si>
    <t>Census Tract 3424, Marion County, Indiana</t>
  </si>
  <si>
    <t>Census Tract 3425, Marion County, Indiana</t>
  </si>
  <si>
    <t>Census Tract 3426, Marion County, Indiana</t>
  </si>
  <si>
    <t>Census Tract 3501, Marion County, Indiana</t>
  </si>
  <si>
    <t>Census Tract 3503, Marion County, Indiana</t>
  </si>
  <si>
    <t>Census Tract 3504, Marion County, Indiana</t>
  </si>
  <si>
    <t>Census Tract 3505, Marion County, Indiana</t>
  </si>
  <si>
    <t>Census Tract 3506, Marion County, Indiana</t>
  </si>
  <si>
    <t>Census Tract 3507, Marion County, Indiana</t>
  </si>
  <si>
    <t>Census Tract 3508, Marion County, Indiana</t>
  </si>
  <si>
    <t>Census Tract 3509, Marion County, Indiana</t>
  </si>
  <si>
    <t>Census Tract 3510, Marion County, Indiana</t>
  </si>
  <si>
    <t>Census Tract 3512, Marion County, Indiana</t>
  </si>
  <si>
    <t>Census Tract 3515, Marion County, Indiana</t>
  </si>
  <si>
    <t>Census Tract 3516, Marion County, Indiana</t>
  </si>
  <si>
    <t>Census Tract 3517, Marion County, Indiana</t>
  </si>
  <si>
    <t>Census Tract 3519, Marion County, Indiana</t>
  </si>
  <si>
    <t>Census Tract 3521, Marion County, Indiana</t>
  </si>
  <si>
    <t>Census Tract 3523, Marion County, Indiana</t>
  </si>
  <si>
    <t>Census Tract 3524, Marion County, Indiana</t>
  </si>
  <si>
    <t>Census Tract 3525, Marion County, Indiana</t>
  </si>
  <si>
    <t>Census Tract 3526, Marion County, Indiana</t>
  </si>
  <si>
    <t>Census Tract 3527, Marion County, Indiana</t>
  </si>
  <si>
    <t>Census Tract 3528, Marion County, Indiana</t>
  </si>
  <si>
    <t>Census Tract 3533, Marion County, Indiana</t>
  </si>
  <si>
    <t>Census Tract 3535, Marion County, Indiana</t>
  </si>
  <si>
    <t>Census Tract 3536, Marion County, Indiana</t>
  </si>
  <si>
    <t>Census Tract 3542.01, Marion County, Indiana</t>
  </si>
  <si>
    <t>Census Tract 3542.02, Marion County, Indiana</t>
  </si>
  <si>
    <t>Census Tract 3544, Marion County, Indiana</t>
  </si>
  <si>
    <t>Census Tract 3545, Marion County, Indiana</t>
  </si>
  <si>
    <t>Census Tract 3547, Marion County, Indiana</t>
  </si>
  <si>
    <t>Census Tract 3548, Marion County, Indiana</t>
  </si>
  <si>
    <t>Census Tract 3549, Marion County, Indiana</t>
  </si>
  <si>
    <t>Census Tract 3550, Marion County, Indiana</t>
  </si>
  <si>
    <t>Census Tract 3551, Marion County, Indiana</t>
  </si>
  <si>
    <t>Census Tract 3553, Marion County, Indiana</t>
  </si>
  <si>
    <t>Census Tract 3554, Marion County, Indiana</t>
  </si>
  <si>
    <t>Census Tract 3555, Marion County, Indiana</t>
  </si>
  <si>
    <t>Census Tract 3556, Marion County, Indiana</t>
  </si>
  <si>
    <t>Census Tract 3557, Marion County, Indiana</t>
  </si>
  <si>
    <t>Census Tract 3559, Marion County, Indiana</t>
  </si>
  <si>
    <t>Census Tract 3562, Marion County, Indiana</t>
  </si>
  <si>
    <t>Census Tract 3564, Marion County, Indiana</t>
  </si>
  <si>
    <t>Census Tract 3569, Marion County, Indiana</t>
  </si>
  <si>
    <t>Census Tract 3570, Marion County, Indiana</t>
  </si>
  <si>
    <t>Census Tract 3571, Marion County, Indiana</t>
  </si>
  <si>
    <t>Census Tract 3572, Marion County, Indiana</t>
  </si>
  <si>
    <t>Census Tract 3573, Marion County, Indiana</t>
  </si>
  <si>
    <t>Census Tract 3574, Marion County, Indiana</t>
  </si>
  <si>
    <t>Census Tract 3575, Marion County, Indiana</t>
  </si>
  <si>
    <t>Census Tract 3576.01, Marion County, Indiana</t>
  </si>
  <si>
    <t>Census Tract 3576.02, Marion County, Indiana</t>
  </si>
  <si>
    <t>Census Tract 3578, Marion County, Indiana</t>
  </si>
  <si>
    <t>Census Tract 3579, Marion County, Indiana</t>
  </si>
  <si>
    <t>Census Tract 3580, Marion County, Indiana</t>
  </si>
  <si>
    <t>Census Tract 3581, Marion County, Indiana</t>
  </si>
  <si>
    <t>Census Tract 3601.01, Marion County, Indiana</t>
  </si>
  <si>
    <t>Census Tract 3601.02, Marion County, Indiana</t>
  </si>
  <si>
    <t>Census Tract 3602.01, Marion County, Indiana</t>
  </si>
  <si>
    <t>Census Tract 3602.02, Marion County, Indiana</t>
  </si>
  <si>
    <t>Census Tract 3603.01, Marion County, Indiana</t>
  </si>
  <si>
    <t>Census Tract 3603.02, Marion County, Indiana</t>
  </si>
  <si>
    <t>Census Tract 3604.01, Marion County, Indiana</t>
  </si>
  <si>
    <t>Census Tract 3604.02, Marion County, Indiana</t>
  </si>
  <si>
    <t>Census Tract 3604.05, Marion County, Indiana</t>
  </si>
  <si>
    <t>Census Tract 3604.06, Marion County, Indiana</t>
  </si>
  <si>
    <t>Census Tract 3604.07, Marion County, Indiana</t>
  </si>
  <si>
    <t>Census Tract 3605.01, Marion County, Indiana</t>
  </si>
  <si>
    <t>Census Tract 3605.02, Marion County, Indiana</t>
  </si>
  <si>
    <t>Census Tract 3606.01, Marion County, Indiana</t>
  </si>
  <si>
    <t>Census Tract 3606.02, Marion County, Indiana</t>
  </si>
  <si>
    <t>Census Tract 3607, Marion County, Indiana</t>
  </si>
  <si>
    <t>Census Tract 3608, Marion County, Indiana</t>
  </si>
  <si>
    <t>Census Tract 3609, Marion County, Indiana</t>
  </si>
  <si>
    <t>Census Tract 3610, Marion County, Indiana</t>
  </si>
  <si>
    <t>Census Tract 3611, Marion County, Indiana</t>
  </si>
  <si>
    <t>Census Tract 3612, Marion County, Indiana</t>
  </si>
  <si>
    <t>Census Tract 3613, Marion County, Indiana</t>
  </si>
  <si>
    <t>Census Tract 3614.01, Marion County, Indiana</t>
  </si>
  <si>
    <t>Census Tract 3614.02, Marion County, Indiana</t>
  </si>
  <si>
    <t>Census Tract 3616.01, Marion County, Indiana</t>
  </si>
  <si>
    <t>Census Tract 3616.02, Marion County, Indiana</t>
  </si>
  <si>
    <t>Census Tract 3702.01, Marion County, Indiana</t>
  </si>
  <si>
    <t>Census Tract 3702.03, Marion County, Indiana</t>
  </si>
  <si>
    <t>Census Tract 3702.04, Marion County, Indiana</t>
  </si>
  <si>
    <t>Census Tract 3703.03, Marion County, Indiana</t>
  </si>
  <si>
    <t>Census Tract 3703.04, Marion County, Indiana</t>
  </si>
  <si>
    <t>Census Tract 3703.05, Marion County, Indiana</t>
  </si>
  <si>
    <t>Census Tract 3703.06, Marion County, Indiana</t>
  </si>
  <si>
    <t>Census Tract 3801.01, Marion County, Indiana</t>
  </si>
  <si>
    <t>Census Tract 3801.02, Marion County, Indiana</t>
  </si>
  <si>
    <t>Census Tract 3801.03, Marion County, Indiana</t>
  </si>
  <si>
    <t>Census Tract 3802, Marion County, Indiana</t>
  </si>
  <si>
    <t>Census Tract 3803.01, Marion County, Indiana</t>
  </si>
  <si>
    <t>Census Tract 3803.02, Marion County, Indiana</t>
  </si>
  <si>
    <t>Census Tract 3804.02, Marion County, Indiana</t>
  </si>
  <si>
    <t>Census Tract 3804.03, Marion County, Indiana</t>
  </si>
  <si>
    <t>Census Tract 3804.04, Marion County, Indiana</t>
  </si>
  <si>
    <t>Census Tract 3805.01, Marion County, Indiana</t>
  </si>
  <si>
    <t>Census Tract 3805.02, Marion County, Indiana</t>
  </si>
  <si>
    <t>Census Tract 3806, Marion County, Indiana</t>
  </si>
  <si>
    <t>Census Tract 3807, Marion County, Indiana</t>
  </si>
  <si>
    <t>Census Tract 3808, Marion County, Indiana</t>
  </si>
  <si>
    <t>Census Tract 3809.01, Marion County, Indiana</t>
  </si>
  <si>
    <t>Census Tract 3809.02, Marion County, Indiana</t>
  </si>
  <si>
    <t>Census Tract 3810.02, Marion County, Indiana</t>
  </si>
  <si>
    <t>Census Tract 3810.03, Marion County, Indiana</t>
  </si>
  <si>
    <t>Census Tract 3810.04, Marion County, Indiana</t>
  </si>
  <si>
    <t>Census Tract 3811.01, Marion County, Indiana</t>
  </si>
  <si>
    <t>Census Tract 3811.02, Marion County, Indiana</t>
  </si>
  <si>
    <t>Census Tract 3812.03, Marion County, Indiana</t>
  </si>
  <si>
    <t>Census Tract 3812.04, Marion County, Indiana</t>
  </si>
  <si>
    <t>Census Tract 3812.05, Marion County, Indiana</t>
  </si>
  <si>
    <t>Census Tract 3812.06, Marion County, Indiana</t>
  </si>
  <si>
    <t>Census Tract 3812.07, Marion County, Indiana</t>
  </si>
  <si>
    <t>Census Tract 3901.02, Marion County, Indiana</t>
  </si>
  <si>
    <t>Census Tract 3901.03, Marion County, Indiana</t>
  </si>
  <si>
    <t>Census Tract 3901.04, Marion County, Indiana</t>
  </si>
  <si>
    <t>Census Tract 3902, Marion County, Indiana</t>
  </si>
  <si>
    <t>Census Tract 3903, Marion County, Indiana</t>
  </si>
  <si>
    <t>Census Tract 3904.05, Marion County, Indiana</t>
  </si>
  <si>
    <t>Census Tract 3904.06, Marion County, Indiana</t>
  </si>
  <si>
    <t>Census Tract 3904.07, Marion County, Indiana</t>
  </si>
  <si>
    <t>Census Tract 3904.08, Marion County, Indiana</t>
  </si>
  <si>
    <t>Census Tract 3904.09, Marion County, Indiana</t>
  </si>
  <si>
    <t>Census Tract 3904.10, Marion County, Indiana</t>
  </si>
  <si>
    <t>Census Tract 3904.11, Marion County, Indiana</t>
  </si>
  <si>
    <t>Census Tract 3905, Marion County, Indiana</t>
  </si>
  <si>
    <t>Census Tract 3906.01, Marion County, Indiana</t>
  </si>
  <si>
    <t>Census Tract 3906.02, Marion County, Indiana</t>
  </si>
  <si>
    <t>Census Tract 3907, Marion County, Indiana</t>
  </si>
  <si>
    <t>Census Tract 3908.01, Marion County, Indiana</t>
  </si>
  <si>
    <t>Census Tract 3908.02, Marion County, Indiana</t>
  </si>
  <si>
    <t>Census Tract 3909, Marion County, Indiana</t>
  </si>
  <si>
    <t>Census Tract 3910.01, Marion County, Indiana</t>
  </si>
  <si>
    <t>Census Tract 3910.02, Marion County, Indiana</t>
  </si>
  <si>
    <t>Census Tract 201.01, Marshall County, Indiana</t>
  </si>
  <si>
    <t>Census Tract 201.02, Marshall County, Indiana</t>
  </si>
  <si>
    <t>Census Tract 202.01, Marshall County, Indiana</t>
  </si>
  <si>
    <t>Census Tract 202.02, Marshall County, Indiana</t>
  </si>
  <si>
    <t>Census Tract 203.01, Marshall County, Indiana</t>
  </si>
  <si>
    <t>Census Tract 203.02, Marshall County, Indiana</t>
  </si>
  <si>
    <t>Census Tract 204, Marshall County, Indiana</t>
  </si>
  <si>
    <t>Census Tract 205, Marshall County, Indiana</t>
  </si>
  <si>
    <t>Census Tract 206, Marshall County, Indiana</t>
  </si>
  <si>
    <t>Census Tract 207.01, Marshall County, Indiana</t>
  </si>
  <si>
    <t>Census Tract 207.02, Marshall County, Indiana</t>
  </si>
  <si>
    <t>Census Tract 208, Marshall County, Indiana</t>
  </si>
  <si>
    <t>Census Tract 9501, Martin County, Indiana</t>
  </si>
  <si>
    <t>Census Tract 9502, Martin County, Indiana</t>
  </si>
  <si>
    <t>Census Tract 9503, Martin County, Indiana</t>
  </si>
  <si>
    <t>Census Tract 9520, Miami County, Indiana</t>
  </si>
  <si>
    <t>Census Tract 9521, Miami County, Indiana</t>
  </si>
  <si>
    <t>Census Tract 9522, Miami County, Indiana</t>
  </si>
  <si>
    <t>Census Tract 9523, Miami County, Indiana</t>
  </si>
  <si>
    <t>Census Tract 9524, Miami County, Indiana</t>
  </si>
  <si>
    <t>Census Tract 9525, Miami County, Indiana</t>
  </si>
  <si>
    <t>Census Tract 9526, Miami County, Indiana</t>
  </si>
  <si>
    <t>Census Tract 9527, Miami County, Indiana</t>
  </si>
  <si>
    <t>Census Tract 9528, Miami County, Indiana</t>
  </si>
  <si>
    <t>Census Tract 9529, Miami County, Indiana</t>
  </si>
  <si>
    <t>Census Tract 1, Monroe County, Indiana</t>
  </si>
  <si>
    <t>Census Tract 2.01, Monroe County, Indiana</t>
  </si>
  <si>
    <t>Census Tract 2.02, Monroe County, Indiana</t>
  </si>
  <si>
    <t>Census Tract 3.01, Monroe County, Indiana</t>
  </si>
  <si>
    <t>Census Tract 3.02, Monroe County, Indiana</t>
  </si>
  <si>
    <t>Census Tract 4.01, Monroe County, Indiana</t>
  </si>
  <si>
    <t>Census Tract 4.02, Monroe County, Indiana</t>
  </si>
  <si>
    <t>Census Tract 5.01, Monroe County, Indiana</t>
  </si>
  <si>
    <t>Census Tract 5.02, Monroe County, Indiana</t>
  </si>
  <si>
    <t>Census Tract 6.01, Monroe County, Indiana</t>
  </si>
  <si>
    <t>Census Tract 6.02, Monroe County, Indiana</t>
  </si>
  <si>
    <t>Census Tract 7, Monroe County, Indiana</t>
  </si>
  <si>
    <t>Census Tract 8.01, Monroe County, Indiana</t>
  </si>
  <si>
    <t>Census Tract 8.02, Monroe County, Indiana</t>
  </si>
  <si>
    <t>Census Tract 9.01, Monroe County, Indiana</t>
  </si>
  <si>
    <t>Census Tract 9.03, Monroe County, Indiana</t>
  </si>
  <si>
    <t>Census Tract 9.04, Monroe County, Indiana</t>
  </si>
  <si>
    <t>Census Tract 10.01, Monroe County, Indiana</t>
  </si>
  <si>
    <t>Census Tract 10.02, Monroe County, Indiana</t>
  </si>
  <si>
    <t>Census Tract 11.01, Monroe County, Indiana</t>
  </si>
  <si>
    <t>Census Tract 11.02, Monroe County, Indiana</t>
  </si>
  <si>
    <t>Census Tract 11.03, Monroe County, Indiana</t>
  </si>
  <si>
    <t>Census Tract 12, Monroe County, Indiana</t>
  </si>
  <si>
    <t>Census Tract 13.01, Monroe County, Indiana</t>
  </si>
  <si>
    <t>Census Tract 13.03, Monroe County, Indiana</t>
  </si>
  <si>
    <t>Census Tract 13.04, Monroe County, Indiana</t>
  </si>
  <si>
    <t>Census Tract 13.05, Monroe County, Indiana</t>
  </si>
  <si>
    <t>Census Tract 14.01, Monroe County, Indiana</t>
  </si>
  <si>
    <t>Census Tract 14.03, Monroe County, Indiana</t>
  </si>
  <si>
    <t>Census Tract 14.04, Monroe County, Indiana</t>
  </si>
  <si>
    <t>Census Tract 15.01, Monroe County, Indiana</t>
  </si>
  <si>
    <t>Census Tract 15.02, Monroe County, Indiana</t>
  </si>
  <si>
    <t>Census Tract 16, Monroe County, Indiana</t>
  </si>
  <si>
    <t>Census Tract 9567, Montgomery County, Indiana</t>
  </si>
  <si>
    <t>Census Tract 9568, Montgomery County, Indiana</t>
  </si>
  <si>
    <t>Census Tract 9569, Montgomery County, Indiana</t>
  </si>
  <si>
    <t>Census Tract 9570, Montgomery County, Indiana</t>
  </si>
  <si>
    <t>Census Tract 9571, Montgomery County, Indiana</t>
  </si>
  <si>
    <t>Census Tract 9572, Montgomery County, Indiana</t>
  </si>
  <si>
    <t>Census Tract 9573, Montgomery County, Indiana</t>
  </si>
  <si>
    <t>Census Tract 9574, Montgomery County, Indiana</t>
  </si>
  <si>
    <t>Census Tract 9575, Montgomery County, Indiana</t>
  </si>
  <si>
    <t>Census Tract 5101.01, Morgan County, Indiana</t>
  </si>
  <si>
    <t>Census Tract 5101.02, Morgan County, Indiana</t>
  </si>
  <si>
    <t>Census Tract 5102.01, Morgan County, Indiana</t>
  </si>
  <si>
    <t>Census Tract 5102.02, Morgan County, Indiana</t>
  </si>
  <si>
    <t>Census Tract 5103, Morgan County, Indiana</t>
  </si>
  <si>
    <t>Census Tract 5104.01, Morgan County, Indiana</t>
  </si>
  <si>
    <t>Census Tract 5104.02, Morgan County, Indiana</t>
  </si>
  <si>
    <t>Census Tract 5105, Morgan County, Indiana</t>
  </si>
  <si>
    <t>Census Tract 5106.01, Morgan County, Indiana</t>
  </si>
  <si>
    <t>Census Tract 5106.02, Morgan County, Indiana</t>
  </si>
  <si>
    <t>Census Tract 5107.01, Morgan County, Indiana</t>
  </si>
  <si>
    <t>Census Tract 5107.03, Morgan County, Indiana</t>
  </si>
  <si>
    <t>Census Tract 5107.04, Morgan County, Indiana</t>
  </si>
  <si>
    <t>Census Tract 5108, Morgan County, Indiana</t>
  </si>
  <si>
    <t>Census Tract 5109, Morgan County, Indiana</t>
  </si>
  <si>
    <t>Census Tract 5110.01, Morgan County, Indiana</t>
  </si>
  <si>
    <t>Census Tract 5110.02, Morgan County, Indiana</t>
  </si>
  <si>
    <t>Census Tract 1004, Newton County, Indiana</t>
  </si>
  <si>
    <t>Census Tract 1005, Newton County, Indiana</t>
  </si>
  <si>
    <t>Census Tract 1006, Newton County, Indiana</t>
  </si>
  <si>
    <t>Census Tract 1007, Newton County, Indiana</t>
  </si>
  <si>
    <t>Census Tract 9717, Noble County, Indiana</t>
  </si>
  <si>
    <t>Census Tract 9718, Noble County, Indiana</t>
  </si>
  <si>
    <t>Census Tract 9719, Noble County, Indiana</t>
  </si>
  <si>
    <t>Census Tract 9720, Noble County, Indiana</t>
  </si>
  <si>
    <t>Census Tract 9721, Noble County, Indiana</t>
  </si>
  <si>
    <t>Census Tract 9722, Noble County, Indiana</t>
  </si>
  <si>
    <t>Census Tract 9723, Noble County, Indiana</t>
  </si>
  <si>
    <t>Census Tract 9724, Noble County, Indiana</t>
  </si>
  <si>
    <t>Census Tract 9725, Noble County, Indiana</t>
  </si>
  <si>
    <t>Census Tract 9726, Noble County, Indiana</t>
  </si>
  <si>
    <t>Census Tract 9657, Ohio County, Indiana</t>
  </si>
  <si>
    <t>Census Tract 9658, Ohio County, Indiana</t>
  </si>
  <si>
    <t>Census Tract 9513, Orange County, Indiana</t>
  </si>
  <si>
    <t>Census Tract 9514, Orange County, Indiana</t>
  </si>
  <si>
    <t>Census Tract 9515, Orange County, Indiana</t>
  </si>
  <si>
    <t>Census Tract 9516, Orange County, Indiana</t>
  </si>
  <si>
    <t>Census Tract 9517, Orange County, Indiana</t>
  </si>
  <si>
    <t>Census Tract 9518, Orange County, Indiana</t>
  </si>
  <si>
    <t>Census Tract 9555, Owen County, Indiana</t>
  </si>
  <si>
    <t>Census Tract 9556, Owen County, Indiana</t>
  </si>
  <si>
    <t>Census Tract 9557.01, Owen County, Indiana</t>
  </si>
  <si>
    <t>Census Tract 9557.02, Owen County, Indiana</t>
  </si>
  <si>
    <t>Census Tract 9558, Owen County, Indiana</t>
  </si>
  <si>
    <t>Census Tract 9559, Owen County, Indiana</t>
  </si>
  <si>
    <t>Census Tract 301, Parke County, Indiana</t>
  </si>
  <si>
    <t>Census Tract 302, Parke County, Indiana</t>
  </si>
  <si>
    <t>Census Tract 303, Parke County, Indiana</t>
  </si>
  <si>
    <t>Census Tract 304.01, Parke County, Indiana</t>
  </si>
  <si>
    <t>Census Tract 304.02, Parke County, Indiana</t>
  </si>
  <si>
    <t>Census Tract 9522, Perry County, Indiana</t>
  </si>
  <si>
    <t>Census Tract 9523, Perry County, Indiana</t>
  </si>
  <si>
    <t>Census Tract 9524, Perry County, Indiana</t>
  </si>
  <si>
    <t>Census Tract 9525, Perry County, Indiana</t>
  </si>
  <si>
    <t>Census Tract 9526, Perry County, Indiana</t>
  </si>
  <si>
    <t>Census Tract 9539, Pike County, Indiana</t>
  </si>
  <si>
    <t>Census Tract 9540, Pike County, Indiana</t>
  </si>
  <si>
    <t>Census Tract 9541, Pike County, Indiana</t>
  </si>
  <si>
    <t>Census Tract 9542, Pike County, Indiana</t>
  </si>
  <si>
    <t>Census Tract 501.04, Porter County, Indiana</t>
  </si>
  <si>
    <t>Census Tract 501.05, Porter County, Indiana</t>
  </si>
  <si>
    <t>Census Tract 501.06, Porter County, Indiana</t>
  </si>
  <si>
    <t>Census Tract 501.07, Porter County, Indiana</t>
  </si>
  <si>
    <t>Census Tract 502.02, Porter County, Indiana</t>
  </si>
  <si>
    <t>Census Tract 502.03, Porter County, Indiana</t>
  </si>
  <si>
    <t>Census Tract 503.01, Porter County, Indiana</t>
  </si>
  <si>
    <t>Census Tract 503.02, Porter County, Indiana</t>
  </si>
  <si>
    <t>Census Tract 504.05, Porter County, Indiana</t>
  </si>
  <si>
    <t>Census Tract 504.07, Porter County, Indiana</t>
  </si>
  <si>
    <t>Census Tract 504.08, Porter County, Indiana</t>
  </si>
  <si>
    <t>Census Tract 504.09, Porter County, Indiana</t>
  </si>
  <si>
    <t>Census Tract 505.01, Porter County, Indiana</t>
  </si>
  <si>
    <t>Census Tract 505.03, Porter County, Indiana</t>
  </si>
  <si>
    <t>Census Tract 505.05, Porter County, Indiana</t>
  </si>
  <si>
    <t>Census Tract 505.06, Porter County, Indiana</t>
  </si>
  <si>
    <t>Census Tract 505.07, Porter County, Indiana</t>
  </si>
  <si>
    <t>Census Tract 505.08, Porter County, Indiana</t>
  </si>
  <si>
    <t>Census Tract 505.09, Porter County, Indiana</t>
  </si>
  <si>
    <t>Census Tract 506.02, Porter County, Indiana</t>
  </si>
  <si>
    <t>Census Tract 506.03, Porter County, Indiana</t>
  </si>
  <si>
    <t>Census Tract 506.05, Porter County, Indiana</t>
  </si>
  <si>
    <t>Census Tract 506.06, Porter County, Indiana</t>
  </si>
  <si>
    <t>Census Tract 507.03, Porter County, Indiana</t>
  </si>
  <si>
    <t>Census Tract 507.04, Porter County, Indiana</t>
  </si>
  <si>
    <t>Census Tract 507.05, Porter County, Indiana</t>
  </si>
  <si>
    <t>Census Tract 507.06, Porter County, Indiana</t>
  </si>
  <si>
    <t>Census Tract 508.01, Porter County, Indiana</t>
  </si>
  <si>
    <t>Census Tract 508.02, Porter County, Indiana</t>
  </si>
  <si>
    <t>Census Tract 509.01, Porter County, Indiana</t>
  </si>
  <si>
    <t>Census Tract 509.02, Porter County, Indiana</t>
  </si>
  <si>
    <t>Census Tract 510.05, Porter County, Indiana</t>
  </si>
  <si>
    <t>Census Tract 510.06, Porter County, Indiana</t>
  </si>
  <si>
    <t>Census Tract 510.08, Porter County, Indiana</t>
  </si>
  <si>
    <t>Census Tract 510.09, Porter County, Indiana</t>
  </si>
  <si>
    <t>Census Tract 510.10, Porter County, Indiana</t>
  </si>
  <si>
    <t>Census Tract 510.11, Porter County, Indiana</t>
  </si>
  <si>
    <t>Census Tract 510.12, Porter County, Indiana</t>
  </si>
  <si>
    <t>Census Tract 511.01, Porter County, Indiana</t>
  </si>
  <si>
    <t>Census Tract 511.02, Porter County, Indiana</t>
  </si>
  <si>
    <t>Census Tract 9800.01, Porter County, Indiana</t>
  </si>
  <si>
    <t>Census Tract 9800.02, Porter County, Indiana</t>
  </si>
  <si>
    <t>Census Tract 401, Posey County, Indiana</t>
  </si>
  <si>
    <t>Census Tract 402, Posey County, Indiana</t>
  </si>
  <si>
    <t>Census Tract 403, Posey County, Indiana</t>
  </si>
  <si>
    <t>Census Tract 404, Posey County, Indiana</t>
  </si>
  <si>
    <t>Census Tract 405, Posey County, Indiana</t>
  </si>
  <si>
    <t>Census Tract 406, Posey County, Indiana</t>
  </si>
  <si>
    <t>Census Tract 407, Posey County, Indiana</t>
  </si>
  <si>
    <t>Census Tract 9589, Pulaski County, Indiana</t>
  </si>
  <si>
    <t>Census Tract 9590, Pulaski County, Indiana</t>
  </si>
  <si>
    <t>Census Tract 9591, Pulaski County, Indiana</t>
  </si>
  <si>
    <t>Census Tract 9592, Pulaski County, Indiana</t>
  </si>
  <si>
    <t>Census Tract 9560, Putnam County, Indiana</t>
  </si>
  <si>
    <t>Census Tract 9561, Putnam County, Indiana</t>
  </si>
  <si>
    <t>Census Tract 9562, Putnam County, Indiana</t>
  </si>
  <si>
    <t>Census Tract 9563.01, Putnam County, Indiana</t>
  </si>
  <si>
    <t>Census Tract 9563.02, Putnam County, Indiana</t>
  </si>
  <si>
    <t>Census Tract 9564.01, Putnam County, Indiana</t>
  </si>
  <si>
    <t>Census Tract 9564.02, Putnam County, Indiana</t>
  </si>
  <si>
    <t>Census Tract 9565, Putnam County, Indiana</t>
  </si>
  <si>
    <t>Census Tract 9566, Putnam County, Indiana</t>
  </si>
  <si>
    <t>Census Tract 9514, Randolph County, Indiana</t>
  </si>
  <si>
    <t>Census Tract 9515, Randolph County, Indiana</t>
  </si>
  <si>
    <t>Census Tract 9516, Randolph County, Indiana</t>
  </si>
  <si>
    <t>Census Tract 9517, Randolph County, Indiana</t>
  </si>
  <si>
    <t>Census Tract 9518, Randolph County, Indiana</t>
  </si>
  <si>
    <t>Census Tract 9519, Randolph County, Indiana</t>
  </si>
  <si>
    <t>Census Tract 9520, Randolph County, Indiana</t>
  </si>
  <si>
    <t>Census Tract 9521, Randolph County, Indiana</t>
  </si>
  <si>
    <t>Census Tract 9684.01, Ripley County, Indiana</t>
  </si>
  <si>
    <t>Census Tract 9684.02, Ripley County, Indiana</t>
  </si>
  <si>
    <t>Census Tract 9685, Ripley County, Indiana</t>
  </si>
  <si>
    <t>Census Tract 9686, Ripley County, Indiana</t>
  </si>
  <si>
    <t>Census Tract 9687, Ripley County, Indiana</t>
  </si>
  <si>
    <t>Census Tract 9688, Ripley County, Indiana</t>
  </si>
  <si>
    <t>Census Tract 9689, Ripley County, Indiana</t>
  </si>
  <si>
    <t>Census Tract 9741, Rush County, Indiana</t>
  </si>
  <si>
    <t>Census Tract 9742, Rush County, Indiana</t>
  </si>
  <si>
    <t>Census Tract 9743, Rush County, Indiana</t>
  </si>
  <si>
    <t>Census Tract 9744, Rush County, Indiana</t>
  </si>
  <si>
    <t>Census Tract 9745, Rush County, Indiana</t>
  </si>
  <si>
    <t>Census Tract 1, St. Joseph County, Indiana</t>
  </si>
  <si>
    <t>Census Tract 2, St. Joseph County, Indiana</t>
  </si>
  <si>
    <t>Census Tract 3.01, St. Joseph County, Indiana</t>
  </si>
  <si>
    <t>Census Tract 3.02, St. Joseph County, Indiana</t>
  </si>
  <si>
    <t>Census Tract 4, St. Joseph County, Indiana</t>
  </si>
  <si>
    <t>Census Tract 5, St. Joseph County, Indiana</t>
  </si>
  <si>
    <t>Census Tract 6, St. Joseph County, Indiana</t>
  </si>
  <si>
    <t>Census Tract 7, St. Joseph County, Indiana</t>
  </si>
  <si>
    <t>Census Tract 8, St. Joseph County, Indiana</t>
  </si>
  <si>
    <t>Census Tract 9, St. Joseph County, Indiana</t>
  </si>
  <si>
    <t>Census Tract 10, St. Joseph County, Indiana</t>
  </si>
  <si>
    <t>Census Tract 11, St. Joseph County, Indiana</t>
  </si>
  <si>
    <t>Census Tract 12, St. Joseph County, Indiana</t>
  </si>
  <si>
    <t>Census Tract 13, St. Joseph County, Indiana</t>
  </si>
  <si>
    <t>Census Tract 14, St. Joseph County, Indiana</t>
  </si>
  <si>
    <t>Census Tract 15, St. Joseph County, Indiana</t>
  </si>
  <si>
    <t>Census Tract 16, St. Joseph County, Indiana</t>
  </si>
  <si>
    <t>Census Tract 17, St. Joseph County, Indiana</t>
  </si>
  <si>
    <t>Census Tract 19, St. Joseph County, Indiana</t>
  </si>
  <si>
    <t>Census Tract 20, St. Joseph County, Indiana</t>
  </si>
  <si>
    <t>Census Tract 21, St. Joseph County, Indiana</t>
  </si>
  <si>
    <t>Census Tract 22, St. Joseph County, Indiana</t>
  </si>
  <si>
    <t>Census Tract 23, St. Joseph County, Indiana</t>
  </si>
  <si>
    <t>Census Tract 24, St. Joseph County, Indiana</t>
  </si>
  <si>
    <t>Census Tract 25, St. Joseph County, Indiana</t>
  </si>
  <si>
    <t>Census Tract 26, St. Joseph County, Indiana</t>
  </si>
  <si>
    <t>Census Tract 27, St. Joseph County, Indiana</t>
  </si>
  <si>
    <t>Census Tract 28, St. Joseph County, Indiana</t>
  </si>
  <si>
    <t>Census Tract 29, St. Joseph County, Indiana</t>
  </si>
  <si>
    <t>Census Tract 30, St. Joseph County, Indiana</t>
  </si>
  <si>
    <t>Census Tract 31, St. Joseph County, Indiana</t>
  </si>
  <si>
    <t>Census Tract 32, St. Joseph County, Indiana</t>
  </si>
  <si>
    <t>Census Tract 33, St. Joseph County, Indiana</t>
  </si>
  <si>
    <t>Census Tract 34, St. Joseph County, Indiana</t>
  </si>
  <si>
    <t>Census Tract 35, St. Joseph County, Indiana</t>
  </si>
  <si>
    <t>Census Tract 101, St. Joseph County, Indiana</t>
  </si>
  <si>
    <t>Census Tract 102.01, St. Joseph County, Indiana</t>
  </si>
  <si>
    <t>Census Tract 102.02, St. Joseph County, Indiana</t>
  </si>
  <si>
    <t>Census Tract 103, St. Joseph County, Indiana</t>
  </si>
  <si>
    <t>Census Tract 104, St. Joseph County, Indiana</t>
  </si>
  <si>
    <t>Census Tract 105, St. Joseph County, Indiana</t>
  </si>
  <si>
    <t>Census Tract 106, St. Joseph County, Indiana</t>
  </si>
  <si>
    <t>Census Tract 107, St. Joseph County, Indiana</t>
  </si>
  <si>
    <t>Census Tract 108, St. Joseph County, Indiana</t>
  </si>
  <si>
    <t>Census Tract 109.01, St. Joseph County, Indiana</t>
  </si>
  <si>
    <t>Census Tract 109.02, St. Joseph County, Indiana</t>
  </si>
  <si>
    <t>Census Tract 110.01, St. Joseph County, Indiana</t>
  </si>
  <si>
    <t>Census Tract 110.02, St. Joseph County, Indiana</t>
  </si>
  <si>
    <t>Census Tract 111, St. Joseph County, Indiana</t>
  </si>
  <si>
    <t>Census Tract 112.03, St. Joseph County, Indiana</t>
  </si>
  <si>
    <t>Census Tract 113.03, St. Joseph County, Indiana</t>
  </si>
  <si>
    <t>Census Tract 113.04, St. Joseph County, Indiana</t>
  </si>
  <si>
    <t>Census Tract 113.05, St. Joseph County, Indiana</t>
  </si>
  <si>
    <t>Census Tract 113.06, St. Joseph County, Indiana</t>
  </si>
  <si>
    <t>Census Tract 113.07, St. Joseph County, Indiana</t>
  </si>
  <si>
    <t>Census Tract 113.08, St. Joseph County, Indiana</t>
  </si>
  <si>
    <t>Census Tract 113.09, St. Joseph County, Indiana</t>
  </si>
  <si>
    <t>Census Tract 113.10, St. Joseph County, Indiana</t>
  </si>
  <si>
    <t>Census Tract 114.03, St. Joseph County, Indiana</t>
  </si>
  <si>
    <t>Census Tract 114.04, St. Joseph County, Indiana</t>
  </si>
  <si>
    <t>Census Tract 114.05, St. Joseph County, Indiana</t>
  </si>
  <si>
    <t>Census Tract 114.06, St. Joseph County, Indiana</t>
  </si>
  <si>
    <t>Census Tract 115.01, St. Joseph County, Indiana</t>
  </si>
  <si>
    <t>Census Tract 115.03, St. Joseph County, Indiana</t>
  </si>
  <si>
    <t>Census Tract 115.04, St. Joseph County, Indiana</t>
  </si>
  <si>
    <t>Census Tract 115.05, St. Joseph County, Indiana</t>
  </si>
  <si>
    <t>Census Tract 115.06, St. Joseph County, Indiana</t>
  </si>
  <si>
    <t>Census Tract 116.02, St. Joseph County, Indiana</t>
  </si>
  <si>
    <t>Census Tract 116.03, St. Joseph County, Indiana</t>
  </si>
  <si>
    <t>Census Tract 116.04, St. Joseph County, Indiana</t>
  </si>
  <si>
    <t>Census Tract 117.01, St. Joseph County, Indiana</t>
  </si>
  <si>
    <t>Census Tract 117.03, St. Joseph County, Indiana</t>
  </si>
  <si>
    <t>Census Tract 117.04, St. Joseph County, Indiana</t>
  </si>
  <si>
    <t>Census Tract 118.01, St. Joseph County, Indiana</t>
  </si>
  <si>
    <t>Census Tract 118.03, St. Joseph County, Indiana</t>
  </si>
  <si>
    <t>Census Tract 118.04, St. Joseph County, Indiana</t>
  </si>
  <si>
    <t>Census Tract 119, St. Joseph County, Indiana</t>
  </si>
  <si>
    <t>Census Tract 120, St. Joseph County, Indiana</t>
  </si>
  <si>
    <t>Census Tract 121, St. Joseph County, Indiana</t>
  </si>
  <si>
    <t>Census Tract 122, St. Joseph County, Indiana</t>
  </si>
  <si>
    <t>Census Tract 123, St. Joseph County, Indiana</t>
  </si>
  <si>
    <t>Census Tract 124, St. Joseph County, Indiana</t>
  </si>
  <si>
    <t>Census Tract 9667, Scott County, Indiana</t>
  </si>
  <si>
    <t>Census Tract 9668, Scott County, Indiana</t>
  </si>
  <si>
    <t>Census Tract 9669, Scott County, Indiana</t>
  </si>
  <si>
    <t>Census Tract 9670, Scott County, Indiana</t>
  </si>
  <si>
    <t>Census Tract 9671, Scott County, Indiana</t>
  </si>
  <si>
    <t>Census Tract 7101, Shelby County, Indiana</t>
  </si>
  <si>
    <t>Census Tract 7102, Shelby County, Indiana</t>
  </si>
  <si>
    <t>Census Tract 7103, Shelby County, Indiana</t>
  </si>
  <si>
    <t>Census Tract 7104, Shelby County, Indiana</t>
  </si>
  <si>
    <t>Census Tract 7105, Shelby County, Indiana</t>
  </si>
  <si>
    <t>Census Tract 7106.01, Shelby County, Indiana</t>
  </si>
  <si>
    <t>Census Tract 7106.02, Shelby County, Indiana</t>
  </si>
  <si>
    <t>Census Tract 7107, Shelby County, Indiana</t>
  </si>
  <si>
    <t>Census Tract 7108, Shelby County, Indiana</t>
  </si>
  <si>
    <t>Census Tract 7109, Shelby County, Indiana</t>
  </si>
  <si>
    <t>Census Tract 9527.01, Spencer County, Indiana</t>
  </si>
  <si>
    <t>Census Tract 9527.02, Spencer County, Indiana</t>
  </si>
  <si>
    <t>Census Tract 9528, Spencer County, Indiana</t>
  </si>
  <si>
    <t>Census Tract 9529, Spencer County, Indiana</t>
  </si>
  <si>
    <t>Census Tract 9530, Spencer County, Indiana</t>
  </si>
  <si>
    <t>Census Tract 9531, Spencer County, Indiana</t>
  </si>
  <si>
    <t>Census Tract 9536, Starke County, Indiana</t>
  </si>
  <si>
    <t>Census Tract 9537, Starke County, Indiana</t>
  </si>
  <si>
    <t>Census Tract 9538, Starke County, Indiana</t>
  </si>
  <si>
    <t>Census Tract 9539, Starke County, Indiana</t>
  </si>
  <si>
    <t>Census Tract 9540, Starke County, Indiana</t>
  </si>
  <si>
    <t>Census Tract 9541, Starke County, Indiana</t>
  </si>
  <si>
    <t>Census Tract 9542, Starke County, Indiana</t>
  </si>
  <si>
    <t>Census Tract 9708, Steuben County, Indiana</t>
  </si>
  <si>
    <t>Census Tract 9709, Steuben County, Indiana</t>
  </si>
  <si>
    <t>Census Tract 9710, Steuben County, Indiana</t>
  </si>
  <si>
    <t>Census Tract 9711, Steuben County, Indiana</t>
  </si>
  <si>
    <t>Census Tract 9712, Steuben County, Indiana</t>
  </si>
  <si>
    <t>Census Tract 9713, Steuben County, Indiana</t>
  </si>
  <si>
    <t>Census Tract 9714, Steuben County, Indiana</t>
  </si>
  <si>
    <t>Census Tract 9715, Steuben County, Indiana</t>
  </si>
  <si>
    <t>Census Tract 9716, Steuben County, Indiana</t>
  </si>
  <si>
    <t>Census Tract 501.01, Sullivan County, Indiana</t>
  </si>
  <si>
    <t>Census Tract 501.02, Sullivan County, Indiana</t>
  </si>
  <si>
    <t>Census Tract 502, Sullivan County, Indiana</t>
  </si>
  <si>
    <t>Census Tract 503.01, Sullivan County, Indiana</t>
  </si>
  <si>
    <t>Census Tract 503.02, Sullivan County, Indiana</t>
  </si>
  <si>
    <t>Census Tract 504, Sullivan County, Indiana</t>
  </si>
  <si>
    <t>Census Tract 505.01, Sullivan County, Indiana</t>
  </si>
  <si>
    <t>Census Tract 505.02, Sullivan County, Indiana</t>
  </si>
  <si>
    <t>Census Tract 9657, Switzerland County, Indiana</t>
  </si>
  <si>
    <t>Census Tract 9658, Switzerland County, Indiana</t>
  </si>
  <si>
    <t>Census Tract 9659, Switzerland County, Indiana</t>
  </si>
  <si>
    <t>Census Tract 1, Tippecanoe County, Indiana</t>
  </si>
  <si>
    <t>Census Tract 2, Tippecanoe County, Indiana</t>
  </si>
  <si>
    <t>Census Tract 3, Tippecanoe County, Indiana</t>
  </si>
  <si>
    <t>Census Tract 4, Tippecanoe County, Indiana</t>
  </si>
  <si>
    <t>Census Tract 7, Tippecanoe County, Indiana</t>
  </si>
  <si>
    <t>Census Tract 8, Tippecanoe County, Indiana</t>
  </si>
  <si>
    <t>Census Tract 10, Tippecanoe County, Indiana</t>
  </si>
  <si>
    <t>Census Tract 11, Tippecanoe County, Indiana</t>
  </si>
  <si>
    <t>Census Tract 12, Tippecanoe County, Indiana</t>
  </si>
  <si>
    <t>Census Tract 13, Tippecanoe County, Indiana</t>
  </si>
  <si>
    <t>Census Tract 14, Tippecanoe County, Indiana</t>
  </si>
  <si>
    <t>Census Tract 15.01, Tippecanoe County, Indiana</t>
  </si>
  <si>
    <t>Census Tract 15.02, Tippecanoe County, Indiana</t>
  </si>
  <si>
    <t>Census Tract 16.01, Tippecanoe County, Indiana</t>
  </si>
  <si>
    <t>Census Tract 16.02, Tippecanoe County, Indiana</t>
  </si>
  <si>
    <t>Census Tract 16.03, Tippecanoe County, Indiana</t>
  </si>
  <si>
    <t>Census Tract 17.01, Tippecanoe County, Indiana</t>
  </si>
  <si>
    <t>Census Tract 17.02, Tippecanoe County, Indiana</t>
  </si>
  <si>
    <t>Census Tract 18, Tippecanoe County, Indiana</t>
  </si>
  <si>
    <t>Census Tract 19, Tippecanoe County, Indiana</t>
  </si>
  <si>
    <t>Census Tract 51.01, Tippecanoe County, Indiana</t>
  </si>
  <si>
    <t>Census Tract 51.02, Tippecanoe County, Indiana</t>
  </si>
  <si>
    <t>Census Tract 52, Tippecanoe County, Indiana</t>
  </si>
  <si>
    <t>Census Tract 54.01, Tippecanoe County, Indiana</t>
  </si>
  <si>
    <t>Census Tract 54.02, Tippecanoe County, Indiana</t>
  </si>
  <si>
    <t>Census Tract 55, Tippecanoe County, Indiana</t>
  </si>
  <si>
    <t>Census Tract 101, Tippecanoe County, Indiana</t>
  </si>
  <si>
    <t>Census Tract 102.01, Tippecanoe County, Indiana</t>
  </si>
  <si>
    <t>Census Tract 102.05, Tippecanoe County, Indiana</t>
  </si>
  <si>
    <t>Census Tract 102.06, Tippecanoe County, Indiana</t>
  </si>
  <si>
    <t>Census Tract 102.07, Tippecanoe County, Indiana</t>
  </si>
  <si>
    <t>Census Tract 102.08, Tippecanoe County, Indiana</t>
  </si>
  <si>
    <t>Census Tract 102.09, Tippecanoe County, Indiana</t>
  </si>
  <si>
    <t>Census Tract 104, Tippecanoe County, Indiana</t>
  </si>
  <si>
    <t>Census Tract 105, Tippecanoe County, Indiana</t>
  </si>
  <si>
    <t>Census Tract 106, Tippecanoe County, Indiana</t>
  </si>
  <si>
    <t>Census Tract 107, Tippecanoe County, Indiana</t>
  </si>
  <si>
    <t>Census Tract 108, Tippecanoe County, Indiana</t>
  </si>
  <si>
    <t>Census Tract 109.01, Tippecanoe County, Indiana</t>
  </si>
  <si>
    <t>Census Tract 109.02, Tippecanoe County, Indiana</t>
  </si>
  <si>
    <t>Census Tract 110, Tippecanoe County, Indiana</t>
  </si>
  <si>
    <t>Census Tract 111, Tippecanoe County, Indiana</t>
  </si>
  <si>
    <t>Census Tract 112, Tippecanoe County, Indiana</t>
  </si>
  <si>
    <t>Census Tract 201, Tipton County, Indiana</t>
  </si>
  <si>
    <t>Census Tract 202, Tipton County, Indiana</t>
  </si>
  <si>
    <t>Census Tract 203, Tipton County, Indiana</t>
  </si>
  <si>
    <t>Census Tract 204.01, Tipton County, Indiana</t>
  </si>
  <si>
    <t>Census Tract 204.02, Tipton County, Indiana</t>
  </si>
  <si>
    <t>Census Tract 9607, Union County, Indiana</t>
  </si>
  <si>
    <t>Census Tract 9608, Union County, Indiana</t>
  </si>
  <si>
    <t>Census Tract 1, Vanderburgh County, Indiana</t>
  </si>
  <si>
    <t>Census Tract 2.03, Vanderburgh County, Indiana</t>
  </si>
  <si>
    <t>Census Tract 2.04, Vanderburgh County, Indiana</t>
  </si>
  <si>
    <t>Census Tract 2.05, Vanderburgh County, Indiana</t>
  </si>
  <si>
    <t>Census Tract 3, Vanderburgh County, Indiana</t>
  </si>
  <si>
    <t>Census Tract 4, Vanderburgh County, Indiana</t>
  </si>
  <si>
    <t>Census Tract 5, Vanderburgh County, Indiana</t>
  </si>
  <si>
    <t>Census Tract 6, Vanderburgh County, Indiana</t>
  </si>
  <si>
    <t>Census Tract 8, Vanderburgh County, Indiana</t>
  </si>
  <si>
    <t>Census Tract 9, Vanderburgh County, Indiana</t>
  </si>
  <si>
    <t>Census Tract 10, Vanderburgh County, Indiana</t>
  </si>
  <si>
    <t>Census Tract 11.01, Vanderburgh County, Indiana</t>
  </si>
  <si>
    <t>Census Tract 12, Vanderburgh County, Indiana</t>
  </si>
  <si>
    <t>Census Tract 13, Vanderburgh County, Indiana</t>
  </si>
  <si>
    <t>Census Tract 14, Vanderburgh County, Indiana</t>
  </si>
  <si>
    <t>Census Tract 15, Vanderburgh County, Indiana</t>
  </si>
  <si>
    <t>Census Tract 17, Vanderburgh County, Indiana</t>
  </si>
  <si>
    <t>Census Tract 18, Vanderburgh County, Indiana</t>
  </si>
  <si>
    <t>Census Tract 19, Vanderburgh County, Indiana</t>
  </si>
  <si>
    <t>Census Tract 20, Vanderburgh County, Indiana</t>
  </si>
  <si>
    <t>Census Tract 21, Vanderburgh County, Indiana</t>
  </si>
  <si>
    <t>Census Tract 23, Vanderburgh County, Indiana</t>
  </si>
  <si>
    <t>Census Tract 24, Vanderburgh County, Indiana</t>
  </si>
  <si>
    <t>Census Tract 25, Vanderburgh County, Indiana</t>
  </si>
  <si>
    <t>Census Tract 26, Vanderburgh County, Indiana</t>
  </si>
  <si>
    <t>Census Tract 30, Vanderburgh County, Indiana</t>
  </si>
  <si>
    <t>Census Tract 31, Vanderburgh County, Indiana</t>
  </si>
  <si>
    <t>Census Tract 32, Vanderburgh County, Indiana</t>
  </si>
  <si>
    <t>Census Tract 33, Vanderburgh County, Indiana</t>
  </si>
  <si>
    <t>Census Tract 34, Vanderburgh County, Indiana</t>
  </si>
  <si>
    <t>Census Tract 35, Vanderburgh County, Indiana</t>
  </si>
  <si>
    <t>Census Tract 36, Vanderburgh County, Indiana</t>
  </si>
  <si>
    <t>Census Tract 37.01, Vanderburgh County, Indiana</t>
  </si>
  <si>
    <t>Census Tract 37.02, Vanderburgh County, Indiana</t>
  </si>
  <si>
    <t>Census Tract 38.01, Vanderburgh County, Indiana</t>
  </si>
  <si>
    <t>Census Tract 38.03, Vanderburgh County, Indiana</t>
  </si>
  <si>
    <t>Census Tract 38.05, Vanderburgh County, Indiana</t>
  </si>
  <si>
    <t>Census Tract 39, Vanderburgh County, Indiana</t>
  </si>
  <si>
    <t>Census Tract 101.01, Vanderburgh County, Indiana</t>
  </si>
  <si>
    <t>Census Tract 101.02, Vanderburgh County, Indiana</t>
  </si>
  <si>
    <t>Census Tract 102.04, Vanderburgh County, Indiana</t>
  </si>
  <si>
    <t>Census Tract 102.05, Vanderburgh County, Indiana</t>
  </si>
  <si>
    <t>Census Tract 102.06, Vanderburgh County, Indiana</t>
  </si>
  <si>
    <t>Census Tract 102.07, Vanderburgh County, Indiana</t>
  </si>
  <si>
    <t>Census Tract 102.08, Vanderburgh County, Indiana</t>
  </si>
  <si>
    <t>Census Tract 104.04, Vanderburgh County, Indiana</t>
  </si>
  <si>
    <t>Census Tract 104.05, Vanderburgh County, Indiana</t>
  </si>
  <si>
    <t>Census Tract 104.06, Vanderburgh County, Indiana</t>
  </si>
  <si>
    <t>Census Tract 105.01, Vanderburgh County, Indiana</t>
  </si>
  <si>
    <t>Census Tract 105.02, Vanderburgh County, Indiana</t>
  </si>
  <si>
    <t>Census Tract 106, Vanderburgh County, Indiana</t>
  </si>
  <si>
    <t>Census Tract 107.01, Vanderburgh County, Indiana</t>
  </si>
  <si>
    <t>Census Tract 107.02, Vanderburgh County, Indiana</t>
  </si>
  <si>
    <t>Census Tract 108, Vanderburgh County, Indiana</t>
  </si>
  <si>
    <t>Census Tract 9801, Vanderburgh County, Indiana</t>
  </si>
  <si>
    <t>Census Tract 9802, Vanderburgh County, Indiana</t>
  </si>
  <si>
    <t>Census Tract 9803, Vanderburgh County, Indiana</t>
  </si>
  <si>
    <t>Census Tract 9805, Vanderburgh County, Indiana</t>
  </si>
  <si>
    <t>Census Tract 9806, Vanderburgh County, Indiana</t>
  </si>
  <si>
    <t>Census Tract 201, Vermillion County, Indiana</t>
  </si>
  <si>
    <t>Census Tract 202, Vermillion County, Indiana</t>
  </si>
  <si>
    <t>Census Tract 203, Vermillion County, Indiana</t>
  </si>
  <si>
    <t>Census Tract 204, Vermillion County, Indiana</t>
  </si>
  <si>
    <t>Census Tract 205, Vermillion County, Indiana</t>
  </si>
  <si>
    <t>Census Tract 3, Vigo County, Indiana</t>
  </si>
  <si>
    <t>Census Tract 4, Vigo County, Indiana</t>
  </si>
  <si>
    <t>Census Tract 5, Vigo County, Indiana</t>
  </si>
  <si>
    <t>Census Tract 6, Vigo County, Indiana</t>
  </si>
  <si>
    <t>Census Tract 7, Vigo County, Indiana</t>
  </si>
  <si>
    <t>Census Tract 9, Vigo County, Indiana</t>
  </si>
  <si>
    <t>Census Tract 10, Vigo County, Indiana</t>
  </si>
  <si>
    <t>Census Tract 11, Vigo County, Indiana</t>
  </si>
  <si>
    <t>Census Tract 12, Vigo County, Indiana</t>
  </si>
  <si>
    <t>Census Tract 13, Vigo County, Indiana</t>
  </si>
  <si>
    <t>Census Tract 14, Vigo County, Indiana</t>
  </si>
  <si>
    <t>Census Tract 15, Vigo County, Indiana</t>
  </si>
  <si>
    <t>Census Tract 16, Vigo County, Indiana</t>
  </si>
  <si>
    <t>Census Tract 17, Vigo County, Indiana</t>
  </si>
  <si>
    <t>Census Tract 18, Vigo County, Indiana</t>
  </si>
  <si>
    <t>Census Tract 19, Vigo County, Indiana</t>
  </si>
  <si>
    <t>Census Tract 101, Vigo County, Indiana</t>
  </si>
  <si>
    <t>Census Tract 102.01, Vigo County, Indiana</t>
  </si>
  <si>
    <t>Census Tract 102.02, Vigo County, Indiana</t>
  </si>
  <si>
    <t>Census Tract 103, Vigo County, Indiana</t>
  </si>
  <si>
    <t>Census Tract 104, Vigo County, Indiana</t>
  </si>
  <si>
    <t>Census Tract 105, Vigo County, Indiana</t>
  </si>
  <si>
    <t>Census Tract 106.01, Vigo County, Indiana</t>
  </si>
  <si>
    <t>Census Tract 106.02, Vigo County, Indiana</t>
  </si>
  <si>
    <t>Census Tract 107.02, Vigo County, Indiana</t>
  </si>
  <si>
    <t>Census Tract 107.03, Vigo County, Indiana</t>
  </si>
  <si>
    <t>Census Tract 107.04, Vigo County, Indiana</t>
  </si>
  <si>
    <t>Census Tract 110, Vigo County, Indiana</t>
  </si>
  <si>
    <t>Census Tract 111.01, Vigo County, Indiana</t>
  </si>
  <si>
    <t>Census Tract 111.02, Vigo County, Indiana</t>
  </si>
  <si>
    <t>Census Tract 112.01, Vigo County, Indiana</t>
  </si>
  <si>
    <t>Census Tract 112.02, Vigo County, Indiana</t>
  </si>
  <si>
    <t>Census Tract 1022, Wabash County, Indiana</t>
  </si>
  <si>
    <t>Census Tract 1023, Wabash County, Indiana</t>
  </si>
  <si>
    <t>Census Tract 1024, Wabash County, Indiana</t>
  </si>
  <si>
    <t>Census Tract 1025, Wabash County, Indiana</t>
  </si>
  <si>
    <t>Census Tract 1026, Wabash County, Indiana</t>
  </si>
  <si>
    <t>Census Tract 1027, Wabash County, Indiana</t>
  </si>
  <si>
    <t>Census Tract 1028, Wabash County, Indiana</t>
  </si>
  <si>
    <t>Census Tract 1029, Wabash County, Indiana</t>
  </si>
  <si>
    <t>Census Tract 9510.01, Warren County, Indiana</t>
  </si>
  <si>
    <t>Census Tract 9510.02, Warren County, Indiana</t>
  </si>
  <si>
    <t>Census Tract 9511, Warren County, Indiana</t>
  </si>
  <si>
    <t>Census Tract 301, Warrick County, Indiana</t>
  </si>
  <si>
    <t>Census Tract 302, Warrick County, Indiana</t>
  </si>
  <si>
    <t>Census Tract 303, Warrick County, Indiana</t>
  </si>
  <si>
    <t>Census Tract 304, Warrick County, Indiana</t>
  </si>
  <si>
    <t>Census Tract 305.01, Warrick County, Indiana</t>
  </si>
  <si>
    <t>Census Tract 305.02, Warrick County, Indiana</t>
  </si>
  <si>
    <t>Census Tract 306.01, Warrick County, Indiana</t>
  </si>
  <si>
    <t>Census Tract 306.02, Warrick County, Indiana</t>
  </si>
  <si>
    <t>Census Tract 307.03, Warrick County, Indiana</t>
  </si>
  <si>
    <t>Census Tract 307.04, Warrick County, Indiana</t>
  </si>
  <si>
    <t>Census Tract 307.06, Warrick County, Indiana</t>
  </si>
  <si>
    <t>Census Tract 307.07, Warrick County, Indiana</t>
  </si>
  <si>
    <t>Census Tract 307.08, Warrick County, Indiana</t>
  </si>
  <si>
    <t>Census Tract 307.09, Warrick County, Indiana</t>
  </si>
  <si>
    <t>Census Tract 308.01, Warrick County, Indiana</t>
  </si>
  <si>
    <t>Census Tract 308.02, Warrick County, Indiana</t>
  </si>
  <si>
    <t>Census Tract 9672, Washington County, Indiana</t>
  </si>
  <si>
    <t>Census Tract 9673, Washington County, Indiana</t>
  </si>
  <si>
    <t>Census Tract 9674, Washington County, Indiana</t>
  </si>
  <si>
    <t>Census Tract 9675, Washington County, Indiana</t>
  </si>
  <si>
    <t>Census Tract 9676, Washington County, Indiana</t>
  </si>
  <si>
    <t>Census Tract 9677.01, Washington County, Indiana</t>
  </si>
  <si>
    <t>Census Tract 9677.02, Washington County, Indiana</t>
  </si>
  <si>
    <t>Census Tract 2, Wayne County, Indiana</t>
  </si>
  <si>
    <t>Census Tract 4, Wayne County, Indiana</t>
  </si>
  <si>
    <t>Census Tract 5, Wayne County, Indiana</t>
  </si>
  <si>
    <t>Census Tract 6, Wayne County, Indiana</t>
  </si>
  <si>
    <t>Census Tract 7, Wayne County, Indiana</t>
  </si>
  <si>
    <t>Census Tract 8, Wayne County, Indiana</t>
  </si>
  <si>
    <t>Census Tract 9, Wayne County, Indiana</t>
  </si>
  <si>
    <t>Census Tract 10, Wayne County, Indiana</t>
  </si>
  <si>
    <t>Census Tract 11.01, Wayne County, Indiana</t>
  </si>
  <si>
    <t>Census Tract 11.02, Wayne County, Indiana</t>
  </si>
  <si>
    <t>Census Tract 101, Wayne County, Indiana</t>
  </si>
  <si>
    <t>Census Tract 102, Wayne County, Indiana</t>
  </si>
  <si>
    <t>Census Tract 103, Wayne County, Indiana</t>
  </si>
  <si>
    <t>Census Tract 104, Wayne County, Indiana</t>
  </si>
  <si>
    <t>Census Tract 105, Wayne County, Indiana</t>
  </si>
  <si>
    <t>Census Tract 106, Wayne County, Indiana</t>
  </si>
  <si>
    <t>Census Tract 107, Wayne County, Indiana</t>
  </si>
  <si>
    <t>Census Tract 108, Wayne County, Indiana</t>
  </si>
  <si>
    <t>Census Tract 401, Wells County, Indiana</t>
  </si>
  <si>
    <t>Census Tract 402, Wells County, Indiana</t>
  </si>
  <si>
    <t>Census Tract 403, Wells County, Indiana</t>
  </si>
  <si>
    <t>Census Tract 404, Wells County, Indiana</t>
  </si>
  <si>
    <t>Census Tract 405, Wells County, Indiana</t>
  </si>
  <si>
    <t>Census Tract 406, Wells County, Indiana</t>
  </si>
  <si>
    <t>Census Tract 407, Wells County, Indiana</t>
  </si>
  <si>
    <t>Census Tract 9581, White County, Indiana</t>
  </si>
  <si>
    <t>Census Tract 9582, White County, Indiana</t>
  </si>
  <si>
    <t>Census Tract 9583, White County, Indiana</t>
  </si>
  <si>
    <t>Census Tract 9584, White County, Indiana</t>
  </si>
  <si>
    <t>Census Tract 9585.01, White County, Indiana</t>
  </si>
  <si>
    <t>Census Tract 9585.02, White County, Indiana</t>
  </si>
  <si>
    <t>Census Tract 9586, White County, Indiana</t>
  </si>
  <si>
    <t>Census Tract 9587, White County, Indiana</t>
  </si>
  <si>
    <t>Census Tract 9588, White County, Indiana</t>
  </si>
  <si>
    <t>Census Tract 501, Whitley County, Indiana</t>
  </si>
  <si>
    <t>Census Tract 502, Whitley County, Indiana</t>
  </si>
  <si>
    <t>Census Tract 503, Whitley County, Indiana</t>
  </si>
  <si>
    <t>Census Tract 504.01, Whitley County, Indiana</t>
  </si>
  <si>
    <t>Census Tract 504.02, Whitley County, Indiana</t>
  </si>
  <si>
    <t>Census Tract 505, Whitley County, Indiana</t>
  </si>
  <si>
    <t>Census Tract 506, Whitley County, Indiana</t>
  </si>
  <si>
    <t>Census Tract 507, Whitley County, Indiana</t>
  </si>
  <si>
    <t>Earmarks and External Contributions</t>
  </si>
  <si>
    <t>Bonus Points Awarded</t>
  </si>
  <si>
    <t>No Earmarks of External Contributions</t>
  </si>
  <si>
    <t>≤20% of Funding Contributed by External Source</t>
  </si>
  <si>
    <t>≤40% of Funding Contributed by External Source</t>
  </si>
  <si>
    <t xml:space="preserve">≤60% of Funding Contributed by External Source </t>
  </si>
  <si>
    <t xml:space="preserve">≤80% of Funding Contributed by External Source </t>
  </si>
  <si>
    <t>&gt;80%  of Funding Contributed by External Source</t>
  </si>
  <si>
    <t>hhminc</t>
  </si>
  <si>
    <t>Median Household Income</t>
  </si>
  <si>
    <t>Median Income</t>
  </si>
  <si>
    <t>Median Household Income:</t>
  </si>
  <si>
    <t>Category</t>
  </si>
  <si>
    <t>Countermeasure</t>
  </si>
  <si>
    <t>Area Type</t>
  </si>
  <si>
    <t>Facility Type</t>
  </si>
  <si>
    <t>Crash Type</t>
  </si>
  <si>
    <t>CRF</t>
  </si>
  <si>
    <t>CMF</t>
  </si>
  <si>
    <t>CMF Clearinghouse Link</t>
  </si>
  <si>
    <t>Citation</t>
  </si>
  <si>
    <t>TWSC to AWSC</t>
  </si>
  <si>
    <t>Convert Two-Way Stop to All-Way Stop (No flashers)</t>
  </si>
  <si>
    <t>Rural</t>
  </si>
  <si>
    <t>Any</t>
  </si>
  <si>
    <t>KABC</t>
  </si>
  <si>
    <t>Simpson, C. L., &amp; Hummer, J. E. (2010). Evaluation of the Conversion from Two-Way Stop Sign Control to All-Way Stop Sign Control at 53 Locations in North Carolina. Journal of Transportation Safety &amp; Security, 2, 239-260.</t>
  </si>
  <si>
    <t>Total</t>
  </si>
  <si>
    <t xml:space="preserve">TWSC to Signal </t>
  </si>
  <si>
    <t>Convert Two-Way Stop to Signal (3-leg) without turn lanes</t>
  </si>
  <si>
    <t>Rural or Suburban</t>
  </si>
  <si>
    <t>3 Legs, 35-45 MPH</t>
  </si>
  <si>
    <t>Study 444</t>
  </si>
  <si>
    <t>Srinivasan, R., B. Lan, and D. Carter. "Safety Evaluation of Signal Installation With and Without Left Turn Lanes on Two Lane Roads in Rural and Suburban Areas." Report No. FHWA/NC/2013-11. North Carolina Department of Transportation. Raleigh, North Carolina. (October 2014).</t>
  </si>
  <si>
    <t>3 Legs, 50-55 MPH</t>
  </si>
  <si>
    <t>Convert Two-Way Stop to Signal (4-leg) without turn lanes</t>
  </si>
  <si>
    <t>4 Legs, 35-45 MPH</t>
  </si>
  <si>
    <t>4 Legs, 50-55 MPH</t>
  </si>
  <si>
    <t>Convert Two-Way Stop to Signal with Added Turn Lanes 
(3 Legs)</t>
  </si>
  <si>
    <t>35-45 MPH</t>
  </si>
  <si>
    <t>50-55 MPH</t>
  </si>
  <si>
    <t>Convert Two-Way Stop to Signal with Added Turn Lanes 
(4 Legs)</t>
  </si>
  <si>
    <t>Left Turn Lanes</t>
  </si>
  <si>
    <t>Install Neutral Offset Left Turn Lanes on Major Approaches at Signalized Intersection</t>
  </si>
  <si>
    <t>Install Left Turn Lanes on BOTH Major Approaches at a Signalized Intersection</t>
  </si>
  <si>
    <t>Urban</t>
  </si>
  <si>
    <t>Four-leg intersection</t>
  </si>
  <si>
    <t>Harwood, D. W., Bauer, K. M., Potts, I. B., Torbic, D. J., Richard, K. R., Kohlman Rabbani, E. R., . . . Griffith, M. S. (2003). Safety Effectiveness of Intersection Left- and Right-Turn Lanes. Transportation Research Record: Journal of the Transportation Research Board, 1840, 131-139</t>
  </si>
  <si>
    <t>Install a Left Turn Lanes on ONE Major Approach to a Signalized Intersection</t>
  </si>
  <si>
    <t>Three-leg intersection</t>
  </si>
  <si>
    <t>Install Left Turn Lanes on BOTH Major Approaches at an Unsignalized Intersection</t>
  </si>
  <si>
    <t>Install a Left Turn Lanes on ONE Major Approach to an Unsignalized Intersection</t>
  </si>
  <si>
    <t>Improve left turn lane offset to create positive offset</t>
  </si>
  <si>
    <t>Urban and Rural</t>
  </si>
  <si>
    <t>Persaud, B., Lyon, C., Eccles, K., Lefler, N., &amp; Gross, F. (2009). Safety Evaluation of Offset Improvements for Left-Turn Lanes. Washington, D.C.: Federal Highway Administration.</t>
  </si>
  <si>
    <t>Right Turn Lanes</t>
  </si>
  <si>
    <t>Install Right Turn Lanes on BOTH major approaches to a Signalized Intersection</t>
  </si>
  <si>
    <t>Rural or Urban</t>
  </si>
  <si>
    <t>Install Right Turn Lane on one Major Approach to a Signalized Intersection</t>
  </si>
  <si>
    <t>Install Right Turn Lanes on BOTH major approaches to an Unsignalized Intersection</t>
  </si>
  <si>
    <t>Install Right Turn Lane on one Major Approach to an Unsignalized Intersection</t>
  </si>
  <si>
    <t>Roundabout</t>
  </si>
  <si>
    <t>Convert All-Way Stop to a Roundabout</t>
  </si>
  <si>
    <t>Bagdade, J. B.N. Persaud, K. McIntosh, J. Yassin, C.A. Lyon, C. Redinger, J. Whitten, and W.A. Butch, "Evaluating the Performance and Safety Effectiveness of Roundabouts." Report No. RC-1566, Michigan Department of Transportation, December 2011.</t>
  </si>
  <si>
    <t>Convert Two-Way Stop to a Roundabout</t>
  </si>
  <si>
    <t>Rodegerdts, L. A., Blogg, M., Wemple, E., Myers, E., Kyte, M., Dixon, M., List, G., Flannery, A., Troutbeck, R., Brilon, W., Wu, N., Persaud, B., Lyon, C., Harkey, D., and Carter, D., "NCHRP Report 572: Applying Roundabouts in the United States." Washington, D.C., Transportation Research Board, National Research Council, (2007)</t>
  </si>
  <si>
    <t>Suburban</t>
  </si>
  <si>
    <t>Single Lane</t>
  </si>
  <si>
    <t>Multilane</t>
  </si>
  <si>
    <t>Convert Signal to a Roundabout</t>
  </si>
  <si>
    <t>Srinivasan, R., Baek, J., Smith, S., Sundstrom, C., Carter, D., Lyon, C., Persaud, B., Gross, F., Eccles, K., Hamidi, A., and Lefler, N., "NCHRP Report 705: Evaluation of Safety Strategies at Signalized Intersections.", Washington, D.C., Transportation Research Board, National Research Council, (2011)</t>
  </si>
  <si>
    <t>Convert Stop Controlled Interchange to Dogbone Roundabout</t>
  </si>
  <si>
    <t>Claros, B., B. Burdett, M. Chitturi, A. Bill, and D.A. Noyce. "Are Roundabouts Safe and Economically Viable Replacing Conventional Diamond Interchange Ramp Terminals?". Transportation Research Record No. 2675, Transportation Research Board of the National Academies of Science, Washington, D.C., (2021).</t>
  </si>
  <si>
    <t>Convert Signalized Interchange to Dogbone Roundabout</t>
  </si>
  <si>
    <t>Convert At-Grade Signalized Intersection to Dogbone Roundabout Interchange</t>
  </si>
  <si>
    <t>Any # of lanes</t>
  </si>
  <si>
    <t>Wang J, Cicchino JB. Safety effects of roundabout conversions in Carmel, Indiana, the Roundabout City. J Safety Res. 2022 Sep;82:159-165. doi: 10.1016/j.jsr.2022.05.007. Epub 2022 May 21. PMID: 36031243.</t>
  </si>
  <si>
    <t>RCI</t>
  </si>
  <si>
    <t>Convert Two-Way stop to RCI</t>
  </si>
  <si>
    <t>Multilane Arterial</t>
  </si>
  <si>
    <t>Hummer, J. E., Haley, R. L., Ott, S. E., Foyle, R. S., and Cunningham, C. M. "Superstreet Benefits and Capacities." Report No. FHWA/NC/2009-06, North Carolina State University, Raleigh, NC., (2010). Results also published in: Ott, S. E., Haley, R. L., Hummer, J. E., Foyle, R. S., and Cunningham, C. M. "Safety effects of unsignalized superstreets in North Carolina." Accident Analysis and Prevention, Volume 45, (2012).</t>
  </si>
  <si>
    <t>RCUT</t>
  </si>
  <si>
    <t>Convert Signalized Intersection to an RCUT</t>
  </si>
  <si>
    <t>Hummer, J.E., and S. Rao. "Safety Evaluation of a Signalized Restricted Crossing U-Turn." Report No. FHWA-HRT-17-082. Federal Highway Administration. McLean, Virginia. (December 2017).</t>
  </si>
  <si>
    <t>Boulevard Left</t>
  </si>
  <si>
    <t>Convert Intersection to Boulevard Left Turn</t>
  </si>
  <si>
    <t>FHWA HRT 21-024 - FHWA Research and Technology Evaluation: Innovative Intersection Design</t>
  </si>
  <si>
    <t>DDI</t>
  </si>
  <si>
    <t>Convert Diamond Interchange to Diverging Diamond Interchange</t>
  </si>
  <si>
    <t>Abdelrahman, A., M. Abdel-Aty, J. Yuan, and M. Al-Omari. "Systematic Safety Evaluation of Diverging Diamond Interchanges Based on Nationwide Implementation Data". Presented at the 100th Annual Meeting of the Transportation Research Board, Paper No. 21-00026, Washington, D.C., (2021).</t>
  </si>
  <si>
    <t>DLT</t>
  </si>
  <si>
    <t>Convert a conventional signalized intersection to a continuous flow intersection (CFI) with parallel right turn lanes (slip lanes)</t>
  </si>
  <si>
    <t>3-legs</t>
  </si>
  <si>
    <t>Cunningham, C. T. Lee, T. Saleem, and R. Srinivasan. "Development of a Crash Modification Factor for Conversion of a Conventional Signalized Intersection to a CFI." Report No. FHWA/NC/2020-29. North Carolina Department of Transportation. Raleigh, North Carolina. (2022).</t>
  </si>
  <si>
    <t>4-legs</t>
  </si>
  <si>
    <t>Convert a conventional signalized intersection to a continuous flow intersection (CFI) with standard right turn lanes</t>
  </si>
  <si>
    <t>3 or 4 legs</t>
  </si>
  <si>
    <t>Intersection Skew</t>
  </si>
  <si>
    <t>Intersection Skew Angle compared to 90 Degrees</t>
  </si>
  <si>
    <t>3-leg</t>
  </si>
  <si>
    <t>Ingle, A., and T.J. Gates. "Crash Modification Functions for Rural Skewed Intersections". Transportation Research Record, Transportation Research Board of the National Academies of Science, Washington, D.C., (2022).</t>
  </si>
  <si>
    <t>4-leg</t>
  </si>
  <si>
    <t xml:space="preserve">Change intersection skew angle from between 17-27 degrees to 90 degrees. </t>
  </si>
  <si>
    <t xml:space="preserve">Change intersection skew angle from greater than 27 degrees to 90 degrees. </t>
  </si>
  <si>
    <t>Change intersection skew angle from between 17-27 degrees to 90 degrees.</t>
  </si>
  <si>
    <t>Access Management</t>
  </si>
  <si>
    <t>Intall TWLTL (two-way left turn lane) on a four lane road</t>
  </si>
  <si>
    <t>Urban and Suburban</t>
  </si>
  <si>
    <t>Four-lane highways</t>
  </si>
  <si>
    <t xml:space="preserve">Sun, X. &amp; Rahman, A. (2019). Investigating Safety Impact of Center Line Rumble Strips, Lane Conversion, Roundabout, and J-Turn Features on Louisiana Highways </t>
  </si>
  <si>
    <t>Intall TWLTL (two-way left turn lane) on a two lane road</t>
  </si>
  <si>
    <t>Two-lane highways</t>
  </si>
  <si>
    <t>Persaud, B., Lyon, C., Eccles, K., Lefler, N., Carter, D., &amp; Amjadi, R. (2008b). Safety Evaluation of Installing Center Two-Way Left-Turn Lanes on Two-Lane Roads. Washington, D.C.: Federal Highway Administration.</t>
  </si>
  <si>
    <t>Road diet (Convert 4-lane undivided road to 2-lanes plus turning lane)</t>
  </si>
  <si>
    <t xml:space="preserve">Abdel-Aty et al. (2014). VALIDATION AND APPLICATION OF HIGHWAY SAFETY MANUAL (PART D) IN FLORIDA </t>
  </si>
  <si>
    <t>Replace TWLTL with raised median</t>
  </si>
  <si>
    <t>Principal arterials; minor arterials; collectors</t>
  </si>
  <si>
    <t>Mauga, T., &amp; Kaseko, M. (2010). Modeling and Evaluating Safety Impacts of Access Management Features in the Las Vegas, Nevada, Valley. Transportation Research Record: Journal of the Transportation Research Board, 2171, 57-65.
Keep from CRF Table
https://cmfclearinghouse.fhwa.dot.gov/study_detail.php?stid=165</t>
  </si>
  <si>
    <t>Reduce driveway density by 1 driveway per mile*</t>
  </si>
  <si>
    <t>Fitzpatrick, K., Park, E. S., &amp; Schneider IV, W. H. (2008). Potential Accident Modification Factors for Driveway Density on Rural Highways: From Texas Data. Transportation Research Record: Journal of the Transportation Research Board, 2083, 49-61.</t>
  </si>
  <si>
    <t>Reduce driveway density by 2 driveways per mile*</t>
  </si>
  <si>
    <t>Reduce driveway density by 3 driveways per mile*</t>
  </si>
  <si>
    <t>Reduce driveway density by 5 driveways per mile*</t>
  </si>
  <si>
    <t>Principal arterials, minor arterials, or collectors with raised medians</t>
  </si>
  <si>
    <t>Mauga, T., &amp; Kaseko, M. (2010). Modeling and Evaluating Safety Impacts of Access Management Features in the Las Vegas, Nevada, Valley. Transportation Research Record: Journal of the Transportation Research Board, 2171, 57-65.</t>
  </si>
  <si>
    <t>Principal arterials, minor arterials, or collectors with TWLTLs</t>
  </si>
  <si>
    <t>Reduce driveway density by 10 driveways per mile*</t>
  </si>
  <si>
    <t>Reduce driveway density by 15 driveways per mile*</t>
  </si>
  <si>
    <t>Reduce driveway density by 20 driveways per mile*</t>
  </si>
  <si>
    <t>LaPorte</t>
  </si>
  <si>
    <t>Interchange Area</t>
  </si>
  <si>
    <t>a</t>
  </si>
  <si>
    <t>b</t>
  </si>
  <si>
    <t>c</t>
  </si>
  <si>
    <t>d</t>
  </si>
  <si>
    <t>Non-Freeway</t>
  </si>
  <si>
    <t>&gt;2</t>
  </si>
  <si>
    <t>&lt;=2</t>
  </si>
  <si>
    <t>Freeway</t>
  </si>
  <si>
    <t>Ramp Segment</t>
  </si>
  <si>
    <t>OD</t>
  </si>
  <si>
    <t>K</t>
  </si>
  <si>
    <t>C</t>
  </si>
  <si>
    <t>O</t>
  </si>
  <si>
    <t>f</t>
  </si>
  <si>
    <t>g</t>
  </si>
  <si>
    <t>h</t>
  </si>
  <si>
    <t>j</t>
  </si>
  <si>
    <t>k</t>
  </si>
  <si>
    <t>m</t>
  </si>
  <si>
    <t>n</t>
  </si>
  <si>
    <t>o</t>
  </si>
  <si>
    <t>p</t>
  </si>
  <si>
    <t>q</t>
  </si>
  <si>
    <t>r</t>
  </si>
  <si>
    <t>Facility Information</t>
  </si>
  <si>
    <t>Intersection or Segment?</t>
  </si>
  <si>
    <t>State or Locally Owned?</t>
  </si>
  <si>
    <t>Urban or Rural?</t>
  </si>
  <si>
    <t>Number of Lanes?</t>
  </si>
  <si>
    <t>Interchange Area or Non-Interchange Area?</t>
  </si>
  <si>
    <t>Intersection</t>
  </si>
  <si>
    <t>Segment</t>
  </si>
  <si>
    <t>State Owned</t>
  </si>
  <si>
    <t>Locally Owned</t>
  </si>
  <si>
    <t>Non-Interchange Area</t>
  </si>
  <si>
    <t xml:space="preserve"> SPFs and Info Last UpdatedUpdated</t>
  </si>
  <si>
    <t>Major AADT</t>
  </si>
  <si>
    <t>Minor AADT</t>
  </si>
  <si>
    <t>Description</t>
  </si>
  <si>
    <t>Crash Data</t>
  </si>
  <si>
    <t>Number of Years</t>
  </si>
  <si>
    <t>Fatal Crashes (K)</t>
  </si>
  <si>
    <t>Suspected Serious Injury Crashes (A)</t>
  </si>
  <si>
    <t>Non-Suspected Serious Injury Crashes (B)</t>
  </si>
  <si>
    <t>Minor Injury Crashes (C)</t>
  </si>
  <si>
    <t>Property Damage Only Crashes (O)</t>
  </si>
  <si>
    <t>4+</t>
  </si>
  <si>
    <t>Freeway, Non-Freeway, or Ramp Segment?</t>
  </si>
  <si>
    <t>i</t>
  </si>
  <si>
    <t>Predicted Crashes by Severity</t>
  </si>
  <si>
    <t>Experienced Crashes (Total)</t>
  </si>
  <si>
    <t>Cost/Crash</t>
  </si>
  <si>
    <t>EPDO Factor</t>
  </si>
  <si>
    <t>Number of Legs?</t>
  </si>
  <si>
    <t>AADT</t>
  </si>
  <si>
    <t>Segment Info from User:</t>
  </si>
  <si>
    <t>AADT:</t>
  </si>
  <si>
    <t>UrbanFreewayInterchange Area</t>
  </si>
  <si>
    <t>UrbanFreewayNon-Interchange Area</t>
  </si>
  <si>
    <t>RuralFreewayInterchange Area</t>
  </si>
  <si>
    <t>RuralFreewayNon-Interchange Area</t>
  </si>
  <si>
    <t>State OwnedUrbanNon-Freeway&gt;2</t>
  </si>
  <si>
    <t>State OwnedUrbanNon-Freeway&lt;=2</t>
  </si>
  <si>
    <t>Locally OwnedUrbanNon-Freeway&lt;=2</t>
  </si>
  <si>
    <t>Locally OwnedRuralNon-Freeway&lt;=2</t>
  </si>
  <si>
    <t>RuralNon-Freeway&gt;2</t>
  </si>
  <si>
    <t>Find</t>
  </si>
  <si>
    <t>Use?</t>
  </si>
  <si>
    <t>Locally OwnedUrbanNon-Freeway&gt;2</t>
  </si>
  <si>
    <t>State OwnedRuralNon-Freeway&lt;=2</t>
  </si>
  <si>
    <t>Excess Crashes Std Dev</t>
  </si>
  <si>
    <t>Excess EPDO Std Dev</t>
  </si>
  <si>
    <t>Used for Calcs</t>
  </si>
  <si>
    <t>Kp</t>
  </si>
  <si>
    <t>Ap</t>
  </si>
  <si>
    <t>Bp</t>
  </si>
  <si>
    <t>Cp</t>
  </si>
  <si>
    <t>Op</t>
  </si>
  <si>
    <t>Weight Factor</t>
  </si>
  <si>
    <t>ICF:</t>
  </si>
  <si>
    <t>ICC:</t>
  </si>
  <si>
    <t>Experienced Crashes per Year per Mile</t>
  </si>
  <si>
    <t>Experienced EPDO per Year per Mile</t>
  </si>
  <si>
    <t>Predicted Crashes per Year per Mile</t>
  </si>
  <si>
    <t>Predicted EPDO per Year per Mile</t>
  </si>
  <si>
    <t>Expected Crashes per Year per Mile</t>
  </si>
  <si>
    <t>Expected EPDO Per Year per Mile</t>
  </si>
  <si>
    <t>Segment Length? (miles)</t>
  </si>
  <si>
    <t>Segment Length?</t>
  </si>
  <si>
    <t>Removed Pavement (syd)</t>
  </si>
  <si>
    <r>
      <t>Pavement</t>
    </r>
    <r>
      <rPr>
        <sz val="13"/>
        <color theme="1"/>
        <rFont val="Calibri"/>
        <family val="2"/>
        <scheme val="minor"/>
      </rPr>
      <t xml:space="preserve"> ($0.30/syd/yr)</t>
    </r>
  </si>
  <si>
    <t>Total Change in Yearly Maintenance Cost (Current year $):</t>
  </si>
  <si>
    <t>Intersection Info from User:</t>
  </si>
  <si>
    <t>Major AADT:</t>
  </si>
  <si>
    <t>Minor AADT:</t>
  </si>
  <si>
    <t>Experienced Crashes</t>
  </si>
  <si>
    <t>Experienced EPDO per Year</t>
  </si>
  <si>
    <t>Predicted Crashes per Year</t>
  </si>
  <si>
    <t>Predicted EPDO per Year</t>
  </si>
  <si>
    <t>Expected Crashes per Year</t>
  </si>
  <si>
    <t>Expected EPDO per Year</t>
  </si>
  <si>
    <t>Experienced Crashes per Year</t>
  </si>
  <si>
    <t>State OwnedUrban3</t>
  </si>
  <si>
    <t>State OwnedRural3</t>
  </si>
  <si>
    <t>State OwnedRural4+</t>
  </si>
  <si>
    <t>State OwnedUrban4+</t>
  </si>
  <si>
    <t>Locally OwnedUrban3</t>
  </si>
  <si>
    <t>Locally OwnedUrban4+</t>
  </si>
  <si>
    <t>Locally OwnedRural3</t>
  </si>
  <si>
    <t>Locally OwnedRural4+</t>
  </si>
  <si>
    <t>Facility Used:</t>
  </si>
  <si>
    <t>Crash Costs:</t>
  </si>
  <si>
    <t>Segment Length (mi):</t>
  </si>
  <si>
    <t>Expected Crashes/Yr</t>
  </si>
  <si>
    <t>Annual Crash Cost Savings/Yr (Current Year Dollars)</t>
  </si>
  <si>
    <t>Annual Crash Costs/Yr (Current Yr Dollars)</t>
  </si>
  <si>
    <t>Annual Crash Costs (Build Year Dollars)</t>
  </si>
  <si>
    <t>Annual Crash Costs Savings (Build Year Dollars)</t>
  </si>
  <si>
    <t>Lifetime Crash Costs Savings (Build Year Dollars)</t>
  </si>
  <si>
    <t>Combined CRF as Decimal:</t>
  </si>
  <si>
    <t>Annual Crash Costs (Specified Year Dollars)</t>
  </si>
  <si>
    <t>Total Lifetime Project Cost (Build Year Dollars)</t>
  </si>
  <si>
    <t>Factor 4: Trauma Center Proximity</t>
  </si>
  <si>
    <t>Factor 5: Mobility Improvement</t>
  </si>
  <si>
    <t>Factor 6: Public and Other Interest</t>
  </si>
  <si>
    <t>Factor 7: Economic Factors</t>
  </si>
  <si>
    <t>Factor 8: Earmarks &amp; External Contributions</t>
  </si>
  <si>
    <r>
      <t xml:space="preserve">Factor 4: Trauma Center Proximity
</t>
    </r>
    <r>
      <rPr>
        <sz val="14"/>
        <color theme="1"/>
        <rFont val="Calibri"/>
        <family val="2"/>
        <scheme val="minor"/>
      </rPr>
      <t>Indicate in the shaded box below if the project is within 45 minutes from a trauma center.</t>
    </r>
  </si>
  <si>
    <t>Trauma Center Proximity</t>
  </si>
  <si>
    <t>Factor 4 awards points based on how close the project is to a trauma center, indicating the chance of death in a serious crash. Use the GIS map linked below to determine if the proposed project is within 45 minutes of a trauma center. See the scoring key below for how points will be awarded based on the project's proximity to a trauma center.</t>
  </si>
  <si>
    <t>Trauma Center Proximity Map</t>
  </si>
  <si>
    <r>
      <t xml:space="preserve">Factor 5: Mobility Improvement
</t>
    </r>
    <r>
      <rPr>
        <sz val="14"/>
        <color theme="1"/>
        <rFont val="Calibri"/>
        <family val="2"/>
        <scheme val="minor"/>
      </rPr>
      <t>Select the level of mobility improvement in the shaded box below</t>
    </r>
  </si>
  <si>
    <r>
      <t xml:space="preserve">Factor 6: Public and Other Interest
</t>
    </r>
    <r>
      <rPr>
        <sz val="14"/>
        <color theme="1"/>
        <rFont val="Calibri"/>
        <family val="2"/>
        <scheme val="minor"/>
      </rPr>
      <t>Select the level of public and other interest in the shaded box below</t>
    </r>
  </si>
  <si>
    <t>Opposition to the proposed project from a government official, or no documented concern or support of project</t>
  </si>
  <si>
    <r>
      <t xml:space="preserve">Factor 7: Economic Factors
</t>
    </r>
    <r>
      <rPr>
        <sz val="14"/>
        <color theme="1"/>
        <rFont val="Calibri"/>
        <family val="2"/>
        <scheme val="minor"/>
      </rPr>
      <t>Input the census tract number for the project location in the shaded box below</t>
    </r>
  </si>
  <si>
    <r>
      <t xml:space="preserve">Factor 8 (Bonus): Earmarks and External Contributions
</t>
    </r>
    <r>
      <rPr>
        <sz val="14"/>
        <color theme="1"/>
        <rFont val="Calibri"/>
        <family val="2"/>
        <scheme val="minor"/>
      </rPr>
      <t>Select the level of external funding contributed in the shaded box below.</t>
    </r>
  </si>
  <si>
    <t>Factor 8:</t>
  </si>
  <si>
    <t>Yearly Inflation as Decimal:</t>
  </si>
  <si>
    <t>Existing</t>
  </si>
  <si>
    <t>Proposed</t>
  </si>
  <si>
    <t>For FY2032 projects, if not 4 years, provide justification:</t>
  </si>
  <si>
    <t xml:space="preserve"> SPFs and Info Last Updated</t>
  </si>
  <si>
    <t>y</t>
  </si>
  <si>
    <t>z</t>
  </si>
  <si>
    <t>Factor 5 awards points based on how the project will improve mobility. See the scoring key below for how points will be awarded based on the level of mobility improvement.</t>
  </si>
  <si>
    <t>Factor 6 awards points based on interest from the public or government officials. In order to be awarded 2 or more points, documentation of public concern with the location or  support from a government official must be submitted along with other project documents. See the scoring key below for how points will be awarded based on the level of public and other interest.</t>
  </si>
  <si>
    <t>Factor 8 awards bonus points to projects that receive earmarks or external contrubutions for funding. The purpose of this bonus factor is to increase the chances of a project funding if an external source has commited funds for it. To receive any points for Factor 8, documentation of the commitment of funds must be subitted along with other project documents. See the scoring key below for how points will be awarded based on the level of external contribution. 
NOTE: The overall project score cannot exceed 100, no matter how may points from Factor 8 are awarded.</t>
  </si>
  <si>
    <t xml:space="preserve">Factor 7 awards up to 4 points based on median household income in the project census tract. After entering the correct County on the cover sheet, the census tract map (linked below) can be used to identify the census tract mst representative of the project area. If the census tract has an average household income of over $67,000, no points for Factor 7 will be awarded. If the census tract has an average household income of less than $33,000, full points will be awarded for Factor 6. If the project will require complete purchase of any developed parcels, no points will be awarded for Factor 7. </t>
  </si>
  <si>
    <t>Number of Traffic Signals Added</t>
  </si>
  <si>
    <t>Number of Traffic Signals Removed</t>
  </si>
  <si>
    <r>
      <t>Traffic Signals</t>
    </r>
    <r>
      <rPr>
        <sz val="13"/>
        <color theme="1"/>
        <rFont val="Calibri"/>
        <family val="2"/>
        <scheme val="minor"/>
      </rPr>
      <t xml:space="preserve"> ($2,000/yr) - includes all equipment for a signalized intersection</t>
    </r>
  </si>
  <si>
    <t>CRF Information</t>
  </si>
  <si>
    <t>Number of Intersections</t>
  </si>
  <si>
    <t>Enter CRF for systemic treatment</t>
  </si>
  <si>
    <t>Enter cost for systemic treatment</t>
  </si>
  <si>
    <t>Enter project lifetime (years)</t>
  </si>
  <si>
    <t>Using CRF for</t>
  </si>
  <si>
    <t>CRF:</t>
  </si>
  <si>
    <t>Used for:</t>
  </si>
  <si>
    <t>IF SPFS ARE CHANGED, MUST ALSO BE CHANGED IN THE SYSTEMIC BC CALCULATIONS TAB</t>
  </si>
  <si>
    <t>Ks</t>
  </si>
  <si>
    <t>As</t>
  </si>
  <si>
    <t>Bs</t>
  </si>
  <si>
    <t>Cs</t>
  </si>
  <si>
    <t>Os</t>
  </si>
  <si>
    <t>Predicted Crashes/Mile/Yr</t>
  </si>
  <si>
    <t>Predicted Crashes by Severity Total/yr</t>
  </si>
  <si>
    <t>Total Saved Crashes/yr</t>
  </si>
  <si>
    <t>Total Cost Benefit/Lifetime</t>
  </si>
  <si>
    <t>K$</t>
  </si>
  <si>
    <t>A$</t>
  </si>
  <si>
    <t>B$</t>
  </si>
  <si>
    <t>C$</t>
  </si>
  <si>
    <t>O$</t>
  </si>
  <si>
    <t>Total$</t>
  </si>
  <si>
    <t>Predicted Crashes/Interection/Yr</t>
  </si>
  <si>
    <t>Lifetime:</t>
  </si>
  <si>
    <t>Crash Costs</t>
  </si>
  <si>
    <t>Total Cost</t>
  </si>
  <si>
    <t>Expected Crashes/Year</t>
  </si>
  <si>
    <t>Expected Crashes/Project Lifetime</t>
  </si>
  <si>
    <t>Estimated Crash Cost Reduction/Project Lifetime</t>
  </si>
  <si>
    <t>Estimated Benefit/Cost Ratio</t>
  </si>
  <si>
    <t>Crash cost savings/Lifetime</t>
  </si>
  <si>
    <t>Totalp</t>
  </si>
  <si>
    <t>Expected Crashes/Year (Existing)</t>
  </si>
  <si>
    <t>Expected Crashes/Lifetime (Existing)</t>
  </si>
  <si>
    <t>Expected Crashes/Year (Proposed)</t>
  </si>
  <si>
    <t>Expected Crashes/Lifetime (Proposed)</t>
  </si>
  <si>
    <t>Predicted Crashes/Yr</t>
  </si>
  <si>
    <t>Predicted=spf</t>
  </si>
  <si>
    <t>Expected=EB adjusted experienced</t>
  </si>
  <si>
    <t>Equivalent PDO Crashes</t>
  </si>
  <si>
    <t>Total Crashes</t>
  </si>
  <si>
    <t>`</t>
  </si>
  <si>
    <t>Floor:</t>
  </si>
  <si>
    <t>ICC Override</t>
  </si>
  <si>
    <t>Factor 1 gauges past safety performance of the site as indicated by actual crash events. Quantitative scoring for Factor 1 will be based on the Index of Crash Cost (ICC) as produced the Traffic Safety Indices tab. ICC values below 0.00 will not be awarded any points. ICC values greater than 1.2 will receive all 30 points for Factor 1. ICC values calculated in the Traffic Safety Indices tab will automatically populate below. If a project contains multiple elements, such as intersections and segments—the project should be broken into individual parts, each with its own respective ICC score. The ICC of the elements that are to be improved should be averaged to form a composite ICC, and entered into the "ICC Override" cell below to calculate the Factor 1 score.</t>
  </si>
  <si>
    <t>ICF Override</t>
  </si>
  <si>
    <t>Factor 2 gauges past safety performance of the site as indicated by actual crash events. Quantitative scoring for Factor 2 will be based on the Index of Crash Frequency (ICF) as produced the Traffic Safety Indices tab. ICF values below 0.00 will not be awarded any points. ICF values greater than 0.85 will receive all 9 points for Factor 2. ICF values calculated in the Traffic Safety Indices tab will automatically populate below. If a project contains multiple elements, such as intersections and segments—the project should be broken into individual parts, each with its own respective ICF score. The ICF of the elements that are to be improved should be averaged to form a composite ICF, and entered into the "ICF Override" cell below to calculate the Factor 2 score.</t>
  </si>
  <si>
    <t xml:space="preserve">Factor 3 awards points based on the project's cost effectiveness. Users will input project, maintenance, and CRF information, and crash data from the Traffic Safety Indices tab will be used to calculate a benefit-cost ratio for the projet. Projects with a benefit-cost ratio below 1.0 will not receive any points for Factor 3. Projects with a benefit-cost ratio above 9.0 will receive the maximum point value of 45 points for Factor 3.  </t>
  </si>
  <si>
    <t>Project is greater than 45 minutes from any trauma center</t>
  </si>
  <si>
    <t>Project is within 45 minutes of a level 1 or level 2 trauma center</t>
  </si>
  <si>
    <r>
      <rPr>
        <b/>
        <u/>
        <sz val="11"/>
        <color theme="0"/>
        <rFont val="Calibri"/>
        <family val="2"/>
        <scheme val="minor"/>
      </rPr>
      <t>NOTE</t>
    </r>
    <r>
      <rPr>
        <sz val="11"/>
        <color theme="0"/>
        <rFont val="Calibri"/>
        <family val="2"/>
        <scheme val="minor"/>
      </rPr>
      <t>: All interstate and divided highway segments should be analyzed one direction at a time. All other segments should be analyzed with both directions together</t>
    </r>
  </si>
  <si>
    <t>Project is greater than 45 minutes from a level 1 or level 2 trauma center, but within 45 minutes of a level 3 trauma center</t>
  </si>
  <si>
    <t>Areas in green are within 45 mins of a level 1 or 2 trauma center, areas in orange are within 45 mins of a level 3 trauma center.</t>
  </si>
  <si>
    <t>This tool uses crash data and facility information to produce an index of crash cost (ICC) and an index of crash frequency (ICF) for a project.</t>
  </si>
  <si>
    <t>Systemic treatment description:</t>
  </si>
  <si>
    <t>Calculators</t>
  </si>
  <si>
    <t>Systemic Safety B/C</t>
  </si>
  <si>
    <t>Used to calculate a theoretical benefit/cost ratios for a systemic improvement</t>
  </si>
  <si>
    <t>Used to calculate ICC and ICF. Automatically populates Factors 1 and 2</t>
  </si>
  <si>
    <t>6/15/2026 (No updates 8/7)</t>
  </si>
  <si>
    <t>Traffic Safety Analysis Tool</t>
  </si>
  <si>
    <r>
      <t xml:space="preserve">Traffic Safety Analysis Tool
</t>
    </r>
    <r>
      <rPr>
        <b/>
        <sz val="11"/>
        <color theme="1"/>
        <rFont val="Calibri"/>
        <family val="2"/>
        <scheme val="minor"/>
      </rPr>
      <t>Version 26.2</t>
    </r>
  </si>
  <si>
    <r>
      <t xml:space="preserve">Systemic Safety Benefit/Cost
</t>
    </r>
    <r>
      <rPr>
        <b/>
        <sz val="11"/>
        <color theme="1"/>
        <rFont val="Calibri"/>
        <family val="2"/>
        <scheme val="minor"/>
      </rPr>
      <t>Version 26.2</t>
    </r>
    <r>
      <rPr>
        <b/>
        <u/>
        <sz val="20"/>
        <color theme="1"/>
        <rFont val="Calibri"/>
        <family val="2"/>
        <scheme val="minor"/>
      </rPr>
      <t xml:space="preserve">
</t>
    </r>
    <r>
      <rPr>
        <sz val="14"/>
        <color theme="1"/>
        <rFont val="Calibri"/>
        <family val="2"/>
        <scheme val="minor"/>
      </rPr>
      <t>Enter the project, facility, and CRF information in the shaded boxes below to calculate a theoretical benefit/cost ratio for a systemic improvement. This tool does not account for maintenance cost of the systemic improvement.</t>
    </r>
  </si>
  <si>
    <t>Project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</si>
</sst>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
    <numFmt numFmtId="165" formatCode="&quot;$&quot;#,##0.00"/>
    <numFmt numFmtId="166" formatCode="0000000"/>
    <numFmt numFmtId="167" formatCode="0.0"/>
    <numFmt numFmtId="168" formatCode="0.000"/>
  </numFmts>
  <fonts count="48" x14ac:knownFonts="1">
    <font>
      <sz val="11"/>
      <color theme="1"/>
      <name val="Calibri"/>
      <family val="2"/>
      <scheme val="minor"/>
    </font>
    <font>
      <u/>
      <sz val="11"/>
      <color theme="10"/>
      <name val="Calibri"/>
      <family val="2"/>
      <scheme val="minor"/>
    </font>
    <font>
      <b/>
      <sz val="18"/>
      <color theme="1"/>
      <name val="Calibri"/>
      <family val="2"/>
      <scheme val="minor"/>
    </font>
    <font>
      <sz val="11"/>
      <color theme="1"/>
      <name val="Calibri"/>
      <family val="2"/>
      <scheme val="minor"/>
    </font>
    <font>
      <sz val="11"/>
      <color theme="0"/>
      <name val="Calibri"/>
      <family val="2"/>
      <scheme val="minor"/>
    </font>
    <font>
      <u/>
      <sz val="18"/>
      <name val="Calibri"/>
      <family val="2"/>
      <scheme val="minor"/>
    </font>
    <font>
      <sz val="16"/>
      <name val="Calibri"/>
      <family val="2"/>
      <scheme val="minor"/>
    </font>
    <font>
      <sz val="16"/>
      <color theme="0" tint="-0.499984740745262"/>
      <name val="Calibri"/>
      <family val="2"/>
      <scheme val="minor"/>
    </font>
    <font>
      <b/>
      <sz val="50"/>
      <color theme="1"/>
      <name val="Calibri"/>
      <family val="2"/>
      <scheme val="minor"/>
    </font>
    <font>
      <sz val="13"/>
      <color theme="1"/>
      <name val="Calibri"/>
      <family val="2"/>
      <scheme val="minor"/>
    </font>
    <font>
      <sz val="10"/>
      <color theme="1"/>
      <name val="Calibri"/>
      <family val="2"/>
      <scheme val="minor"/>
    </font>
    <font>
      <b/>
      <u/>
      <sz val="14"/>
      <name val="Arial"/>
      <family val="2"/>
    </font>
    <font>
      <sz val="11"/>
      <color rgb="FFFF0000"/>
      <name val="Calibri"/>
      <family val="2"/>
      <scheme val="minor"/>
    </font>
    <font>
      <sz val="9"/>
      <color rgb="FFFF0000"/>
      <name val="Calibri"/>
      <family val="2"/>
      <scheme val="minor"/>
    </font>
    <font>
      <sz val="11"/>
      <name val="Calibri"/>
      <family val="2"/>
      <scheme val="minor"/>
    </font>
    <font>
      <u/>
      <sz val="11"/>
      <color theme="1"/>
      <name val="Calibri"/>
      <family val="2"/>
      <scheme val="minor"/>
    </font>
    <font>
      <b/>
      <sz val="13"/>
      <color theme="1"/>
      <name val="Calibri"/>
      <family val="2"/>
      <scheme val="minor"/>
    </font>
    <font>
      <b/>
      <u/>
      <sz val="11"/>
      <color theme="1"/>
      <name val="Calibri"/>
      <family val="2"/>
      <scheme val="minor"/>
    </font>
    <font>
      <sz val="9"/>
      <color theme="1"/>
      <name val="Calibri"/>
      <family val="2"/>
      <scheme val="minor"/>
    </font>
    <font>
      <sz val="13"/>
      <name val="Calibri"/>
      <family val="2"/>
      <scheme val="minor"/>
    </font>
    <font>
      <b/>
      <u/>
      <sz val="14"/>
      <name val="Calibri"/>
      <family val="2"/>
      <scheme val="minor"/>
    </font>
    <font>
      <sz val="14"/>
      <color theme="1"/>
      <name val="Calibri"/>
      <family val="2"/>
      <scheme val="minor"/>
    </font>
    <font>
      <b/>
      <u/>
      <sz val="14"/>
      <color theme="1"/>
      <name val="Calibri"/>
      <family val="2"/>
      <scheme val="minor"/>
    </font>
    <font>
      <b/>
      <u/>
      <sz val="20"/>
      <color theme="1"/>
      <name val="Calibri"/>
      <family val="2"/>
      <scheme val="minor"/>
    </font>
    <font>
      <u/>
      <sz val="14"/>
      <color theme="10"/>
      <name val="Calibri"/>
      <family val="2"/>
      <scheme val="minor"/>
    </font>
    <font>
      <u/>
      <sz val="16"/>
      <color theme="10"/>
      <name val="Calibri"/>
      <family val="2"/>
      <scheme val="minor"/>
    </font>
    <font>
      <sz val="14"/>
      <name val="Calibri"/>
      <family val="2"/>
      <scheme val="minor"/>
    </font>
    <font>
      <sz val="14"/>
      <color theme="3" tint="0.39997558519241921"/>
      <name val="Calibri"/>
      <family val="2"/>
      <scheme val="minor"/>
    </font>
    <font>
      <b/>
      <u/>
      <sz val="18"/>
      <name val="Calibri"/>
      <family val="2"/>
      <scheme val="minor"/>
    </font>
    <font>
      <i/>
      <sz val="10"/>
      <name val="Calibri"/>
      <family val="2"/>
      <scheme val="minor"/>
    </font>
    <font>
      <b/>
      <sz val="18"/>
      <name val="Calibri"/>
      <family val="2"/>
      <scheme val="minor"/>
    </font>
    <font>
      <b/>
      <sz val="16"/>
      <name val="Calibri"/>
      <family val="2"/>
      <scheme val="minor"/>
    </font>
    <font>
      <b/>
      <sz val="18"/>
      <color theme="0"/>
      <name val="Calibri"/>
      <family val="2"/>
      <scheme val="minor"/>
    </font>
    <font>
      <u/>
      <sz val="16"/>
      <color theme="1"/>
      <name val="Calibri"/>
      <family val="2"/>
      <scheme val="minor"/>
    </font>
    <font>
      <sz val="16"/>
      <color theme="1"/>
      <name val="Calibri"/>
      <family val="2"/>
      <scheme val="minor"/>
    </font>
    <font>
      <sz val="11"/>
      <color theme="1"/>
      <name val="Calibri"/>
      <family val="2"/>
    </font>
    <font>
      <b/>
      <sz val="11"/>
      <color theme="1"/>
      <name val="Calibri"/>
      <family val="2"/>
    </font>
    <font>
      <u/>
      <sz val="11"/>
      <color theme="10"/>
      <name val="Calibri"/>
      <family val="2"/>
    </font>
    <font>
      <sz val="11"/>
      <color rgb="FF000000"/>
      <name val="Calibri"/>
      <family val="2"/>
      <scheme val="minor"/>
    </font>
    <font>
      <sz val="11"/>
      <color rgb="FF000000"/>
      <name val="Aptos Narrow"/>
      <family val="2"/>
    </font>
    <font>
      <b/>
      <sz val="11"/>
      <color theme="1"/>
      <name val="Calibri"/>
      <family val="2"/>
      <scheme val="minor"/>
    </font>
    <font>
      <b/>
      <u/>
      <sz val="13"/>
      <color theme="1"/>
      <name val="Calibri"/>
      <family val="2"/>
      <scheme val="minor"/>
    </font>
    <font>
      <u/>
      <sz val="13"/>
      <color theme="1"/>
      <name val="Calibri"/>
      <family val="2"/>
      <scheme val="minor"/>
    </font>
    <font>
      <sz val="12"/>
      <color theme="1"/>
      <name val="Calibri"/>
      <family val="2"/>
      <scheme val="minor"/>
    </font>
    <font>
      <b/>
      <u/>
      <sz val="11"/>
      <color theme="0"/>
      <name val="Calibri"/>
      <family val="2"/>
      <scheme val="minor"/>
    </font>
    <font>
      <sz val="11"/>
      <color rgb="FF242424"/>
      <name val="Aptos Narrow"/>
      <family val="2"/>
    </font>
    <font>
      <b/>
      <u/>
      <sz val="12"/>
      <name val="Arial"/>
      <family val="2"/>
    </font>
    <font>
      <sz val="12"/>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double">
        <color indexed="64"/>
      </left>
      <right style="medium">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double">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double">
        <color indexed="64"/>
      </bottom>
      <diagonal/>
    </border>
    <border>
      <left style="thin">
        <color indexed="64"/>
      </left>
      <right/>
      <top/>
      <bottom style="thin">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516">
    <xf numFmtId="0" fontId="0" fillId="0" borderId="0" xfId="0"/>
    <xf numFmtId="0" fontId="3" fillId="0" borderId="0" xfId="2"/>
    <xf numFmtId="0" fontId="0" fillId="0" borderId="0" xfId="2" applyFont="1"/>
    <xf numFmtId="164" fontId="0" fillId="0" borderId="0" xfId="0" applyNumberFormat="1"/>
    <xf numFmtId="0" fontId="0" fillId="0" borderId="0" xfId="2" applyFont="1" applyAlignment="1">
      <alignment horizontal="right" vertical="center"/>
    </xf>
    <xf numFmtId="164" fontId="3" fillId="0" borderId="0" xfId="2" applyNumberFormat="1" applyAlignment="1" applyProtection="1">
      <alignment horizontal="center" vertical="center"/>
      <protection locked="0"/>
    </xf>
    <xf numFmtId="0" fontId="0" fillId="0" borderId="0" xfId="0" applyAlignment="1">
      <alignment horizontal="center" vertical="center"/>
    </xf>
    <xf numFmtId="164" fontId="3" fillId="0" borderId="0" xfId="2" applyNumberFormat="1" applyAlignment="1">
      <alignment horizontal="center" vertical="center"/>
    </xf>
    <xf numFmtId="0" fontId="4" fillId="0" borderId="0" xfId="0" applyFont="1"/>
    <xf numFmtId="0" fontId="0" fillId="0" borderId="0" xfId="0" applyAlignment="1">
      <alignment vertical="top" wrapText="1"/>
    </xf>
    <xf numFmtId="0" fontId="7" fillId="0" borderId="9" xfId="0" applyFont="1" applyBorder="1" applyAlignment="1">
      <alignment horizontal="left" vertical="top"/>
    </xf>
    <xf numFmtId="0" fontId="9" fillId="0" borderId="7" xfId="2" applyFont="1" applyBorder="1"/>
    <xf numFmtId="0" fontId="9" fillId="0" borderId="11" xfId="2" applyFont="1" applyBorder="1"/>
    <xf numFmtId="165" fontId="9" fillId="0" borderId="7" xfId="2" applyNumberFormat="1" applyFont="1" applyBorder="1" applyAlignment="1">
      <alignment horizontal="center" vertical="center"/>
    </xf>
    <xf numFmtId="0" fontId="9" fillId="0" borderId="2" xfId="2" applyFont="1" applyBorder="1" applyAlignment="1">
      <alignment horizontal="right" vertical="center"/>
    </xf>
    <xf numFmtId="0" fontId="9" fillId="0" borderId="18" xfId="2" applyFont="1" applyBorder="1" applyAlignment="1">
      <alignment horizontal="right" vertical="center"/>
    </xf>
    <xf numFmtId="0" fontId="7" fillId="0" borderId="0" xfId="0" applyFont="1" applyAlignment="1">
      <alignment horizontal="left" vertical="top"/>
    </xf>
    <xf numFmtId="0" fontId="3" fillId="0" borderId="0" xfId="2" applyAlignment="1" applyProtection="1">
      <alignment horizontal="center" vertical="center"/>
      <protection locked="0"/>
    </xf>
    <xf numFmtId="0" fontId="9" fillId="0" borderId="0" xfId="2" applyFont="1" applyAlignment="1" applyProtection="1">
      <alignment horizontal="center" vertical="center"/>
      <protection locked="0"/>
    </xf>
    <xf numFmtId="164" fontId="9" fillId="0" borderId="0" xfId="2" applyNumberFormat="1" applyFont="1" applyAlignment="1" applyProtection="1">
      <alignment horizontal="center" vertical="center"/>
      <protection locked="0"/>
    </xf>
    <xf numFmtId="0" fontId="11" fillId="0" borderId="0" xfId="0" applyFont="1" applyAlignment="1">
      <alignment horizontal="center" vertical="center"/>
    </xf>
    <xf numFmtId="0" fontId="12" fillId="0" borderId="0" xfId="2" applyFont="1"/>
    <xf numFmtId="0" fontId="12" fillId="0" borderId="0" xfId="0" applyFont="1"/>
    <xf numFmtId="0" fontId="1" fillId="0" borderId="0" xfId="1"/>
    <xf numFmtId="0" fontId="14" fillId="0" borderId="0" xfId="0" applyFont="1"/>
    <xf numFmtId="44" fontId="0" fillId="0" borderId="0" xfId="3" applyFont="1" applyBorder="1"/>
    <xf numFmtId="0" fontId="16" fillId="0" borderId="35" xfId="2" applyFont="1" applyBorder="1" applyAlignment="1">
      <alignment horizontal="right" vertical="center"/>
    </xf>
    <xf numFmtId="0" fontId="0" fillId="0" borderId="9" xfId="0" applyBorder="1"/>
    <xf numFmtId="0" fontId="0" fillId="0" borderId="10" xfId="0" applyBorder="1"/>
    <xf numFmtId="0" fontId="0" fillId="0" borderId="12" xfId="0" applyBorder="1"/>
    <xf numFmtId="0" fontId="0" fillId="0" borderId="13" xfId="0" applyBorder="1"/>
    <xf numFmtId="0" fontId="0" fillId="0" borderId="14" xfId="0" applyBorder="1"/>
    <xf numFmtId="0" fontId="17" fillId="0" borderId="8" xfId="0" applyFont="1" applyBorder="1"/>
    <xf numFmtId="0" fontId="0" fillId="0" borderId="41" xfId="0" applyBorder="1"/>
    <xf numFmtId="0" fontId="0" fillId="0" borderId="38" xfId="0" applyBorder="1"/>
    <xf numFmtId="44" fontId="0" fillId="0" borderId="0" xfId="0" applyNumberFormat="1"/>
    <xf numFmtId="0" fontId="0" fillId="0" borderId="9" xfId="0" applyBorder="1" applyAlignment="1">
      <alignment horizontal="center" vertical="center"/>
    </xf>
    <xf numFmtId="0" fontId="9" fillId="0" borderId="0" xfId="2" applyFont="1"/>
    <xf numFmtId="0" fontId="9" fillId="0" borderId="8" xfId="2" applyFont="1" applyBorder="1" applyAlignment="1">
      <alignment horizontal="center" vertical="center"/>
    </xf>
    <xf numFmtId="0" fontId="9" fillId="0" borderId="9" xfId="2" applyFont="1" applyBorder="1" applyAlignment="1">
      <alignment horizontal="center" vertical="center"/>
    </xf>
    <xf numFmtId="0" fontId="9" fillId="0" borderId="10" xfId="2" applyFont="1" applyBorder="1" applyAlignment="1">
      <alignment horizontal="center" vertical="center"/>
    </xf>
    <xf numFmtId="164" fontId="9" fillId="0" borderId="13" xfId="2" applyNumberFormat="1" applyFont="1" applyBorder="1" applyAlignment="1">
      <alignment horizontal="center" vertical="center"/>
    </xf>
    <xf numFmtId="0" fontId="9" fillId="0" borderId="14" xfId="2" applyFont="1" applyBorder="1" applyAlignment="1" applyProtection="1">
      <alignment horizontal="left" vertical="center"/>
      <protection locked="0"/>
    </xf>
    <xf numFmtId="0" fontId="9" fillId="5" borderId="3" xfId="2" applyFont="1" applyFill="1" applyBorder="1" applyAlignment="1" applyProtection="1">
      <alignment horizontal="center" vertical="center"/>
      <protection locked="0"/>
    </xf>
    <xf numFmtId="0" fontId="9" fillId="5" borderId="3" xfId="2" applyFont="1" applyFill="1" applyBorder="1" applyAlignment="1">
      <alignment horizontal="center" vertical="center"/>
    </xf>
    <xf numFmtId="0" fontId="9" fillId="5" borderId="20" xfId="2" applyFont="1" applyFill="1" applyBorder="1" applyAlignment="1" applyProtection="1">
      <alignment horizontal="center" vertical="center"/>
      <protection locked="0"/>
    </xf>
    <xf numFmtId="0" fontId="0" fillId="0" borderId="8" xfId="0" applyBorder="1"/>
    <xf numFmtId="0" fontId="0" fillId="0" borderId="7" xfId="0" applyBorder="1"/>
    <xf numFmtId="44" fontId="0" fillId="0" borderId="0" xfId="3" applyFont="1" applyFill="1" applyBorder="1"/>
    <xf numFmtId="44" fontId="0" fillId="0" borderId="13" xfId="0" applyNumberFormat="1" applyBorder="1"/>
    <xf numFmtId="0" fontId="0" fillId="0" borderId="11" xfId="0" applyBorder="1"/>
    <xf numFmtId="44" fontId="0" fillId="0" borderId="11" xfId="3" applyFont="1" applyFill="1" applyBorder="1"/>
    <xf numFmtId="0" fontId="9" fillId="0" borderId="15" xfId="2" applyFont="1" applyBorder="1" applyAlignment="1">
      <alignment horizontal="right" vertical="center"/>
    </xf>
    <xf numFmtId="0" fontId="9" fillId="0" borderId="45" xfId="2" applyFont="1" applyBorder="1" applyAlignment="1">
      <alignment horizontal="right" vertical="center"/>
    </xf>
    <xf numFmtId="0" fontId="9" fillId="0" borderId="34" xfId="2" applyFont="1" applyBorder="1" applyAlignment="1">
      <alignment horizontal="center" vertical="center"/>
    </xf>
    <xf numFmtId="0" fontId="9" fillId="5" borderId="17" xfId="2" applyFont="1" applyFill="1" applyBorder="1" applyAlignment="1" applyProtection="1">
      <alignment horizontal="center" vertical="center"/>
      <protection locked="0"/>
    </xf>
    <xf numFmtId="0" fontId="18" fillId="0" borderId="18" xfId="2" applyFont="1" applyBorder="1" applyAlignment="1">
      <alignment horizontal="right" vertical="center"/>
    </xf>
    <xf numFmtId="0" fontId="9" fillId="0" borderId="35" xfId="2" applyFont="1" applyBorder="1" applyAlignment="1">
      <alignment horizontal="right" vertical="center"/>
    </xf>
    <xf numFmtId="0" fontId="19" fillId="0" borderId="15" xfId="0" applyFont="1" applyBorder="1" applyAlignment="1">
      <alignment horizontal="right" vertical="center"/>
    </xf>
    <xf numFmtId="0" fontId="19" fillId="5" borderId="17" xfId="0" applyFont="1" applyFill="1" applyBorder="1" applyAlignment="1">
      <alignment horizontal="center" vertical="center"/>
    </xf>
    <xf numFmtId="0" fontId="9" fillId="5" borderId="36" xfId="2" applyFont="1" applyFill="1" applyBorder="1" applyAlignment="1" applyProtection="1">
      <alignment horizontal="center" vertical="center"/>
      <protection locked="0"/>
    </xf>
    <xf numFmtId="0" fontId="9" fillId="5" borderId="20" xfId="2" applyFont="1" applyFill="1" applyBorder="1" applyAlignment="1">
      <alignment horizontal="center" vertical="center"/>
    </xf>
    <xf numFmtId="44" fontId="0" fillId="0" borderId="14" xfId="0" applyNumberFormat="1" applyBorder="1"/>
    <xf numFmtId="2" fontId="9" fillId="0" borderId="12" xfId="2" applyNumberFormat="1" applyFont="1" applyBorder="1" applyAlignment="1" applyProtection="1">
      <alignment horizontal="right" vertical="center"/>
      <protection locked="0"/>
    </xf>
    <xf numFmtId="0" fontId="9" fillId="6" borderId="3" xfId="2" applyFont="1" applyFill="1" applyBorder="1" applyAlignment="1" applyProtection="1">
      <alignment horizontal="center" vertical="center"/>
      <protection locked="0"/>
    </xf>
    <xf numFmtId="0" fontId="10" fillId="6" borderId="0" xfId="2" applyFont="1" applyFill="1" applyAlignment="1">
      <alignment horizontal="right" vertical="center"/>
    </xf>
    <xf numFmtId="0" fontId="9" fillId="6" borderId="0" xfId="2" applyFont="1" applyFill="1" applyAlignment="1" applyProtection="1">
      <alignment horizontal="center" vertical="center"/>
      <protection locked="0"/>
    </xf>
    <xf numFmtId="164" fontId="9" fillId="6" borderId="0" xfId="2" applyNumberFormat="1" applyFont="1" applyFill="1" applyAlignment="1" applyProtection="1">
      <alignment horizontal="center" vertical="center"/>
      <protection locked="0"/>
    </xf>
    <xf numFmtId="0" fontId="9" fillId="6" borderId="0" xfId="2" applyFont="1" applyFill="1" applyAlignment="1">
      <alignment horizontal="right" vertical="center"/>
    </xf>
    <xf numFmtId="164" fontId="9" fillId="6" borderId="0" xfId="2" applyNumberFormat="1" applyFont="1" applyFill="1" applyAlignment="1">
      <alignment horizontal="center" vertical="center"/>
    </xf>
    <xf numFmtId="164" fontId="9" fillId="0" borderId="7" xfId="2" applyNumberFormat="1" applyFont="1" applyBorder="1" applyAlignment="1">
      <alignment vertical="center"/>
    </xf>
    <xf numFmtId="164" fontId="9" fillId="0" borderId="0" xfId="2" applyNumberFormat="1" applyFont="1" applyAlignment="1">
      <alignment vertical="center"/>
    </xf>
    <xf numFmtId="164" fontId="9" fillId="0" borderId="11" xfId="2" applyNumberFormat="1" applyFont="1" applyBorder="1" applyAlignment="1">
      <alignment vertical="center"/>
    </xf>
    <xf numFmtId="0" fontId="9" fillId="0" borderId="2" xfId="0" applyFont="1" applyBorder="1" applyAlignment="1">
      <alignment horizontal="right"/>
    </xf>
    <xf numFmtId="165" fontId="9" fillId="0" borderId="3" xfId="3" applyNumberFormat="1" applyFont="1" applyBorder="1" applyAlignment="1">
      <alignment horizontal="center"/>
    </xf>
    <xf numFmtId="0" fontId="9" fillId="5" borderId="3" xfId="0" applyFont="1" applyFill="1" applyBorder="1" applyAlignment="1">
      <alignment horizontal="center"/>
    </xf>
    <xf numFmtId="10" fontId="9" fillId="5" borderId="3" xfId="4" applyNumberFormat="1" applyFont="1" applyFill="1" applyBorder="1" applyAlignment="1" applyProtection="1">
      <alignment horizontal="center" vertical="center"/>
      <protection locked="0"/>
    </xf>
    <xf numFmtId="0" fontId="9" fillId="6" borderId="2" xfId="2" applyFont="1" applyFill="1" applyBorder="1" applyAlignment="1">
      <alignment horizontal="right" vertical="center"/>
    </xf>
    <xf numFmtId="0" fontId="20" fillId="0" borderId="0" xfId="0" applyFont="1"/>
    <xf numFmtId="0" fontId="19" fillId="0" borderId="0" xfId="0" applyFont="1"/>
    <xf numFmtId="0" fontId="21" fillId="2" borderId="1" xfId="0" applyFont="1" applyFill="1" applyBorder="1" applyAlignment="1">
      <alignment horizontal="center" vertical="center"/>
    </xf>
    <xf numFmtId="0" fontId="9" fillId="0" borderId="2" xfId="0" applyFont="1" applyBorder="1" applyAlignment="1">
      <alignment horizontal="right" wrapText="1"/>
    </xf>
    <xf numFmtId="165" fontId="9" fillId="5" borderId="3" xfId="3" applyNumberFormat="1" applyFont="1" applyFill="1"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2" fontId="19" fillId="0" borderId="20" xfId="0" applyNumberFormat="1" applyFont="1" applyBorder="1" applyAlignment="1">
      <alignment horizontal="center" vertical="center"/>
    </xf>
    <xf numFmtId="0" fontId="20" fillId="2" borderId="15" xfId="0" applyFont="1" applyFill="1" applyBorder="1" applyAlignment="1">
      <alignment horizontal="center" vertical="center"/>
    </xf>
    <xf numFmtId="0" fontId="20" fillId="2" borderId="17" xfId="0" applyFont="1" applyFill="1" applyBorder="1" applyAlignment="1">
      <alignment horizontal="center" vertical="center"/>
    </xf>
    <xf numFmtId="0" fontId="0" fillId="0" borderId="0" xfId="0" applyAlignment="1">
      <alignment vertical="center" wrapText="1"/>
    </xf>
    <xf numFmtId="0" fontId="20" fillId="2" borderId="15" xfId="0" applyFont="1" applyFill="1" applyBorder="1"/>
    <xf numFmtId="0" fontId="20" fillId="2" borderId="17" xfId="0" applyFont="1" applyFill="1" applyBorder="1"/>
    <xf numFmtId="0" fontId="22" fillId="2" borderId="15" xfId="0" applyFont="1" applyFill="1" applyBorder="1" applyAlignment="1">
      <alignment horizontal="center"/>
    </xf>
    <xf numFmtId="0" fontId="22" fillId="2" borderId="17" xfId="0" applyFont="1" applyFill="1" applyBorder="1" applyAlignment="1">
      <alignment horizontal="center"/>
    </xf>
    <xf numFmtId="0" fontId="21" fillId="5" borderId="18" xfId="0" applyFont="1" applyFill="1" applyBorder="1" applyAlignment="1">
      <alignment horizontal="center"/>
    </xf>
    <xf numFmtId="0" fontId="21" fillId="0" borderId="20" xfId="0" applyFont="1" applyBorder="1" applyAlignment="1">
      <alignment horizontal="center" vertical="center"/>
    </xf>
    <xf numFmtId="0" fontId="22" fillId="2" borderId="15" xfId="0" applyFont="1" applyFill="1" applyBorder="1" applyAlignment="1">
      <alignment horizontal="center" vertical="center"/>
    </xf>
    <xf numFmtId="0" fontId="22" fillId="2" borderId="17" xfId="0" applyFont="1" applyFill="1" applyBorder="1"/>
    <xf numFmtId="0" fontId="21" fillId="5" borderId="18" xfId="0" applyFont="1" applyFill="1" applyBorder="1" applyAlignment="1">
      <alignment horizontal="center" vertical="center"/>
    </xf>
    <xf numFmtId="0" fontId="0" fillId="0" borderId="0" xfId="0" applyAlignment="1">
      <alignment vertical="top"/>
    </xf>
    <xf numFmtId="0" fontId="14" fillId="0" borderId="0" xfId="0" applyFont="1" applyAlignment="1">
      <alignment vertical="top" wrapText="1"/>
    </xf>
    <xf numFmtId="0" fontId="21" fillId="0" borderId="2" xfId="0" applyFont="1" applyBorder="1" applyAlignment="1">
      <alignment horizontal="center" vertical="center"/>
    </xf>
    <xf numFmtId="0" fontId="21" fillId="5" borderId="3" xfId="0" applyFont="1" applyFill="1" applyBorder="1" applyAlignment="1">
      <alignment horizontal="center" vertical="center"/>
    </xf>
    <xf numFmtId="0" fontId="22" fillId="0" borderId="0" xfId="0" applyFont="1"/>
    <xf numFmtId="0" fontId="0" fillId="0" borderId="0" xfId="0" applyAlignment="1" applyProtection="1">
      <alignment horizontal="left"/>
      <protection locked="0"/>
    </xf>
    <xf numFmtId="0" fontId="0" fillId="0" borderId="0" xfId="0" applyProtection="1">
      <protection locked="0"/>
    </xf>
    <xf numFmtId="2" fontId="0" fillId="0" borderId="0" xfId="0" applyNumberFormat="1"/>
    <xf numFmtId="0" fontId="6" fillId="0" borderId="15" xfId="0" applyFont="1" applyBorder="1" applyAlignment="1">
      <alignment horizontal="right" vertical="center"/>
    </xf>
    <xf numFmtId="0" fontId="26" fillId="0" borderId="32" xfId="0" applyFont="1" applyBorder="1" applyAlignment="1" applyProtection="1">
      <alignment horizontal="center" vertical="center"/>
      <protection locked="0"/>
    </xf>
    <xf numFmtId="0" fontId="0" fillId="0" borderId="0" xfId="0" applyAlignment="1" applyProtection="1">
      <alignment horizontal="left" vertical="center"/>
      <protection locked="0"/>
    </xf>
    <xf numFmtId="0" fontId="6" fillId="0" borderId="2" xfId="0" applyFont="1" applyBorder="1" applyAlignment="1">
      <alignment horizontal="right" vertical="center"/>
    </xf>
    <xf numFmtId="0" fontId="26" fillId="0" borderId="30" xfId="0" applyFont="1" applyBorder="1" applyAlignment="1" applyProtection="1">
      <alignment horizontal="center" vertical="center"/>
      <protection locked="0"/>
    </xf>
    <xf numFmtId="164" fontId="6" fillId="5" borderId="3" xfId="0" applyNumberFormat="1" applyFont="1" applyFill="1" applyBorder="1" applyAlignment="1" applyProtection="1">
      <alignment horizontal="center"/>
      <protection locked="0"/>
    </xf>
    <xf numFmtId="165" fontId="0" fillId="0" borderId="0" xfId="0" applyNumberFormat="1" applyAlignment="1" applyProtection="1">
      <alignment horizontal="left" vertical="center"/>
      <protection locked="0"/>
    </xf>
    <xf numFmtId="0" fontId="6" fillId="5" borderId="3" xfId="0" applyFont="1" applyFill="1" applyBorder="1" applyAlignment="1" applyProtection="1">
      <alignment horizontal="center"/>
      <protection locked="0"/>
    </xf>
    <xf numFmtId="0" fontId="6" fillId="0" borderId="3" xfId="0" applyFont="1" applyBorder="1" applyAlignment="1" applyProtection="1">
      <alignment wrapText="1"/>
      <protection locked="0"/>
    </xf>
    <xf numFmtId="0" fontId="26" fillId="0" borderId="0" xfId="0" applyFont="1" applyAlignment="1" applyProtection="1">
      <alignment horizontal="left" vertical="center" wrapText="1"/>
      <protection locked="0"/>
    </xf>
    <xf numFmtId="0" fontId="6" fillId="0" borderId="34" xfId="0" applyFont="1" applyBorder="1" applyAlignment="1" applyProtection="1">
      <alignment wrapText="1"/>
      <protection locked="0"/>
    </xf>
    <xf numFmtId="0" fontId="27" fillId="0" borderId="2" xfId="1" applyFont="1" applyFill="1" applyBorder="1" applyAlignment="1" applyProtection="1">
      <alignment horizontal="right" vertical="center" wrapText="1"/>
    </xf>
    <xf numFmtId="0" fontId="26" fillId="0" borderId="30" xfId="0" applyFont="1" applyBorder="1" applyAlignment="1" applyProtection="1">
      <alignment horizontal="center" vertical="center" wrapText="1"/>
      <protection locked="0"/>
    </xf>
    <xf numFmtId="0" fontId="0" fillId="0" borderId="0" xfId="0" applyAlignment="1" applyProtection="1">
      <alignment horizontal="left" vertical="center" wrapText="1"/>
      <protection locked="0"/>
    </xf>
    <xf numFmtId="0" fontId="26" fillId="0" borderId="31" xfId="0" applyFont="1" applyBorder="1" applyAlignment="1" applyProtection="1">
      <alignment horizontal="center" vertical="center" wrapText="1"/>
      <protection locked="0"/>
    </xf>
    <xf numFmtId="0" fontId="26" fillId="0" borderId="0" xfId="0" applyFont="1" applyAlignment="1">
      <alignment horizontal="left"/>
    </xf>
    <xf numFmtId="0" fontId="26" fillId="0" borderId="0" xfId="0" applyFont="1"/>
    <xf numFmtId="0" fontId="28" fillId="2" borderId="5" xfId="0" applyFont="1" applyFill="1" applyBorder="1" applyAlignment="1">
      <alignment horizontal="center" vertical="center"/>
    </xf>
    <xf numFmtId="0" fontId="28" fillId="2" borderId="6" xfId="0" applyFont="1" applyFill="1" applyBorder="1" applyAlignment="1">
      <alignment horizontal="center" vertical="center"/>
    </xf>
    <xf numFmtId="2" fontId="6" fillId="0" borderId="1" xfId="0" applyNumberFormat="1" applyFont="1" applyBorder="1" applyAlignment="1">
      <alignment horizontal="center" vertical="center" wrapText="1"/>
    </xf>
    <xf numFmtId="0" fontId="30" fillId="0" borderId="0" xfId="0" applyFont="1" applyAlignment="1">
      <alignment vertical="center" wrapText="1"/>
    </xf>
    <xf numFmtId="0" fontId="30" fillId="0" borderId="0" xfId="0" applyFont="1" applyAlignment="1">
      <alignment horizontal="right" vertical="center" wrapText="1"/>
    </xf>
    <xf numFmtId="1" fontId="31" fillId="0" borderId="0" xfId="0" applyNumberFormat="1" applyFont="1" applyAlignment="1">
      <alignment horizontal="center" vertical="center" wrapText="1"/>
    </xf>
    <xf numFmtId="0" fontId="31"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22" fillId="2" borderId="47" xfId="0" applyFont="1" applyFill="1" applyBorder="1" applyAlignment="1">
      <alignment horizontal="center" vertical="center"/>
    </xf>
    <xf numFmtId="0" fontId="22" fillId="2" borderId="17" xfId="0" applyFont="1" applyFill="1" applyBorder="1" applyAlignment="1">
      <alignment horizontal="center" vertical="center"/>
    </xf>
    <xf numFmtId="2" fontId="6" fillId="0" borderId="44"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5" borderId="20" xfId="0" applyFont="1" applyFill="1" applyBorder="1" applyAlignment="1">
      <alignment horizontal="center" vertical="center"/>
    </xf>
    <xf numFmtId="0" fontId="0" fillId="0" borderId="0" xfId="0" applyAlignment="1">
      <alignment horizontal="right"/>
    </xf>
    <xf numFmtId="0" fontId="6" fillId="0" borderId="3" xfId="0" applyFont="1" applyBorder="1" applyAlignment="1">
      <alignment horizontal="center" vertical="center" wrapText="1"/>
    </xf>
    <xf numFmtId="0" fontId="6" fillId="0" borderId="20" xfId="0" applyFont="1" applyBorder="1" applyAlignment="1">
      <alignment horizontal="center" vertical="center" wrapText="1"/>
    </xf>
    <xf numFmtId="1" fontId="31" fillId="0" borderId="33" xfId="0" applyNumberFormat="1" applyFont="1" applyBorder="1" applyAlignment="1">
      <alignment horizontal="center" vertical="center" wrapText="1"/>
    </xf>
    <xf numFmtId="0" fontId="6" fillId="0" borderId="24" xfId="0" applyFont="1" applyBorder="1" applyAlignment="1">
      <alignment horizontal="center" vertical="center" wrapText="1"/>
    </xf>
    <xf numFmtId="1" fontId="31" fillId="0" borderId="6" xfId="0" applyNumberFormat="1" applyFont="1" applyBorder="1" applyAlignment="1">
      <alignment horizontal="center" vertical="center" wrapText="1"/>
    </xf>
    <xf numFmtId="0" fontId="6" fillId="0" borderId="18" xfId="0" applyFont="1" applyBorder="1" applyAlignment="1">
      <alignment horizontal="right" vertical="center" wrapText="1"/>
    </xf>
    <xf numFmtId="0" fontId="16" fillId="0" borderId="2" xfId="0" applyFont="1" applyBorder="1" applyAlignment="1">
      <alignment horizontal="right"/>
    </xf>
    <xf numFmtId="0" fontId="0" fillId="7" borderId="10" xfId="0" applyFill="1" applyBorder="1"/>
    <xf numFmtId="0" fontId="31" fillId="0" borderId="14" xfId="0" applyFont="1" applyBorder="1" applyAlignment="1">
      <alignment horizontal="center" vertical="center" wrapText="1"/>
    </xf>
    <xf numFmtId="2" fontId="6" fillId="0" borderId="37" xfId="0" applyNumberFormat="1" applyFont="1" applyBorder="1" applyAlignment="1">
      <alignment horizontal="center" vertical="center" wrapText="1"/>
    </xf>
    <xf numFmtId="0" fontId="6" fillId="0" borderId="36" xfId="0" applyFont="1" applyBorder="1" applyAlignment="1">
      <alignment horizontal="center" vertical="center" wrapText="1"/>
    </xf>
    <xf numFmtId="2" fontId="34" fillId="0" borderId="44" xfId="0" applyNumberFormat="1" applyFont="1" applyBorder="1" applyAlignment="1">
      <alignment horizontal="center" vertical="center"/>
    </xf>
    <xf numFmtId="2" fontId="34" fillId="0" borderId="37" xfId="0" applyNumberFormat="1" applyFont="1" applyBorder="1" applyAlignment="1">
      <alignment horizontal="center" vertical="center"/>
    </xf>
    <xf numFmtId="2" fontId="34" fillId="0" borderId="1" xfId="0" applyNumberFormat="1" applyFont="1" applyBorder="1" applyAlignment="1">
      <alignment horizontal="center" vertical="center"/>
    </xf>
    <xf numFmtId="0" fontId="9" fillId="5" borderId="36" xfId="0" applyFont="1" applyFill="1" applyBorder="1" applyAlignment="1">
      <alignment horizontal="center" vertical="center"/>
    </xf>
    <xf numFmtId="0" fontId="6" fillId="0" borderId="2" xfId="0" applyFont="1" applyBorder="1" applyAlignment="1" applyProtection="1">
      <alignment horizontal="center" vertical="center" wrapText="1"/>
      <protection locked="0"/>
    </xf>
    <xf numFmtId="0" fontId="6" fillId="0" borderId="1" xfId="0" applyFont="1" applyBorder="1" applyAlignment="1" applyProtection="1">
      <alignment horizontal="center" wrapText="1"/>
      <protection locked="0"/>
    </xf>
    <xf numFmtId="165" fontId="9" fillId="0" borderId="36" xfId="2" applyNumberFormat="1" applyFont="1" applyBorder="1" applyAlignment="1">
      <alignment horizontal="center" vertical="center"/>
    </xf>
    <xf numFmtId="0" fontId="0" fillId="5" borderId="20" xfId="0" applyFill="1" applyBorder="1" applyAlignment="1">
      <alignment horizontal="center" vertical="center"/>
    </xf>
    <xf numFmtId="0" fontId="3" fillId="0" borderId="0" xfId="2" applyAlignment="1">
      <alignment horizontal="center" vertical="center"/>
    </xf>
    <xf numFmtId="0" fontId="13" fillId="0" borderId="0" xfId="2" applyFont="1" applyAlignment="1">
      <alignment vertical="top" wrapText="1"/>
    </xf>
    <xf numFmtId="0" fontId="12" fillId="0" borderId="0" xfId="0" applyFont="1" applyAlignment="1" applyProtection="1">
      <alignment horizontal="left" vertical="center"/>
      <protection locked="0"/>
    </xf>
    <xf numFmtId="0" fontId="12" fillId="0" borderId="0" xfId="2" applyFont="1" applyAlignment="1" applyProtection="1">
      <alignment horizontal="center" vertical="center"/>
      <protection locked="0"/>
    </xf>
    <xf numFmtId="0" fontId="12" fillId="0" borderId="0" xfId="0" applyFont="1" applyProtection="1">
      <protection locked="0"/>
    </xf>
    <xf numFmtId="0" fontId="4" fillId="0" borderId="0" xfId="0" applyFont="1" applyProtection="1">
      <protection locked="0"/>
    </xf>
    <xf numFmtId="0" fontId="0" fillId="0" borderId="0" xfId="0" applyAlignment="1" applyProtection="1">
      <alignment horizontal="center" vertical="center"/>
      <protection locked="0"/>
    </xf>
    <xf numFmtId="0" fontId="0" fillId="0" borderId="0" xfId="0" quotePrefix="1" applyAlignment="1" applyProtection="1">
      <alignment horizontal="center" vertical="center"/>
      <protection locked="0"/>
    </xf>
    <xf numFmtId="0" fontId="3" fillId="0" borderId="0" xfId="2" applyProtection="1">
      <protection locked="0"/>
    </xf>
    <xf numFmtId="0" fontId="13" fillId="0" borderId="0" xfId="2" applyFont="1" applyAlignment="1" applyProtection="1">
      <alignment vertical="top" wrapText="1"/>
      <protection locked="0"/>
    </xf>
    <xf numFmtId="0" fontId="0" fillId="0" borderId="0" xfId="0" applyAlignment="1" applyProtection="1">
      <alignment vertical="top" wrapText="1"/>
      <protection locked="0"/>
    </xf>
    <xf numFmtId="0" fontId="0" fillId="0" borderId="0" xfId="0" applyAlignment="1" applyProtection="1">
      <alignment horizontal="center"/>
      <protection locked="0"/>
    </xf>
    <xf numFmtId="0" fontId="0" fillId="0" borderId="0" xfId="0" applyAlignment="1" applyProtection="1">
      <alignment horizontal="right"/>
      <protection locked="0"/>
    </xf>
    <xf numFmtId="164" fontId="0" fillId="0" borderId="0" xfId="0" applyNumberFormat="1" applyProtection="1">
      <protection locked="0"/>
    </xf>
    <xf numFmtId="164" fontId="0" fillId="0" borderId="0" xfId="0" applyNumberFormat="1" applyAlignment="1" applyProtection="1">
      <alignment horizontal="left"/>
      <protection locked="0"/>
    </xf>
    <xf numFmtId="9" fontId="0" fillId="0" borderId="0" xfId="0" applyNumberFormat="1" applyProtection="1">
      <protection locked="0"/>
    </xf>
    <xf numFmtId="0" fontId="12" fillId="0" borderId="0" xfId="2" applyFont="1" applyAlignment="1">
      <alignment horizontal="center" vertical="center"/>
    </xf>
    <xf numFmtId="0" fontId="12" fillId="0" borderId="0" xfId="0" applyFont="1" applyAlignment="1">
      <alignment horizontal="left" vertical="center"/>
    </xf>
    <xf numFmtId="2" fontId="31" fillId="0" borderId="33" xfId="0" applyNumberFormat="1" applyFont="1" applyBorder="1" applyAlignment="1">
      <alignment horizontal="center" vertical="center" wrapText="1"/>
    </xf>
    <xf numFmtId="0" fontId="31" fillId="0" borderId="33" xfId="0" applyFont="1" applyBorder="1" applyAlignment="1">
      <alignment horizontal="center" vertical="center" wrapText="1"/>
    </xf>
    <xf numFmtId="0" fontId="28" fillId="2" borderId="28" xfId="0" applyFont="1" applyFill="1" applyBorder="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center" vertical="top" wrapText="1"/>
    </xf>
    <xf numFmtId="0" fontId="9" fillId="0" borderId="0" xfId="2" applyFont="1" applyAlignment="1">
      <alignment horizontal="center" vertical="center"/>
    </xf>
    <xf numFmtId="164" fontId="9" fillId="0" borderId="0" xfId="2" applyNumberFormat="1" applyFont="1" applyAlignment="1">
      <alignment horizontal="center" vertical="center"/>
    </xf>
    <xf numFmtId="164" fontId="9" fillId="0" borderId="11" xfId="2" applyNumberFormat="1" applyFont="1" applyBorder="1" applyAlignment="1">
      <alignment horizontal="center" vertical="center"/>
    </xf>
    <xf numFmtId="0" fontId="0" fillId="4" borderId="0" xfId="0" applyFill="1"/>
    <xf numFmtId="0" fontId="0" fillId="4" borderId="0" xfId="0" quotePrefix="1" applyFill="1"/>
    <xf numFmtId="165" fontId="21" fillId="0" borderId="3" xfId="3" applyNumberFormat="1" applyFont="1" applyBorder="1" applyAlignment="1">
      <alignment horizontal="center" vertical="center"/>
    </xf>
    <xf numFmtId="165" fontId="0" fillId="0" borderId="0" xfId="3" applyNumberFormat="1" applyFont="1"/>
    <xf numFmtId="0" fontId="36" fillId="0" borderId="1" xfId="0" applyFont="1" applyBorder="1" applyAlignment="1">
      <alignment horizontal="center" vertical="center" wrapText="1"/>
    </xf>
    <xf numFmtId="0" fontId="36" fillId="0" borderId="1" xfId="0" applyFont="1" applyBorder="1" applyAlignment="1">
      <alignment horizontal="center" vertical="center"/>
    </xf>
    <xf numFmtId="167" fontId="36" fillId="0" borderId="1" xfId="0" applyNumberFormat="1" applyFont="1" applyBorder="1" applyAlignment="1">
      <alignment horizontal="center" vertical="center"/>
    </xf>
    <xf numFmtId="0" fontId="35" fillId="0" borderId="1" xfId="0" applyFont="1" applyBorder="1" applyAlignment="1">
      <alignment horizontal="center" vertical="center" wrapText="1"/>
    </xf>
    <xf numFmtId="0" fontId="35" fillId="0" borderId="1" xfId="0" applyFont="1" applyBorder="1" applyAlignment="1">
      <alignment horizontal="center" vertical="center"/>
    </xf>
    <xf numFmtId="167" fontId="35" fillId="0" borderId="1" xfId="0" applyNumberFormat="1" applyFont="1" applyBorder="1" applyAlignment="1">
      <alignment horizontal="center" vertical="center"/>
    </xf>
    <xf numFmtId="0" fontId="37" fillId="0" borderId="1" xfId="1" applyFont="1" applyFill="1" applyBorder="1" applyAlignment="1">
      <alignment horizontal="center" vertical="center" wrapText="1"/>
    </xf>
    <xf numFmtId="0" fontId="37" fillId="0" borderId="44" xfId="1" applyFont="1" applyFill="1" applyBorder="1" applyAlignment="1">
      <alignment horizontal="center" vertical="center" wrapText="1"/>
    </xf>
    <xf numFmtId="0" fontId="37" fillId="0" borderId="1" xfId="1" applyFont="1" applyBorder="1" applyAlignment="1">
      <alignment horizontal="center" vertical="center" wrapText="1"/>
    </xf>
    <xf numFmtId="0" fontId="37" fillId="0" borderId="1" xfId="1" applyFont="1" applyBorder="1" applyAlignment="1">
      <alignment horizontal="center" vertical="center"/>
    </xf>
    <xf numFmtId="0" fontId="35" fillId="0" borderId="44" xfId="0" applyFont="1" applyBorder="1" applyAlignment="1">
      <alignment horizontal="center" vertical="center"/>
    </xf>
    <xf numFmtId="0" fontId="1" fillId="0" borderId="1" xfId="1" applyBorder="1" applyAlignment="1">
      <alignment horizontal="center" vertical="center" wrapText="1"/>
    </xf>
    <xf numFmtId="0" fontId="38" fillId="0" borderId="1" xfId="0" applyFont="1" applyBorder="1" applyAlignment="1">
      <alignment horizontal="center" vertical="center" wrapText="1"/>
    </xf>
    <xf numFmtId="0" fontId="1" fillId="0" borderId="1" xfId="1" applyBorder="1" applyAlignment="1">
      <alignment horizontal="center" vertical="center"/>
    </xf>
    <xf numFmtId="0" fontId="39" fillId="0" borderId="1" xfId="0" applyFont="1" applyBorder="1" applyAlignment="1">
      <alignment horizontal="center" vertical="center" wrapText="1"/>
    </xf>
    <xf numFmtId="0" fontId="37" fillId="0" borderId="1" xfId="1" applyFont="1" applyFill="1" applyBorder="1" applyAlignment="1">
      <alignment horizontal="center" vertical="center"/>
    </xf>
    <xf numFmtId="167" fontId="35" fillId="0" borderId="44" xfId="0" applyNumberFormat="1" applyFont="1" applyBorder="1" applyAlignment="1">
      <alignment horizontal="center" vertical="center"/>
    </xf>
    <xf numFmtId="168" fontId="35" fillId="0" borderId="44" xfId="0" applyNumberFormat="1" applyFont="1" applyBorder="1" applyAlignment="1">
      <alignment horizontal="center" vertical="center"/>
    </xf>
    <xf numFmtId="0" fontId="40" fillId="0" borderId="8" xfId="0" applyFont="1" applyBorder="1"/>
    <xf numFmtId="0" fontId="40" fillId="0" borderId="9" xfId="0" applyFont="1" applyBorder="1"/>
    <xf numFmtId="0" fontId="40" fillId="0" borderId="10" xfId="0" applyFont="1" applyBorder="1"/>
    <xf numFmtId="10" fontId="0" fillId="0" borderId="7" xfId="4" applyNumberFormat="1" applyFont="1" applyBorder="1"/>
    <xf numFmtId="10" fontId="0" fillId="0" borderId="0" xfId="4" applyNumberFormat="1" applyFont="1" applyBorder="1"/>
    <xf numFmtId="10" fontId="0" fillId="0" borderId="11" xfId="4" applyNumberFormat="1" applyFont="1" applyBorder="1"/>
    <xf numFmtId="0" fontId="40" fillId="0" borderId="48" xfId="0" applyFont="1" applyBorder="1"/>
    <xf numFmtId="10" fontId="0" fillId="0" borderId="12" xfId="4" applyNumberFormat="1" applyFont="1" applyBorder="1"/>
    <xf numFmtId="10" fontId="0" fillId="0" borderId="13" xfId="4" applyNumberFormat="1" applyFont="1" applyBorder="1"/>
    <xf numFmtId="10" fontId="0" fillId="0" borderId="14" xfId="4" applyNumberFormat="1" applyFont="1" applyBorder="1"/>
    <xf numFmtId="10" fontId="0" fillId="0" borderId="7" xfId="4" applyNumberFormat="1" applyFont="1" applyFill="1" applyBorder="1"/>
    <xf numFmtId="10" fontId="0" fillId="0" borderId="0" xfId="4" applyNumberFormat="1" applyFont="1" applyFill="1" applyBorder="1"/>
    <xf numFmtId="10" fontId="0" fillId="0" borderId="11" xfId="4" applyNumberFormat="1" applyFont="1" applyFill="1" applyBorder="1"/>
    <xf numFmtId="0" fontId="40" fillId="0" borderId="29" xfId="0" applyFont="1" applyBorder="1"/>
    <xf numFmtId="0" fontId="0" fillId="0" borderId="57" xfId="0" applyBorder="1"/>
    <xf numFmtId="0" fontId="0" fillId="0" borderId="58" xfId="0" applyBorder="1"/>
    <xf numFmtId="0" fontId="9" fillId="0" borderId="0" xfId="2" applyFont="1" applyAlignment="1">
      <alignment horizontal="center" vertical="center" wrapText="1"/>
    </xf>
    <xf numFmtId="0" fontId="17" fillId="0" borderId="0" xfId="0" applyFont="1"/>
    <xf numFmtId="0" fontId="0" fillId="0" borderId="49" xfId="0" applyBorder="1"/>
    <xf numFmtId="0" fontId="0" fillId="0" borderId="50" xfId="0" applyBorder="1"/>
    <xf numFmtId="44" fontId="0" fillId="0" borderId="0" xfId="3" applyFont="1"/>
    <xf numFmtId="0" fontId="9" fillId="0" borderId="0" xfId="2" applyFont="1" applyAlignment="1">
      <alignment horizontal="right" vertical="center"/>
    </xf>
    <xf numFmtId="0" fontId="9" fillId="0" borderId="4" xfId="2" applyFont="1" applyBorder="1" applyAlignment="1">
      <alignment vertical="center"/>
    </xf>
    <xf numFmtId="0" fontId="0" fillId="0" borderId="11" xfId="4" applyNumberFormat="1" applyFont="1" applyFill="1" applyBorder="1"/>
    <xf numFmtId="0" fontId="15" fillId="0" borderId="0" xfId="0" applyFont="1"/>
    <xf numFmtId="0" fontId="15" fillId="0" borderId="12" xfId="0" applyFont="1" applyBorder="1"/>
    <xf numFmtId="0" fontId="15" fillId="0" borderId="13" xfId="0" applyFont="1" applyBorder="1"/>
    <xf numFmtId="0" fontId="15" fillId="0" borderId="14" xfId="0" applyFont="1" applyBorder="1"/>
    <xf numFmtId="2" fontId="0" fillId="0" borderId="10" xfId="0" applyNumberFormat="1" applyBorder="1"/>
    <xf numFmtId="2" fontId="0" fillId="0" borderId="14" xfId="0" applyNumberFormat="1" applyBorder="1"/>
    <xf numFmtId="0" fontId="0" fillId="0" borderId="48" xfId="0" applyBorder="1"/>
    <xf numFmtId="0" fontId="15" fillId="0" borderId="50" xfId="0" applyFont="1" applyBorder="1"/>
    <xf numFmtId="2" fontId="19" fillId="0" borderId="18" xfId="0" applyNumberFormat="1" applyFont="1" applyBorder="1" applyAlignment="1">
      <alignment horizontal="center" vertical="center"/>
    </xf>
    <xf numFmtId="0" fontId="20" fillId="2" borderId="59" xfId="0" applyFont="1" applyFill="1" applyBorder="1" applyAlignment="1">
      <alignment horizontal="center" vertical="center"/>
    </xf>
    <xf numFmtId="2" fontId="19" fillId="0" borderId="60" xfId="0" applyNumberFormat="1" applyFont="1" applyBorder="1" applyAlignment="1">
      <alignment horizontal="center" vertical="center"/>
    </xf>
    <xf numFmtId="14" fontId="0" fillId="0" borderId="7" xfId="0" applyNumberFormat="1" applyBorder="1"/>
    <xf numFmtId="14" fontId="0" fillId="0" borderId="12" xfId="0" applyNumberFormat="1" applyBorder="1"/>
    <xf numFmtId="0" fontId="0" fillId="0" borderId="61" xfId="0" applyBorder="1"/>
    <xf numFmtId="0" fontId="0" fillId="0" borderId="0" xfId="4" applyNumberFormat="1" applyFont="1" applyFill="1" applyBorder="1"/>
    <xf numFmtId="44" fontId="15" fillId="0" borderId="0" xfId="3" applyFont="1"/>
    <xf numFmtId="44" fontId="40" fillId="0" borderId="13" xfId="0" applyNumberFormat="1" applyFont="1" applyBorder="1"/>
    <xf numFmtId="0" fontId="0" fillId="0" borderId="9" xfId="0" applyBorder="1" applyAlignment="1">
      <alignment vertical="center" wrapText="1"/>
    </xf>
    <xf numFmtId="0" fontId="0" fillId="0" borderId="7" xfId="0" applyBorder="1" applyAlignment="1">
      <alignment vertical="center" wrapText="1"/>
    </xf>
    <xf numFmtId="0" fontId="43" fillId="5" borderId="18" xfId="0" applyFont="1" applyFill="1" applyBorder="1" applyAlignment="1">
      <alignment horizontal="center" vertical="center"/>
    </xf>
    <xf numFmtId="2" fontId="19" fillId="0" borderId="0" xfId="0" applyNumberFormat="1" applyFont="1" applyAlignment="1">
      <alignment horizontal="center" vertical="center"/>
    </xf>
    <xf numFmtId="0" fontId="0" fillId="0" borderId="63" xfId="0" applyBorder="1"/>
    <xf numFmtId="0" fontId="9" fillId="0" borderId="25" xfId="2" applyFont="1" applyBorder="1" applyAlignment="1">
      <alignment horizontal="right" vertical="center"/>
    </xf>
    <xf numFmtId="0" fontId="9" fillId="0" borderId="26" xfId="2" applyFont="1" applyBorder="1" applyAlignment="1">
      <alignment horizontal="right" vertical="center"/>
    </xf>
    <xf numFmtId="0" fontId="9" fillId="5" borderId="6" xfId="2" applyFont="1" applyFill="1" applyBorder="1" applyAlignment="1" applyProtection="1">
      <alignment horizontal="center" vertical="center"/>
      <protection locked="0"/>
    </xf>
    <xf numFmtId="0" fontId="20" fillId="2" borderId="47" xfId="0" applyFont="1" applyFill="1" applyBorder="1" applyAlignment="1">
      <alignment horizontal="center" vertical="center"/>
    </xf>
    <xf numFmtId="0" fontId="9" fillId="5" borderId="17" xfId="3" applyNumberFormat="1" applyFont="1" applyFill="1" applyBorder="1" applyAlignment="1" applyProtection="1">
      <alignment horizontal="center" vertical="center"/>
      <protection locked="0"/>
    </xf>
    <xf numFmtId="0" fontId="0" fillId="0" borderId="1" xfId="0" applyBorder="1"/>
    <xf numFmtId="0" fontId="0" fillId="0" borderId="15" xfId="0" applyBorder="1"/>
    <xf numFmtId="0" fontId="0" fillId="0" borderId="16" xfId="0" applyBorder="1"/>
    <xf numFmtId="0" fontId="0" fillId="0" borderId="17" xfId="0" applyBorder="1"/>
    <xf numFmtId="0" fontId="0" fillId="0" borderId="2" xfId="0" applyBorder="1"/>
    <xf numFmtId="0" fontId="0" fillId="0" borderId="3" xfId="0" applyBorder="1"/>
    <xf numFmtId="0" fontId="0" fillId="0" borderId="18" xfId="0" applyBorder="1"/>
    <xf numFmtId="0" fontId="0" fillId="0" borderId="19" xfId="0" applyBorder="1"/>
    <xf numFmtId="0" fontId="0" fillId="0" borderId="20" xfId="0" applyBorder="1"/>
    <xf numFmtId="0" fontId="0" fillId="0" borderId="0" xfId="3" applyNumberFormat="1" applyFont="1" applyBorder="1"/>
    <xf numFmtId="0" fontId="0" fillId="0" borderId="25" xfId="0" applyBorder="1"/>
    <xf numFmtId="0" fontId="0" fillId="0" borderId="26" xfId="0" applyBorder="1"/>
    <xf numFmtId="0" fontId="0" fillId="0" borderId="27" xfId="0" applyBorder="1"/>
    <xf numFmtId="44" fontId="0" fillId="0" borderId="1" xfId="3" applyFont="1" applyFill="1" applyBorder="1"/>
    <xf numFmtId="44" fontId="0" fillId="0" borderId="15" xfId="3" applyFont="1" applyFill="1" applyBorder="1"/>
    <xf numFmtId="44" fontId="0" fillId="0" borderId="16" xfId="3" applyFont="1" applyFill="1" applyBorder="1"/>
    <xf numFmtId="44" fontId="0" fillId="0" borderId="17" xfId="3" applyFont="1" applyFill="1" applyBorder="1"/>
    <xf numFmtId="44" fontId="0" fillId="0" borderId="2" xfId="3" applyFont="1" applyFill="1" applyBorder="1"/>
    <xf numFmtId="44" fontId="0" fillId="0" borderId="3" xfId="3" applyFont="1" applyFill="1" applyBorder="1"/>
    <xf numFmtId="44" fontId="0" fillId="0" borderId="18" xfId="3" applyFont="1" applyFill="1" applyBorder="1"/>
    <xf numFmtId="44" fontId="0" fillId="0" borderId="19" xfId="3" applyFont="1" applyFill="1" applyBorder="1"/>
    <xf numFmtId="44" fontId="0" fillId="0" borderId="20" xfId="3" applyFont="1" applyFill="1" applyBorder="1"/>
    <xf numFmtId="0" fontId="40" fillId="0" borderId="21" xfId="0" applyFont="1" applyBorder="1"/>
    <xf numFmtId="0" fontId="40" fillId="0" borderId="22" xfId="0" applyFont="1" applyBorder="1"/>
    <xf numFmtId="0" fontId="40" fillId="0" borderId="33" xfId="0" applyFont="1" applyBorder="1"/>
    <xf numFmtId="0" fontId="40" fillId="0" borderId="47" xfId="0" applyFont="1" applyBorder="1"/>
    <xf numFmtId="0" fontId="40" fillId="0" borderId="1" xfId="0" applyFont="1" applyBorder="1"/>
    <xf numFmtId="44" fontId="0" fillId="0" borderId="1" xfId="0" applyNumberFormat="1" applyBorder="1"/>
    <xf numFmtId="0" fontId="40" fillId="0" borderId="2" xfId="0" applyFont="1" applyBorder="1"/>
    <xf numFmtId="0" fontId="40" fillId="0" borderId="3" xfId="0" applyFont="1" applyBorder="1"/>
    <xf numFmtId="44" fontId="0" fillId="0" borderId="2" xfId="0" applyNumberFormat="1" applyBorder="1"/>
    <xf numFmtId="44" fontId="0" fillId="0" borderId="3" xfId="0" applyNumberFormat="1" applyBorder="1"/>
    <xf numFmtId="44" fontId="0" fillId="0" borderId="18" xfId="0" applyNumberFormat="1" applyBorder="1"/>
    <xf numFmtId="44" fontId="0" fillId="0" borderId="19" xfId="0" applyNumberFormat="1" applyBorder="1"/>
    <xf numFmtId="44" fontId="0" fillId="0" borderId="20" xfId="0" applyNumberFormat="1" applyBorder="1"/>
    <xf numFmtId="0" fontId="40" fillId="0" borderId="65" xfId="0" applyFont="1" applyBorder="1"/>
    <xf numFmtId="0" fontId="40" fillId="0" borderId="66" xfId="0" applyFont="1" applyBorder="1"/>
    <xf numFmtId="0" fontId="0" fillId="0" borderId="35" xfId="0" applyBorder="1"/>
    <xf numFmtId="0" fontId="0" fillId="0" borderId="37" xfId="0" applyBorder="1"/>
    <xf numFmtId="0" fontId="0" fillId="0" borderId="36" xfId="0" applyBorder="1"/>
    <xf numFmtId="0" fontId="40" fillId="0" borderId="4" xfId="0" applyFont="1" applyBorder="1"/>
    <xf numFmtId="0" fontId="40" fillId="0" borderId="5" xfId="0" applyFont="1" applyBorder="1"/>
    <xf numFmtId="0" fontId="40" fillId="0" borderId="6" xfId="0" applyFont="1" applyBorder="1"/>
    <xf numFmtId="1" fontId="19" fillId="0" borderId="18" xfId="0" applyNumberFormat="1" applyFont="1" applyBorder="1" applyAlignment="1">
      <alignment horizontal="center" vertical="center"/>
    </xf>
    <xf numFmtId="1" fontId="19" fillId="0" borderId="60" xfId="0" applyNumberFormat="1" applyFont="1" applyBorder="1" applyAlignment="1">
      <alignment horizontal="center" vertical="center"/>
    </xf>
    <xf numFmtId="2" fontId="19" fillId="0" borderId="47" xfId="0" applyNumberFormat="1" applyFont="1" applyBorder="1" applyAlignment="1">
      <alignment horizontal="center" vertical="center"/>
    </xf>
    <xf numFmtId="0" fontId="20" fillId="2" borderId="4" xfId="0" applyFont="1" applyFill="1" applyBorder="1" applyAlignment="1">
      <alignment horizontal="center" vertical="center"/>
    </xf>
    <xf numFmtId="2" fontId="19" fillId="5" borderId="60" xfId="0" applyNumberFormat="1" applyFont="1" applyFill="1" applyBorder="1" applyAlignment="1">
      <alignment horizontal="center" vertical="center"/>
    </xf>
    <xf numFmtId="0" fontId="0" fillId="0" borderId="1" xfId="0" applyBorder="1" applyAlignment="1">
      <alignment horizontal="center" vertical="center" wrapText="1"/>
    </xf>
    <xf numFmtId="0" fontId="0" fillId="0" borderId="67" xfId="0" applyBorder="1"/>
    <xf numFmtId="44" fontId="9" fillId="5" borderId="36" xfId="3" applyFont="1" applyFill="1" applyBorder="1" applyAlignment="1" applyProtection="1">
      <alignment horizontal="center" vertical="center"/>
      <protection locked="0"/>
    </xf>
    <xf numFmtId="0" fontId="23" fillId="0" borderId="0" xfId="0" applyFont="1" applyAlignment="1">
      <alignment horizontal="center" vertical="center" wrapText="1"/>
    </xf>
    <xf numFmtId="0" fontId="0" fillId="0" borderId="11" xfId="4" applyNumberFormat="1" applyFont="1" applyFill="1" applyBorder="1" applyAlignment="1">
      <alignment wrapText="1"/>
    </xf>
    <xf numFmtId="0" fontId="45" fillId="0" borderId="0" xfId="0" applyFont="1"/>
    <xf numFmtId="0" fontId="0" fillId="0" borderId="14" xfId="4" applyNumberFormat="1" applyFont="1" applyFill="1" applyBorder="1"/>
    <xf numFmtId="0" fontId="46" fillId="2" borderId="21" xfId="0" applyFont="1" applyFill="1" applyBorder="1" applyAlignment="1">
      <alignment horizontal="center" vertical="center"/>
    </xf>
    <xf numFmtId="0" fontId="6" fillId="0" borderId="52" xfId="0" applyFont="1" applyBorder="1" applyAlignment="1">
      <alignment horizontal="center" vertical="center"/>
    </xf>
    <xf numFmtId="0" fontId="6" fillId="0" borderId="25" xfId="0" applyFont="1" applyBorder="1" applyAlignment="1">
      <alignment horizontal="center" vertical="center"/>
    </xf>
    <xf numFmtId="0" fontId="6" fillId="5" borderId="2" xfId="0" applyFont="1" applyFill="1" applyBorder="1" applyAlignment="1" applyProtection="1">
      <alignment horizontal="center" wrapText="1"/>
      <protection locked="0"/>
    </xf>
    <xf numFmtId="0" fontId="6" fillId="5" borderId="1" xfId="0" applyFont="1" applyFill="1" applyBorder="1" applyAlignment="1" applyProtection="1">
      <alignment horizontal="center" wrapText="1"/>
      <protection locked="0"/>
    </xf>
    <xf numFmtId="166" fontId="6" fillId="0" borderId="15" xfId="0" applyNumberFormat="1" applyFont="1" applyBorder="1" applyAlignment="1" applyProtection="1">
      <alignment horizontal="center"/>
      <protection locked="0"/>
    </xf>
    <xf numFmtId="166" fontId="6" fillId="0" borderId="16" xfId="0" applyNumberFormat="1" applyFont="1" applyBorder="1" applyAlignment="1" applyProtection="1">
      <alignment horizontal="center"/>
      <protection locked="0"/>
    </xf>
    <xf numFmtId="0" fontId="6" fillId="5" borderId="2" xfId="0" applyFont="1" applyFill="1" applyBorder="1" applyAlignment="1" applyProtection="1">
      <alignment horizontal="center"/>
      <protection locked="0"/>
    </xf>
    <xf numFmtId="0" fontId="6" fillId="5" borderId="1" xfId="0" applyFont="1" applyFill="1" applyBorder="1" applyAlignment="1" applyProtection="1">
      <alignment horizontal="center"/>
      <protection locked="0"/>
    </xf>
    <xf numFmtId="0" fontId="31" fillId="0" borderId="54" xfId="0" applyFont="1" applyBorder="1" applyAlignment="1">
      <alignment horizontal="center" vertical="center" wrapText="1"/>
    </xf>
    <xf numFmtId="0" fontId="31" fillId="0" borderId="28" xfId="0" applyFont="1" applyBorder="1" applyAlignment="1">
      <alignment horizontal="center" vertical="center" wrapText="1"/>
    </xf>
    <xf numFmtId="0" fontId="6" fillId="0" borderId="46" xfId="0" applyFont="1" applyBorder="1" applyAlignment="1">
      <alignment horizontal="center" vertical="center"/>
    </xf>
    <xf numFmtId="0" fontId="6" fillId="0" borderId="51" xfId="0" applyFont="1" applyBorder="1" applyAlignment="1">
      <alignment horizontal="center" vertical="center"/>
    </xf>
    <xf numFmtId="0" fontId="6" fillId="0" borderId="26" xfId="0" applyFont="1" applyBorder="1" applyAlignment="1">
      <alignment horizontal="center" vertical="center"/>
    </xf>
    <xf numFmtId="2" fontId="31" fillId="0" borderId="21" xfId="0" applyNumberFormat="1" applyFont="1" applyBorder="1" applyAlignment="1">
      <alignment horizontal="center" vertical="center" wrapText="1"/>
    </xf>
    <xf numFmtId="2" fontId="31" fillId="0" borderId="33" xfId="0" applyNumberFormat="1" applyFont="1" applyBorder="1" applyAlignment="1">
      <alignment horizontal="center" vertical="center" wrapText="1"/>
    </xf>
    <xf numFmtId="0" fontId="31" fillId="0" borderId="21"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33" xfId="0" applyFont="1" applyBorder="1" applyAlignment="1">
      <alignment horizontal="center" vertical="center" wrapText="1"/>
    </xf>
    <xf numFmtId="0" fontId="28" fillId="2" borderId="54" xfId="0" applyFont="1" applyFill="1" applyBorder="1" applyAlignment="1">
      <alignment horizontal="center" vertical="center"/>
    </xf>
    <xf numFmtId="0" fontId="28" fillId="2" borderId="28" xfId="0" applyFont="1" applyFill="1" applyBorder="1" applyAlignment="1">
      <alignment horizontal="center" vertical="center"/>
    </xf>
    <xf numFmtId="0" fontId="6" fillId="0" borderId="54" xfId="0" applyFont="1" applyBorder="1" applyAlignment="1">
      <alignment horizontal="center" vertical="center" wrapText="1"/>
    </xf>
    <xf numFmtId="0" fontId="6" fillId="0" borderId="28" xfId="0" applyFont="1" applyBorder="1" applyAlignment="1">
      <alignment horizontal="center" vertical="center" wrapText="1"/>
    </xf>
    <xf numFmtId="2" fontId="6" fillId="0" borderId="53" xfId="0" applyNumberFormat="1" applyFont="1" applyBorder="1" applyAlignment="1">
      <alignment horizontal="center" vertical="center" wrapText="1"/>
    </xf>
    <xf numFmtId="2" fontId="6" fillId="0" borderId="27" xfId="0" applyNumberFormat="1" applyFont="1" applyBorder="1" applyAlignment="1">
      <alignment horizontal="center" vertical="center" wrapText="1"/>
    </xf>
    <xf numFmtId="2" fontId="6" fillId="0" borderId="46" xfId="0" applyNumberFormat="1" applyFont="1" applyBorder="1" applyAlignment="1">
      <alignment horizontal="center" vertical="center" wrapText="1"/>
    </xf>
    <xf numFmtId="2" fontId="6" fillId="0" borderId="26" xfId="0" applyNumberFormat="1" applyFont="1" applyBorder="1" applyAlignment="1">
      <alignment horizontal="center" vertical="center" wrapText="1"/>
    </xf>
    <xf numFmtId="2" fontId="6" fillId="0" borderId="62" xfId="0" applyNumberFormat="1" applyFont="1" applyBorder="1" applyAlignment="1">
      <alignment horizontal="center" vertical="center" wrapText="1"/>
    </xf>
    <xf numFmtId="2" fontId="6" fillId="0" borderId="55" xfId="0" applyNumberFormat="1" applyFont="1" applyBorder="1" applyAlignment="1">
      <alignment horizontal="center" vertical="center" wrapText="1"/>
    </xf>
    <xf numFmtId="0" fontId="28" fillId="2" borderId="5" xfId="0" applyFont="1" applyFill="1" applyBorder="1" applyAlignment="1">
      <alignment horizontal="center" vertical="center"/>
    </xf>
    <xf numFmtId="2" fontId="31" fillId="0" borderId="28" xfId="0" applyNumberFormat="1" applyFont="1" applyBorder="1" applyAlignment="1">
      <alignment horizontal="center" vertical="center" wrapText="1"/>
    </xf>
    <xf numFmtId="0" fontId="25" fillId="0" borderId="35" xfId="1" applyFont="1" applyBorder="1" applyAlignment="1">
      <alignment horizontal="center" vertical="center" wrapText="1"/>
    </xf>
    <xf numFmtId="0" fontId="25" fillId="0" borderId="37" xfId="1" applyFont="1" applyBorder="1" applyAlignment="1">
      <alignment horizontal="center" vertical="center" wrapText="1"/>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6" fillId="0" borderId="38" xfId="0" applyFont="1" applyBorder="1" applyAlignment="1" applyProtection="1">
      <alignment horizontal="center" vertical="top" wrapText="1"/>
      <protection locked="0"/>
    </xf>
    <xf numFmtId="0" fontId="6" fillId="0" borderId="31" xfId="0" applyFont="1" applyBorder="1" applyAlignment="1" applyProtection="1">
      <alignment horizontal="center" vertical="top" wrapText="1"/>
      <protection locked="0"/>
    </xf>
    <xf numFmtId="0" fontId="25" fillId="0" borderId="18" xfId="1" applyFont="1" applyBorder="1" applyAlignment="1">
      <alignment horizontal="center" vertical="center" wrapText="1"/>
    </xf>
    <xf numFmtId="0" fontId="25" fillId="0" borderId="27" xfId="1" applyFont="1" applyBorder="1" applyAlignment="1">
      <alignment horizontal="center" vertical="center" wrapText="1"/>
    </xf>
    <xf numFmtId="0" fontId="25" fillId="0" borderId="19" xfId="1" applyFont="1" applyBorder="1" applyAlignment="1">
      <alignment horizontal="center" vertical="center" wrapText="1"/>
    </xf>
    <xf numFmtId="0" fontId="28" fillId="2" borderId="4" xfId="0" applyFont="1" applyFill="1" applyBorder="1" applyAlignment="1">
      <alignment horizontal="center" vertical="center"/>
    </xf>
    <xf numFmtId="0" fontId="5" fillId="2" borderId="5" xfId="0" applyFont="1" applyFill="1" applyBorder="1" applyAlignment="1">
      <alignment horizontal="center" vertical="center"/>
    </xf>
    <xf numFmtId="2" fontId="6" fillId="0" borderId="37" xfId="0" applyNumberFormat="1" applyFont="1" applyBorder="1" applyAlignment="1">
      <alignment horizontal="center" vertical="center" wrapText="1"/>
    </xf>
    <xf numFmtId="0" fontId="28" fillId="2" borderId="8" xfId="0" applyFont="1" applyFill="1" applyBorder="1" applyAlignment="1">
      <alignment horizontal="center" vertical="center"/>
    </xf>
    <xf numFmtId="0" fontId="28" fillId="2" borderId="9" xfId="0" applyFont="1" applyFill="1" applyBorder="1" applyAlignment="1">
      <alignment horizontal="center" vertical="center"/>
    </xf>
    <xf numFmtId="0" fontId="28" fillId="2" borderId="10" xfId="0" applyFont="1" applyFill="1" applyBorder="1" applyAlignment="1">
      <alignment horizontal="center" vertical="center"/>
    </xf>
    <xf numFmtId="0" fontId="25" fillId="0" borderId="15" xfId="1" applyFont="1" applyBorder="1" applyAlignment="1">
      <alignment horizontal="center" vertical="center" wrapText="1"/>
    </xf>
    <xf numFmtId="0" fontId="25" fillId="0" borderId="16" xfId="1" applyFont="1" applyBorder="1" applyAlignment="1">
      <alignment horizontal="center" vertical="center" wrapText="1"/>
    </xf>
    <xf numFmtId="0" fontId="26" fillId="0" borderId="16" xfId="0" applyFont="1" applyBorder="1" applyAlignment="1">
      <alignment horizontal="center" vertical="center"/>
    </xf>
    <xf numFmtId="0" fontId="26" fillId="0" borderId="17" xfId="0" applyFont="1" applyBorder="1" applyAlignment="1">
      <alignment horizontal="center" vertical="center"/>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33" fillId="0" borderId="48" xfId="0" applyFont="1" applyBorder="1" applyAlignment="1">
      <alignment horizontal="left" vertical="top"/>
    </xf>
    <xf numFmtId="0" fontId="33" fillId="0" borderId="50" xfId="0" applyFont="1" applyBorder="1" applyAlignment="1">
      <alignment horizontal="left" vertical="top"/>
    </xf>
    <xf numFmtId="0" fontId="32" fillId="3" borderId="21" xfId="0" applyFont="1" applyFill="1" applyBorder="1" applyAlignment="1">
      <alignment horizontal="center" vertical="center" wrapText="1"/>
    </xf>
    <xf numFmtId="0" fontId="32" fillId="3" borderId="22" xfId="0" applyFont="1" applyFill="1" applyBorder="1" applyAlignment="1">
      <alignment horizontal="center" vertical="center" wrapText="1"/>
    </xf>
    <xf numFmtId="0" fontId="32" fillId="3" borderId="28" xfId="0" applyFont="1" applyFill="1" applyBorder="1" applyAlignment="1">
      <alignment horizontal="center" vertical="center" wrapText="1"/>
    </xf>
    <xf numFmtId="0" fontId="28" fillId="2" borderId="21" xfId="0" applyFont="1" applyFill="1" applyBorder="1" applyAlignment="1">
      <alignment horizontal="center" vertical="center"/>
    </xf>
    <xf numFmtId="0" fontId="28" fillId="2" borderId="22" xfId="0" applyFont="1" applyFill="1" applyBorder="1" applyAlignment="1">
      <alignment horizontal="center" vertical="center"/>
    </xf>
    <xf numFmtId="0" fontId="25" fillId="0" borderId="55" xfId="1" applyFont="1" applyBorder="1" applyAlignment="1">
      <alignment horizontal="center" vertical="center" wrapText="1"/>
    </xf>
    <xf numFmtId="0" fontId="25" fillId="0" borderId="2" xfId="1" applyFont="1" applyBorder="1" applyAlignment="1">
      <alignment horizontal="center" vertical="center" wrapText="1"/>
    </xf>
    <xf numFmtId="0" fontId="25" fillId="0" borderId="26" xfId="1" applyFont="1" applyBorder="1" applyAlignment="1">
      <alignment horizontal="center" vertical="center" wrapText="1"/>
    </xf>
    <xf numFmtId="0" fontId="25" fillId="0" borderId="1" xfId="1" applyFont="1" applyBorder="1" applyAlignment="1">
      <alignment horizontal="center" vertical="center" wrapText="1"/>
    </xf>
    <xf numFmtId="0" fontId="6" fillId="0" borderId="8" xfId="0" applyFont="1" applyBorder="1" applyAlignment="1" applyProtection="1">
      <alignment horizontal="center" vertical="top"/>
      <protection locked="0"/>
    </xf>
    <xf numFmtId="0" fontId="6" fillId="0" borderId="9" xfId="0" applyFont="1" applyBorder="1" applyAlignment="1" applyProtection="1">
      <alignment horizontal="center" vertical="top"/>
      <protection locked="0"/>
    </xf>
    <xf numFmtId="0" fontId="6" fillId="0" borderId="10" xfId="0" applyFont="1" applyBorder="1" applyAlignment="1" applyProtection="1">
      <alignment horizontal="center" vertical="top"/>
      <protection locked="0"/>
    </xf>
    <xf numFmtId="0" fontId="6" fillId="0" borderId="12" xfId="0" applyFont="1" applyBorder="1" applyAlignment="1" applyProtection="1">
      <alignment horizontal="center" vertical="top"/>
      <protection locked="0"/>
    </xf>
    <xf numFmtId="0" fontId="6" fillId="0" borderId="13" xfId="0" applyFont="1" applyBorder="1" applyAlignment="1" applyProtection="1">
      <alignment horizontal="center" vertical="top"/>
      <protection locked="0"/>
    </xf>
    <xf numFmtId="0" fontId="6" fillId="0" borderId="14" xfId="0" applyFont="1" applyBorder="1" applyAlignment="1" applyProtection="1">
      <alignment horizontal="center" vertical="top"/>
      <protection locked="0"/>
    </xf>
    <xf numFmtId="0" fontId="2" fillId="0" borderId="0" xfId="0" applyFont="1" applyAlignment="1">
      <alignment horizontal="left"/>
    </xf>
    <xf numFmtId="0" fontId="9" fillId="0" borderId="21" xfId="2" applyFont="1" applyBorder="1" applyAlignment="1">
      <alignment horizontal="center" vertical="center"/>
    </xf>
    <xf numFmtId="0" fontId="9" fillId="0" borderId="22" xfId="2" applyFont="1" applyBorder="1" applyAlignment="1">
      <alignment horizontal="center" vertical="center"/>
    </xf>
    <xf numFmtId="0" fontId="9" fillId="0" borderId="28" xfId="2" applyFont="1" applyBorder="1" applyAlignment="1">
      <alignment horizontal="center" vertical="center"/>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33" xfId="0" applyFont="1" applyFill="1" applyBorder="1" applyAlignment="1">
      <alignment horizontal="center" vertical="center"/>
    </xf>
    <xf numFmtId="0" fontId="9" fillId="0" borderId="68" xfId="2" applyFont="1" applyBorder="1" applyAlignment="1">
      <alignment horizontal="center" vertical="center"/>
    </xf>
    <xf numFmtId="0" fontId="9" fillId="0" borderId="69" xfId="2" applyFont="1" applyBorder="1" applyAlignment="1">
      <alignment horizontal="center" vertical="center"/>
    </xf>
    <xf numFmtId="0" fontId="9" fillId="0" borderId="55" xfId="2" applyFont="1" applyBorder="1" applyAlignment="1">
      <alignment horizontal="center" vertical="center"/>
    </xf>
    <xf numFmtId="0" fontId="41" fillId="0" borderId="8" xfId="2" applyFont="1" applyBorder="1" applyAlignment="1">
      <alignment horizontal="center" vertical="center"/>
    </xf>
    <xf numFmtId="0" fontId="41" fillId="0" borderId="10" xfId="2" applyFont="1" applyBorder="1" applyAlignment="1">
      <alignment horizontal="center" vertical="center"/>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44" fontId="21" fillId="0" borderId="21" xfId="0" applyNumberFormat="1" applyFont="1" applyBorder="1" applyAlignment="1">
      <alignment horizontal="center" vertical="center"/>
    </xf>
    <xf numFmtId="0" fontId="21" fillId="0" borderId="33" xfId="0" applyFont="1" applyBorder="1" applyAlignment="1">
      <alignment horizontal="center" vertical="center"/>
    </xf>
    <xf numFmtId="0" fontId="9" fillId="0" borderId="64" xfId="2" applyFont="1" applyBorder="1" applyAlignment="1">
      <alignment horizontal="center" vertical="center"/>
    </xf>
    <xf numFmtId="0" fontId="9" fillId="0" borderId="32" xfId="2" applyFont="1" applyBorder="1" applyAlignment="1">
      <alignment horizontal="center" vertical="center"/>
    </xf>
    <xf numFmtId="0" fontId="9" fillId="0" borderId="25" xfId="2" applyFont="1" applyBorder="1" applyAlignment="1">
      <alignment horizontal="center" vertical="center"/>
    </xf>
    <xf numFmtId="2" fontId="21" fillId="0" borderId="21" xfId="0" applyNumberFormat="1" applyFont="1" applyBorder="1" applyAlignment="1">
      <alignment horizontal="center" vertical="center"/>
    </xf>
    <xf numFmtId="2" fontId="21" fillId="0" borderId="33" xfId="0" applyNumberFormat="1" applyFont="1" applyBorder="1" applyAlignment="1">
      <alignment horizontal="center" vertical="center"/>
    </xf>
    <xf numFmtId="0" fontId="47" fillId="5" borderId="54" xfId="0" applyFont="1" applyFill="1" applyBorder="1" applyAlignment="1" applyProtection="1">
      <alignment horizontal="center" vertical="center"/>
      <protection locked="0"/>
    </xf>
    <xf numFmtId="0" fontId="47" fillId="5" borderId="33" xfId="0" applyFont="1" applyFill="1" applyBorder="1" applyAlignment="1" applyProtection="1">
      <alignment horizontal="center" vertical="center"/>
      <protection locked="0"/>
    </xf>
    <xf numFmtId="0" fontId="11" fillId="2" borderId="8" xfId="0" applyFont="1" applyFill="1" applyBorder="1" applyAlignment="1">
      <alignment horizontal="center" vertical="center"/>
    </xf>
    <xf numFmtId="0" fontId="9" fillId="5" borderId="9" xfId="2" applyFont="1" applyFill="1" applyBorder="1" applyAlignment="1" applyProtection="1">
      <alignment horizontal="center" vertical="center"/>
      <protection locked="0"/>
    </xf>
    <xf numFmtId="0" fontId="9" fillId="5" borderId="22" xfId="2" applyFont="1" applyFill="1" applyBorder="1" applyAlignment="1" applyProtection="1">
      <alignment horizontal="center" vertical="center"/>
      <protection locked="0"/>
    </xf>
    <xf numFmtId="0" fontId="9" fillId="5" borderId="33" xfId="2" applyFont="1" applyFill="1" applyBorder="1" applyAlignment="1" applyProtection="1">
      <alignment horizontal="center" vertical="center"/>
      <protection locked="0"/>
    </xf>
    <xf numFmtId="0" fontId="40" fillId="0" borderId="21" xfId="0" applyFont="1" applyBorder="1" applyAlignment="1">
      <alignment horizontal="center"/>
    </xf>
    <xf numFmtId="0" fontId="40" fillId="0" borderId="22" xfId="0" applyFont="1" applyBorder="1" applyAlignment="1">
      <alignment horizontal="center"/>
    </xf>
    <xf numFmtId="0" fontId="40" fillId="0" borderId="33" xfId="0" applyFont="1" applyBorder="1" applyAlignment="1">
      <alignment horizontal="center"/>
    </xf>
    <xf numFmtId="44" fontId="0" fillId="0" borderId="0" xfId="0" applyNumberFormat="1" applyAlignment="1">
      <alignment horizontal="center"/>
    </xf>
    <xf numFmtId="0" fontId="0" fillId="0" borderId="0" xfId="0" applyAlignment="1">
      <alignment horizontal="center"/>
    </xf>
    <xf numFmtId="0" fontId="40" fillId="0" borderId="8" xfId="0" applyFont="1" applyBorder="1" applyAlignment="1">
      <alignment horizontal="center"/>
    </xf>
    <xf numFmtId="0" fontId="40" fillId="0" borderId="9" xfId="0" applyFont="1" applyBorder="1" applyAlignment="1">
      <alignment horizontal="center"/>
    </xf>
    <xf numFmtId="0" fontId="40" fillId="0" borderId="15" xfId="0" applyFont="1" applyBorder="1" applyAlignment="1">
      <alignment horizontal="center"/>
    </xf>
    <xf numFmtId="0" fontId="40" fillId="0" borderId="16" xfId="0" applyFont="1" applyBorder="1" applyAlignment="1">
      <alignment horizontal="center"/>
    </xf>
    <xf numFmtId="0" fontId="40" fillId="0" borderId="17" xfId="0" applyFont="1" applyBorder="1" applyAlignment="1">
      <alignment horizontal="center"/>
    </xf>
    <xf numFmtId="0" fontId="9" fillId="0" borderId="18" xfId="2" applyFont="1" applyBorder="1" applyAlignment="1">
      <alignment horizontal="center" vertical="center"/>
    </xf>
    <xf numFmtId="0" fontId="9" fillId="0" borderId="19" xfId="2" applyFont="1" applyBorder="1" applyAlignment="1">
      <alignment horizontal="center" vertical="center"/>
    </xf>
    <xf numFmtId="0" fontId="9" fillId="0" borderId="2" xfId="2" applyFont="1" applyBorder="1" applyAlignment="1">
      <alignment horizontal="center" vertical="center"/>
    </xf>
    <xf numFmtId="0" fontId="9" fillId="0" borderId="1" xfId="2" applyFont="1" applyBorder="1" applyAlignment="1">
      <alignment horizontal="center" vertical="center"/>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1" fillId="0" borderId="21" xfId="2" applyFont="1" applyBorder="1" applyAlignment="1">
      <alignment horizontal="center" vertical="center"/>
    </xf>
    <xf numFmtId="0" fontId="41" fillId="0" borderId="33" xfId="2" applyFont="1" applyBorder="1" applyAlignment="1">
      <alignment horizontal="center" vertical="center"/>
    </xf>
    <xf numFmtId="0" fontId="9" fillId="5" borderId="1" xfId="2" applyFont="1" applyFill="1" applyBorder="1" applyAlignment="1" applyProtection="1">
      <alignment horizontal="center" vertical="center"/>
      <protection locked="0"/>
    </xf>
    <xf numFmtId="0" fontId="9" fillId="5" borderId="3" xfId="2" applyFont="1" applyFill="1" applyBorder="1" applyAlignment="1" applyProtection="1">
      <alignment horizontal="center" vertical="center"/>
      <protection locked="0"/>
    </xf>
    <xf numFmtId="0" fontId="9" fillId="5" borderId="19" xfId="2" applyFont="1" applyFill="1" applyBorder="1" applyAlignment="1" applyProtection="1">
      <alignment horizontal="center" vertical="center"/>
      <protection locked="0"/>
    </xf>
    <xf numFmtId="0" fontId="9" fillId="5" borderId="20" xfId="2" applyFont="1" applyFill="1" applyBorder="1" applyAlignment="1" applyProtection="1">
      <alignment horizontal="center" vertical="center"/>
      <protection locked="0"/>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9" fillId="5" borderId="16" xfId="2" applyFont="1" applyFill="1" applyBorder="1" applyAlignment="1" applyProtection="1">
      <alignment horizontal="center" vertical="center"/>
      <protection locked="0"/>
    </xf>
    <xf numFmtId="0" fontId="9" fillId="5" borderId="17" xfId="2" applyFont="1" applyFill="1" applyBorder="1" applyAlignment="1" applyProtection="1">
      <alignment horizontal="center" vertical="center"/>
      <protection locked="0"/>
    </xf>
    <xf numFmtId="0" fontId="10" fillId="0" borderId="41" xfId="2" applyFont="1" applyBorder="1" applyAlignment="1">
      <alignment horizontal="center" vertical="center"/>
    </xf>
    <xf numFmtId="0" fontId="10" fillId="0" borderId="26" xfId="2" applyFont="1" applyBorder="1" applyAlignment="1">
      <alignment horizontal="center" vertical="center"/>
    </xf>
    <xf numFmtId="0" fontId="9" fillId="5" borderId="46" xfId="2" applyFont="1" applyFill="1" applyBorder="1" applyAlignment="1" applyProtection="1">
      <alignment horizontal="center" vertical="center"/>
      <protection locked="0"/>
    </xf>
    <xf numFmtId="0" fontId="9" fillId="5" borderId="42" xfId="2" applyFont="1" applyFill="1" applyBorder="1" applyAlignment="1" applyProtection="1">
      <alignment horizontal="center" vertical="center"/>
      <protection locked="0"/>
    </xf>
    <xf numFmtId="0" fontId="9" fillId="5" borderId="21" xfId="2" applyFont="1" applyFill="1" applyBorder="1" applyAlignment="1" applyProtection="1">
      <alignment horizontal="center" vertical="center"/>
      <protection locked="0"/>
    </xf>
    <xf numFmtId="0" fontId="9" fillId="0" borderId="15" xfId="2" applyFont="1" applyBorder="1" applyAlignment="1">
      <alignment horizontal="center" vertical="center"/>
    </xf>
    <xf numFmtId="0" fontId="9" fillId="0" borderId="16" xfId="2"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7" xfId="0" applyFont="1" applyBorder="1" applyAlignment="1">
      <alignment horizontal="center" vertical="center"/>
    </xf>
    <xf numFmtId="0" fontId="23" fillId="0" borderId="0" xfId="0" applyFont="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19" fillId="6" borderId="7" xfId="0" applyFont="1" applyFill="1" applyBorder="1" applyAlignment="1">
      <alignment horizontal="center" vertical="center" wrapText="1"/>
    </xf>
    <xf numFmtId="0" fontId="19" fillId="6" borderId="0" xfId="0" applyFont="1" applyFill="1" applyAlignment="1">
      <alignment horizontal="center" vertical="center" wrapText="1"/>
    </xf>
    <xf numFmtId="0" fontId="9" fillId="0" borderId="7" xfId="2" applyFont="1" applyBorder="1" applyAlignment="1">
      <alignment horizontal="center" vertical="center"/>
    </xf>
    <xf numFmtId="0" fontId="9" fillId="0" borderId="0" xfId="2" applyFont="1" applyAlignment="1">
      <alignment horizontal="center" vertical="center"/>
    </xf>
    <xf numFmtId="0" fontId="9" fillId="0" borderId="11" xfId="2" applyFont="1" applyBorder="1" applyAlignment="1">
      <alignment horizontal="center" vertical="center"/>
    </xf>
    <xf numFmtId="0" fontId="11" fillId="2" borderId="23" xfId="0" applyFont="1" applyFill="1" applyBorder="1" applyAlignment="1">
      <alignment horizontal="center" vertical="center"/>
    </xf>
    <xf numFmtId="0" fontId="11" fillId="2" borderId="10" xfId="0" applyFont="1" applyFill="1" applyBorder="1" applyAlignment="1">
      <alignment horizontal="center" vertical="center"/>
    </xf>
    <xf numFmtId="164" fontId="9" fillId="0" borderId="7" xfId="2" applyNumberFormat="1" applyFont="1" applyBorder="1" applyAlignment="1">
      <alignment horizontal="center" vertical="center"/>
    </xf>
    <xf numFmtId="164" fontId="9" fillId="0" borderId="0" xfId="2" applyNumberFormat="1" applyFont="1" applyAlignment="1">
      <alignment horizontal="center" vertical="center"/>
    </xf>
    <xf numFmtId="164" fontId="9" fillId="0" borderId="11" xfId="2" applyNumberFormat="1" applyFont="1" applyBorder="1" applyAlignment="1">
      <alignment horizontal="center" vertical="center"/>
    </xf>
    <xf numFmtId="0" fontId="11" fillId="2" borderId="38" xfId="0" applyFont="1" applyFill="1" applyBorder="1" applyAlignment="1">
      <alignment horizontal="center" vertical="center"/>
    </xf>
    <xf numFmtId="0" fontId="11" fillId="2" borderId="43" xfId="0" applyFont="1" applyFill="1" applyBorder="1" applyAlignment="1">
      <alignment horizontal="center" vertical="center"/>
    </xf>
    <xf numFmtId="0" fontId="9" fillId="0" borderId="8" xfId="2" applyFont="1" applyBorder="1" applyAlignment="1" applyProtection="1">
      <alignment horizontal="center" vertical="center"/>
      <protection locked="0"/>
    </xf>
    <xf numFmtId="0" fontId="9" fillId="0" borderId="9" xfId="2" applyFont="1" applyBorder="1" applyAlignment="1" applyProtection="1">
      <alignment horizontal="center" vertical="center"/>
      <protection locked="0"/>
    </xf>
    <xf numFmtId="0" fontId="9" fillId="0" borderId="10" xfId="2" applyFont="1" applyBorder="1" applyAlignment="1" applyProtection="1">
      <alignment horizontal="center" vertical="center"/>
      <protection locked="0"/>
    </xf>
    <xf numFmtId="0" fontId="9" fillId="0" borderId="0" xfId="2" applyFont="1" applyAlignment="1">
      <alignment horizontal="center" vertical="center" wrapText="1"/>
    </xf>
    <xf numFmtId="0" fontId="19" fillId="6" borderId="0" xfId="0" applyFont="1" applyFill="1" applyAlignment="1">
      <alignment horizontal="center" vertical="center"/>
    </xf>
    <xf numFmtId="0" fontId="42" fillId="0" borderId="41" xfId="2" applyFont="1" applyBorder="1" applyAlignment="1">
      <alignment horizontal="center" vertical="center"/>
    </xf>
    <xf numFmtId="0" fontId="42" fillId="0" borderId="42" xfId="2" applyFont="1" applyBorder="1" applyAlignment="1">
      <alignment horizontal="center" vertical="center"/>
    </xf>
    <xf numFmtId="0" fontId="42" fillId="6" borderId="41" xfId="2" applyFont="1" applyFill="1" applyBorder="1" applyAlignment="1">
      <alignment horizontal="center" vertical="center"/>
    </xf>
    <xf numFmtId="0" fontId="42" fillId="6" borderId="42" xfId="2" applyFont="1" applyFill="1" applyBorder="1" applyAlignment="1">
      <alignment horizontal="center" vertical="center"/>
    </xf>
    <xf numFmtId="2" fontId="9" fillId="0" borderId="7" xfId="2" applyNumberFormat="1" applyFont="1" applyBorder="1" applyAlignment="1">
      <alignment horizontal="center" vertical="center"/>
    </xf>
    <xf numFmtId="2" fontId="9" fillId="0" borderId="0" xfId="2" applyNumberFormat="1" applyFont="1" applyAlignment="1">
      <alignment horizontal="center" vertical="center"/>
    </xf>
    <xf numFmtId="2" fontId="9" fillId="0" borderId="11" xfId="2" applyNumberFormat="1" applyFont="1" applyBorder="1" applyAlignment="1">
      <alignment horizontal="center" vertical="center"/>
    </xf>
    <xf numFmtId="0" fontId="35" fillId="0" borderId="44"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56" xfId="0" applyFont="1" applyBorder="1" applyAlignment="1">
      <alignment horizontal="center" vertical="center" wrapText="1"/>
    </xf>
    <xf numFmtId="0" fontId="37" fillId="0" borderId="44" xfId="1" applyFont="1" applyFill="1" applyBorder="1" applyAlignment="1">
      <alignment horizontal="center" vertical="center" wrapText="1"/>
    </xf>
    <xf numFmtId="0" fontId="37" fillId="0" borderId="56" xfId="1" applyFont="1" applyFill="1" applyBorder="1" applyAlignment="1">
      <alignment horizontal="center" vertical="center" wrapText="1"/>
    </xf>
    <xf numFmtId="0" fontId="37" fillId="0" borderId="37" xfId="1" applyFont="1" applyFill="1" applyBorder="1" applyAlignment="1">
      <alignment horizontal="center" vertical="center" wrapText="1"/>
    </xf>
    <xf numFmtId="0" fontId="35" fillId="0" borderId="1" xfId="0" applyFont="1" applyBorder="1" applyAlignment="1">
      <alignment horizontal="center" vertical="center" wrapText="1"/>
    </xf>
    <xf numFmtId="0" fontId="35" fillId="0" borderId="44" xfId="0" applyFont="1" applyBorder="1" applyAlignment="1">
      <alignment horizontal="center" vertical="center"/>
    </xf>
    <xf numFmtId="0" fontId="35" fillId="0" borderId="37" xfId="0" applyFont="1" applyBorder="1" applyAlignment="1">
      <alignment horizontal="center" vertical="center"/>
    </xf>
    <xf numFmtId="0" fontId="35" fillId="0" borderId="1" xfId="0" applyFont="1" applyBorder="1" applyAlignment="1">
      <alignment horizontal="center" vertical="center"/>
    </xf>
    <xf numFmtId="167" fontId="35" fillId="0" borderId="1" xfId="0" applyNumberFormat="1" applyFont="1" applyBorder="1" applyAlignment="1">
      <alignment horizontal="center" vertical="center"/>
    </xf>
    <xf numFmtId="0" fontId="22" fillId="2" borderId="1" xfId="0" applyFont="1" applyFill="1" applyBorder="1" applyAlignment="1">
      <alignment horizontal="center" vertical="center"/>
    </xf>
    <xf numFmtId="0" fontId="1" fillId="0" borderId="41" xfId="1" applyFill="1" applyBorder="1" applyAlignment="1">
      <alignment horizontal="center" vertical="center"/>
    </xf>
    <xf numFmtId="0" fontId="1" fillId="0" borderId="42" xfId="1" applyFill="1" applyBorder="1" applyAlignment="1">
      <alignment horizontal="center" vertical="center"/>
    </xf>
    <xf numFmtId="0" fontId="14" fillId="0" borderId="41" xfId="1" applyFont="1" applyFill="1" applyBorder="1" applyAlignment="1">
      <alignment horizontal="center"/>
    </xf>
    <xf numFmtId="0" fontId="14" fillId="0" borderId="42" xfId="1" applyFont="1" applyFill="1" applyBorder="1" applyAlignment="1">
      <alignment horizontal="center"/>
    </xf>
    <xf numFmtId="0" fontId="16" fillId="0" borderId="0" xfId="0" applyFont="1" applyAlignment="1">
      <alignment horizontal="center" vertical="center"/>
    </xf>
    <xf numFmtId="0" fontId="22" fillId="2" borderId="46" xfId="0" applyFont="1" applyFill="1" applyBorder="1" applyAlignment="1">
      <alignment horizontal="center" vertical="center"/>
    </xf>
    <xf numFmtId="0" fontId="22" fillId="2" borderId="26" xfId="0" applyFont="1" applyFill="1" applyBorder="1" applyAlignment="1">
      <alignment horizontal="center" vertical="center"/>
    </xf>
    <xf numFmtId="0" fontId="22" fillId="2" borderId="8" xfId="0" applyFont="1" applyFill="1" applyBorder="1" applyAlignment="1">
      <alignment horizontal="center"/>
    </xf>
    <xf numFmtId="0" fontId="22" fillId="2" borderId="10" xfId="0" applyFont="1" applyFill="1" applyBorder="1" applyAlignment="1">
      <alignment horizontal="center"/>
    </xf>
    <xf numFmtId="0" fontId="24" fillId="0" borderId="2" xfId="1" applyFont="1" applyBorder="1" applyAlignment="1">
      <alignment horizontal="center" vertical="center"/>
    </xf>
    <xf numFmtId="0" fontId="24" fillId="0" borderId="3" xfId="1" applyFont="1" applyBorder="1" applyAlignment="1">
      <alignment horizontal="center" vertical="center"/>
    </xf>
    <xf numFmtId="2" fontId="21" fillId="0" borderId="48" xfId="0" applyNumberFormat="1" applyFont="1" applyBorder="1" applyAlignment="1">
      <alignment horizontal="center" vertical="center"/>
    </xf>
    <xf numFmtId="2" fontId="21" fillId="0" borderId="49" xfId="0" applyNumberFormat="1" applyFont="1" applyBorder="1" applyAlignment="1">
      <alignment horizontal="center" vertical="center"/>
    </xf>
    <xf numFmtId="2" fontId="21" fillId="0" borderId="50" xfId="0" applyNumberFormat="1" applyFont="1" applyBorder="1" applyAlignment="1">
      <alignment horizontal="center" vertical="center"/>
    </xf>
    <xf numFmtId="14" fontId="6" fillId="5" borderId="17" xfId="0" applyNumberFormat="1" applyFont="1" applyFill="1" applyBorder="1" applyAlignment="1" applyProtection="1">
      <alignment horizontal="center"/>
      <protection locked="0"/>
    </xf>
  </cellXfs>
  <cellStyles count="5">
    <cellStyle name="Currency" xfId="3" builtinId="4"/>
    <cellStyle name="Hyperlink" xfId="1" builtinId="8"/>
    <cellStyle name="Normal" xfId="0" builtinId="0"/>
    <cellStyle name="Normal 2 2" xfId="2" xr:uid="{00000000-0005-0000-0000-000002000000}"/>
    <cellStyle name="Percent" xfId="4" builtinId="5"/>
  </cellStyles>
  <dxfs count="27">
    <dxf>
      <fill>
        <patternFill>
          <bgColor rgb="FFFFFF00"/>
        </patternFill>
      </fill>
    </dxf>
    <dxf>
      <border>
        <left style="thin">
          <color auto="1"/>
        </left>
        <right style="thin">
          <color auto="1"/>
        </right>
        <top style="thin">
          <color auto="1"/>
        </top>
        <bottom style="thin">
          <color auto="1"/>
        </bottom>
        <vertical/>
        <horizontal/>
      </border>
    </dxf>
    <dxf>
      <fill>
        <patternFill>
          <bgColor rgb="FFFFFF00"/>
        </patternFill>
      </fill>
    </dxf>
    <dxf>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ill>
        <patternFill patternType="solid">
          <bgColor theme="0"/>
        </patternFill>
      </fill>
    </dxf>
    <dxf>
      <fill>
        <patternFill>
          <bgColor rgb="FFFFFF00"/>
        </patternFill>
      </fill>
    </dxf>
    <dxf>
      <border>
        <left style="thin">
          <color auto="1"/>
        </left>
        <right style="thin">
          <color auto="1"/>
        </right>
        <top style="thin">
          <color auto="1"/>
        </top>
        <bottom style="thin">
          <color auto="1"/>
        </bottom>
        <vertical/>
        <horizontal/>
      </border>
    </dxf>
    <dxf>
      <fill>
        <patternFill>
          <bgColor theme="9" tint="0.79998168889431442"/>
        </patternFill>
      </fill>
    </dxf>
    <dxf>
      <fill>
        <patternFill>
          <bgColor theme="1"/>
        </patternFill>
      </fill>
    </dxf>
    <dxf>
      <fill>
        <patternFill>
          <bgColor theme="1"/>
        </patternFill>
      </fill>
    </dxf>
    <dxf>
      <fill>
        <patternFill>
          <bgColor theme="1"/>
        </patternFill>
      </fill>
    </dxf>
    <dxf>
      <fill>
        <patternFill>
          <bgColor theme="1"/>
        </patternFill>
      </fill>
    </dxf>
    <dxf>
      <font>
        <strike val="0"/>
        <color theme="0"/>
      </font>
    </dxf>
    <dxf>
      <font>
        <strike val="0"/>
        <color theme="0"/>
      </font>
    </dxf>
    <dxf>
      <fill>
        <patternFill>
          <bgColor rgb="FFFFFF00"/>
        </patternFill>
      </fill>
    </dxf>
    <dxf>
      <font>
        <strike val="0"/>
        <color auto="1"/>
      </font>
    </dxf>
    <dxf>
      <fill>
        <patternFill>
          <bgColor theme="1"/>
        </patternFill>
      </fill>
    </dxf>
    <dxf>
      <fill>
        <patternFill>
          <bgColor theme="1"/>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theme="1"/>
        </patternFill>
      </fill>
    </dxf>
    <dxf>
      <font>
        <color auto="1"/>
      </font>
    </dxf>
    <dxf>
      <font>
        <color auto="1"/>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Structure" Target="richData/rdrichvaluestructure.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microsoft.com/office/2022/10/relationships/richValueRel" Target="richData/richValueRel.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Factor 1 Point Distribution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v>Line</c:v>
          </c:tx>
          <c:spPr>
            <a:ln w="19050" cap="rnd">
              <a:solidFill>
                <a:schemeClr val="accent1"/>
              </a:solidFill>
              <a:round/>
            </a:ln>
            <a:effectLst/>
          </c:spPr>
          <c:marker>
            <c:symbol val="none"/>
          </c:marker>
          <c:xVal>
            <c:numRef>
              <c:f>'Factor 1 Calculations'!$A$3:$A$58</c:f>
              <c:numCache>
                <c:formatCode>General</c:formatCode>
                <c:ptCount val="56"/>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numCache>
            </c:numRef>
          </c:xVal>
          <c:yVal>
            <c:numRef>
              <c:f>'Factor 1 Calculations'!$B$3:$B$58</c:f>
              <c:numCache>
                <c:formatCode>General</c:formatCode>
                <c:ptCount val="56"/>
                <c:pt idx="0">
                  <c:v>0.73951405082171118</c:v>
                </c:pt>
                <c:pt idx="1">
                  <c:v>1.0900103567349586</c:v>
                </c:pt>
                <c:pt idx="2">
                  <c:v>1.5975563575122202</c:v>
                </c:pt>
                <c:pt idx="3">
                  <c:v>2.3224477551870724</c:v>
                </c:pt>
                <c:pt idx="4">
                  <c:v>3.3376069629950211</c:v>
                </c:pt>
                <c:pt idx="5">
                  <c:v>4.7208145053488701</c:v>
                </c:pt>
                <c:pt idx="6">
                  <c:v>6.5367258040913763</c:v>
                </c:pt>
                <c:pt idx="7">
                  <c:v>8.8077719823425085</c:v>
                </c:pt>
                <c:pt idx="8">
                  <c:v>11.481735215796281</c:v>
                </c:pt>
                <c:pt idx="9">
                  <c:v>14.415296414662626</c:v>
                </c:pt>
                <c:pt idx="10">
                  <c:v>17.394347699907748</c:v>
                </c:pt>
                <c:pt idx="11">
                  <c:v>20.191418357156241</c:v>
                </c:pt>
                <c:pt idx="12">
                  <c:v>22.630785223071921</c:v>
                </c:pt>
                <c:pt idx="13">
                  <c:v>24.624984059304786</c:v>
                </c:pt>
                <c:pt idx="14">
                  <c:v>26.170838811282692</c:v>
                </c:pt>
                <c:pt idx="15">
                  <c:v>27.320482610784303</c:v>
                </c:pt>
                <c:pt idx="16">
                  <c:v>28.149371992477857</c:v>
                </c:pt>
                <c:pt idx="17">
                  <c:v>28.733734702241652</c:v>
                </c:pt>
                <c:pt idx="18">
                  <c:v>29.139218865332463</c:v>
                </c:pt>
                <c:pt idx="19">
                  <c:v>29.417490958626136</c:v>
                </c:pt>
                <c:pt idx="20">
                  <c:v>29.607016876244774</c:v>
                </c:pt>
                <c:pt idx="21">
                  <c:v>29.73543296941072</c:v>
                </c:pt>
                <c:pt idx="22">
                  <c:v>29.822138298116858</c:v>
                </c:pt>
                <c:pt idx="23">
                  <c:v>29.880542245918669</c:v>
                </c:pt>
                <c:pt idx="24">
                  <c:v>29.919819815373913</c:v>
                </c:pt>
              </c:numCache>
            </c:numRef>
          </c:yVal>
          <c:smooth val="1"/>
          <c:extLst>
            <c:ext xmlns:c16="http://schemas.microsoft.com/office/drawing/2014/chart" uri="{C3380CC4-5D6E-409C-BE32-E72D297353CC}">
              <c16:uniqueId val="{00000000-D22D-4902-BAC7-609676F52C9D}"/>
            </c:ext>
          </c:extLst>
        </c:ser>
        <c:ser>
          <c:idx val="1"/>
          <c:order val="1"/>
          <c:tx>
            <c:v>Score</c:v>
          </c:tx>
          <c:spPr>
            <a:ln w="19050" cap="rnd">
              <a:solidFill>
                <a:schemeClr val="accent2"/>
              </a:solidFill>
              <a:round/>
            </a:ln>
            <a:effectLst/>
          </c:spPr>
          <c:marker>
            <c:symbol val="circle"/>
            <c:size val="7"/>
            <c:spPr>
              <a:solidFill>
                <a:schemeClr val="accent2"/>
              </a:solidFill>
              <a:ln w="9525">
                <a:noFill/>
              </a:ln>
              <a:effectLst/>
            </c:spPr>
          </c:marker>
          <c:xVal>
            <c:numRef>
              <c:f>'F1 Crash Severity'!$B$13</c:f>
              <c:numCache>
                <c:formatCode>General</c:formatCode>
                <c:ptCount val="1"/>
                <c:pt idx="0">
                  <c:v>0</c:v>
                </c:pt>
              </c:numCache>
            </c:numRef>
          </c:xVal>
          <c:yVal>
            <c:numRef>
              <c:f>'F1 Crash Severity'!$C$9</c:f>
              <c:numCache>
                <c:formatCode>0.00</c:formatCode>
                <c:ptCount val="1"/>
                <c:pt idx="0">
                  <c:v>0</c:v>
                </c:pt>
              </c:numCache>
            </c:numRef>
          </c:yVal>
          <c:smooth val="1"/>
          <c:extLst>
            <c:ext xmlns:c16="http://schemas.microsoft.com/office/drawing/2014/chart" uri="{C3380CC4-5D6E-409C-BE32-E72D297353CC}">
              <c16:uniqueId val="{00000001-D22D-4902-BAC7-609676F52C9D}"/>
            </c:ext>
          </c:extLst>
        </c:ser>
        <c:dLbls>
          <c:showLegendKey val="0"/>
          <c:showVal val="0"/>
          <c:showCatName val="0"/>
          <c:showSerName val="0"/>
          <c:showPercent val="0"/>
          <c:showBubbleSize val="0"/>
        </c:dLbls>
        <c:axId val="2105743792"/>
        <c:axId val="2105744272"/>
      </c:scatterChart>
      <c:valAx>
        <c:axId val="2105743792"/>
        <c:scaling>
          <c:orientation val="minMax"/>
          <c:max val="1.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Index of Crash Cost (ICC)</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5744272"/>
        <c:crosses val="autoZero"/>
        <c:crossBetween val="midCat"/>
      </c:valAx>
      <c:valAx>
        <c:axId val="21057442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Points Awarded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574379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Factor 2 Point</a:t>
            </a:r>
            <a:r>
              <a:rPr lang="en-US" baseline="0"/>
              <a:t> Distribution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33558564694984"/>
          <c:y val="0.1688421052631579"/>
          <c:w val="0.85953918389959039"/>
          <c:h val="0.61874476216788687"/>
        </c:manualLayout>
      </c:layout>
      <c:scatterChart>
        <c:scatterStyle val="smoothMarker"/>
        <c:varyColors val="0"/>
        <c:ser>
          <c:idx val="0"/>
          <c:order val="0"/>
          <c:tx>
            <c:v>Line</c:v>
          </c:tx>
          <c:spPr>
            <a:ln w="19050" cap="rnd">
              <a:solidFill>
                <a:schemeClr val="accent1"/>
              </a:solidFill>
              <a:round/>
            </a:ln>
            <a:effectLst/>
          </c:spPr>
          <c:marker>
            <c:symbol val="none"/>
          </c:marker>
          <c:xVal>
            <c:numRef>
              <c:f>'Factor 2 Calculations'!$A$13:$A$113</c:f>
              <c:numCache>
                <c:formatCode>General</c:formatCode>
                <c:ptCount val="101"/>
                <c:pt idx="0">
                  <c:v>0</c:v>
                </c:pt>
                <c:pt idx="1">
                  <c:v>5.0000000000000898E-2</c:v>
                </c:pt>
                <c:pt idx="2">
                  <c:v>0.100000000000001</c:v>
                </c:pt>
                <c:pt idx="3">
                  <c:v>0.15000000000000099</c:v>
                </c:pt>
                <c:pt idx="4">
                  <c:v>0.20000000000000101</c:v>
                </c:pt>
                <c:pt idx="5">
                  <c:v>0.250000000000001</c:v>
                </c:pt>
                <c:pt idx="6">
                  <c:v>0.30000000000000099</c:v>
                </c:pt>
                <c:pt idx="7">
                  <c:v>0.35000000000000098</c:v>
                </c:pt>
                <c:pt idx="8">
                  <c:v>0.40000000000000102</c:v>
                </c:pt>
                <c:pt idx="9">
                  <c:v>0.45</c:v>
                </c:pt>
                <c:pt idx="10">
                  <c:v>0.5</c:v>
                </c:pt>
                <c:pt idx="11">
                  <c:v>0.55000000000000004</c:v>
                </c:pt>
                <c:pt idx="12">
                  <c:v>0.6</c:v>
                </c:pt>
                <c:pt idx="13">
                  <c:v>0.65</c:v>
                </c:pt>
                <c:pt idx="14">
                  <c:v>0.7</c:v>
                </c:pt>
                <c:pt idx="15">
                  <c:v>0.75</c:v>
                </c:pt>
                <c:pt idx="16">
                  <c:v>0.8</c:v>
                </c:pt>
                <c:pt idx="17">
                  <c:v>0.85</c:v>
                </c:pt>
                <c:pt idx="18">
                  <c:v>0.9</c:v>
                </c:pt>
                <c:pt idx="19">
                  <c:v>0.95</c:v>
                </c:pt>
                <c:pt idx="20">
                  <c:v>1</c:v>
                </c:pt>
              </c:numCache>
            </c:numRef>
          </c:xVal>
          <c:yVal>
            <c:numRef>
              <c:f>'Factor 2 Calculations'!$B$13:$B$113</c:f>
              <c:numCache>
                <c:formatCode>General</c:formatCode>
                <c:ptCount val="101"/>
                <c:pt idx="0">
                  <c:v>0</c:v>
                </c:pt>
                <c:pt idx="1">
                  <c:v>4.5116871319062959E-2</c:v>
                </c:pt>
                <c:pt idx="2">
                  <c:v>9.0394841709764806E-2</c:v>
                </c:pt>
                <c:pt idx="3">
                  <c:v>0.18019808007227353</c:v>
                </c:pt>
                <c:pt idx="4">
                  <c:v>0.355655501832563</c:v>
                </c:pt>
                <c:pt idx="5">
                  <c:v>0.68861576733118679</c:v>
                </c:pt>
                <c:pt idx="6">
                  <c:v>1.2868845116471654</c:v>
                </c:pt>
                <c:pt idx="7">
                  <c:v>2.2633817690750342</c:v>
                </c:pt>
                <c:pt idx="8">
                  <c:v>3.6319435444057784</c:v>
                </c:pt>
                <c:pt idx="9">
                  <c:v>5.1904339030159443</c:v>
                </c:pt>
                <c:pt idx="10">
                  <c:v>6.5959517456936689</c:v>
                </c:pt>
                <c:pt idx="11">
                  <c:v>7.6207115565956345</c:v>
                </c:pt>
                <c:pt idx="12">
                  <c:v>8.2578049449581421</c:v>
                </c:pt>
                <c:pt idx="13">
                  <c:v>8.6154733518481557</c:v>
                </c:pt>
                <c:pt idx="14">
                  <c:v>8.8048523881119891</c:v>
                </c:pt>
                <c:pt idx="15">
                  <c:v>8.9020230895438583</c:v>
                </c:pt>
                <c:pt idx="16">
                  <c:v>8.9510779971835213</c:v>
                </c:pt>
                <c:pt idx="17">
                  <c:v>8.9756393907661209</c:v>
                </c:pt>
                <c:pt idx="18">
                  <c:v>8.9878863733159466</c:v>
                </c:pt>
                <c:pt idx="19">
                  <c:v>8.9939804723298202</c:v>
                </c:pt>
                <c:pt idx="20">
                  <c:v>8.9970097842113557</c:v>
                </c:pt>
              </c:numCache>
            </c:numRef>
          </c:yVal>
          <c:smooth val="1"/>
          <c:extLst>
            <c:ext xmlns:c16="http://schemas.microsoft.com/office/drawing/2014/chart" uri="{C3380CC4-5D6E-409C-BE32-E72D297353CC}">
              <c16:uniqueId val="{00000000-E032-4330-A751-A81B0112F37C}"/>
            </c:ext>
          </c:extLst>
        </c:ser>
        <c:ser>
          <c:idx val="1"/>
          <c:order val="1"/>
          <c:tx>
            <c:v>Score</c:v>
          </c:tx>
          <c:spPr>
            <a:ln w="19050" cap="rnd">
              <a:solidFill>
                <a:schemeClr val="accent2"/>
              </a:solidFill>
              <a:round/>
            </a:ln>
            <a:effectLst/>
          </c:spPr>
          <c:marker>
            <c:symbol val="circle"/>
            <c:size val="7"/>
            <c:spPr>
              <a:solidFill>
                <a:schemeClr val="accent2"/>
              </a:solidFill>
              <a:ln w="19050">
                <a:noFill/>
              </a:ln>
              <a:effectLst/>
            </c:spPr>
          </c:marker>
          <c:xVal>
            <c:numRef>
              <c:f>'F2 Crash Frequency'!$B$13</c:f>
              <c:numCache>
                <c:formatCode>General</c:formatCode>
                <c:ptCount val="1"/>
                <c:pt idx="0">
                  <c:v>0</c:v>
                </c:pt>
              </c:numCache>
            </c:numRef>
          </c:xVal>
          <c:yVal>
            <c:numRef>
              <c:f>'F2 Crash Frequency'!$C$9</c:f>
              <c:numCache>
                <c:formatCode>0.00</c:formatCode>
                <c:ptCount val="1"/>
                <c:pt idx="0">
                  <c:v>0</c:v>
                </c:pt>
              </c:numCache>
            </c:numRef>
          </c:yVal>
          <c:smooth val="1"/>
          <c:extLst>
            <c:ext xmlns:c16="http://schemas.microsoft.com/office/drawing/2014/chart" uri="{C3380CC4-5D6E-409C-BE32-E72D297353CC}">
              <c16:uniqueId val="{00000001-E032-4330-A751-A81B0112F37C}"/>
            </c:ext>
          </c:extLst>
        </c:ser>
        <c:dLbls>
          <c:showLegendKey val="0"/>
          <c:showVal val="0"/>
          <c:showCatName val="0"/>
          <c:showSerName val="0"/>
          <c:showPercent val="0"/>
          <c:showBubbleSize val="0"/>
        </c:dLbls>
        <c:axId val="38948640"/>
        <c:axId val="38949600"/>
      </c:scatterChart>
      <c:valAx>
        <c:axId val="38948640"/>
        <c:scaling>
          <c:orientation val="minMax"/>
          <c:max val="0.85000000000000009"/>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Index of Crash Frequency</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49600"/>
        <c:crosses val="autoZero"/>
        <c:crossBetween val="midCat"/>
        <c:majorUnit val="0.2"/>
      </c:valAx>
      <c:valAx>
        <c:axId val="38949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Points Awarded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48640"/>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US"/>
              <a:t>Factor 3 Point Distribution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'Factor 3 Calculations'!$A$48:$A$59</c:f>
              <c:numCache>
                <c:formatCode>General</c:formatCode>
                <c:ptCount val="12"/>
                <c:pt idx="0">
                  <c:v>0</c:v>
                </c:pt>
                <c:pt idx="1">
                  <c:v>0.5</c:v>
                </c:pt>
                <c:pt idx="2">
                  <c:v>1</c:v>
                </c:pt>
                <c:pt idx="3">
                  <c:v>2</c:v>
                </c:pt>
                <c:pt idx="4">
                  <c:v>3</c:v>
                </c:pt>
                <c:pt idx="5">
                  <c:v>4</c:v>
                </c:pt>
                <c:pt idx="6">
                  <c:v>5</c:v>
                </c:pt>
                <c:pt idx="7">
                  <c:v>6</c:v>
                </c:pt>
                <c:pt idx="8">
                  <c:v>7</c:v>
                </c:pt>
                <c:pt idx="9">
                  <c:v>8</c:v>
                </c:pt>
                <c:pt idx="10">
                  <c:v>9</c:v>
                </c:pt>
                <c:pt idx="11">
                  <c:v>10</c:v>
                </c:pt>
              </c:numCache>
            </c:numRef>
          </c:xVal>
          <c:yVal>
            <c:numRef>
              <c:f>'Factor 3 Calculations'!$B$48:$B$59</c:f>
              <c:numCache>
                <c:formatCode>General</c:formatCode>
                <c:ptCount val="12"/>
                <c:pt idx="0">
                  <c:v>0</c:v>
                </c:pt>
                <c:pt idx="1">
                  <c:v>0</c:v>
                </c:pt>
                <c:pt idx="2">
                  <c:v>0</c:v>
                </c:pt>
                <c:pt idx="3">
                  <c:v>5.625</c:v>
                </c:pt>
                <c:pt idx="4">
                  <c:v>11.25</c:v>
                </c:pt>
                <c:pt idx="5">
                  <c:v>16.875</c:v>
                </c:pt>
                <c:pt idx="6">
                  <c:v>22.5</c:v>
                </c:pt>
                <c:pt idx="7">
                  <c:v>28.125</c:v>
                </c:pt>
                <c:pt idx="8">
                  <c:v>33.75</c:v>
                </c:pt>
                <c:pt idx="9">
                  <c:v>39.375</c:v>
                </c:pt>
                <c:pt idx="10">
                  <c:v>45</c:v>
                </c:pt>
                <c:pt idx="11">
                  <c:v>45</c:v>
                </c:pt>
              </c:numCache>
            </c:numRef>
          </c:yVal>
          <c:smooth val="0"/>
          <c:extLst>
            <c:ext xmlns:c16="http://schemas.microsoft.com/office/drawing/2014/chart" uri="{C3380CC4-5D6E-409C-BE32-E72D297353CC}">
              <c16:uniqueId val="{00000000-16DE-4A1B-BE43-0855F9B15E4D}"/>
            </c:ext>
          </c:extLst>
        </c:ser>
        <c:ser>
          <c:idx val="1"/>
          <c:order val="1"/>
          <c:tx>
            <c:v>Score</c:v>
          </c:tx>
          <c:spPr>
            <a:ln w="53975" cap="rnd">
              <a:solidFill>
                <a:schemeClr val="accent2"/>
              </a:solidFill>
              <a:round/>
            </a:ln>
            <a:effectLst/>
          </c:spPr>
          <c:marker>
            <c:symbol val="circle"/>
            <c:size val="7"/>
            <c:spPr>
              <a:solidFill>
                <a:schemeClr val="accent2"/>
              </a:solidFill>
              <a:ln w="76200" cap="sq" cmpd="sng">
                <a:noFill/>
                <a:round/>
              </a:ln>
              <a:effectLst/>
            </c:spPr>
          </c:marker>
          <c:dPt>
            <c:idx val="0"/>
            <c:marker>
              <c:symbol val="circle"/>
              <c:size val="7"/>
              <c:spPr>
                <a:solidFill>
                  <a:schemeClr val="accent2"/>
                </a:solidFill>
                <a:ln w="25400" cap="sq" cmpd="sng">
                  <a:noFill/>
                  <a:round/>
                </a:ln>
                <a:effectLst/>
              </c:spPr>
            </c:marker>
            <c:bubble3D val="0"/>
            <c:extLst>
              <c:ext xmlns:c16="http://schemas.microsoft.com/office/drawing/2014/chart" uri="{C3380CC4-5D6E-409C-BE32-E72D297353CC}">
                <c16:uniqueId val="{00000001-16DE-4A1B-BE43-0855F9B15E4D}"/>
              </c:ext>
            </c:extLst>
          </c:dPt>
          <c:xVal>
            <c:numRef>
              <c:f>'F3 Cost Effectiveness'!$K$23:$M$23</c:f>
              <c:numCache>
                <c:formatCode>0.00</c:formatCode>
                <c:ptCount val="3"/>
                <c:pt idx="0">
                  <c:v>0</c:v>
                </c:pt>
              </c:numCache>
            </c:numRef>
          </c:xVal>
          <c:yVal>
            <c:numRef>
              <c:f>'F3 Cost Effectiveness'!$K$26</c:f>
              <c:numCache>
                <c:formatCode>0.00</c:formatCode>
                <c:ptCount val="1"/>
                <c:pt idx="0">
                  <c:v>0</c:v>
                </c:pt>
              </c:numCache>
            </c:numRef>
          </c:yVal>
          <c:smooth val="0"/>
          <c:extLst>
            <c:ext xmlns:c16="http://schemas.microsoft.com/office/drawing/2014/chart" uri="{C3380CC4-5D6E-409C-BE32-E72D297353CC}">
              <c16:uniqueId val="{00000002-16DE-4A1B-BE43-0855F9B15E4D}"/>
            </c:ext>
          </c:extLst>
        </c:ser>
        <c:dLbls>
          <c:showLegendKey val="0"/>
          <c:showVal val="0"/>
          <c:showCatName val="0"/>
          <c:showSerName val="0"/>
          <c:showPercent val="0"/>
          <c:showBubbleSize val="0"/>
        </c:dLbls>
        <c:axId val="1853589567"/>
        <c:axId val="1875590335"/>
      </c:scatterChart>
      <c:valAx>
        <c:axId val="1853589567"/>
        <c:scaling>
          <c:orientation val="minMax"/>
          <c:max val="10.1"/>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US"/>
                  <a:t>B/C Ratio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875590335"/>
        <c:crosses val="autoZero"/>
        <c:crossBetween val="midCat"/>
      </c:valAx>
      <c:valAx>
        <c:axId val="18755903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US"/>
                  <a:t>Points Awarded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US"/>
          </a:p>
        </c:txPr>
        <c:crossAx val="185358956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Factor</a:t>
            </a:r>
            <a:r>
              <a:rPr lang="en-US" baseline="0"/>
              <a:t> 7 Point Distribution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'Factor 7 Calculations'!$K$4:$K$41</c:f>
              <c:numCache>
                <c:formatCode>"$"#,##0</c:formatCode>
                <c:ptCount val="38"/>
                <c:pt idx="0">
                  <c:v>5000</c:v>
                </c:pt>
                <c:pt idx="1">
                  <c:v>7000</c:v>
                </c:pt>
                <c:pt idx="2">
                  <c:v>9000</c:v>
                </c:pt>
                <c:pt idx="3">
                  <c:v>11000</c:v>
                </c:pt>
                <c:pt idx="4">
                  <c:v>13000</c:v>
                </c:pt>
                <c:pt idx="5">
                  <c:v>15000</c:v>
                </c:pt>
                <c:pt idx="6">
                  <c:v>17000</c:v>
                </c:pt>
                <c:pt idx="7">
                  <c:v>19000</c:v>
                </c:pt>
                <c:pt idx="8">
                  <c:v>21000</c:v>
                </c:pt>
                <c:pt idx="9">
                  <c:v>23000</c:v>
                </c:pt>
                <c:pt idx="10">
                  <c:v>25000</c:v>
                </c:pt>
                <c:pt idx="11">
                  <c:v>27000</c:v>
                </c:pt>
                <c:pt idx="12">
                  <c:v>29000</c:v>
                </c:pt>
                <c:pt idx="13">
                  <c:v>31000</c:v>
                </c:pt>
                <c:pt idx="14">
                  <c:v>33000</c:v>
                </c:pt>
                <c:pt idx="15">
                  <c:v>35000</c:v>
                </c:pt>
                <c:pt idx="16">
                  <c:v>37000</c:v>
                </c:pt>
                <c:pt idx="17">
                  <c:v>39000</c:v>
                </c:pt>
                <c:pt idx="18">
                  <c:v>41000</c:v>
                </c:pt>
                <c:pt idx="19">
                  <c:v>43000</c:v>
                </c:pt>
                <c:pt idx="20">
                  <c:v>45000</c:v>
                </c:pt>
                <c:pt idx="21">
                  <c:v>47000</c:v>
                </c:pt>
                <c:pt idx="22">
                  <c:v>49000</c:v>
                </c:pt>
                <c:pt idx="23">
                  <c:v>51000</c:v>
                </c:pt>
                <c:pt idx="24">
                  <c:v>53000</c:v>
                </c:pt>
                <c:pt idx="25">
                  <c:v>55000</c:v>
                </c:pt>
                <c:pt idx="26">
                  <c:v>57000</c:v>
                </c:pt>
                <c:pt idx="27">
                  <c:v>59000</c:v>
                </c:pt>
                <c:pt idx="28">
                  <c:v>61000</c:v>
                </c:pt>
                <c:pt idx="29">
                  <c:v>63000</c:v>
                </c:pt>
                <c:pt idx="30">
                  <c:v>65000</c:v>
                </c:pt>
                <c:pt idx="31">
                  <c:v>67000</c:v>
                </c:pt>
                <c:pt idx="32">
                  <c:v>69000</c:v>
                </c:pt>
                <c:pt idx="33">
                  <c:v>71000</c:v>
                </c:pt>
                <c:pt idx="34">
                  <c:v>73000</c:v>
                </c:pt>
                <c:pt idx="35">
                  <c:v>80000</c:v>
                </c:pt>
                <c:pt idx="36">
                  <c:v>100000</c:v>
                </c:pt>
                <c:pt idx="37">
                  <c:v>120000</c:v>
                </c:pt>
              </c:numCache>
            </c:numRef>
          </c:xVal>
          <c:yVal>
            <c:numRef>
              <c:f>'Factor 7 Calculations'!$L$4:$L$41</c:f>
              <c:numCache>
                <c:formatCode>General</c:formatCode>
                <c:ptCount val="38"/>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formatCode="0.00">
                  <c:v>4.0000019</c:v>
                </c:pt>
                <c:pt idx="15" formatCode="0.00">
                  <c:v>3.7647079000000003</c:v>
                </c:pt>
                <c:pt idx="16" formatCode="0.00">
                  <c:v>3.5294138999999998</c:v>
                </c:pt>
                <c:pt idx="17" formatCode="0.00">
                  <c:v>3.2941199000000001</c:v>
                </c:pt>
                <c:pt idx="18" formatCode="0.00">
                  <c:v>3.0588259000000004</c:v>
                </c:pt>
                <c:pt idx="19" formatCode="0.00">
                  <c:v>2.8235318999999999</c:v>
                </c:pt>
                <c:pt idx="20" formatCode="0.00">
                  <c:v>2.5882379000000002</c:v>
                </c:pt>
                <c:pt idx="21" formatCode="0.00">
                  <c:v>2.3529439000000005</c:v>
                </c:pt>
                <c:pt idx="22" formatCode="0.00">
                  <c:v>2.1176499</c:v>
                </c:pt>
                <c:pt idx="23" formatCode="0.00">
                  <c:v>1.8823559000000003</c:v>
                </c:pt>
                <c:pt idx="24" formatCode="0.00">
                  <c:v>1.6470619000000006</c:v>
                </c:pt>
                <c:pt idx="25" formatCode="0.00">
                  <c:v>1.4117679000000001</c:v>
                </c:pt>
                <c:pt idx="26" formatCode="0.00">
                  <c:v>1.1764739000000004</c:v>
                </c:pt>
                <c:pt idx="27" formatCode="0.00">
                  <c:v>0.94117989999999985</c:v>
                </c:pt>
                <c:pt idx="28" formatCode="0.00">
                  <c:v>0.70588590000000018</c:v>
                </c:pt>
                <c:pt idx="29" formatCode="0.00">
                  <c:v>0.47059190000000051</c:v>
                </c:pt>
                <c:pt idx="30" formatCode="0.00">
                  <c:v>0.23529789999999995</c:v>
                </c:pt>
                <c:pt idx="31">
                  <c:v>0</c:v>
                </c:pt>
                <c:pt idx="32">
                  <c:v>0</c:v>
                </c:pt>
                <c:pt idx="33">
                  <c:v>0</c:v>
                </c:pt>
                <c:pt idx="34">
                  <c:v>0</c:v>
                </c:pt>
                <c:pt idx="35">
                  <c:v>0</c:v>
                </c:pt>
                <c:pt idx="36">
                  <c:v>0</c:v>
                </c:pt>
                <c:pt idx="37">
                  <c:v>0</c:v>
                </c:pt>
              </c:numCache>
            </c:numRef>
          </c:yVal>
          <c:smooth val="0"/>
          <c:extLst>
            <c:ext xmlns:c16="http://schemas.microsoft.com/office/drawing/2014/chart" uri="{C3380CC4-5D6E-409C-BE32-E72D297353CC}">
              <c16:uniqueId val="{00000000-065F-43E1-96AD-1DD723EDFFE4}"/>
            </c:ext>
          </c:extLst>
        </c:ser>
        <c:ser>
          <c:idx val="1"/>
          <c:order val="1"/>
          <c:tx>
            <c:v>Point</c:v>
          </c:tx>
          <c:spPr>
            <a:ln w="19050" cap="rnd">
              <a:solidFill>
                <a:schemeClr val="accent2"/>
              </a:solidFill>
              <a:round/>
            </a:ln>
            <a:effectLst/>
          </c:spPr>
          <c:marker>
            <c:symbol val="circle"/>
            <c:size val="7"/>
            <c:spPr>
              <a:solidFill>
                <a:schemeClr val="accent2"/>
              </a:solidFill>
              <a:ln w="0">
                <a:solidFill>
                  <a:schemeClr val="accent2"/>
                </a:solidFill>
              </a:ln>
              <a:effectLst/>
            </c:spPr>
          </c:marker>
          <c:xVal>
            <c:numRef>
              <c:f>'Factor 7 Calculations'!$B$4</c:f>
              <c:numCache>
                <c:formatCode>"$"#,##0.00</c:formatCode>
                <c:ptCount val="1"/>
                <c:pt idx="0">
                  <c:v>#N/A</c:v>
                </c:pt>
              </c:numCache>
            </c:numRef>
          </c:xVal>
          <c:yVal>
            <c:numRef>
              <c:f>'F7 Economic Factors'!$D$9:$D$12</c:f>
              <c:numCache>
                <c:formatCode>0.00</c:formatCode>
                <c:ptCount val="4"/>
                <c:pt idx="0">
                  <c:v>0</c:v>
                </c:pt>
              </c:numCache>
            </c:numRef>
          </c:yVal>
          <c:smooth val="0"/>
          <c:extLst>
            <c:ext xmlns:c16="http://schemas.microsoft.com/office/drawing/2014/chart" uri="{C3380CC4-5D6E-409C-BE32-E72D297353CC}">
              <c16:uniqueId val="{00000001-065F-43E1-96AD-1DD723EDFFE4}"/>
            </c:ext>
          </c:extLst>
        </c:ser>
        <c:dLbls>
          <c:showLegendKey val="0"/>
          <c:showVal val="0"/>
          <c:showCatName val="0"/>
          <c:showSerName val="0"/>
          <c:showPercent val="0"/>
          <c:showBubbleSize val="0"/>
        </c:dLbls>
        <c:axId val="11772479"/>
        <c:axId val="11772959"/>
      </c:scatterChart>
      <c:valAx>
        <c:axId val="11772479"/>
        <c:scaling>
          <c:orientation val="minMax"/>
          <c:max val="800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Median</a:t>
                </a:r>
                <a:r>
                  <a:rPr lang="en-US" baseline="0"/>
                  <a:t> Household Income</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72959"/>
        <c:crosses val="autoZero"/>
        <c:crossBetween val="midCat"/>
      </c:valAx>
      <c:valAx>
        <c:axId val="1177295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Points Awarded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72479"/>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xVal>
            <c:numRef>
              <c:f>'Factor 7 Calculations'!$K$4:$K$38</c:f>
              <c:numCache>
                <c:formatCode>"$"#,##0</c:formatCode>
                <c:ptCount val="35"/>
                <c:pt idx="0">
                  <c:v>5000</c:v>
                </c:pt>
                <c:pt idx="1">
                  <c:v>7000</c:v>
                </c:pt>
                <c:pt idx="2">
                  <c:v>9000</c:v>
                </c:pt>
                <c:pt idx="3">
                  <c:v>11000</c:v>
                </c:pt>
                <c:pt idx="4">
                  <c:v>13000</c:v>
                </c:pt>
                <c:pt idx="5">
                  <c:v>15000</c:v>
                </c:pt>
                <c:pt idx="6">
                  <c:v>17000</c:v>
                </c:pt>
                <c:pt idx="7">
                  <c:v>19000</c:v>
                </c:pt>
                <c:pt idx="8">
                  <c:v>21000</c:v>
                </c:pt>
                <c:pt idx="9">
                  <c:v>23000</c:v>
                </c:pt>
                <c:pt idx="10">
                  <c:v>25000</c:v>
                </c:pt>
                <c:pt idx="11">
                  <c:v>27000</c:v>
                </c:pt>
                <c:pt idx="12">
                  <c:v>29000</c:v>
                </c:pt>
                <c:pt idx="13">
                  <c:v>31000</c:v>
                </c:pt>
                <c:pt idx="14">
                  <c:v>33000</c:v>
                </c:pt>
                <c:pt idx="15">
                  <c:v>35000</c:v>
                </c:pt>
                <c:pt idx="16">
                  <c:v>37000</c:v>
                </c:pt>
                <c:pt idx="17">
                  <c:v>39000</c:v>
                </c:pt>
                <c:pt idx="18">
                  <c:v>41000</c:v>
                </c:pt>
                <c:pt idx="19">
                  <c:v>43000</c:v>
                </c:pt>
                <c:pt idx="20">
                  <c:v>45000</c:v>
                </c:pt>
                <c:pt idx="21">
                  <c:v>47000</c:v>
                </c:pt>
                <c:pt idx="22">
                  <c:v>49000</c:v>
                </c:pt>
                <c:pt idx="23">
                  <c:v>51000</c:v>
                </c:pt>
                <c:pt idx="24">
                  <c:v>53000</c:v>
                </c:pt>
                <c:pt idx="25">
                  <c:v>55000</c:v>
                </c:pt>
                <c:pt idx="26">
                  <c:v>57000</c:v>
                </c:pt>
                <c:pt idx="27">
                  <c:v>59000</c:v>
                </c:pt>
                <c:pt idx="28">
                  <c:v>61000</c:v>
                </c:pt>
                <c:pt idx="29">
                  <c:v>63000</c:v>
                </c:pt>
                <c:pt idx="30">
                  <c:v>65000</c:v>
                </c:pt>
                <c:pt idx="31">
                  <c:v>67000</c:v>
                </c:pt>
                <c:pt idx="32">
                  <c:v>69000</c:v>
                </c:pt>
                <c:pt idx="33">
                  <c:v>71000</c:v>
                </c:pt>
                <c:pt idx="34">
                  <c:v>73000</c:v>
                </c:pt>
              </c:numCache>
            </c:numRef>
          </c:xVal>
          <c:yVal>
            <c:numRef>
              <c:f>'Factor 7 Calculations'!$L$4:$L$38</c:f>
              <c:numCache>
                <c:formatCode>General</c:formatCode>
                <c:ptCount val="3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formatCode="0.00">
                  <c:v>4.0000019</c:v>
                </c:pt>
                <c:pt idx="15" formatCode="0.00">
                  <c:v>3.7647079000000003</c:v>
                </c:pt>
                <c:pt idx="16" formatCode="0.00">
                  <c:v>3.5294138999999998</c:v>
                </c:pt>
                <c:pt idx="17" formatCode="0.00">
                  <c:v>3.2941199000000001</c:v>
                </c:pt>
                <c:pt idx="18" formatCode="0.00">
                  <c:v>3.0588259000000004</c:v>
                </c:pt>
                <c:pt idx="19" formatCode="0.00">
                  <c:v>2.8235318999999999</c:v>
                </c:pt>
                <c:pt idx="20" formatCode="0.00">
                  <c:v>2.5882379000000002</c:v>
                </c:pt>
                <c:pt idx="21" formatCode="0.00">
                  <c:v>2.3529439000000005</c:v>
                </c:pt>
                <c:pt idx="22" formatCode="0.00">
                  <c:v>2.1176499</c:v>
                </c:pt>
                <c:pt idx="23" formatCode="0.00">
                  <c:v>1.8823559000000003</c:v>
                </c:pt>
                <c:pt idx="24" formatCode="0.00">
                  <c:v>1.6470619000000006</c:v>
                </c:pt>
                <c:pt idx="25" formatCode="0.00">
                  <c:v>1.4117679000000001</c:v>
                </c:pt>
                <c:pt idx="26" formatCode="0.00">
                  <c:v>1.1764739000000004</c:v>
                </c:pt>
                <c:pt idx="27" formatCode="0.00">
                  <c:v>0.94117989999999985</c:v>
                </c:pt>
                <c:pt idx="28" formatCode="0.00">
                  <c:v>0.70588590000000018</c:v>
                </c:pt>
                <c:pt idx="29" formatCode="0.00">
                  <c:v>0.47059190000000051</c:v>
                </c:pt>
                <c:pt idx="30" formatCode="0.00">
                  <c:v>0.23529789999999995</c:v>
                </c:pt>
                <c:pt idx="31">
                  <c:v>0</c:v>
                </c:pt>
                <c:pt idx="32">
                  <c:v>0</c:v>
                </c:pt>
                <c:pt idx="33">
                  <c:v>0</c:v>
                </c:pt>
                <c:pt idx="34">
                  <c:v>0</c:v>
                </c:pt>
              </c:numCache>
            </c:numRef>
          </c:yVal>
          <c:smooth val="0"/>
          <c:extLst>
            <c:ext xmlns:c16="http://schemas.microsoft.com/office/drawing/2014/chart" uri="{C3380CC4-5D6E-409C-BE32-E72D297353CC}">
              <c16:uniqueId val="{00000000-A353-4E63-8E71-A8C0383C62C1}"/>
            </c:ext>
          </c:extLst>
        </c:ser>
        <c:dLbls>
          <c:showLegendKey val="0"/>
          <c:showVal val="0"/>
          <c:showCatName val="0"/>
          <c:showSerName val="0"/>
          <c:showPercent val="0"/>
          <c:showBubbleSize val="0"/>
        </c:dLbls>
        <c:axId val="1291830608"/>
        <c:axId val="1291828208"/>
      </c:scatterChart>
      <c:valAx>
        <c:axId val="1291830608"/>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1828208"/>
        <c:crosses val="autoZero"/>
        <c:crossBetween val="midCat"/>
      </c:valAx>
      <c:valAx>
        <c:axId val="12918282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1830608"/>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5.emf"/></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352425</xdr:colOff>
      <xdr:row>24</xdr:row>
      <xdr:rowOff>152400</xdr:rowOff>
    </xdr:from>
    <xdr:to>
      <xdr:col>6</xdr:col>
      <xdr:colOff>381000</xdr:colOff>
      <xdr:row>42</xdr:row>
      <xdr:rowOff>85725</xdr:rowOff>
    </xdr:to>
    <xdr:pic>
      <xdr:nvPicPr>
        <xdr:cNvPr id="4" name="Picture 3">
          <a:extLst>
            <a:ext uri="{FF2B5EF4-FFF2-40B4-BE49-F238E27FC236}">
              <a16:creationId xmlns:a16="http://schemas.microsoft.com/office/drawing/2014/main" id="{8C75BEC7-C498-2753-881D-8BEC59143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5229225"/>
          <a:ext cx="8953500" cy="3362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361950</xdr:colOff>
      <xdr:row>42</xdr:row>
      <xdr:rowOff>161925</xdr:rowOff>
    </xdr:from>
    <xdr:to>
      <xdr:col>3</xdr:col>
      <xdr:colOff>2219325</xdr:colOff>
      <xdr:row>54</xdr:row>
      <xdr:rowOff>133350</xdr:rowOff>
    </xdr:to>
    <xdr:pic>
      <xdr:nvPicPr>
        <xdr:cNvPr id="5" name="Picture 4">
          <a:extLst>
            <a:ext uri="{FF2B5EF4-FFF2-40B4-BE49-F238E27FC236}">
              <a16:creationId xmlns:a16="http://schemas.microsoft.com/office/drawing/2014/main" id="{F9AF752C-65AF-863D-178A-EE9FBD377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 y="8667750"/>
          <a:ext cx="5581650" cy="2257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42</xdr:row>
      <xdr:rowOff>4489</xdr:rowOff>
    </xdr:from>
    <xdr:to>
      <xdr:col>8</xdr:col>
      <xdr:colOff>942975</xdr:colOff>
      <xdr:row>44</xdr:row>
      <xdr:rowOff>28575</xdr:rowOff>
    </xdr:to>
    <xdr:pic>
      <xdr:nvPicPr>
        <xdr:cNvPr id="2" name="Picture 1">
          <a:extLst>
            <a:ext uri="{FF2B5EF4-FFF2-40B4-BE49-F238E27FC236}">
              <a16:creationId xmlns:a16="http://schemas.microsoft.com/office/drawing/2014/main" id="{1E072F70-F933-4099-87AA-7C204E1555A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62450" y="8148364"/>
          <a:ext cx="4695825" cy="414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66675</xdr:colOff>
      <xdr:row>42</xdr:row>
      <xdr:rowOff>85725</xdr:rowOff>
    </xdr:from>
    <xdr:to>
      <xdr:col>13</xdr:col>
      <xdr:colOff>228600</xdr:colOff>
      <xdr:row>43</xdr:row>
      <xdr:rowOff>142875</xdr:rowOff>
    </xdr:to>
    <xdr:pic>
      <xdr:nvPicPr>
        <xdr:cNvPr id="3" name="Picture 2">
          <a:extLst>
            <a:ext uri="{FF2B5EF4-FFF2-40B4-BE49-F238E27FC236}">
              <a16:creationId xmlns:a16="http://schemas.microsoft.com/office/drawing/2014/main" id="{90419E90-AC54-4372-9FD6-8678A6207799}"/>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211050" y="8229600"/>
          <a:ext cx="4781550" cy="24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371475</xdr:colOff>
      <xdr:row>42</xdr:row>
      <xdr:rowOff>47624</xdr:rowOff>
    </xdr:from>
    <xdr:to>
      <xdr:col>20</xdr:col>
      <xdr:colOff>190501</xdr:colOff>
      <xdr:row>43</xdr:row>
      <xdr:rowOff>154375</xdr:rowOff>
    </xdr:to>
    <xdr:pic>
      <xdr:nvPicPr>
        <xdr:cNvPr id="4" name="Picture 3">
          <a:extLst>
            <a:ext uri="{FF2B5EF4-FFF2-40B4-BE49-F238E27FC236}">
              <a16:creationId xmlns:a16="http://schemas.microsoft.com/office/drawing/2014/main" id="{AA1526CE-F011-4ABC-B0F7-A8B8BCD79A42}"/>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602950" y="8191499"/>
          <a:ext cx="4953001" cy="297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56</xdr:row>
      <xdr:rowOff>28574</xdr:rowOff>
    </xdr:from>
    <xdr:to>
      <xdr:col>8</xdr:col>
      <xdr:colOff>9525</xdr:colOff>
      <xdr:row>57</xdr:row>
      <xdr:rowOff>171449</xdr:rowOff>
    </xdr:to>
    <xdr:pic>
      <xdr:nvPicPr>
        <xdr:cNvPr id="5" name="Picture 4">
          <a:extLst>
            <a:ext uri="{FF2B5EF4-FFF2-40B4-BE49-F238E27FC236}">
              <a16:creationId xmlns:a16="http://schemas.microsoft.com/office/drawing/2014/main" id="{56690BC4-6BDE-4ADF-A809-ED43ABCF51C7}"/>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52975" y="10896599"/>
          <a:ext cx="337185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1357312</xdr:colOff>
      <xdr:row>56</xdr:row>
      <xdr:rowOff>83344</xdr:rowOff>
    </xdr:from>
    <xdr:to>
      <xdr:col>12</xdr:col>
      <xdr:colOff>100012</xdr:colOff>
      <xdr:row>57</xdr:row>
      <xdr:rowOff>111919</xdr:rowOff>
    </xdr:to>
    <xdr:pic>
      <xdr:nvPicPr>
        <xdr:cNvPr id="6" name="Picture 5">
          <a:extLst>
            <a:ext uri="{FF2B5EF4-FFF2-40B4-BE49-F238E27FC236}">
              <a16:creationId xmlns:a16="http://schemas.microsoft.com/office/drawing/2014/main" id="{BAF8A3DE-991B-4FDB-ABCB-DC8DB0380C4C}"/>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758612" y="10951369"/>
          <a:ext cx="286702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1581150</xdr:colOff>
      <xdr:row>42</xdr:row>
      <xdr:rowOff>18621</xdr:rowOff>
    </xdr:from>
    <xdr:to>
      <xdr:col>27</xdr:col>
      <xdr:colOff>285750</xdr:colOff>
      <xdr:row>44</xdr:row>
      <xdr:rowOff>0</xdr:rowOff>
    </xdr:to>
    <xdr:pic>
      <xdr:nvPicPr>
        <xdr:cNvPr id="7" name="Picture 6">
          <a:extLst>
            <a:ext uri="{FF2B5EF4-FFF2-40B4-BE49-F238E27FC236}">
              <a16:creationId xmlns:a16="http://schemas.microsoft.com/office/drawing/2014/main" id="{386B0D99-3232-414E-9208-A00468E0BD18}"/>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432500" y="8162496"/>
          <a:ext cx="3752850" cy="3719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619125</xdr:colOff>
      <xdr:row>42</xdr:row>
      <xdr:rowOff>104775</xdr:rowOff>
    </xdr:from>
    <xdr:to>
      <xdr:col>31</xdr:col>
      <xdr:colOff>590550</xdr:colOff>
      <xdr:row>43</xdr:row>
      <xdr:rowOff>123825</xdr:rowOff>
    </xdr:to>
    <xdr:pic>
      <xdr:nvPicPr>
        <xdr:cNvPr id="8" name="Picture 7">
          <a:extLst>
            <a:ext uri="{FF2B5EF4-FFF2-40B4-BE49-F238E27FC236}">
              <a16:creationId xmlns:a16="http://schemas.microsoft.com/office/drawing/2014/main" id="{D258DBF6-BA58-4EE7-832F-E2310B18076F}"/>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2289750" y="8181975"/>
          <a:ext cx="1571625"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27</xdr:row>
      <xdr:rowOff>123825</xdr:rowOff>
    </xdr:from>
    <xdr:to>
      <xdr:col>3</xdr:col>
      <xdr:colOff>2228850</xdr:colOff>
      <xdr:row>39</xdr:row>
      <xdr:rowOff>66675</xdr:rowOff>
    </xdr:to>
    <xdr:pic>
      <xdr:nvPicPr>
        <xdr:cNvPr id="2" name="Picture 1">
          <a:extLst>
            <a:ext uri="{FF2B5EF4-FFF2-40B4-BE49-F238E27FC236}">
              <a16:creationId xmlns:a16="http://schemas.microsoft.com/office/drawing/2014/main" id="{C9F52E29-0C2D-44C0-A7D9-2F3264FFF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5619750"/>
          <a:ext cx="5581650" cy="2257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1971675</xdr:colOff>
      <xdr:row>0</xdr:row>
      <xdr:rowOff>47625</xdr:rowOff>
    </xdr:from>
    <xdr:to>
      <xdr:col>4</xdr:col>
      <xdr:colOff>1504949</xdr:colOff>
      <xdr:row>6</xdr:row>
      <xdr:rowOff>28449</xdr:rowOff>
    </xdr:to>
    <xdr:pic>
      <xdr:nvPicPr>
        <xdr:cNvPr id="3" name="Picture 2">
          <a:extLst>
            <a:ext uri="{FF2B5EF4-FFF2-40B4-BE49-F238E27FC236}">
              <a16:creationId xmlns:a16="http://schemas.microsoft.com/office/drawing/2014/main" id="{B1C306C3-05F7-146D-B94B-2CB7A573A48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95950" y="47625"/>
          <a:ext cx="2562224" cy="1133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771525</xdr:colOff>
      <xdr:row>0</xdr:row>
      <xdr:rowOff>104776</xdr:rowOff>
    </xdr:from>
    <xdr:to>
      <xdr:col>1</xdr:col>
      <xdr:colOff>1714499</xdr:colOff>
      <xdr:row>5</xdr:row>
      <xdr:rowOff>95250</xdr:rowOff>
    </xdr:to>
    <xdr:pic>
      <xdr:nvPicPr>
        <xdr:cNvPr id="4" name="Picture 3">
          <a:extLst>
            <a:ext uri="{FF2B5EF4-FFF2-40B4-BE49-F238E27FC236}">
              <a16:creationId xmlns:a16="http://schemas.microsoft.com/office/drawing/2014/main" id="{6008C421-71D1-ACAC-2D99-D8330782351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43000" y="104776"/>
          <a:ext cx="942974" cy="942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180975</xdr:colOff>
      <xdr:row>42</xdr:row>
      <xdr:rowOff>4489</xdr:rowOff>
    </xdr:from>
    <xdr:to>
      <xdr:col>8</xdr:col>
      <xdr:colOff>942975</xdr:colOff>
      <xdr:row>44</xdr:row>
      <xdr:rowOff>28575</xdr:rowOff>
    </xdr:to>
    <xdr:pic>
      <xdr:nvPicPr>
        <xdr:cNvPr id="2" name="Picture 1">
          <a:extLst>
            <a:ext uri="{FF2B5EF4-FFF2-40B4-BE49-F238E27FC236}">
              <a16:creationId xmlns:a16="http://schemas.microsoft.com/office/drawing/2014/main" id="{883DA782-972C-F620-CEB2-83AA2C50DD3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86400" y="4986064"/>
          <a:ext cx="2162175" cy="414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66675</xdr:colOff>
      <xdr:row>42</xdr:row>
      <xdr:rowOff>85725</xdr:rowOff>
    </xdr:from>
    <xdr:to>
      <xdr:col>13</xdr:col>
      <xdr:colOff>228600</xdr:colOff>
      <xdr:row>43</xdr:row>
      <xdr:rowOff>142875</xdr:rowOff>
    </xdr:to>
    <xdr:pic>
      <xdr:nvPicPr>
        <xdr:cNvPr id="3" name="Picture 2">
          <a:extLst>
            <a:ext uri="{FF2B5EF4-FFF2-40B4-BE49-F238E27FC236}">
              <a16:creationId xmlns:a16="http://schemas.microsoft.com/office/drawing/2014/main" id="{FED80C7C-39AE-A3C4-1352-AE8F32DA8073}"/>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068300" y="5095875"/>
          <a:ext cx="4781550" cy="24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371475</xdr:colOff>
      <xdr:row>42</xdr:row>
      <xdr:rowOff>47624</xdr:rowOff>
    </xdr:from>
    <xdr:to>
      <xdr:col>20</xdr:col>
      <xdr:colOff>190501</xdr:colOff>
      <xdr:row>43</xdr:row>
      <xdr:rowOff>154375</xdr:rowOff>
    </xdr:to>
    <xdr:pic>
      <xdr:nvPicPr>
        <xdr:cNvPr id="8" name="Picture 7">
          <a:extLst>
            <a:ext uri="{FF2B5EF4-FFF2-40B4-BE49-F238E27FC236}">
              <a16:creationId xmlns:a16="http://schemas.microsoft.com/office/drawing/2014/main" id="{99D5FBC5-D556-83F0-75C3-E5BD13DFE0F3}"/>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49825" y="5029199"/>
          <a:ext cx="2657476" cy="297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56</xdr:row>
      <xdr:rowOff>28574</xdr:rowOff>
    </xdr:from>
    <xdr:to>
      <xdr:col>8</xdr:col>
      <xdr:colOff>9525</xdr:colOff>
      <xdr:row>57</xdr:row>
      <xdr:rowOff>171449</xdr:rowOff>
    </xdr:to>
    <xdr:pic>
      <xdr:nvPicPr>
        <xdr:cNvPr id="12" name="Picture 11">
          <a:extLst>
            <a:ext uri="{FF2B5EF4-FFF2-40B4-BE49-F238E27FC236}">
              <a16:creationId xmlns:a16="http://schemas.microsoft.com/office/drawing/2014/main" id="{77BB4998-6790-7582-EAC8-8F7DD8414681}"/>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52975" y="11258549"/>
          <a:ext cx="337185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1357312</xdr:colOff>
      <xdr:row>56</xdr:row>
      <xdr:rowOff>83344</xdr:rowOff>
    </xdr:from>
    <xdr:to>
      <xdr:col>12</xdr:col>
      <xdr:colOff>100012</xdr:colOff>
      <xdr:row>57</xdr:row>
      <xdr:rowOff>111919</xdr:rowOff>
    </xdr:to>
    <xdr:pic>
      <xdr:nvPicPr>
        <xdr:cNvPr id="15" name="Picture 14">
          <a:extLst>
            <a:ext uri="{FF2B5EF4-FFF2-40B4-BE49-F238E27FC236}">
              <a16:creationId xmlns:a16="http://schemas.microsoft.com/office/drawing/2014/main" id="{115AFB30-C6F3-9D12-AAA5-5D7F85CFB2E5}"/>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615862" y="11313319"/>
          <a:ext cx="286702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133350</xdr:colOff>
      <xdr:row>42</xdr:row>
      <xdr:rowOff>104775</xdr:rowOff>
    </xdr:from>
    <xdr:to>
      <xdr:col>26</xdr:col>
      <xdr:colOff>590550</xdr:colOff>
      <xdr:row>43</xdr:row>
      <xdr:rowOff>123825</xdr:rowOff>
    </xdr:to>
    <xdr:pic>
      <xdr:nvPicPr>
        <xdr:cNvPr id="4" name="Picture 3">
          <a:extLst>
            <a:ext uri="{FF2B5EF4-FFF2-40B4-BE49-F238E27FC236}">
              <a16:creationId xmlns:a16="http://schemas.microsoft.com/office/drawing/2014/main" id="{C1042EB8-50B0-0AD8-4FE3-94A410F53DDB}"/>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3632775" y="8248650"/>
          <a:ext cx="28575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28575</xdr:colOff>
      <xdr:row>42</xdr:row>
      <xdr:rowOff>104775</xdr:rowOff>
    </xdr:from>
    <xdr:to>
      <xdr:col>31</xdr:col>
      <xdr:colOff>1019175</xdr:colOff>
      <xdr:row>43</xdr:row>
      <xdr:rowOff>123825</xdr:rowOff>
    </xdr:to>
    <xdr:pic>
      <xdr:nvPicPr>
        <xdr:cNvPr id="7" name="Picture 6">
          <a:extLst>
            <a:ext uri="{FF2B5EF4-FFF2-40B4-BE49-F238E27FC236}">
              <a16:creationId xmlns:a16="http://schemas.microsoft.com/office/drawing/2014/main" id="{F3356F1E-5437-B5FF-1206-26E5B83D1223}"/>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0357425" y="8248650"/>
          <a:ext cx="15240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309562</xdr:colOff>
      <xdr:row>6</xdr:row>
      <xdr:rowOff>185737</xdr:rowOff>
    </xdr:from>
    <xdr:to>
      <xdr:col>12</xdr:col>
      <xdr:colOff>309562</xdr:colOff>
      <xdr:row>20</xdr:row>
      <xdr:rowOff>138112</xdr:rowOff>
    </xdr:to>
    <xdr:graphicFrame macro="">
      <xdr:nvGraphicFramePr>
        <xdr:cNvPr id="2" name="Chart 1">
          <a:extLst>
            <a:ext uri="{FF2B5EF4-FFF2-40B4-BE49-F238E27FC236}">
              <a16:creationId xmlns:a16="http://schemas.microsoft.com/office/drawing/2014/main" id="{0A9F23B7-737E-13F0-6C56-38FE02D259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5</xdr:col>
      <xdr:colOff>219075</xdr:colOff>
      <xdr:row>21</xdr:row>
      <xdr:rowOff>47625</xdr:rowOff>
    </xdr:from>
    <xdr:ext cx="3316357" cy="470835"/>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243F462F-A6F6-4EBF-98B7-B5DA7840CB67}"/>
                </a:ext>
              </a:extLst>
            </xdr:cNvPr>
            <xdr:cNvSpPr txBox="1"/>
          </xdr:nvSpPr>
          <xdr:spPr>
            <a:xfrm>
              <a:off x="5219700" y="4400550"/>
              <a:ext cx="3316357" cy="47083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a:rPr lang="en-US" sz="1600" b="0" i="1">
                        <a:latin typeface="Cambria Math" panose="02040503050406030204" pitchFamily="18" charset="0"/>
                      </a:rPr>
                      <m:t>𝑃𝑜𝑖𝑛𝑡𝑠</m:t>
                    </m:r>
                    <m:r>
                      <a:rPr lang="en-US" sz="1600" b="0" i="1">
                        <a:latin typeface="Cambria Math" panose="02040503050406030204" pitchFamily="18" charset="0"/>
                      </a:rPr>
                      <m:t> </m:t>
                    </m:r>
                    <m:r>
                      <a:rPr lang="en-US" sz="1600" b="0" i="1">
                        <a:latin typeface="Cambria Math" panose="02040503050406030204" pitchFamily="18" charset="0"/>
                      </a:rPr>
                      <m:t>𝐴𝑤𝑎𝑟𝑑𝑒𝑑</m:t>
                    </m:r>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30</m:t>
                        </m:r>
                      </m:num>
                      <m:den>
                        <m:r>
                          <a:rPr lang="en-US" sz="1600" b="0" i="1">
                            <a:latin typeface="Cambria Math" panose="02040503050406030204" pitchFamily="18" charset="0"/>
                          </a:rPr>
                          <m:t>1+</m:t>
                        </m:r>
                        <m:sSup>
                          <m:sSupPr>
                            <m:ctrlPr>
                              <a:rPr lang="en-US" sz="1600" b="0" i="1">
                                <a:latin typeface="Cambria Math" panose="02040503050406030204" pitchFamily="18" charset="0"/>
                              </a:rPr>
                            </m:ctrlPr>
                          </m:sSupPr>
                          <m:e>
                            <m:r>
                              <a:rPr lang="en-US" sz="1600" b="0" i="1">
                                <a:latin typeface="Cambria Math" panose="02040503050406030204" pitchFamily="18" charset="0"/>
                              </a:rPr>
                              <m:t>𝑒</m:t>
                            </m:r>
                          </m:e>
                          <m:sup>
                            <m:r>
                              <a:rPr lang="en-US" sz="1600" b="0" i="1">
                                <a:latin typeface="Cambria Math" panose="02040503050406030204" pitchFamily="18" charset="0"/>
                              </a:rPr>
                              <m:t>−8∗(</m:t>
                            </m:r>
                            <m:r>
                              <a:rPr lang="en-US" sz="1600" b="0" i="1">
                                <a:latin typeface="Cambria Math" panose="02040503050406030204" pitchFamily="18" charset="0"/>
                              </a:rPr>
                              <m:t>𝐼𝐶𝐶</m:t>
                            </m:r>
                            <m:r>
                              <a:rPr lang="en-US" sz="1600" b="0" i="1">
                                <a:latin typeface="Cambria Math" panose="02040503050406030204" pitchFamily="18" charset="0"/>
                              </a:rPr>
                              <m:t>−0.46)</m:t>
                            </m:r>
                          </m:sup>
                        </m:sSup>
                      </m:den>
                    </m:f>
                  </m:oMath>
                </m:oMathPara>
              </a14:m>
              <a:endParaRPr lang="en-US" sz="1100"/>
            </a:p>
          </xdr:txBody>
        </xdr:sp>
      </mc:Choice>
      <mc:Fallback xmlns="">
        <xdr:sp macro="" textlink="">
          <xdr:nvSpPr>
            <xdr:cNvPr id="3" name="TextBox 2">
              <a:extLst>
                <a:ext uri="{FF2B5EF4-FFF2-40B4-BE49-F238E27FC236}">
                  <a16:creationId xmlns:a16="http://schemas.microsoft.com/office/drawing/2014/main" id="{243F462F-A6F6-4EBF-98B7-B5DA7840CB67}"/>
                </a:ext>
              </a:extLst>
            </xdr:cNvPr>
            <xdr:cNvSpPr txBox="1"/>
          </xdr:nvSpPr>
          <xdr:spPr>
            <a:xfrm>
              <a:off x="5219700" y="4400550"/>
              <a:ext cx="3316357" cy="47083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600" b="0" i="0">
                  <a:latin typeface="Cambria Math" panose="02040503050406030204" pitchFamily="18" charset="0"/>
                </a:rPr>
                <a:t>𝑃𝑜𝑖𝑛𝑡𝑠 𝐴𝑤𝑎𝑟𝑑𝑒𝑑=30/(1+𝑒^(−8∗(𝐼𝐶𝐶−0.46)) )</a:t>
              </a:r>
              <a:endParaRPr lang="en-US" sz="1100"/>
            </a:p>
          </xdr:txBody>
        </xdr:sp>
      </mc:Fallback>
    </mc:AlternateContent>
    <xdr:clientData/>
  </xdr:oneCellAnchor>
</xdr:wsDr>
</file>

<file path=xl/drawings/drawing6.xml><?xml version="1.0" encoding="utf-8"?>
<xdr:wsDr xmlns:xdr="http://schemas.openxmlformats.org/drawingml/2006/spreadsheetDrawing" xmlns:a="http://schemas.openxmlformats.org/drawingml/2006/main">
  <xdr:twoCellAnchor>
    <xdr:from>
      <xdr:col>3</xdr:col>
      <xdr:colOff>228600</xdr:colOff>
      <xdr:row>7</xdr:row>
      <xdr:rowOff>4761</xdr:rowOff>
    </xdr:from>
    <xdr:to>
      <xdr:col>12</xdr:col>
      <xdr:colOff>228600</xdr:colOff>
      <xdr:row>20</xdr:row>
      <xdr:rowOff>119061</xdr:rowOff>
    </xdr:to>
    <xdr:graphicFrame macro="">
      <xdr:nvGraphicFramePr>
        <xdr:cNvPr id="4" name="Chart 1">
          <a:extLst>
            <a:ext uri="{FF2B5EF4-FFF2-40B4-BE49-F238E27FC236}">
              <a16:creationId xmlns:a16="http://schemas.microsoft.com/office/drawing/2014/main" id="{A5142E46-42FE-FD05-28C5-4E97373434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5</xdr:col>
      <xdr:colOff>80962</xdr:colOff>
      <xdr:row>21</xdr:row>
      <xdr:rowOff>185737</xdr:rowOff>
    </xdr:from>
    <xdr:ext cx="3404522" cy="470835"/>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A743ED1A-663F-9DFA-7296-140046B02BED}"/>
                </a:ext>
              </a:extLst>
            </xdr:cNvPr>
            <xdr:cNvSpPr txBox="1"/>
          </xdr:nvSpPr>
          <xdr:spPr>
            <a:xfrm>
              <a:off x="5091112" y="4681537"/>
              <a:ext cx="3404522" cy="47083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a:rPr lang="en-US" sz="1600" b="0" i="1">
                        <a:latin typeface="Cambria Math" panose="02040503050406030204" pitchFamily="18" charset="0"/>
                      </a:rPr>
                      <m:t>𝑃𝑜𝑖𝑛𝑡𝑠</m:t>
                    </m:r>
                    <m:r>
                      <a:rPr lang="en-US" sz="1600" b="0" i="1">
                        <a:latin typeface="Cambria Math" panose="02040503050406030204" pitchFamily="18" charset="0"/>
                      </a:rPr>
                      <m:t> </m:t>
                    </m:r>
                    <m:r>
                      <a:rPr lang="en-US" sz="1600" b="0" i="1">
                        <a:latin typeface="Cambria Math" panose="02040503050406030204" pitchFamily="18" charset="0"/>
                      </a:rPr>
                      <m:t>𝐴𝑤𝑎𝑟𝑑𝑒𝑑</m:t>
                    </m:r>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9</m:t>
                        </m:r>
                      </m:num>
                      <m:den>
                        <m:r>
                          <a:rPr lang="en-US" sz="1600" b="0" i="1">
                            <a:latin typeface="Cambria Math" panose="02040503050406030204" pitchFamily="18" charset="0"/>
                          </a:rPr>
                          <m:t>1+</m:t>
                        </m:r>
                        <m:sSup>
                          <m:sSupPr>
                            <m:ctrlPr>
                              <a:rPr lang="en-US" sz="1600" b="0" i="1">
                                <a:latin typeface="Cambria Math" panose="02040503050406030204" pitchFamily="18" charset="0"/>
                              </a:rPr>
                            </m:ctrlPr>
                          </m:sSupPr>
                          <m:e>
                            <m:r>
                              <a:rPr lang="en-US" sz="1600" b="0" i="1">
                                <a:latin typeface="Cambria Math" panose="02040503050406030204" pitchFamily="18" charset="0"/>
                              </a:rPr>
                              <m:t>𝑒</m:t>
                            </m:r>
                          </m:e>
                          <m:sup>
                            <m:r>
                              <a:rPr lang="en-US" sz="1600" b="0" i="1">
                                <a:latin typeface="Cambria Math" panose="02040503050406030204" pitchFamily="18" charset="0"/>
                              </a:rPr>
                              <m:t>−14∗(</m:t>
                            </m:r>
                            <m:r>
                              <a:rPr lang="en-US" sz="1600" b="0" i="1">
                                <a:latin typeface="Cambria Math" panose="02040503050406030204" pitchFamily="18" charset="0"/>
                              </a:rPr>
                              <m:t>𝐼𝐶𝐹</m:t>
                            </m:r>
                            <m:r>
                              <a:rPr lang="en-US" sz="1600" b="0" i="1">
                                <a:latin typeface="Cambria Math" panose="02040503050406030204" pitchFamily="18" charset="0"/>
                              </a:rPr>
                              <m:t>−0.43)</m:t>
                            </m:r>
                          </m:sup>
                        </m:sSup>
                      </m:den>
                    </m:f>
                  </m:oMath>
                </m:oMathPara>
              </a14:m>
              <a:endParaRPr lang="en-US" sz="1100"/>
            </a:p>
          </xdr:txBody>
        </xdr:sp>
      </mc:Choice>
      <mc:Fallback xmlns="">
        <xdr:sp macro="" textlink="">
          <xdr:nvSpPr>
            <xdr:cNvPr id="5" name="TextBox 4">
              <a:extLst>
                <a:ext uri="{FF2B5EF4-FFF2-40B4-BE49-F238E27FC236}">
                  <a16:creationId xmlns:a16="http://schemas.microsoft.com/office/drawing/2014/main" id="{A743ED1A-663F-9DFA-7296-140046B02BED}"/>
                </a:ext>
              </a:extLst>
            </xdr:cNvPr>
            <xdr:cNvSpPr txBox="1"/>
          </xdr:nvSpPr>
          <xdr:spPr>
            <a:xfrm>
              <a:off x="5091112" y="4681537"/>
              <a:ext cx="3404522" cy="47083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600" b="0" i="0">
                  <a:latin typeface="Cambria Math" panose="02040503050406030204" pitchFamily="18" charset="0"/>
                </a:rPr>
                <a:t>𝑃𝑜𝑖𝑛𝑡𝑠 𝐴𝑤𝑎𝑟𝑑𝑒𝑑=9/(1+𝑒^(−14∗(𝐼𝐶𝐹−0.43)) )</a:t>
              </a:r>
              <a:endParaRPr lang="en-US" sz="1100"/>
            </a:p>
          </xdr:txBody>
        </xdr:sp>
      </mc:Fallback>
    </mc:AlternateContent>
    <xdr:clientData/>
  </xdr:oneCellAnchor>
</xdr:wsDr>
</file>

<file path=xl/drawings/drawing7.xml><?xml version="1.0" encoding="utf-8"?>
<xdr:wsDr xmlns:xdr="http://schemas.openxmlformats.org/drawingml/2006/spreadsheetDrawing" xmlns:a="http://schemas.openxmlformats.org/drawingml/2006/main">
  <xdr:twoCellAnchor>
    <xdr:from>
      <xdr:col>3</xdr:col>
      <xdr:colOff>171450</xdr:colOff>
      <xdr:row>6</xdr:row>
      <xdr:rowOff>438150</xdr:rowOff>
    </xdr:from>
    <xdr:to>
      <xdr:col>9</xdr:col>
      <xdr:colOff>542925</xdr:colOff>
      <xdr:row>20</xdr:row>
      <xdr:rowOff>152400</xdr:rowOff>
    </xdr:to>
    <xdr:graphicFrame macro="">
      <xdr:nvGraphicFramePr>
        <xdr:cNvPr id="2" name="Chart 1">
          <a:extLst>
            <a:ext uri="{FF2B5EF4-FFF2-40B4-BE49-F238E27FC236}">
              <a16:creationId xmlns:a16="http://schemas.microsoft.com/office/drawing/2014/main" id="{50A40DE6-442C-43A2-922D-C32B1AACC6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361950</xdr:colOff>
      <xdr:row>6</xdr:row>
      <xdr:rowOff>128587</xdr:rowOff>
    </xdr:from>
    <xdr:to>
      <xdr:col>5</xdr:col>
      <xdr:colOff>2400300</xdr:colOff>
      <xdr:row>19</xdr:row>
      <xdr:rowOff>128587</xdr:rowOff>
    </xdr:to>
    <xdr:graphicFrame macro="">
      <xdr:nvGraphicFramePr>
        <xdr:cNvPr id="2" name="Chart 3">
          <a:extLst>
            <a:ext uri="{FF2B5EF4-FFF2-40B4-BE49-F238E27FC236}">
              <a16:creationId xmlns:a16="http://schemas.microsoft.com/office/drawing/2014/main" id="{B694CD92-7F59-DCFB-D5DD-84412D0B01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12</xdr:col>
      <xdr:colOff>352425</xdr:colOff>
      <xdr:row>5</xdr:row>
      <xdr:rowOff>119062</xdr:rowOff>
    </xdr:from>
    <xdr:to>
      <xdr:col>20</xdr:col>
      <xdr:colOff>47625</xdr:colOff>
      <xdr:row>20</xdr:row>
      <xdr:rowOff>4762</xdr:rowOff>
    </xdr:to>
    <xdr:graphicFrame macro="">
      <xdr:nvGraphicFramePr>
        <xdr:cNvPr id="2" name="Chart 1">
          <a:extLst>
            <a:ext uri="{FF2B5EF4-FFF2-40B4-BE49-F238E27FC236}">
              <a16:creationId xmlns:a16="http://schemas.microsoft.com/office/drawing/2014/main" id="{6452B6A8-6FFF-374D-E31B-C2F95CE1F6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v>Equation</v>
  </rv>
  <rv s="0">
    <v>1</v>
    <v>5</v>
    <v>Equation</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B44E81-9F6D-464B-B124-1A15813B7A64}" name="Table1" displayName="Table1" ref="A1:A7" totalsRowShown="0">
  <autoFilter ref="A1:A7" xr:uid="{15B44E81-9F6D-464B-B124-1A15813B7A64}"/>
  <tableColumns count="1">
    <tableColumn id="1" xr3:uid="{40BF3C90-3BA3-43B3-8AC9-55D33797CDF9}" name="Distric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5BE03A-9A9A-4C56-A714-E7B4C45F3764}" name="Table2" displayName="Table2" ref="B1:B18" totalsRowShown="0">
  <autoFilter ref="B1:B18" xr:uid="{795BE03A-9A9A-4C56-A714-E7B4C45F3764}"/>
  <sortState xmlns:xlrd2="http://schemas.microsoft.com/office/spreadsheetml/2017/richdata2" ref="B2:B18">
    <sortCondition ref="B1:B18"/>
  </sortState>
  <tableColumns count="1">
    <tableColumn id="1" xr3:uid="{065E75E0-6924-467C-8275-428CD3F7A6D4}" name="Crawfordsville"/>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7924705-B29D-4999-B670-020181829132}" name="Table3" displayName="Table3" ref="C1:C19" totalsRowShown="0">
  <autoFilter ref="C1:C19" xr:uid="{E7924705-B29D-4999-B670-020181829132}"/>
  <sortState xmlns:xlrd2="http://schemas.microsoft.com/office/spreadsheetml/2017/richdata2" ref="C2:C19">
    <sortCondition ref="C1:C19"/>
  </sortState>
  <tableColumns count="1">
    <tableColumn id="1" xr3:uid="{8401A618-1EEA-4C90-BF65-A9EEFA714AE1}" name="Fort Wayne"/>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34ECF68-10FE-4644-996C-4A7F54CFFA49}" name="Table4" displayName="Table4" ref="D1:D24" totalsRowShown="0">
  <autoFilter ref="D1:D24" xr:uid="{134ECF68-10FE-4644-996C-4A7F54CFFA49}"/>
  <sortState xmlns:xlrd2="http://schemas.microsoft.com/office/spreadsheetml/2017/richdata2" ref="D2:D24">
    <sortCondition ref="D1:D24"/>
  </sortState>
  <tableColumns count="1">
    <tableColumn id="1" xr3:uid="{B723E5D2-4ED7-4F1A-98B9-E893820AE3B3}" name="Greenfield"/>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8A1CB7E-2769-47D4-AE5F-541C4E996F7A}" name="Table5" displayName="Table5" ref="E1:E18" totalsRowShown="0">
  <autoFilter ref="E1:E18" xr:uid="{A8A1CB7E-2769-47D4-AE5F-541C4E996F7A}"/>
  <sortState xmlns:xlrd2="http://schemas.microsoft.com/office/spreadsheetml/2017/richdata2" ref="E2:E18">
    <sortCondition ref="E1:E18"/>
  </sortState>
  <tableColumns count="1">
    <tableColumn id="1" xr3:uid="{52423370-BCC9-4472-8087-D58BCA78F63B}" name="La Porte"/>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0352DBB-CE69-443C-8F54-BA56906A276B}" name="Table6" displayName="Table6" ref="F1:F25" totalsRowShown="0">
  <autoFilter ref="F1:F25" xr:uid="{90352DBB-CE69-443C-8F54-BA56906A276B}"/>
  <sortState xmlns:xlrd2="http://schemas.microsoft.com/office/spreadsheetml/2017/richdata2" ref="F2:F25">
    <sortCondition ref="F1:F25"/>
  </sortState>
  <tableColumns count="1">
    <tableColumn id="1" xr3:uid="{96B5BCEB-6ACE-4C5E-BF34-789321E8AC3D}" name="Seymour"/>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BCA961B-3506-4F91-A4C9-EA47DA3CA16E}" name="Table7" displayName="Table7" ref="G1:G22" totalsRowShown="0">
  <autoFilter ref="G1:G22" xr:uid="{3BCA961B-3506-4F91-A4C9-EA47DA3CA16E}"/>
  <sortState xmlns:xlrd2="http://schemas.microsoft.com/office/spreadsheetml/2017/richdata2" ref="G2:G22">
    <sortCondition ref="G1:G22"/>
  </sortState>
  <tableColumns count="1">
    <tableColumn id="1" xr3:uid="{E1639BA9-C027-45D0-AD58-E08A8F46503B}" name="Vincennes"/>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6" Type="http://schemas.openxmlformats.org/officeDocument/2006/relationships/hyperlink" Target="https://cmfclearinghouse.fhwa.dot.gov/detail.php?facid=11625" TargetMode="External"/><Relationship Id="rId21" Type="http://schemas.openxmlformats.org/officeDocument/2006/relationships/hyperlink" Target="https://cmfclearinghouse.fhwa.dot.gov/study_detail.php?stid=444" TargetMode="External"/><Relationship Id="rId34" Type="http://schemas.openxmlformats.org/officeDocument/2006/relationships/hyperlink" Target="https://cmfclearinghouse.fhwa.dot.gov/detail.php?facid=11279" TargetMode="External"/><Relationship Id="rId42" Type="http://schemas.openxmlformats.org/officeDocument/2006/relationships/hyperlink" Target="https://cmfclearinghouse.fhwa.dot.gov/studydocs/FDOT-BDK78-977-14-rpt.pdf" TargetMode="External"/><Relationship Id="rId47" Type="http://schemas.openxmlformats.org/officeDocument/2006/relationships/hyperlink" Target="https://cmfclearinghouse.fhwa.dot.gov/detail.php?facid=270" TargetMode="External"/><Relationship Id="rId50" Type="http://schemas.openxmlformats.org/officeDocument/2006/relationships/hyperlink" Target="https://cmfclearinghouse.fhwa.dot.gov/detail.php?facid=262" TargetMode="External"/><Relationship Id="rId55" Type="http://schemas.openxmlformats.org/officeDocument/2006/relationships/hyperlink" Target="https://cmfclearinghouse.fhwa.dot.gov/detail.php?facid=4647" TargetMode="External"/><Relationship Id="rId63" Type="http://schemas.openxmlformats.org/officeDocument/2006/relationships/hyperlink" Target="https://cmfclearinghouse.fhwa.dot.gov/detail.php?facid=3131" TargetMode="External"/><Relationship Id="rId7" Type="http://schemas.openxmlformats.org/officeDocument/2006/relationships/hyperlink" Target="https://cmfclearinghouse.fhwa.dot.gov/detail.php?facid=241" TargetMode="External"/><Relationship Id="rId2" Type="http://schemas.openxmlformats.org/officeDocument/2006/relationships/hyperlink" Target="https://cmfclearinghouse.fhwa.dot.gov/detail.php?facid=4878" TargetMode="External"/><Relationship Id="rId16" Type="http://schemas.openxmlformats.org/officeDocument/2006/relationships/hyperlink" Target="https://cmfclearinghouse.fhwa.dot.gov/detail.php?facid=11132" TargetMode="External"/><Relationship Id="rId29" Type="http://schemas.openxmlformats.org/officeDocument/2006/relationships/hyperlink" Target="https://cmfclearinghouse.fhwa.dot.gov/detail.php?facid=11595" TargetMode="External"/><Relationship Id="rId11" Type="http://schemas.openxmlformats.org/officeDocument/2006/relationships/hyperlink" Target="https://cmfclearinghouse.fhwa.dot.gov/detail.php?facid=4257" TargetMode="External"/><Relationship Id="rId24" Type="http://schemas.openxmlformats.org/officeDocument/2006/relationships/hyperlink" Target="https://cmfclearinghouse.fhwa.dot.gov/detail.php?facid=11619" TargetMode="External"/><Relationship Id="rId32" Type="http://schemas.openxmlformats.org/officeDocument/2006/relationships/hyperlink" Target="https://cmfclearinghouse.fhwa.dot.gov/detail.php?facid=11277" TargetMode="External"/><Relationship Id="rId37" Type="http://schemas.openxmlformats.org/officeDocument/2006/relationships/hyperlink" Target="https://cmfclearinghouse.fhwa.dot.gov/detail.php?facid=10375" TargetMode="External"/><Relationship Id="rId40" Type="http://schemas.openxmlformats.org/officeDocument/2006/relationships/hyperlink" Target="https://cmfclearinghouse.fhwa.dot.gov/detail.php?facid=7828" TargetMode="External"/><Relationship Id="rId45" Type="http://schemas.openxmlformats.org/officeDocument/2006/relationships/hyperlink" Target="http://www.ltrc.lsu.edu/pdf/2019/FR_597.pdf" TargetMode="External"/><Relationship Id="rId53" Type="http://schemas.openxmlformats.org/officeDocument/2006/relationships/hyperlink" Target="https://cmfclearinghouse.fhwa.dot.gov/detail.php?facid=4648" TargetMode="External"/><Relationship Id="rId58" Type="http://schemas.openxmlformats.org/officeDocument/2006/relationships/hyperlink" Target="https://cmfclearinghouse.fhwa.dot.gov/detail.php?facid=260" TargetMode="External"/><Relationship Id="rId5" Type="http://schemas.openxmlformats.org/officeDocument/2006/relationships/hyperlink" Target="https://cmfclearinghouse.fhwa.dot.gov/detail.php?facid=238" TargetMode="External"/><Relationship Id="rId61" Type="http://schemas.openxmlformats.org/officeDocument/2006/relationships/hyperlink" Target="https://cmfclearinghouse.fhwa.dot.gov/detail.php?facid=289" TargetMode="External"/><Relationship Id="rId19" Type="http://schemas.openxmlformats.org/officeDocument/2006/relationships/hyperlink" Target="https://cmfclearinghouse.fhwa.dot.gov/study_detail.php?stid=444" TargetMode="External"/><Relationship Id="rId14" Type="http://schemas.openxmlformats.org/officeDocument/2006/relationships/hyperlink" Target="https://cmfclearinghouse.fhwa.dot.gov/detail.php?facid=4254" TargetMode="External"/><Relationship Id="rId22" Type="http://schemas.openxmlformats.org/officeDocument/2006/relationships/hyperlink" Target="https://cmfclearinghouse.fhwa.dot.gov/detail.php?facid=10761" TargetMode="External"/><Relationship Id="rId27" Type="http://schemas.openxmlformats.org/officeDocument/2006/relationships/hyperlink" Target="https://cmfclearinghouse.fhwa.dot.gov/detail.php?facid=11624" TargetMode="External"/><Relationship Id="rId30" Type="http://schemas.openxmlformats.org/officeDocument/2006/relationships/hyperlink" Target="https://cmfclearinghouse.fhwa.dot.gov/detail.php?facid=11273" TargetMode="External"/><Relationship Id="rId35" Type="http://schemas.openxmlformats.org/officeDocument/2006/relationships/hyperlink" Target="https://cmfclearinghouse.fhwa.dot.gov/detail.php?facid=2519" TargetMode="External"/><Relationship Id="rId43" Type="http://schemas.openxmlformats.org/officeDocument/2006/relationships/hyperlink" Target="https://www.fhwa.dot.gov/publications/research/safety/08042/08042.pdf" TargetMode="External"/><Relationship Id="rId48" Type="http://schemas.openxmlformats.org/officeDocument/2006/relationships/hyperlink" Target="https://cmfclearinghouse.fhwa.dot.gov/detail.php?facid=269" TargetMode="External"/><Relationship Id="rId56" Type="http://schemas.openxmlformats.org/officeDocument/2006/relationships/hyperlink" Target="https://cmfclearinghouse.fhwa.dot.gov/detail.php?facid=268" TargetMode="External"/><Relationship Id="rId64" Type="http://schemas.openxmlformats.org/officeDocument/2006/relationships/hyperlink" Target="https://cmfclearinghouse.fhwa.dot.gov/detail.php?facid=3130" TargetMode="External"/><Relationship Id="rId8" Type="http://schemas.openxmlformats.org/officeDocument/2006/relationships/hyperlink" Target="https://cmfclearinghouse.fhwa.dot.gov/detail.php?facid=240" TargetMode="External"/><Relationship Id="rId51" Type="http://schemas.openxmlformats.org/officeDocument/2006/relationships/hyperlink" Target="https://cmfclearinghouse.fhwa.dot.gov/detail.php?facid=254" TargetMode="External"/><Relationship Id="rId3" Type="http://schemas.openxmlformats.org/officeDocument/2006/relationships/hyperlink" Target="https://cmfclearinghouse.fhwa.dot.gov/detail.php?facid=230" TargetMode="External"/><Relationship Id="rId12" Type="http://schemas.openxmlformats.org/officeDocument/2006/relationships/hyperlink" Target="https://cmfclearinghouse.fhwa.dot.gov/detail.php?facid=4256" TargetMode="External"/><Relationship Id="rId17" Type="http://schemas.openxmlformats.org/officeDocument/2006/relationships/hyperlink" Target="https://cmfclearinghouse.fhwa.dot.gov/detail.php?facid=11146" TargetMode="External"/><Relationship Id="rId25" Type="http://schemas.openxmlformats.org/officeDocument/2006/relationships/hyperlink" Target="https://cmfclearinghouse.fhwa.dot.gov/detail.php?facid=11620" TargetMode="External"/><Relationship Id="rId33" Type="http://schemas.openxmlformats.org/officeDocument/2006/relationships/hyperlink" Target="https://cmfclearinghouse.fhwa.dot.gov/detail.php?facid=11278" TargetMode="External"/><Relationship Id="rId38" Type="http://schemas.openxmlformats.org/officeDocument/2006/relationships/hyperlink" Target="https://cmfclearinghouse.fhwa.dot.gov/detail.php?facid=2341" TargetMode="External"/><Relationship Id="rId46" Type="http://schemas.openxmlformats.org/officeDocument/2006/relationships/hyperlink" Target="https://cmfclearinghouse.fhwa.dot.gov/study_detail.php?stid=669" TargetMode="External"/><Relationship Id="rId59" Type="http://schemas.openxmlformats.org/officeDocument/2006/relationships/hyperlink" Target="https://cmfclearinghouse.fhwa.dot.gov/detail.php?facid=290" TargetMode="External"/><Relationship Id="rId20" Type="http://schemas.openxmlformats.org/officeDocument/2006/relationships/hyperlink" Target="https://cmfclearinghouse.fhwa.dot.gov/study_detail.php?stid=444" TargetMode="External"/><Relationship Id="rId41" Type="http://schemas.openxmlformats.org/officeDocument/2006/relationships/hyperlink" Target="https://cmfclearinghouse.fhwa.dot.gov/detail.php?facid=7829" TargetMode="External"/><Relationship Id="rId54" Type="http://schemas.openxmlformats.org/officeDocument/2006/relationships/hyperlink" Target="https://cmfclearinghouse.fhwa.dot.gov/detail.php?facid=4643" TargetMode="External"/><Relationship Id="rId62" Type="http://schemas.openxmlformats.org/officeDocument/2006/relationships/hyperlink" Target="https://cmfclearinghouse.fhwa.dot.gov/detail.php?facid=285" TargetMode="External"/><Relationship Id="rId1" Type="http://schemas.openxmlformats.org/officeDocument/2006/relationships/hyperlink" Target="https://cmfclearinghouse.fhwa.dot.gov/detail.php?facid=4877" TargetMode="External"/><Relationship Id="rId6" Type="http://schemas.openxmlformats.org/officeDocument/2006/relationships/hyperlink" Target="https://cmfclearinghouse.fhwa.dot.gov/detail.php?facid=239" TargetMode="External"/><Relationship Id="rId15" Type="http://schemas.openxmlformats.org/officeDocument/2006/relationships/hyperlink" Target="https://cmfclearinghouse.fhwa.dot.gov/detail.php?facid=11130" TargetMode="External"/><Relationship Id="rId23" Type="http://schemas.openxmlformats.org/officeDocument/2006/relationships/hyperlink" Target="https://cmfclearinghouse.fhwa.dot.gov/detail.php?facid=10762" TargetMode="External"/><Relationship Id="rId28" Type="http://schemas.openxmlformats.org/officeDocument/2006/relationships/hyperlink" Target="https://cmfclearinghouse.fhwa.dot.gov/detail.php?facid=11594" TargetMode="External"/><Relationship Id="rId36" Type="http://schemas.openxmlformats.org/officeDocument/2006/relationships/hyperlink" Target="https://cmfclearinghouse.fhwa.dot.gov/detail.php?facid=2514" TargetMode="External"/><Relationship Id="rId49" Type="http://schemas.openxmlformats.org/officeDocument/2006/relationships/hyperlink" Target="https://cmfclearinghouse.fhwa.dot.gov/detail.php?facid=4644" TargetMode="External"/><Relationship Id="rId57" Type="http://schemas.openxmlformats.org/officeDocument/2006/relationships/hyperlink" Target="https://cmfclearinghouse.fhwa.dot.gov/detail.php?facid=253" TargetMode="External"/><Relationship Id="rId10" Type="http://schemas.openxmlformats.org/officeDocument/2006/relationships/hyperlink" Target="https://cmfclearinghouse.fhwa.dot.gov/detail.php?facid=233" TargetMode="External"/><Relationship Id="rId31" Type="http://schemas.openxmlformats.org/officeDocument/2006/relationships/hyperlink" Target="https://cmfclearinghouse.fhwa.dot.gov/detail.php?facid=11275" TargetMode="External"/><Relationship Id="rId44" Type="http://schemas.openxmlformats.org/officeDocument/2006/relationships/hyperlink" Target="http://www.ltrc.lsu.edu/pdf/2019/FR_597.pdf" TargetMode="External"/><Relationship Id="rId52" Type="http://schemas.openxmlformats.org/officeDocument/2006/relationships/hyperlink" Target="https://cmfclearinghouse.fhwa.dot.gov/detail.php?facid=261" TargetMode="External"/><Relationship Id="rId60" Type="http://schemas.openxmlformats.org/officeDocument/2006/relationships/hyperlink" Target="https://cmfclearinghouse.fhwa.dot.gov/detail.php?facid=286" TargetMode="External"/><Relationship Id="rId65" Type="http://schemas.openxmlformats.org/officeDocument/2006/relationships/printerSettings" Target="../printerSettings/printerSettings7.bin"/><Relationship Id="rId4" Type="http://schemas.openxmlformats.org/officeDocument/2006/relationships/hyperlink" Target="https://cmfclearinghouse.fhwa.dot.gov/detail.php?facid=229" TargetMode="External"/><Relationship Id="rId9" Type="http://schemas.openxmlformats.org/officeDocument/2006/relationships/hyperlink" Target="https://cmfclearinghouse.fhwa.dot.gov/detail.php?facid=234" TargetMode="External"/><Relationship Id="rId13" Type="http://schemas.openxmlformats.org/officeDocument/2006/relationships/hyperlink" Target="https://cmfclearinghouse.fhwa.dot.gov/detail.php?facid=4255" TargetMode="External"/><Relationship Id="rId18" Type="http://schemas.openxmlformats.org/officeDocument/2006/relationships/hyperlink" Target="https://cmfclearinghouse.fhwa.dot.gov/detail.php?facid=11166" TargetMode="External"/><Relationship Id="rId39" Type="http://schemas.openxmlformats.org/officeDocument/2006/relationships/hyperlink" Target="https://cmfclearinghouse.fhwa.dot.gov/detail.php?facid=2346"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gis.indot.in.gov/portal/apps/experiencebuilder/experience/?id=85f0c0162dd04e349554053692a3e26f&amp;draft=true"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stats.indiana.edu/maptools/c2020/tracts.asp" TargetMode="External"/><Relationship Id="rId1" Type="http://schemas.openxmlformats.org/officeDocument/2006/relationships/hyperlink" Target="https://experience.arcgis.com/experience/0920984aa80a4362b8778d779b090723/page/ETC-Explorer---State-Results/" TargetMode="External"/><Relationship Id="rId4" Type="http://schemas.openxmlformats.org/officeDocument/2006/relationships/drawing" Target="../drawings/drawing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8"/>
  <sheetViews>
    <sheetView showGridLines="0" tabSelected="1" showRuler="0" view="pageLayout" zoomScale="70" zoomScaleNormal="70" zoomScalePageLayoutView="70" workbookViewId="0">
      <selection activeCell="B22" sqref="B22:E22"/>
    </sheetView>
  </sheetViews>
  <sheetFormatPr defaultRowHeight="15" x14ac:dyDescent="0.25"/>
  <cols>
    <col min="1" max="1" width="2.140625" customWidth="1"/>
    <col min="2" max="2" width="16.5703125" customWidth="1"/>
    <col min="3" max="3" width="0.140625" customWidth="1"/>
    <col min="4" max="4" width="24" customWidth="1"/>
    <col min="5" max="5" width="25.140625" customWidth="1"/>
    <col min="6" max="6" width="10.28515625" bestFit="1" customWidth="1"/>
    <col min="7" max="7" width="54.85546875" customWidth="1"/>
    <col min="8" max="8" width="29.28515625" customWidth="1"/>
    <col min="9" max="9" width="32.42578125" customWidth="1"/>
    <col min="12" max="12" width="9.140625" style="105"/>
  </cols>
  <sheetData>
    <row r="1" spans="2:12" ht="15.75" thickBot="1" x14ac:dyDescent="0.3">
      <c r="B1" s="103"/>
      <c r="C1" s="103"/>
      <c r="D1" s="103"/>
      <c r="E1" s="104"/>
      <c r="F1" s="104"/>
      <c r="G1" s="104"/>
      <c r="H1" s="104"/>
      <c r="I1" s="104"/>
    </row>
    <row r="2" spans="2:12" ht="18.75" customHeight="1" x14ac:dyDescent="0.35">
      <c r="B2" s="106" t="s">
        <v>0</v>
      </c>
      <c r="C2" s="107"/>
      <c r="D2" s="319"/>
      <c r="E2" s="320"/>
      <c r="F2" s="315" t="s">
        <v>1</v>
      </c>
      <c r="G2" s="316"/>
      <c r="H2" s="515"/>
      <c r="I2" s="108"/>
    </row>
    <row r="3" spans="2:12" ht="18.75" customHeight="1" x14ac:dyDescent="0.35">
      <c r="B3" s="109" t="s">
        <v>2</v>
      </c>
      <c r="C3" s="110"/>
      <c r="D3" s="321"/>
      <c r="E3" s="322"/>
      <c r="F3" s="325" t="s">
        <v>3</v>
      </c>
      <c r="G3" s="327"/>
      <c r="H3" s="111">
        <v>100000000</v>
      </c>
      <c r="I3" s="112"/>
    </row>
    <row r="4" spans="2:12" ht="18.75" customHeight="1" x14ac:dyDescent="0.35">
      <c r="B4" s="109" t="s">
        <v>4</v>
      </c>
      <c r="C4" s="110"/>
      <c r="D4" s="321"/>
      <c r="E4" s="322"/>
      <c r="F4" s="325" t="s">
        <v>5</v>
      </c>
      <c r="G4" s="327"/>
      <c r="H4" s="113"/>
      <c r="I4" s="108"/>
    </row>
    <row r="5" spans="2:12" ht="18.75" customHeight="1" x14ac:dyDescent="0.35">
      <c r="B5" s="109" t="s">
        <v>6</v>
      </c>
      <c r="C5" s="110"/>
      <c r="D5" s="321"/>
      <c r="E5" s="322"/>
      <c r="F5" s="325" t="s">
        <v>7</v>
      </c>
      <c r="G5" s="327"/>
      <c r="H5" s="113"/>
      <c r="I5" s="108"/>
    </row>
    <row r="6" spans="2:12" ht="18.75" customHeight="1" x14ac:dyDescent="0.35">
      <c r="B6" s="109" t="s">
        <v>8</v>
      </c>
      <c r="C6" s="110"/>
      <c r="D6" s="317"/>
      <c r="E6" s="318"/>
      <c r="F6" s="318"/>
      <c r="G6" s="318"/>
      <c r="H6" s="114"/>
      <c r="I6" s="115"/>
    </row>
    <row r="7" spans="2:12" ht="18.75" customHeight="1" thickBot="1" x14ac:dyDescent="0.4">
      <c r="B7" s="109" t="s">
        <v>9</v>
      </c>
      <c r="C7" s="110"/>
      <c r="D7" s="317"/>
      <c r="E7" s="318"/>
      <c r="F7" s="318"/>
      <c r="G7" s="318"/>
      <c r="H7" s="116"/>
      <c r="I7" s="108"/>
    </row>
    <row r="8" spans="2:12" ht="23.25" customHeight="1" thickTop="1" x14ac:dyDescent="0.35">
      <c r="B8" s="117" t="str">
        <f>HYPERLINK("https://www.google.com/maps?q="&amp;D8&amp;","&amp;E8, "LAT,LONG:")</f>
        <v>LAT,LONG:</v>
      </c>
      <c r="C8" s="118"/>
      <c r="D8" s="155"/>
      <c r="E8" s="156"/>
      <c r="F8" s="325" t="s">
        <v>10</v>
      </c>
      <c r="G8" s="326"/>
      <c r="H8" s="347">
        <f>F32</f>
        <v>0</v>
      </c>
      <c r="I8" s="119"/>
    </row>
    <row r="9" spans="2:12" ht="82.5" customHeight="1" thickBot="1" x14ac:dyDescent="0.3">
      <c r="B9" s="145" t="s">
        <v>11</v>
      </c>
      <c r="C9" s="120"/>
      <c r="D9" s="349"/>
      <c r="E9" s="350"/>
      <c r="F9" s="350"/>
      <c r="G9" s="350"/>
      <c r="H9" s="348"/>
      <c r="I9" s="119"/>
    </row>
    <row r="10" spans="2:12" ht="12" customHeight="1" thickBot="1" x14ac:dyDescent="0.35">
      <c r="B10" s="121"/>
      <c r="C10" s="121"/>
      <c r="D10" s="121"/>
      <c r="E10" s="122"/>
      <c r="F10" s="122"/>
      <c r="G10" s="122"/>
      <c r="H10" s="122"/>
      <c r="I10" s="122"/>
    </row>
    <row r="11" spans="2:12" ht="29.25" customHeight="1" thickBot="1" x14ac:dyDescent="0.35">
      <c r="B11" s="357" t="s">
        <v>2237</v>
      </c>
      <c r="C11" s="358"/>
      <c r="D11" s="358"/>
      <c r="E11" s="358"/>
      <c r="F11" s="358"/>
      <c r="G11" s="358"/>
      <c r="H11" s="359"/>
      <c r="I11" s="122"/>
    </row>
    <row r="12" spans="2:12" ht="29.25" customHeight="1" x14ac:dyDescent="0.3">
      <c r="B12" s="360" t="s">
        <v>2238</v>
      </c>
      <c r="C12" s="361"/>
      <c r="D12" s="361"/>
      <c r="E12" s="361"/>
      <c r="F12" s="361"/>
      <c r="G12" s="362" t="s">
        <v>2239</v>
      </c>
      <c r="H12" s="363"/>
      <c r="I12" s="122"/>
    </row>
    <row r="13" spans="2:12" ht="29.25" customHeight="1" thickBot="1" x14ac:dyDescent="0.35">
      <c r="B13" s="351" t="s">
        <v>2242</v>
      </c>
      <c r="C13" s="353"/>
      <c r="D13" s="353"/>
      <c r="E13" s="353"/>
      <c r="F13" s="353"/>
      <c r="G13" s="364" t="s">
        <v>2240</v>
      </c>
      <c r="H13" s="365"/>
      <c r="I13" s="122"/>
    </row>
    <row r="14" spans="2:12" ht="29.25" customHeight="1" thickBot="1" x14ac:dyDescent="0.35">
      <c r="B14" s="121"/>
      <c r="C14" s="121"/>
      <c r="D14" s="121"/>
      <c r="E14" s="122"/>
      <c r="F14" s="122"/>
      <c r="G14" s="122"/>
      <c r="H14" s="122"/>
      <c r="I14" s="122"/>
    </row>
    <row r="15" spans="2:12" ht="24" thickBot="1" x14ac:dyDescent="0.3">
      <c r="B15" s="371" t="s">
        <v>12</v>
      </c>
      <c r="C15" s="372"/>
      <c r="D15" s="372"/>
      <c r="E15" s="334"/>
      <c r="F15" s="123" t="s">
        <v>13</v>
      </c>
      <c r="G15" s="179" t="s">
        <v>14</v>
      </c>
      <c r="H15" s="124" t="s">
        <v>15</v>
      </c>
      <c r="K15" s="105"/>
      <c r="L15"/>
    </row>
    <row r="16" spans="2:12" ht="30" customHeight="1" x14ac:dyDescent="0.25">
      <c r="B16" s="345" t="s">
        <v>16</v>
      </c>
      <c r="C16" s="373"/>
      <c r="D16" s="373"/>
      <c r="E16" s="346"/>
      <c r="F16" s="152">
        <f>IF(TSAT!I11="",0,TSAT!I11)</f>
        <v>0</v>
      </c>
      <c r="G16" s="149">
        <f>'F1 Crash Severity'!C9</f>
        <v>0</v>
      </c>
      <c r="H16" s="150">
        <v>30</v>
      </c>
      <c r="K16" s="105"/>
      <c r="L16"/>
    </row>
    <row r="17" spans="1:12" ht="30" customHeight="1" x14ac:dyDescent="0.25">
      <c r="B17" s="374" t="s">
        <v>17</v>
      </c>
      <c r="C17" s="375"/>
      <c r="D17" s="375"/>
      <c r="E17" s="376"/>
      <c r="F17" s="153">
        <f>IF(TSAT!J11="",0,TSAT!J11)</f>
        <v>0</v>
      </c>
      <c r="G17" s="125">
        <f>'F2 Crash Frequency'!C9</f>
        <v>0</v>
      </c>
      <c r="H17" s="140">
        <v>9</v>
      </c>
      <c r="J17" s="105"/>
      <c r="K17" s="105"/>
      <c r="L17"/>
    </row>
    <row r="18" spans="1:12" ht="41.25" customHeight="1" thickBot="1" x14ac:dyDescent="0.3">
      <c r="B18" s="351" t="s">
        <v>18</v>
      </c>
      <c r="C18" s="352"/>
      <c r="D18" s="352"/>
      <c r="E18" s="353"/>
      <c r="F18" s="151">
        <f>'F3 Cost Effectiveness'!K23</f>
        <v>0</v>
      </c>
      <c r="G18" s="134">
        <f>'F3 Cost Effectiveness'!K26</f>
        <v>0</v>
      </c>
      <c r="H18" s="141">
        <v>45</v>
      </c>
      <c r="J18" s="105"/>
      <c r="K18" s="105"/>
      <c r="L18"/>
    </row>
    <row r="19" spans="1:12" ht="24" customHeight="1" thickBot="1" x14ac:dyDescent="0.3">
      <c r="A19" s="126"/>
      <c r="B19" s="330" t="s">
        <v>19</v>
      </c>
      <c r="C19" s="331"/>
      <c r="D19" s="331"/>
      <c r="E19" s="331"/>
      <c r="F19" s="332"/>
      <c r="G19" s="177">
        <f>SUM(G16:G18)</f>
        <v>0</v>
      </c>
      <c r="H19" s="148">
        <f>SUM(H16:H18)</f>
        <v>84</v>
      </c>
      <c r="K19" s="105"/>
    </row>
    <row r="20" spans="1:12" ht="12" customHeight="1" thickBot="1" x14ac:dyDescent="0.35">
      <c r="I20" s="122"/>
    </row>
    <row r="21" spans="1:12" ht="24" thickBot="1" x14ac:dyDescent="0.3">
      <c r="B21" s="354" t="s">
        <v>20</v>
      </c>
      <c r="C21" s="343"/>
      <c r="D21" s="343"/>
      <c r="E21" s="355"/>
      <c r="F21" s="343" t="s">
        <v>14</v>
      </c>
      <c r="G21" s="343"/>
      <c r="H21" s="124" t="s">
        <v>15</v>
      </c>
      <c r="K21" s="105"/>
      <c r="L21"/>
    </row>
    <row r="22" spans="1:12" ht="41.1" customHeight="1" x14ac:dyDescent="0.25">
      <c r="B22" s="345" t="s">
        <v>2151</v>
      </c>
      <c r="C22" s="346"/>
      <c r="D22" s="346"/>
      <c r="E22" s="346"/>
      <c r="F22" s="356">
        <f>'F4 Trauma Center Proximity'!C11</f>
        <v>0</v>
      </c>
      <c r="G22" s="356"/>
      <c r="H22" s="150">
        <v>4</v>
      </c>
      <c r="K22" s="105"/>
      <c r="L22"/>
    </row>
    <row r="23" spans="1:12" ht="79.5" customHeight="1" x14ac:dyDescent="0.25">
      <c r="B23" s="345" t="s">
        <v>2152</v>
      </c>
      <c r="C23" s="346"/>
      <c r="D23" s="346"/>
      <c r="E23" s="346"/>
      <c r="F23" s="341">
        <f>'F5 Mobility Improvement'!C9</f>
        <v>0</v>
      </c>
      <c r="G23" s="342"/>
      <c r="H23" s="150">
        <v>4</v>
      </c>
      <c r="J23" s="105"/>
      <c r="K23" s="105"/>
      <c r="L23"/>
    </row>
    <row r="24" spans="1:12" ht="76.5" customHeight="1" x14ac:dyDescent="0.25">
      <c r="B24" s="345" t="s">
        <v>2153</v>
      </c>
      <c r="C24" s="346"/>
      <c r="D24" s="346"/>
      <c r="E24" s="346"/>
      <c r="F24" s="339">
        <f>'F6 Public and Other Interest'!C9</f>
        <v>0</v>
      </c>
      <c r="G24" s="340"/>
      <c r="H24" s="140">
        <v>4</v>
      </c>
      <c r="J24" s="105"/>
      <c r="K24" s="105"/>
      <c r="L24"/>
    </row>
    <row r="25" spans="1:12" ht="76.5" customHeight="1" thickBot="1" x14ac:dyDescent="0.3">
      <c r="B25" s="345" t="s">
        <v>2154</v>
      </c>
      <c r="C25" s="346"/>
      <c r="D25" s="346"/>
      <c r="E25" s="346"/>
      <c r="F25" s="337">
        <f>'F7 Economic Factors'!D9</f>
        <v>0</v>
      </c>
      <c r="G25" s="338"/>
      <c r="H25" s="141">
        <v>4</v>
      </c>
      <c r="J25" s="105"/>
      <c r="K25" s="105"/>
      <c r="L25"/>
    </row>
    <row r="26" spans="1:12" ht="24" customHeight="1" thickBot="1" x14ac:dyDescent="0.3">
      <c r="B26" s="330" t="s">
        <v>21</v>
      </c>
      <c r="C26" s="331"/>
      <c r="D26" s="331"/>
      <c r="E26" s="332"/>
      <c r="F26" s="328">
        <f>SUM(F22:F25)</f>
        <v>0</v>
      </c>
      <c r="G26" s="344"/>
      <c r="H26" s="142">
        <f>SUM(H22:H25)</f>
        <v>16</v>
      </c>
      <c r="J26" s="105"/>
      <c r="K26" s="105"/>
      <c r="L26"/>
    </row>
    <row r="27" spans="1:12" ht="24" thickBot="1" x14ac:dyDescent="0.3">
      <c r="B27" s="127"/>
      <c r="C27" s="127"/>
      <c r="D27" s="127"/>
      <c r="E27" s="127"/>
      <c r="F27" s="127"/>
      <c r="G27" s="127"/>
      <c r="H27" s="128"/>
      <c r="J27" s="105"/>
      <c r="K27" s="105"/>
      <c r="L27"/>
    </row>
    <row r="28" spans="1:12" ht="24" thickBot="1" x14ac:dyDescent="0.3">
      <c r="B28" s="354" t="s">
        <v>22</v>
      </c>
      <c r="C28" s="334"/>
      <c r="D28" s="334"/>
      <c r="E28" s="355"/>
      <c r="F28" s="333" t="s">
        <v>14</v>
      </c>
      <c r="G28" s="334"/>
      <c r="H28" s="124" t="s">
        <v>15</v>
      </c>
      <c r="J28" s="105"/>
      <c r="K28" s="105"/>
      <c r="L28"/>
    </row>
    <row r="29" spans="1:12" ht="21.75" customHeight="1" thickBot="1" x14ac:dyDescent="0.3">
      <c r="B29" s="345" t="s">
        <v>2155</v>
      </c>
      <c r="C29" s="346"/>
      <c r="D29" s="346"/>
      <c r="E29" s="346"/>
      <c r="F29" s="335">
        <f>'F8 Earmarks and External Cont.'!C9</f>
        <v>0</v>
      </c>
      <c r="G29" s="336"/>
      <c r="H29" s="143">
        <v>25</v>
      </c>
      <c r="I29" s="130"/>
      <c r="K29" s="105"/>
    </row>
    <row r="30" spans="1:12" ht="21.75" thickBot="1" x14ac:dyDescent="0.3">
      <c r="B30" s="330" t="s">
        <v>23</v>
      </c>
      <c r="C30" s="331"/>
      <c r="D30" s="331"/>
      <c r="E30" s="331"/>
      <c r="F30" s="328">
        <f>SUM(F29:F29)</f>
        <v>0</v>
      </c>
      <c r="G30" s="329"/>
      <c r="H30" s="178">
        <f>SUM(H29:H29)</f>
        <v>25</v>
      </c>
      <c r="J30" s="105"/>
      <c r="K30" s="105"/>
      <c r="L30"/>
    </row>
    <row r="31" spans="1:12" ht="24" thickBot="1" x14ac:dyDescent="0.3">
      <c r="B31" s="131"/>
      <c r="C31" s="131"/>
      <c r="D31" s="131"/>
      <c r="E31" s="131"/>
      <c r="F31" s="131"/>
      <c r="G31" s="128"/>
      <c r="H31" s="129"/>
      <c r="J31" s="105"/>
      <c r="K31" s="105"/>
      <c r="L31"/>
    </row>
    <row r="32" spans="1:12" ht="46.5" customHeight="1" thickBot="1" x14ac:dyDescent="0.3">
      <c r="B32" s="368" t="s">
        <v>24</v>
      </c>
      <c r="C32" s="369"/>
      <c r="D32" s="369"/>
      <c r="E32" s="370"/>
      <c r="F32" s="323">
        <f>ROUND(IF(SUM(F30,G19,F26)&gt;100,100,SUM(F30,F26,G19)),0)</f>
        <v>0</v>
      </c>
      <c r="G32" s="324"/>
      <c r="H32" s="144">
        <f>SUM(H19,H26)</f>
        <v>100</v>
      </c>
      <c r="J32" s="105"/>
      <c r="K32" s="105"/>
      <c r="L32"/>
    </row>
    <row r="33" spans="2:11" ht="24" customHeight="1" x14ac:dyDescent="0.25">
      <c r="I33" s="130"/>
      <c r="K33" s="105"/>
    </row>
    <row r="34" spans="2:11" ht="29.25" customHeight="1" x14ac:dyDescent="0.35">
      <c r="B34" s="383" t="s">
        <v>25</v>
      </c>
      <c r="C34" s="383"/>
      <c r="D34" s="383"/>
      <c r="E34" s="383"/>
      <c r="F34" s="383"/>
      <c r="G34" s="383"/>
      <c r="K34" s="105"/>
    </row>
    <row r="35" spans="2:11" ht="15.75" thickBot="1" x14ac:dyDescent="0.3">
      <c r="K35" s="105"/>
    </row>
    <row r="36" spans="2:11" ht="21" x14ac:dyDescent="0.25">
      <c r="B36" s="366" t="s">
        <v>26</v>
      </c>
      <c r="C36" s="10" t="str">
        <f>IF(ISBLANK(D36),"Type justification for selection here with all necessary background information. If points were received in this category, justification is required.",D36)</f>
        <v>Type justification for selection here with all necessary background information. If points were received in this category, justification is required.</v>
      </c>
      <c r="D36" s="377"/>
      <c r="E36" s="378"/>
      <c r="F36" s="378"/>
      <c r="G36" s="378"/>
      <c r="H36" s="378"/>
      <c r="I36" s="379"/>
      <c r="K36" s="105"/>
    </row>
    <row r="37" spans="2:11" ht="21.75" thickBot="1" x14ac:dyDescent="0.3">
      <c r="B37" s="367"/>
      <c r="C37" s="16"/>
      <c r="D37" s="380"/>
      <c r="E37" s="381"/>
      <c r="F37" s="381"/>
      <c r="G37" s="381"/>
      <c r="H37" s="381"/>
      <c r="I37" s="382"/>
      <c r="K37" s="105"/>
    </row>
    <row r="38" spans="2:11" ht="21" x14ac:dyDescent="0.25">
      <c r="B38" s="366" t="s">
        <v>27</v>
      </c>
      <c r="C38" s="10" t="str">
        <f>IF(ISBLANK(D38),"Type justification for selection here with all necessary background information. If points were received in this category, justification is required.",D38)</f>
        <v>Type justification for selection here with all necessary background information. If points were received in this category, justification is required.</v>
      </c>
      <c r="D38" s="378"/>
      <c r="E38" s="378"/>
      <c r="F38" s="378"/>
      <c r="G38" s="378"/>
      <c r="H38" s="378"/>
      <c r="I38" s="379"/>
      <c r="K38" s="105"/>
    </row>
    <row r="39" spans="2:11" ht="21.75" thickBot="1" x14ac:dyDescent="0.3">
      <c r="B39" s="367"/>
      <c r="C39" s="16"/>
      <c r="D39" s="381"/>
      <c r="E39" s="381"/>
      <c r="F39" s="381"/>
      <c r="G39" s="381"/>
      <c r="H39" s="381"/>
      <c r="I39" s="382"/>
      <c r="K39" s="105"/>
    </row>
    <row r="40" spans="2:11" ht="21" x14ac:dyDescent="0.25">
      <c r="B40" s="366" t="s">
        <v>28</v>
      </c>
      <c r="C40" s="10" t="str">
        <f>IF(ISBLANK(D40),"Type justification for selection here with all necessary background information. If points were received in this category, justification is required.",D40)</f>
        <v>Type justification for selection here with all necessary background information. If points were received in this category, justification is required.</v>
      </c>
      <c r="D40" s="378"/>
      <c r="E40" s="378"/>
      <c r="F40" s="378"/>
      <c r="G40" s="378"/>
      <c r="H40" s="378"/>
      <c r="I40" s="379"/>
      <c r="K40" s="105"/>
    </row>
    <row r="41" spans="2:11" ht="21.75" thickBot="1" x14ac:dyDescent="0.3">
      <c r="B41" s="367"/>
      <c r="C41" s="16"/>
      <c r="D41" s="381"/>
      <c r="E41" s="381"/>
      <c r="F41" s="381"/>
      <c r="G41" s="381"/>
      <c r="H41" s="381"/>
      <c r="I41" s="382"/>
      <c r="K41" s="105"/>
    </row>
    <row r="42" spans="2:11" ht="21" x14ac:dyDescent="0.25">
      <c r="B42" s="366" t="s">
        <v>29</v>
      </c>
      <c r="C42" s="10" t="str">
        <f>IF(ISBLANK(D42),"Type justification for selection here with all necessary background information. If points were received in this category, justification is required.",D42)</f>
        <v>Type justification for selection here with all necessary background information. If points were received in this category, justification is required.</v>
      </c>
      <c r="D42" s="378"/>
      <c r="E42" s="378"/>
      <c r="F42" s="378"/>
      <c r="G42" s="378"/>
      <c r="H42" s="378"/>
      <c r="I42" s="379"/>
      <c r="K42" s="105"/>
    </row>
    <row r="43" spans="2:11" ht="21.75" thickBot="1" x14ac:dyDescent="0.3">
      <c r="B43" s="367"/>
      <c r="C43" s="16"/>
      <c r="D43" s="381"/>
      <c r="E43" s="381"/>
      <c r="F43" s="381"/>
      <c r="G43" s="381"/>
      <c r="H43" s="381"/>
      <c r="I43" s="382"/>
      <c r="K43" s="105"/>
    </row>
    <row r="44" spans="2:11" ht="21" x14ac:dyDescent="0.25">
      <c r="B44" s="366" t="s">
        <v>30</v>
      </c>
      <c r="C44" s="10" t="str">
        <f>IF(ISBLANK(D44),"Type justification for selection here with all necessary background information. If points were received in this category, justification is required.",D44)</f>
        <v>Type justification for selection here with all necessary background information. If points were received in this category, justification is required.</v>
      </c>
      <c r="D44" s="378"/>
      <c r="E44" s="378"/>
      <c r="F44" s="378"/>
      <c r="G44" s="378"/>
      <c r="H44" s="378"/>
      <c r="I44" s="379"/>
      <c r="K44" s="105"/>
    </row>
    <row r="45" spans="2:11" ht="21.75" thickBot="1" x14ac:dyDescent="0.3">
      <c r="B45" s="367"/>
      <c r="C45" s="16"/>
      <c r="D45" s="381"/>
      <c r="E45" s="381"/>
      <c r="F45" s="381"/>
      <c r="G45" s="381"/>
      <c r="H45" s="381"/>
      <c r="I45" s="382"/>
      <c r="K45" s="105"/>
    </row>
    <row r="46" spans="2:11" ht="21" x14ac:dyDescent="0.25">
      <c r="B46" s="366" t="s">
        <v>31</v>
      </c>
      <c r="C46" s="10" t="str">
        <f>IF(ISBLANK(D46),"Type justification for selection here with all necessary background information. If points were received in this category, justification is required.",D46)</f>
        <v>Type justification for selection here with all necessary background information. If points were received in this category, justification is required.</v>
      </c>
      <c r="D46" s="378"/>
      <c r="E46" s="378"/>
      <c r="F46" s="378"/>
      <c r="G46" s="378"/>
      <c r="H46" s="378"/>
      <c r="I46" s="379"/>
      <c r="K46" s="105"/>
    </row>
    <row r="47" spans="2:11" ht="21.75" thickBot="1" x14ac:dyDescent="0.3">
      <c r="B47" s="367"/>
      <c r="C47" s="16"/>
      <c r="D47" s="381"/>
      <c r="E47" s="381"/>
      <c r="F47" s="381"/>
      <c r="G47" s="381"/>
      <c r="H47" s="381"/>
      <c r="I47" s="382"/>
      <c r="K47" s="105"/>
    </row>
    <row r="48" spans="2:11" ht="21" x14ac:dyDescent="0.25">
      <c r="B48" s="366" t="s">
        <v>32</v>
      </c>
      <c r="C48" s="10" t="str">
        <f>IF(ISBLANK(D48),"Provide other information in this space as needed.",D48)</f>
        <v>Provide other information in this space as needed.</v>
      </c>
      <c r="D48" s="377"/>
      <c r="E48" s="378"/>
      <c r="F48" s="378"/>
      <c r="G48" s="378"/>
      <c r="H48" s="378"/>
      <c r="I48" s="379"/>
      <c r="K48" s="105"/>
    </row>
    <row r="49" spans="2:11" ht="21.75" thickBot="1" x14ac:dyDescent="0.3">
      <c r="B49" s="367"/>
      <c r="C49" s="16"/>
      <c r="D49" s="380"/>
      <c r="E49" s="381"/>
      <c r="F49" s="381"/>
      <c r="G49" s="381"/>
      <c r="H49" s="381"/>
      <c r="I49" s="382"/>
      <c r="K49" s="105"/>
    </row>
    <row r="50" spans="2:11" ht="30.75" customHeight="1" x14ac:dyDescent="0.25">
      <c r="B50" s="366" t="s">
        <v>2165</v>
      </c>
      <c r="C50" s="10" t="str">
        <f>IF(ISBLANK(D50),"Provide other information in this space as needed.",D50)</f>
        <v>Provide other information in this space as needed.</v>
      </c>
      <c r="D50" s="377"/>
      <c r="E50" s="378"/>
      <c r="F50" s="378"/>
      <c r="G50" s="378"/>
      <c r="H50" s="378"/>
      <c r="I50" s="379"/>
      <c r="K50" s="105"/>
    </row>
    <row r="51" spans="2:11" ht="21.75" thickBot="1" x14ac:dyDescent="0.3">
      <c r="B51" s="367"/>
      <c r="C51" s="16"/>
      <c r="D51" s="380"/>
      <c r="E51" s="381"/>
      <c r="F51" s="381"/>
      <c r="G51" s="381"/>
      <c r="H51" s="381"/>
      <c r="I51" s="382"/>
      <c r="K51" s="105"/>
    </row>
    <row r="52" spans="2:11" x14ac:dyDescent="0.25">
      <c r="K52" s="105"/>
    </row>
    <row r="53" spans="2:11" x14ac:dyDescent="0.25">
      <c r="K53" s="105"/>
    </row>
    <row r="54" spans="2:11" x14ac:dyDescent="0.25">
      <c r="K54" s="105"/>
    </row>
    <row r="55" spans="2:11" x14ac:dyDescent="0.25">
      <c r="K55" s="105"/>
    </row>
    <row r="56" spans="2:11" x14ac:dyDescent="0.25">
      <c r="K56" s="105"/>
    </row>
    <row r="57" spans="2:11" x14ac:dyDescent="0.25">
      <c r="K57" s="105"/>
    </row>
    <row r="58" spans="2:11" x14ac:dyDescent="0.25">
      <c r="K58" s="105"/>
    </row>
    <row r="59" spans="2:11" x14ac:dyDescent="0.25">
      <c r="K59" s="105"/>
    </row>
    <row r="60" spans="2:11" x14ac:dyDescent="0.25">
      <c r="K60" s="105"/>
    </row>
    <row r="61" spans="2:11" x14ac:dyDescent="0.25">
      <c r="K61" s="105"/>
    </row>
    <row r="62" spans="2:11" x14ac:dyDescent="0.25">
      <c r="K62" s="105"/>
    </row>
    <row r="63" spans="2:11" x14ac:dyDescent="0.25">
      <c r="K63" s="105"/>
    </row>
    <row r="64" spans="2:11" x14ac:dyDescent="0.25">
      <c r="K64" s="105"/>
    </row>
    <row r="65" spans="11:11" x14ac:dyDescent="0.25">
      <c r="K65" s="105"/>
    </row>
    <row r="66" spans="11:11" x14ac:dyDescent="0.25">
      <c r="K66" s="105"/>
    </row>
    <row r="67" spans="11:11" x14ac:dyDescent="0.25">
      <c r="K67" s="105"/>
    </row>
    <row r="68" spans="11:11" x14ac:dyDescent="0.25">
      <c r="K68" s="105"/>
    </row>
  </sheetData>
  <sheetProtection algorithmName="SHA-512" hashValue="jSdWjlGtvVR01MO/Mx/aFnLeNiLg9Kxj+y9oIabyUJFLBWNpSOhaiMgIaW+tcmtyVuo5i4edLrrDGTFVuK5xIQ==" saltValue="WprBuoKKU7YOSYLS/vODGw==" spinCount="100000" sheet="1" objects="1" scenarios="1"/>
  <mergeCells count="60">
    <mergeCell ref="B50:B51"/>
    <mergeCell ref="D50:I51"/>
    <mergeCell ref="B34:G34"/>
    <mergeCell ref="D36:I37"/>
    <mergeCell ref="D48:I49"/>
    <mergeCell ref="D38:I39"/>
    <mergeCell ref="D46:I47"/>
    <mergeCell ref="D44:I45"/>
    <mergeCell ref="D42:I43"/>
    <mergeCell ref="D40:I41"/>
    <mergeCell ref="B48:B49"/>
    <mergeCell ref="B38:B39"/>
    <mergeCell ref="B40:B41"/>
    <mergeCell ref="B42:B43"/>
    <mergeCell ref="B36:B37"/>
    <mergeCell ref="B46:B47"/>
    <mergeCell ref="B44:B45"/>
    <mergeCell ref="B32:E32"/>
    <mergeCell ref="B15:E15"/>
    <mergeCell ref="B16:E16"/>
    <mergeCell ref="B17:E17"/>
    <mergeCell ref="B30:E30"/>
    <mergeCell ref="H8:H9"/>
    <mergeCell ref="D9:G9"/>
    <mergeCell ref="B29:E29"/>
    <mergeCell ref="B23:E23"/>
    <mergeCell ref="B18:E18"/>
    <mergeCell ref="B26:E26"/>
    <mergeCell ref="B21:E21"/>
    <mergeCell ref="B28:E28"/>
    <mergeCell ref="B25:E25"/>
    <mergeCell ref="F22:G22"/>
    <mergeCell ref="B11:H11"/>
    <mergeCell ref="B12:F12"/>
    <mergeCell ref="B13:F13"/>
    <mergeCell ref="G12:H12"/>
    <mergeCell ref="G13:H13"/>
    <mergeCell ref="F32:G32"/>
    <mergeCell ref="F8:G8"/>
    <mergeCell ref="F5:G5"/>
    <mergeCell ref="F4:G4"/>
    <mergeCell ref="F3:G3"/>
    <mergeCell ref="F30:G30"/>
    <mergeCell ref="B19:F19"/>
    <mergeCell ref="F28:G28"/>
    <mergeCell ref="F29:G29"/>
    <mergeCell ref="F25:G25"/>
    <mergeCell ref="F24:G24"/>
    <mergeCell ref="F23:G23"/>
    <mergeCell ref="F21:G21"/>
    <mergeCell ref="F26:G26"/>
    <mergeCell ref="B24:E24"/>
    <mergeCell ref="B22:E22"/>
    <mergeCell ref="F2:G2"/>
    <mergeCell ref="D7:G7"/>
    <mergeCell ref="D2:E2"/>
    <mergeCell ref="D3:E3"/>
    <mergeCell ref="D4:E4"/>
    <mergeCell ref="D5:E5"/>
    <mergeCell ref="D6:G6"/>
  </mergeCells>
  <conditionalFormatting sqref="D36 D38 D40 D42 D44 D46 D48">
    <cfRule type="cellIs" dxfId="26" priority="2" operator="notEqual">
      <formula>"Type justification for selection here with necessary background information."</formula>
    </cfRule>
  </conditionalFormatting>
  <conditionalFormatting sqref="D50">
    <cfRule type="cellIs" dxfId="25" priority="1" operator="notEqual">
      <formula>"Type justification for selection here with necessary background information."</formula>
    </cfRule>
  </conditionalFormatting>
  <dataValidations count="5">
    <dataValidation type="decimal" allowBlank="1" showInputMessage="1" showErrorMessage="1" sqref="D8" xr:uid="{00000000-0002-0000-0000-000000000000}">
      <formula1>37.768868</formula1>
      <formula2>41.787566</formula2>
    </dataValidation>
    <dataValidation type="decimal" allowBlank="1" showInputMessage="1" showErrorMessage="1" sqref="E8" xr:uid="{00000000-0002-0000-0000-000001000000}">
      <formula1>-88.214288</formula1>
      <formula2>-84.76035</formula2>
    </dataValidation>
    <dataValidation type="whole" allowBlank="1" showInputMessage="1" showErrorMessage="1" sqref="H3" xr:uid="{00000000-0002-0000-0000-000002000000}">
      <formula1>100</formula1>
      <formula2>100000000</formula2>
    </dataValidation>
    <dataValidation type="whole" allowBlank="1" showInputMessage="1" showErrorMessage="1" sqref="D2:E2" xr:uid="{00000000-0002-0000-0000-000003000000}">
      <formula1>0</formula1>
      <formula2>100000000</formula2>
    </dataValidation>
    <dataValidation type="list" allowBlank="1" showInputMessage="1" showErrorMessage="1" sqref="D4:E4" xr:uid="{00000000-0002-0000-0000-000007000000}">
      <formula1>District</formula1>
    </dataValidation>
  </dataValidations>
  <hyperlinks>
    <hyperlink ref="B16:E16" location="'F1 Crash Severity'!A1" display="Factor 1: Crash Severity (ICC)" xr:uid="{4BFC8029-C9D1-4213-9713-D025D897BA2B}"/>
    <hyperlink ref="B17:E17" location="'F2 Crash Frequency'!A1" display="Factor 2: Crash Frequency (ICF)    " xr:uid="{FC7D0CE8-D852-4473-9916-9AF491F9069F}"/>
    <hyperlink ref="B18:E18" location="'F3 Cost Effectiveness'!A1" display="Factor 3: Cost-Effectiveness  " xr:uid="{43996DFD-3AF8-4E0F-8C56-AE60C45BB465}"/>
    <hyperlink ref="B23:E23" location="'F5 Mobility Improvement'!A1" display="Factor 5: Mobility Improvement" xr:uid="{CB9DE9E6-D441-498A-B2FA-8253DD87CF6A}"/>
    <hyperlink ref="B24:E24" location="'F6 Public and Other Interest'!A1" display="Factor 6: Public and Other Interest" xr:uid="{AB647526-F93B-401C-B1BB-8199B0F90868}"/>
    <hyperlink ref="B29:E29" location="'F8 Earmarks and External Cont.'!A1" display="Factor 8: Earmarks &amp; External Contributions" xr:uid="{E74BAC24-7457-4190-B0FF-54944E09071C}"/>
    <hyperlink ref="B25:E25" location="'F7 Economic Factors'!A1" display="Factor 7: Economic Factors" xr:uid="{FE9C8367-228E-418A-9B0C-2357208AD67D}"/>
    <hyperlink ref="B22:E22" location="'F4 Trauma Center Proximity'!A1" display="Factor 4: Trauma Center Proximity" xr:uid="{8766AA46-810C-4C5D-8AF2-6EC9C49AA194}"/>
    <hyperlink ref="B12:F12" location="'Systemic Safety BC'!A1" display="Systemic Safety B/C" xr:uid="{3949F5DC-68F5-45CA-85E2-E9112205FD09}"/>
    <hyperlink ref="B13:F13" location="TSAT!A1" display="Traffic Safety Analysis Tool" xr:uid="{B2C0B562-B8B5-46C4-AD5F-D704254BFA5B}"/>
  </hyperlinks>
  <pageMargins left="0.25" right="0.25" top="0.75" bottom="0.75" header="0.3" footer="0.3"/>
  <pageSetup scale="49" orientation="portrait" r:id="rId1"/>
  <headerFooter>
    <oddHeader>&amp;L&amp;G&amp;C&amp;"-,Bold"&amp;15TSAM Team 
Trafic Safety Project Scoring Sheet
Version 26.3</oddHeader>
    <oddFooter>&amp;LPrinted &amp;D
&amp;T&amp;C&amp;F&amp;RDesigned by:
 TSAM Subcommittee 
For issues, contact:
jgallagher1@indot.in.gov</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63D84FA7-9638-427C-BC7E-7641D58B82C1}">
          <x14:formula1>
            <xm:f>INDIRECT('Cover Calculations'!$J$2)</xm:f>
          </x14:formula1>
          <xm:sqref>H5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47B28-6458-4655-8366-3719378BA60A}">
  <dimension ref="A1:B27"/>
  <sheetViews>
    <sheetView workbookViewId="0">
      <selection activeCell="H21" sqref="H21"/>
    </sheetView>
  </sheetViews>
  <sheetFormatPr defaultRowHeight="15" x14ac:dyDescent="0.25"/>
  <cols>
    <col min="1" max="1" width="5" bestFit="1" customWidth="1"/>
    <col min="2" max="2" width="18.140625" bestFit="1" customWidth="1"/>
  </cols>
  <sheetData>
    <row r="1" spans="1:2" x14ac:dyDescent="0.25">
      <c r="A1" t="s">
        <v>136</v>
      </c>
      <c r="B1" t="s">
        <v>137</v>
      </c>
    </row>
    <row r="2" spans="1:2" x14ac:dyDescent="0.25">
      <c r="A2">
        <v>-0.2</v>
      </c>
      <c r="B2">
        <f>30/(1+EXP(-8*(A2-0.45975)))</f>
        <v>0.15230163710829664</v>
      </c>
    </row>
    <row r="3" spans="1:2" x14ac:dyDescent="0.25">
      <c r="A3">
        <v>0</v>
      </c>
      <c r="B3">
        <f>30/(1+EXP(-8*(A3-0.45975)))</f>
        <v>0.73951405082171118</v>
      </c>
    </row>
    <row r="4" spans="1:2" x14ac:dyDescent="0.25">
      <c r="A4">
        <v>0.05</v>
      </c>
      <c r="B4">
        <f t="shared" ref="B4:B7" si="0">30/(1+EXP(-8*(A4-0.45975)))</f>
        <v>1.0900103567349586</v>
      </c>
    </row>
    <row r="5" spans="1:2" x14ac:dyDescent="0.25">
      <c r="A5">
        <v>0.1</v>
      </c>
      <c r="B5">
        <f t="shared" si="0"/>
        <v>1.5975563575122202</v>
      </c>
    </row>
    <row r="6" spans="1:2" x14ac:dyDescent="0.25">
      <c r="A6">
        <v>0.15</v>
      </c>
      <c r="B6">
        <f t="shared" si="0"/>
        <v>2.3224477551870724</v>
      </c>
    </row>
    <row r="7" spans="1:2" x14ac:dyDescent="0.25">
      <c r="A7">
        <v>0.2</v>
      </c>
      <c r="B7">
        <f t="shared" si="0"/>
        <v>3.3376069629950211</v>
      </c>
    </row>
    <row r="8" spans="1:2" x14ac:dyDescent="0.25">
      <c r="A8">
        <v>0.25</v>
      </c>
      <c r="B8">
        <f t="shared" ref="B8:B24" si="1">30/(1+EXP(-8*(A8-0.45975)))</f>
        <v>4.7208145053488701</v>
      </c>
    </row>
    <row r="9" spans="1:2" x14ac:dyDescent="0.25">
      <c r="A9">
        <v>0.3</v>
      </c>
      <c r="B9">
        <f t="shared" si="1"/>
        <v>6.5367258040913763</v>
      </c>
    </row>
    <row r="10" spans="1:2" x14ac:dyDescent="0.25">
      <c r="A10">
        <v>0.35</v>
      </c>
      <c r="B10">
        <f t="shared" si="1"/>
        <v>8.8077719823425085</v>
      </c>
    </row>
    <row r="11" spans="1:2" x14ac:dyDescent="0.25">
      <c r="A11">
        <v>0.4</v>
      </c>
      <c r="B11">
        <f t="shared" si="1"/>
        <v>11.481735215796281</v>
      </c>
    </row>
    <row r="12" spans="1:2" x14ac:dyDescent="0.25">
      <c r="A12">
        <v>0.45</v>
      </c>
      <c r="B12">
        <f t="shared" si="1"/>
        <v>14.415296414662626</v>
      </c>
    </row>
    <row r="13" spans="1:2" x14ac:dyDescent="0.25">
      <c r="A13">
        <v>0.5</v>
      </c>
      <c r="B13">
        <f t="shared" si="1"/>
        <v>17.394347699907748</v>
      </c>
    </row>
    <row r="14" spans="1:2" x14ac:dyDescent="0.25">
      <c r="A14">
        <v>0.55000000000000004</v>
      </c>
      <c r="B14">
        <f t="shared" si="1"/>
        <v>20.191418357156241</v>
      </c>
    </row>
    <row r="15" spans="1:2" x14ac:dyDescent="0.25">
      <c r="A15">
        <v>0.6</v>
      </c>
      <c r="B15">
        <f t="shared" si="1"/>
        <v>22.630785223071921</v>
      </c>
    </row>
    <row r="16" spans="1:2" x14ac:dyDescent="0.25">
      <c r="A16">
        <v>0.65</v>
      </c>
      <c r="B16">
        <f t="shared" si="1"/>
        <v>24.624984059304786</v>
      </c>
    </row>
    <row r="17" spans="1:2" x14ac:dyDescent="0.25">
      <c r="A17">
        <v>0.7</v>
      </c>
      <c r="B17">
        <f t="shared" si="1"/>
        <v>26.170838811282692</v>
      </c>
    </row>
    <row r="18" spans="1:2" x14ac:dyDescent="0.25">
      <c r="A18">
        <v>0.75</v>
      </c>
      <c r="B18">
        <f t="shared" si="1"/>
        <v>27.320482610784303</v>
      </c>
    </row>
    <row r="19" spans="1:2" x14ac:dyDescent="0.25">
      <c r="A19">
        <v>0.8</v>
      </c>
      <c r="B19">
        <f t="shared" si="1"/>
        <v>28.149371992477857</v>
      </c>
    </row>
    <row r="20" spans="1:2" x14ac:dyDescent="0.25">
      <c r="A20">
        <v>0.85</v>
      </c>
      <c r="B20">
        <f t="shared" si="1"/>
        <v>28.733734702241652</v>
      </c>
    </row>
    <row r="21" spans="1:2" x14ac:dyDescent="0.25">
      <c r="A21">
        <v>0.9</v>
      </c>
      <c r="B21">
        <f t="shared" si="1"/>
        <v>29.139218865332463</v>
      </c>
    </row>
    <row r="22" spans="1:2" x14ac:dyDescent="0.25">
      <c r="A22">
        <v>0.95</v>
      </c>
      <c r="B22">
        <f t="shared" si="1"/>
        <v>29.417490958626136</v>
      </c>
    </row>
    <row r="23" spans="1:2" x14ac:dyDescent="0.25">
      <c r="A23">
        <v>1</v>
      </c>
      <c r="B23">
        <f t="shared" si="1"/>
        <v>29.607016876244774</v>
      </c>
    </row>
    <row r="24" spans="1:2" x14ac:dyDescent="0.25">
      <c r="A24">
        <v>1.05</v>
      </c>
      <c r="B24">
        <f t="shared" si="1"/>
        <v>29.73543296941072</v>
      </c>
    </row>
    <row r="25" spans="1:2" x14ac:dyDescent="0.25">
      <c r="A25">
        <v>1.1000000000000001</v>
      </c>
      <c r="B25">
        <f t="shared" ref="B25:B27" si="2">30/(1+EXP(-8*(A25-0.45975)))</f>
        <v>29.822138298116858</v>
      </c>
    </row>
    <row r="26" spans="1:2" x14ac:dyDescent="0.25">
      <c r="A26">
        <v>1.1499999999999999</v>
      </c>
      <c r="B26">
        <f t="shared" si="2"/>
        <v>29.880542245918669</v>
      </c>
    </row>
    <row r="27" spans="1:2" x14ac:dyDescent="0.25">
      <c r="A27">
        <v>1.2</v>
      </c>
      <c r="B27">
        <f t="shared" si="2"/>
        <v>29.919819815373913</v>
      </c>
    </row>
  </sheetData>
  <sheetProtection algorithmName="SHA-512" hashValue="insS02+RarvYEzBc+U+KEcLAqf8uLnFWQZ+1RMObuPlYED66Jp8YD/bQ/JgVLAoA7STbwOnF7W6akv0vjhkJ/A==" saltValue="17dyWyj5YFsyJVRs2PA7e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22"/>
  <sheetViews>
    <sheetView showGridLines="0" workbookViewId="0">
      <selection activeCell="C19" sqref="C19"/>
    </sheetView>
  </sheetViews>
  <sheetFormatPr defaultColWidth="9.140625" defaultRowHeight="15" x14ac:dyDescent="0.25"/>
  <cols>
    <col min="1" max="1" width="6.85546875" style="24" customWidth="1"/>
    <col min="2" max="2" width="30.42578125" style="24" bestFit="1" customWidth="1"/>
    <col min="3" max="3" width="19.5703125" style="24" bestFit="1" customWidth="1"/>
    <col min="4" max="17" width="9.140625" style="24"/>
    <col min="18" max="18" width="21" style="24" bestFit="1" customWidth="1"/>
    <col min="19" max="16384" width="9.140625" style="24"/>
  </cols>
  <sheetData>
    <row r="1" spans="1:28" ht="15" customHeight="1" x14ac:dyDescent="0.25">
      <c r="A1" s="395" t="s">
        <v>138</v>
      </c>
      <c r="B1" s="457"/>
      <c r="C1" s="458"/>
      <c r="D1" s="439" t="s">
        <v>2228</v>
      </c>
      <c r="E1" s="440"/>
      <c r="F1" s="440"/>
      <c r="G1" s="440"/>
      <c r="H1" s="440"/>
      <c r="I1" s="440"/>
      <c r="J1" s="440"/>
      <c r="K1" s="440"/>
      <c r="L1" s="440"/>
      <c r="M1" s="440"/>
      <c r="N1" s="440"/>
      <c r="O1" s="440"/>
      <c r="P1" s="441"/>
      <c r="R1" s="23" t="s">
        <v>134</v>
      </c>
    </row>
    <row r="2" spans="1:28" x14ac:dyDescent="0.25">
      <c r="A2" s="459"/>
      <c r="B2" s="460"/>
      <c r="C2" s="461"/>
      <c r="D2" s="442"/>
      <c r="E2" s="443"/>
      <c r="F2" s="443"/>
      <c r="G2" s="443"/>
      <c r="H2" s="443"/>
      <c r="I2" s="443"/>
      <c r="J2" s="443"/>
      <c r="K2" s="443"/>
      <c r="L2" s="443"/>
      <c r="M2" s="443"/>
      <c r="N2" s="443"/>
      <c r="O2" s="443"/>
      <c r="P2" s="444"/>
    </row>
    <row r="3" spans="1:28" x14ac:dyDescent="0.25">
      <c r="A3" s="459"/>
      <c r="B3" s="460"/>
      <c r="C3" s="461"/>
      <c r="D3" s="442"/>
      <c r="E3" s="443"/>
      <c r="F3" s="443"/>
      <c r="G3" s="443"/>
      <c r="H3" s="443"/>
      <c r="I3" s="443"/>
      <c r="J3" s="443"/>
      <c r="K3" s="443"/>
      <c r="L3" s="443"/>
      <c r="M3" s="443"/>
      <c r="N3" s="443"/>
      <c r="O3" s="443"/>
      <c r="P3" s="444"/>
    </row>
    <row r="4" spans="1:28" x14ac:dyDescent="0.25">
      <c r="A4" s="459"/>
      <c r="B4" s="460"/>
      <c r="C4" s="461"/>
      <c r="D4" s="442"/>
      <c r="E4" s="443"/>
      <c r="F4" s="443"/>
      <c r="G4" s="443"/>
      <c r="H4" s="443"/>
      <c r="I4" s="443"/>
      <c r="J4" s="443"/>
      <c r="K4" s="443"/>
      <c r="L4" s="443"/>
      <c r="M4" s="443"/>
      <c r="N4" s="443"/>
      <c r="O4" s="443"/>
      <c r="P4" s="444"/>
    </row>
    <row r="5" spans="1:28" x14ac:dyDescent="0.25">
      <c r="A5" s="459"/>
      <c r="B5" s="460"/>
      <c r="C5" s="461"/>
      <c r="D5" s="442"/>
      <c r="E5" s="443"/>
      <c r="F5" s="443"/>
      <c r="G5" s="443"/>
      <c r="H5" s="443"/>
      <c r="I5" s="443"/>
      <c r="J5" s="443"/>
      <c r="K5" s="443"/>
      <c r="L5" s="443"/>
      <c r="M5" s="443"/>
      <c r="N5" s="443"/>
      <c r="O5" s="443"/>
      <c r="P5" s="444"/>
    </row>
    <row r="6" spans="1:28" ht="40.5" customHeight="1" thickBot="1" x14ac:dyDescent="0.3">
      <c r="A6" s="462"/>
      <c r="B6" s="463"/>
      <c r="C6" s="464"/>
      <c r="D6" s="445"/>
      <c r="E6" s="446"/>
      <c r="F6" s="446"/>
      <c r="G6" s="446"/>
      <c r="H6" s="446"/>
      <c r="I6" s="446"/>
      <c r="J6" s="446"/>
      <c r="K6" s="446"/>
      <c r="L6" s="446"/>
      <c r="M6" s="446"/>
      <c r="N6" s="446"/>
      <c r="O6" s="446"/>
      <c r="P6" s="447"/>
    </row>
    <row r="7" spans="1:28" ht="15.75" thickBot="1" x14ac:dyDescent="0.3"/>
    <row r="8" spans="1:28" ht="18.75" x14ac:dyDescent="0.3">
      <c r="B8" s="89" t="s">
        <v>139</v>
      </c>
      <c r="C8" s="90" t="s">
        <v>14</v>
      </c>
    </row>
    <row r="9" spans="1:28" ht="18" thickBot="1" x14ac:dyDescent="0.3">
      <c r="B9" s="240">
        <f>IF(TSAT!J11="",-100,TSAT!J11)</f>
        <v>-100</v>
      </c>
      <c r="C9" s="85">
        <f>IF(B12="",IF(B9="",0,IF(B9&lt;=0,0,IF(B9&gt;0.85,9,9/(1+EXP(-14*(B9-0.427907)))))),IF(B12&lt;=0,0,IF(B12&gt;0.85,9,9/(1+EXP(-14*(B12-0.427907))))))</f>
        <v>0</v>
      </c>
    </row>
    <row r="10" spans="1:28" ht="15.75" thickBot="1" x14ac:dyDescent="0.3"/>
    <row r="11" spans="1:28" ht="18.75" x14ac:dyDescent="0.25">
      <c r="B11" s="241" t="s">
        <v>2227</v>
      </c>
    </row>
    <row r="12" spans="1:28" ht="19.5" thickBot="1" x14ac:dyDescent="0.35">
      <c r="B12" s="306"/>
      <c r="D12" s="78"/>
    </row>
    <row r="13" spans="1:28" x14ac:dyDescent="0.25">
      <c r="B13" s="8">
        <f>IF(B12="",IF(B9&gt;0.85,0.85,IF(B9&lt;0,0,B9)),IF(B12&gt;0.85,0.85,IF(B12&lt;0,0,B12)))</f>
        <v>0</v>
      </c>
    </row>
    <row r="14" spans="1:28" ht="17.25" x14ac:dyDescent="0.3">
      <c r="A14" s="79"/>
    </row>
    <row r="16" spans="1:28" x14ac:dyDescent="0.25">
      <c r="P16" s="99"/>
      <c r="Q16" s="99"/>
      <c r="R16" s="99"/>
      <c r="S16" s="99"/>
      <c r="T16" s="99"/>
      <c r="U16" s="99"/>
      <c r="V16" s="99"/>
      <c r="W16" s="99"/>
      <c r="X16" s="99"/>
      <c r="Y16" s="99"/>
      <c r="Z16" s="99"/>
      <c r="AA16" s="99"/>
      <c r="AB16" s="99"/>
    </row>
    <row r="17" spans="16:28" x14ac:dyDescent="0.25">
      <c r="P17" s="99"/>
      <c r="Q17" s="99"/>
      <c r="R17" s="99"/>
      <c r="S17" s="99"/>
      <c r="T17" s="99"/>
      <c r="U17" s="99"/>
      <c r="V17" s="99"/>
      <c r="W17" s="99"/>
      <c r="X17" s="99"/>
      <c r="Y17" s="99"/>
      <c r="Z17" s="99"/>
      <c r="AA17" s="99"/>
      <c r="AB17" s="99"/>
    </row>
    <row r="18" spans="16:28" x14ac:dyDescent="0.25">
      <c r="P18" s="99"/>
      <c r="Q18" s="99"/>
      <c r="R18" s="99"/>
      <c r="S18" s="99"/>
      <c r="T18" s="99"/>
      <c r="U18" s="99"/>
      <c r="V18" s="99"/>
      <c r="W18" s="99"/>
      <c r="X18" s="99"/>
      <c r="Y18" s="99"/>
      <c r="Z18" s="99"/>
      <c r="AA18" s="99"/>
      <c r="AB18" s="99"/>
    </row>
    <row r="19" spans="16:28" x14ac:dyDescent="0.25">
      <c r="P19" s="99"/>
      <c r="Q19" s="99"/>
      <c r="R19" s="99"/>
      <c r="S19" s="99"/>
      <c r="T19" s="99"/>
      <c r="U19" s="99"/>
      <c r="V19" s="99"/>
      <c r="W19" s="99"/>
      <c r="X19" s="99"/>
      <c r="Y19" s="99"/>
      <c r="Z19" s="99"/>
      <c r="AA19" s="99"/>
      <c r="AB19" s="99"/>
    </row>
    <row r="20" spans="16:28" x14ac:dyDescent="0.25">
      <c r="P20" s="99"/>
      <c r="Q20" s="99"/>
      <c r="R20" s="99"/>
      <c r="S20" s="99"/>
      <c r="T20" s="99"/>
      <c r="U20" s="99"/>
      <c r="V20" s="99"/>
      <c r="W20" s="99"/>
      <c r="X20" s="99"/>
      <c r="Y20" s="99"/>
      <c r="Z20" s="99"/>
      <c r="AA20" s="99"/>
      <c r="AB20" s="99"/>
    </row>
    <row r="21" spans="16:28" x14ac:dyDescent="0.25">
      <c r="P21" s="99"/>
      <c r="Q21" s="99"/>
      <c r="R21" s="99"/>
      <c r="S21" s="99"/>
      <c r="T21" s="99"/>
      <c r="U21" s="99"/>
      <c r="V21" s="99"/>
      <c r="W21" s="99"/>
      <c r="X21" s="99"/>
      <c r="Y21" s="99"/>
      <c r="Z21" s="99"/>
      <c r="AA21" s="99"/>
      <c r="AB21" s="99"/>
    </row>
    <row r="22" spans="16:28" x14ac:dyDescent="0.25">
      <c r="P22" s="99"/>
      <c r="Q22" s="99"/>
      <c r="R22" s="99"/>
      <c r="S22" s="99"/>
      <c r="T22" s="99"/>
      <c r="U22" s="99"/>
      <c r="V22" s="99"/>
      <c r="W22" s="99"/>
      <c r="X22" s="99"/>
      <c r="Y22" s="99"/>
      <c r="Z22" s="99"/>
      <c r="AA22" s="99"/>
      <c r="AB22" s="99"/>
    </row>
  </sheetData>
  <sheetProtection algorithmName="SHA-512" hashValue="zHzPwxXNbcgP5RO0/4K96eQ5K9J3o2kJwB02yGwM9tM0uMeRdsiypX7tHm1ZD+jRrOMwi8vzTTydhCp0bYV9eA==" saltValue="t3xlJL6O2Xiv5WslHNFzvQ==" spinCount="100000" sheet="1" objects="1" scenarios="1"/>
  <protectedRanges>
    <protectedRange sqref="B12" name="Input"/>
  </protectedRanges>
  <mergeCells count="2">
    <mergeCell ref="A1:C6"/>
    <mergeCell ref="D1:P6"/>
  </mergeCells>
  <conditionalFormatting sqref="B9">
    <cfRule type="expression" dxfId="14" priority="1">
      <formula>$B$9=-100</formula>
    </cfRule>
  </conditionalFormatting>
  <hyperlinks>
    <hyperlink ref="R1" location="'Cover Sheet'!B13" display="BACK TO COVER SHEET" xr:uid="{11C0D0BF-2DCB-4C14-B8C2-44139D12D5D5}"/>
  </hyperlinks>
  <pageMargins left="0.7" right="0.7" top="0.75" bottom="0.75" header="0.3" footer="0.3"/>
  <pageSetup scale="6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81F3A-E250-4EF5-8A80-21FCE7ED6AA4}">
  <dimension ref="A1:B33"/>
  <sheetViews>
    <sheetView workbookViewId="0">
      <selection activeCell="J8" sqref="J8"/>
    </sheetView>
  </sheetViews>
  <sheetFormatPr defaultRowHeight="15" x14ac:dyDescent="0.25"/>
  <cols>
    <col min="2" max="2" width="12" bestFit="1" customWidth="1"/>
  </cols>
  <sheetData>
    <row r="1" spans="1:2" x14ac:dyDescent="0.25">
      <c r="A1" t="s">
        <v>136</v>
      </c>
      <c r="B1" t="s">
        <v>140</v>
      </c>
    </row>
    <row r="2" spans="1:2" x14ac:dyDescent="0.25">
      <c r="A2">
        <v>-0.55000000000000004</v>
      </c>
      <c r="B2">
        <f>9/(1+EXP(-14*(A2-0.427907)))</f>
        <v>1.0196413107987405E-5</v>
      </c>
    </row>
    <row r="3" spans="1:2" x14ac:dyDescent="0.25">
      <c r="A3">
        <v>-0.5</v>
      </c>
      <c r="B3">
        <f t="shared" ref="B3:B33" si="0">9/(1+EXP(-14*(A3-0.427907)))</f>
        <v>2.053303092018852E-5</v>
      </c>
    </row>
    <row r="4" spans="1:2" x14ac:dyDescent="0.25">
      <c r="A4">
        <v>-0.45</v>
      </c>
      <c r="B4">
        <f t="shared" si="0"/>
        <v>4.1348350976647625E-5</v>
      </c>
    </row>
    <row r="5" spans="1:2" x14ac:dyDescent="0.25">
      <c r="A5">
        <v>-0.4</v>
      </c>
      <c r="B5">
        <f t="shared" si="0"/>
        <v>8.3264965926685175E-5</v>
      </c>
    </row>
    <row r="6" spans="1:2" x14ac:dyDescent="0.25">
      <c r="A6">
        <v>-0.35</v>
      </c>
      <c r="B6">
        <f t="shared" si="0"/>
        <v>1.6767347797980286E-4</v>
      </c>
    </row>
    <row r="7" spans="1:2" x14ac:dyDescent="0.25">
      <c r="A7">
        <v>-0.3</v>
      </c>
      <c r="B7">
        <f t="shared" si="0"/>
        <v>3.3764654325602929E-4</v>
      </c>
    </row>
    <row r="8" spans="1:2" x14ac:dyDescent="0.25">
      <c r="A8">
        <v>-0.25</v>
      </c>
      <c r="B8">
        <f t="shared" si="0"/>
        <v>6.7991078212456123E-4</v>
      </c>
    </row>
    <row r="9" spans="1:2" x14ac:dyDescent="0.25">
      <c r="A9">
        <v>-0.2</v>
      </c>
      <c r="B9">
        <f t="shared" si="0"/>
        <v>1.3690673288685269E-3</v>
      </c>
    </row>
    <row r="10" spans="1:2" x14ac:dyDescent="0.25">
      <c r="A10">
        <v>-0.15</v>
      </c>
      <c r="B10">
        <f t="shared" si="0"/>
        <v>2.7565379527513898E-3</v>
      </c>
    </row>
    <row r="11" spans="1:2" x14ac:dyDescent="0.25">
      <c r="A11">
        <v>-0.1</v>
      </c>
      <c r="B11">
        <f t="shared" si="0"/>
        <v>5.5492627516916344E-3</v>
      </c>
    </row>
    <row r="12" spans="1:2" x14ac:dyDescent="0.25">
      <c r="A12">
        <v>-0.05</v>
      </c>
      <c r="B12">
        <v>0</v>
      </c>
    </row>
    <row r="13" spans="1:2" x14ac:dyDescent="0.25">
      <c r="A13">
        <v>0</v>
      </c>
      <c r="B13">
        <v>0</v>
      </c>
    </row>
    <row r="14" spans="1:2" x14ac:dyDescent="0.25">
      <c r="A14">
        <v>5.0000000000000898E-2</v>
      </c>
      <c r="B14">
        <f t="shared" si="0"/>
        <v>4.5116871319062959E-2</v>
      </c>
    </row>
    <row r="15" spans="1:2" x14ac:dyDescent="0.25">
      <c r="A15">
        <v>0.100000000000001</v>
      </c>
      <c r="B15">
        <f t="shared" si="0"/>
        <v>9.0394841709764806E-2</v>
      </c>
    </row>
    <row r="16" spans="1:2" x14ac:dyDescent="0.25">
      <c r="A16">
        <v>0.15000000000000099</v>
      </c>
      <c r="B16">
        <f t="shared" si="0"/>
        <v>0.18019808007227353</v>
      </c>
    </row>
    <row r="17" spans="1:2" x14ac:dyDescent="0.25">
      <c r="A17">
        <v>0.20000000000000101</v>
      </c>
      <c r="B17">
        <f t="shared" si="0"/>
        <v>0.355655501832563</v>
      </c>
    </row>
    <row r="18" spans="1:2" x14ac:dyDescent="0.25">
      <c r="A18">
        <v>0.250000000000001</v>
      </c>
      <c r="B18">
        <f t="shared" si="0"/>
        <v>0.68861576733118679</v>
      </c>
    </row>
    <row r="19" spans="1:2" x14ac:dyDescent="0.25">
      <c r="A19">
        <v>0.30000000000000099</v>
      </c>
      <c r="B19">
        <f t="shared" si="0"/>
        <v>1.2868845116471654</v>
      </c>
    </row>
    <row r="20" spans="1:2" x14ac:dyDescent="0.25">
      <c r="A20">
        <v>0.35000000000000098</v>
      </c>
      <c r="B20">
        <f t="shared" si="0"/>
        <v>2.2633817690750342</v>
      </c>
    </row>
    <row r="21" spans="1:2" x14ac:dyDescent="0.25">
      <c r="A21">
        <v>0.40000000000000102</v>
      </c>
      <c r="B21">
        <f t="shared" si="0"/>
        <v>3.6319435444057784</v>
      </c>
    </row>
    <row r="22" spans="1:2" x14ac:dyDescent="0.25">
      <c r="A22">
        <v>0.45</v>
      </c>
      <c r="B22">
        <f t="shared" si="0"/>
        <v>5.1904339030159443</v>
      </c>
    </row>
    <row r="23" spans="1:2" x14ac:dyDescent="0.25">
      <c r="A23">
        <v>0.5</v>
      </c>
      <c r="B23">
        <f t="shared" si="0"/>
        <v>6.5959517456936689</v>
      </c>
    </row>
    <row r="24" spans="1:2" x14ac:dyDescent="0.25">
      <c r="A24">
        <v>0.55000000000000004</v>
      </c>
      <c r="B24">
        <f t="shared" si="0"/>
        <v>7.6207115565956345</v>
      </c>
    </row>
    <row r="25" spans="1:2" x14ac:dyDescent="0.25">
      <c r="A25">
        <v>0.6</v>
      </c>
      <c r="B25">
        <f t="shared" si="0"/>
        <v>8.2578049449581421</v>
      </c>
    </row>
    <row r="26" spans="1:2" x14ac:dyDescent="0.25">
      <c r="A26">
        <v>0.65</v>
      </c>
      <c r="B26">
        <f t="shared" si="0"/>
        <v>8.6154733518481557</v>
      </c>
    </row>
    <row r="27" spans="1:2" x14ac:dyDescent="0.25">
      <c r="A27">
        <v>0.7</v>
      </c>
      <c r="B27">
        <f t="shared" si="0"/>
        <v>8.8048523881119891</v>
      </c>
    </row>
    <row r="28" spans="1:2" x14ac:dyDescent="0.25">
      <c r="A28">
        <v>0.75</v>
      </c>
      <c r="B28">
        <f t="shared" si="0"/>
        <v>8.9020230895438583</v>
      </c>
    </row>
    <row r="29" spans="1:2" x14ac:dyDescent="0.25">
      <c r="A29">
        <v>0.8</v>
      </c>
      <c r="B29">
        <f t="shared" si="0"/>
        <v>8.9510779971835213</v>
      </c>
    </row>
    <row r="30" spans="1:2" x14ac:dyDescent="0.25">
      <c r="A30">
        <v>0.85</v>
      </c>
      <c r="B30">
        <f t="shared" si="0"/>
        <v>8.9756393907661209</v>
      </c>
    </row>
    <row r="31" spans="1:2" x14ac:dyDescent="0.25">
      <c r="A31">
        <v>0.9</v>
      </c>
      <c r="B31">
        <f t="shared" si="0"/>
        <v>8.9878863733159466</v>
      </c>
    </row>
    <row r="32" spans="1:2" x14ac:dyDescent="0.25">
      <c r="A32">
        <v>0.95</v>
      </c>
      <c r="B32">
        <f t="shared" si="0"/>
        <v>8.9939804723298202</v>
      </c>
    </row>
    <row r="33" spans="1:2" x14ac:dyDescent="0.25">
      <c r="A33">
        <v>1</v>
      </c>
      <c r="B33">
        <f t="shared" si="0"/>
        <v>8.9970097842113557</v>
      </c>
    </row>
  </sheetData>
  <sheetProtection algorithmName="SHA-512" hashValue="+/9w5wHkkiiCmUPq1YjVktcJvrcE/nDGmqwmP3k5tdBLEpvJpXCGx9arsmaFd9klnS6UnQHMKTKUwZzVzNMLLg==" saltValue="TzPmEEWRgUTsOztTFj+KAg=="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C148E-DE2F-4B4E-A3C7-4C89E46BEF1A}">
  <sheetPr>
    <pageSetUpPr fitToPage="1"/>
  </sheetPr>
  <dimension ref="A1:JE104"/>
  <sheetViews>
    <sheetView showGridLines="0" zoomScaleNormal="100" workbookViewId="0">
      <selection sqref="A1:B6"/>
    </sheetView>
  </sheetViews>
  <sheetFormatPr defaultColWidth="9.5703125" defaultRowHeight="15" x14ac:dyDescent="0.25"/>
  <cols>
    <col min="1" max="1" width="5.7109375" customWidth="1"/>
    <col min="2" max="2" width="61.42578125" bestFit="1" customWidth="1"/>
    <col min="3" max="3" width="50.7109375" bestFit="1" customWidth="1"/>
    <col min="4" max="4" width="9.85546875" customWidth="1"/>
    <col min="5" max="7" width="13" customWidth="1"/>
    <col min="8" max="8" width="13.140625" customWidth="1"/>
    <col min="9" max="10" width="11.7109375" customWidth="1"/>
    <col min="11" max="13" width="15.42578125" customWidth="1"/>
    <col min="14" max="15" width="9.85546875" customWidth="1"/>
    <col min="16" max="16" width="11.7109375" customWidth="1"/>
    <col min="17" max="17" width="21" bestFit="1" customWidth="1"/>
    <col min="18" max="18" width="11.7109375" customWidth="1"/>
    <col min="19" max="23" width="9.85546875" customWidth="1"/>
    <col min="24" max="24" width="17" bestFit="1" customWidth="1"/>
    <col min="25" max="25" width="6" bestFit="1" customWidth="1"/>
    <col min="26" max="26" width="2.28515625" bestFit="1" customWidth="1"/>
    <col min="27" max="27" width="5" bestFit="1" customWidth="1"/>
    <col min="28" max="28" width="9.5703125" bestFit="1" customWidth="1"/>
    <col min="29" max="29" width="10.42578125" bestFit="1" customWidth="1"/>
    <col min="30" max="30" width="9.140625" bestFit="1" customWidth="1"/>
    <col min="31" max="32" width="9.85546875" customWidth="1"/>
    <col min="33" max="37" width="5.140625" customWidth="1"/>
    <col min="38" max="38" width="3.28515625" customWidth="1"/>
    <col min="39" max="39" width="44.7109375" bestFit="1" customWidth="1"/>
    <col min="40" max="40" width="6.85546875" bestFit="1" customWidth="1"/>
    <col min="41" max="41" width="40.140625" bestFit="1" customWidth="1"/>
    <col min="42" max="42" width="14.140625" bestFit="1" customWidth="1"/>
    <col min="43" max="43" width="10.42578125" bestFit="1" customWidth="1"/>
    <col min="44" max="44" width="9.140625" bestFit="1" customWidth="1"/>
    <col min="45" max="46" width="8.5703125" bestFit="1" customWidth="1"/>
    <col min="47" max="47" width="10.140625" bestFit="1" customWidth="1"/>
    <col min="48" max="48" width="8.5703125" bestFit="1" customWidth="1"/>
    <col min="49" max="49" width="10.140625" bestFit="1" customWidth="1"/>
    <col min="50" max="51" width="8.5703125" bestFit="1" customWidth="1"/>
    <col min="52" max="52" width="21.5703125" bestFit="1" customWidth="1"/>
    <col min="53" max="61" width="8.5703125" bestFit="1" customWidth="1"/>
    <col min="62" max="83" width="3" bestFit="1" customWidth="1"/>
    <col min="84" max="87" width="3" customWidth="1"/>
    <col min="88" max="91" width="3" bestFit="1" customWidth="1"/>
  </cols>
  <sheetData>
    <row r="1" spans="1:265" x14ac:dyDescent="0.25">
      <c r="A1" s="395" t="s">
        <v>141</v>
      </c>
      <c r="B1" s="457"/>
      <c r="C1" s="439" t="s">
        <v>2229</v>
      </c>
      <c r="D1" s="440"/>
      <c r="E1" s="440"/>
      <c r="F1" s="440"/>
      <c r="G1" s="440"/>
      <c r="H1" s="440"/>
      <c r="I1" s="440"/>
      <c r="J1" s="440"/>
      <c r="K1" s="440"/>
      <c r="L1" s="440"/>
      <c r="M1" s="440"/>
      <c r="N1" s="440"/>
      <c r="O1" s="441"/>
      <c r="P1" s="1"/>
      <c r="Q1" s="23" t="s">
        <v>134</v>
      </c>
      <c r="R1" s="1"/>
      <c r="S1" s="1"/>
      <c r="T1" s="1"/>
      <c r="U1" s="1"/>
      <c r="X1" s="8"/>
      <c r="Y1" s="8"/>
      <c r="Z1" s="8" t="s">
        <v>142</v>
      </c>
      <c r="AA1" s="8">
        <v>-2.5</v>
      </c>
      <c r="AB1" s="8"/>
      <c r="AC1" s="8"/>
      <c r="AD1" s="8"/>
    </row>
    <row r="2" spans="1:265" x14ac:dyDescent="0.25">
      <c r="A2" s="459"/>
      <c r="B2" s="460"/>
      <c r="C2" s="442"/>
      <c r="D2" s="443"/>
      <c r="E2" s="443"/>
      <c r="F2" s="443"/>
      <c r="G2" s="443"/>
      <c r="H2" s="443"/>
      <c r="I2" s="443"/>
      <c r="J2" s="443"/>
      <c r="K2" s="443"/>
      <c r="L2" s="443"/>
      <c r="M2" s="443"/>
      <c r="N2" s="443"/>
      <c r="O2" s="444"/>
      <c r="P2" s="1"/>
      <c r="Q2" s="1"/>
      <c r="R2" s="1"/>
      <c r="S2" s="1"/>
      <c r="T2" s="1"/>
      <c r="U2" s="1"/>
      <c r="X2" s="8"/>
      <c r="Y2" s="8"/>
      <c r="Z2" s="8"/>
      <c r="AA2" s="8"/>
      <c r="AB2" s="8"/>
      <c r="AC2" s="8"/>
      <c r="AD2" s="8"/>
    </row>
    <row r="3" spans="1:265" x14ac:dyDescent="0.25">
      <c r="A3" s="459"/>
      <c r="B3" s="460"/>
      <c r="C3" s="442"/>
      <c r="D3" s="443"/>
      <c r="E3" s="443"/>
      <c r="F3" s="443"/>
      <c r="G3" s="443"/>
      <c r="H3" s="443"/>
      <c r="I3" s="443"/>
      <c r="J3" s="443"/>
      <c r="K3" s="443"/>
      <c r="L3" s="443"/>
      <c r="M3" s="443"/>
      <c r="N3" s="443"/>
      <c r="O3" s="444"/>
      <c r="P3" s="1"/>
      <c r="Q3" s="1"/>
      <c r="R3" s="1"/>
      <c r="S3" s="1"/>
      <c r="T3" s="1"/>
      <c r="U3" s="1"/>
      <c r="X3" s="8"/>
      <c r="Y3" s="8"/>
      <c r="Z3" s="8"/>
      <c r="AA3" s="8"/>
      <c r="AB3" s="8"/>
      <c r="AC3" s="8"/>
      <c r="AD3" s="8"/>
    </row>
    <row r="4" spans="1:265" x14ac:dyDescent="0.25">
      <c r="A4" s="459"/>
      <c r="B4" s="460"/>
      <c r="C4" s="442"/>
      <c r="D4" s="443"/>
      <c r="E4" s="443"/>
      <c r="F4" s="443"/>
      <c r="G4" s="443"/>
      <c r="H4" s="443"/>
      <c r="I4" s="443"/>
      <c r="J4" s="443"/>
      <c r="K4" s="443"/>
      <c r="L4" s="443"/>
      <c r="M4" s="443"/>
      <c r="N4" s="443"/>
      <c r="O4" s="444"/>
      <c r="P4" s="1"/>
      <c r="Q4" s="23"/>
      <c r="R4" s="1"/>
      <c r="S4" s="1"/>
      <c r="T4" s="1"/>
      <c r="U4" s="1"/>
      <c r="X4" s="8"/>
      <c r="Y4" s="8"/>
      <c r="Z4" s="8"/>
      <c r="AA4" s="8"/>
      <c r="AB4" s="8"/>
      <c r="AC4" s="8"/>
      <c r="AD4" s="8"/>
    </row>
    <row r="5" spans="1:265" x14ac:dyDescent="0.25">
      <c r="A5" s="459"/>
      <c r="B5" s="460"/>
      <c r="C5" s="442"/>
      <c r="D5" s="443"/>
      <c r="E5" s="443"/>
      <c r="F5" s="443"/>
      <c r="G5" s="443"/>
      <c r="H5" s="443"/>
      <c r="I5" s="443"/>
      <c r="J5" s="443"/>
      <c r="K5" s="443"/>
      <c r="L5" s="443"/>
      <c r="M5" s="443"/>
      <c r="N5" s="443"/>
      <c r="O5" s="444"/>
      <c r="P5" s="1"/>
      <c r="Q5" s="1"/>
      <c r="R5" s="1"/>
      <c r="S5" s="1"/>
      <c r="T5" s="1"/>
      <c r="U5" s="1"/>
      <c r="X5" s="8"/>
      <c r="Y5" s="8"/>
      <c r="Z5" s="8"/>
      <c r="AA5" s="8"/>
      <c r="AB5" s="8"/>
      <c r="AC5" s="8"/>
      <c r="AD5" s="8"/>
    </row>
    <row r="6" spans="1:265" ht="15.75" thickBot="1" x14ac:dyDescent="0.3">
      <c r="A6" s="462"/>
      <c r="B6" s="463"/>
      <c r="C6" s="445"/>
      <c r="D6" s="446"/>
      <c r="E6" s="446"/>
      <c r="F6" s="446"/>
      <c r="G6" s="446"/>
      <c r="H6" s="446"/>
      <c r="I6" s="446"/>
      <c r="J6" s="446"/>
      <c r="K6" s="446"/>
      <c r="L6" s="446"/>
      <c r="M6" s="446"/>
      <c r="N6" s="446"/>
      <c r="O6" s="447"/>
      <c r="P6" s="1"/>
      <c r="Q6" s="1"/>
      <c r="R6" s="1"/>
      <c r="S6" s="1"/>
      <c r="T6" s="1"/>
      <c r="U6" s="1"/>
      <c r="X6" s="8"/>
      <c r="Y6" s="8"/>
      <c r="Z6" s="8"/>
      <c r="AA6" s="8"/>
      <c r="AB6" s="8"/>
      <c r="AC6" s="8"/>
      <c r="AD6" s="8"/>
    </row>
    <row r="7" spans="1:265" ht="15.75" thickBot="1" x14ac:dyDescent="0.3">
      <c r="A7" s="2"/>
      <c r="B7" s="1"/>
      <c r="C7" s="1"/>
      <c r="D7" s="1"/>
      <c r="E7" s="1"/>
      <c r="F7" s="1"/>
      <c r="G7" s="1"/>
      <c r="H7" s="1"/>
      <c r="O7" s="1"/>
      <c r="P7" s="1"/>
      <c r="Q7" s="1"/>
      <c r="R7" s="1"/>
      <c r="S7" s="1"/>
      <c r="T7" s="21"/>
      <c r="U7" s="21"/>
      <c r="V7" s="22"/>
      <c r="W7" s="22"/>
      <c r="X7" s="8"/>
      <c r="Y7" s="8"/>
      <c r="Z7" s="8" t="s">
        <v>143</v>
      </c>
      <c r="AA7" s="8">
        <v>21.3</v>
      </c>
      <c r="AB7" s="8"/>
      <c r="AC7" s="8"/>
      <c r="AD7" s="8"/>
      <c r="AE7" s="22"/>
      <c r="AF7" s="22"/>
      <c r="AG7" s="22"/>
      <c r="AH7" s="22"/>
      <c r="AI7" s="22"/>
      <c r="AJ7" s="22"/>
      <c r="AK7" s="22"/>
      <c r="BD7" s="6"/>
      <c r="BE7" s="181"/>
    </row>
    <row r="8" spans="1:265" ht="18.75" thickBot="1" x14ac:dyDescent="0.3">
      <c r="A8" s="1"/>
      <c r="B8" s="470" t="s">
        <v>144</v>
      </c>
      <c r="C8" s="471"/>
      <c r="D8" s="20"/>
      <c r="K8" s="387" t="s">
        <v>145</v>
      </c>
      <c r="L8" s="388"/>
      <c r="M8" s="389"/>
      <c r="O8" s="175"/>
      <c r="P8" s="175"/>
      <c r="Q8" s="175"/>
      <c r="R8" s="175"/>
      <c r="S8" s="162"/>
      <c r="T8" s="162"/>
      <c r="U8" s="162"/>
      <c r="V8" s="163"/>
      <c r="W8" s="163"/>
      <c r="X8" s="164"/>
      <c r="Y8" s="164"/>
      <c r="Z8" s="164"/>
      <c r="AA8" s="164"/>
      <c r="AB8" s="164"/>
      <c r="AC8" s="164"/>
      <c r="AD8" s="16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65"/>
      <c r="BE8" s="165"/>
      <c r="BF8" s="104"/>
      <c r="BG8" s="104"/>
      <c r="BH8" s="104"/>
      <c r="BI8" s="104"/>
      <c r="BJ8" s="104"/>
      <c r="BK8" s="104"/>
      <c r="BL8" s="104"/>
      <c r="BM8" s="104"/>
      <c r="BN8" s="104"/>
      <c r="BO8" s="104"/>
      <c r="BP8" s="104"/>
      <c r="BQ8" s="104"/>
      <c r="BR8" s="104"/>
      <c r="BS8" s="104"/>
      <c r="BT8" s="104"/>
      <c r="BU8" s="104"/>
      <c r="BV8" s="104"/>
      <c r="BW8" s="104"/>
      <c r="BX8" s="104"/>
      <c r="BY8" s="104"/>
      <c r="BZ8" s="104"/>
      <c r="CA8" s="104"/>
      <c r="CB8" s="104"/>
      <c r="CC8" s="104"/>
      <c r="CD8" s="104"/>
      <c r="CE8" s="104"/>
      <c r="CF8" s="104"/>
      <c r="CG8" s="104"/>
      <c r="CH8" s="104"/>
      <c r="CI8" s="104"/>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c r="ET8" s="104"/>
      <c r="EU8" s="104"/>
      <c r="EV8" s="104"/>
      <c r="EW8" s="104"/>
      <c r="EX8" s="104"/>
      <c r="EY8" s="104"/>
      <c r="EZ8" s="104"/>
      <c r="FA8" s="104"/>
      <c r="FB8" s="104"/>
      <c r="FC8" s="104"/>
      <c r="FD8" s="104"/>
      <c r="FE8" s="104"/>
      <c r="FF8" s="104"/>
      <c r="FG8" s="104"/>
      <c r="FH8" s="104"/>
      <c r="FI8" s="104"/>
      <c r="FJ8" s="104"/>
      <c r="FK8" s="104"/>
      <c r="FL8" s="104"/>
      <c r="FM8" s="104"/>
      <c r="FN8" s="104"/>
      <c r="FO8" s="104"/>
      <c r="FP8" s="104"/>
      <c r="FQ8" s="104"/>
      <c r="FR8" s="104"/>
      <c r="FS8" s="104"/>
      <c r="FT8" s="104"/>
      <c r="FU8" s="104"/>
      <c r="FV8" s="104"/>
      <c r="FW8" s="104"/>
      <c r="FX8" s="104"/>
      <c r="FY8" s="104"/>
      <c r="FZ8" s="104"/>
      <c r="GA8" s="104"/>
      <c r="GB8" s="104"/>
      <c r="GC8" s="104"/>
      <c r="GD8" s="104"/>
      <c r="GE8" s="104"/>
      <c r="GF8" s="104"/>
      <c r="GG8" s="104"/>
      <c r="GH8" s="104"/>
      <c r="GI8" s="104"/>
      <c r="GJ8" s="104"/>
      <c r="GK8" s="104"/>
      <c r="GL8" s="104"/>
      <c r="GM8" s="104"/>
      <c r="GN8" s="104"/>
      <c r="GO8" s="104"/>
      <c r="GP8" s="104"/>
      <c r="GQ8" s="104"/>
      <c r="GR8" s="104"/>
      <c r="GS8" s="104"/>
      <c r="GT8" s="104"/>
      <c r="GU8" s="104"/>
      <c r="GV8" s="104"/>
      <c r="GW8" s="104"/>
      <c r="GX8" s="104"/>
      <c r="GY8" s="104"/>
      <c r="GZ8" s="104"/>
      <c r="HA8" s="104"/>
      <c r="HB8" s="104"/>
      <c r="HC8" s="104"/>
      <c r="HD8" s="104"/>
      <c r="HE8" s="104"/>
      <c r="HF8" s="104"/>
      <c r="HG8" s="104"/>
      <c r="HH8" s="104"/>
      <c r="HI8" s="104"/>
      <c r="HJ8" s="104"/>
      <c r="HK8" s="104"/>
      <c r="HL8" s="104"/>
      <c r="HM8" s="104"/>
      <c r="HN8" s="104"/>
      <c r="HO8" s="104"/>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c r="IV8" s="104"/>
      <c r="IW8" s="104"/>
      <c r="IX8" s="104"/>
      <c r="IY8" s="104"/>
      <c r="IZ8" s="104"/>
      <c r="JA8" s="104"/>
      <c r="JB8" s="104"/>
      <c r="JC8" s="104"/>
      <c r="JD8" s="104"/>
      <c r="JE8" s="104"/>
    </row>
    <row r="9" spans="1:265" ht="15" customHeight="1" x14ac:dyDescent="0.3">
      <c r="A9" s="1"/>
      <c r="B9" s="73" t="s">
        <v>146</v>
      </c>
      <c r="C9" s="74">
        <f>'Cover Sheet'!H3</f>
        <v>100000000</v>
      </c>
      <c r="D9" s="183"/>
      <c r="K9" s="38"/>
      <c r="L9" s="39"/>
      <c r="M9" s="40"/>
      <c r="O9" s="176"/>
      <c r="P9" s="176"/>
      <c r="Q9" s="176"/>
      <c r="R9" s="176"/>
      <c r="S9" s="161"/>
      <c r="T9" s="161"/>
      <c r="U9" s="161"/>
      <c r="V9" s="163"/>
      <c r="W9" s="163"/>
      <c r="X9" s="164"/>
      <c r="Y9" s="164"/>
      <c r="Z9" s="164"/>
      <c r="AA9" s="164"/>
      <c r="AB9" s="164"/>
      <c r="AC9" s="164"/>
      <c r="AD9" s="16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65"/>
      <c r="BE9" s="165"/>
      <c r="BF9" s="104"/>
      <c r="BG9" s="104"/>
      <c r="BH9" s="104"/>
      <c r="BI9" s="104"/>
      <c r="BJ9" s="104"/>
      <c r="BK9" s="104"/>
      <c r="BL9" s="104"/>
      <c r="BM9" s="104"/>
      <c r="BN9" s="104"/>
      <c r="BO9" s="104"/>
      <c r="BP9" s="104"/>
      <c r="BQ9" s="104"/>
      <c r="BR9" s="104"/>
      <c r="BS9" s="104"/>
      <c r="BT9" s="104"/>
      <c r="BU9" s="104"/>
      <c r="BV9" s="104"/>
      <c r="BW9" s="104"/>
      <c r="BX9" s="104"/>
      <c r="BY9" s="104"/>
      <c r="BZ9" s="104"/>
      <c r="CA9" s="104"/>
      <c r="CB9" s="104"/>
      <c r="CC9" s="104"/>
      <c r="CD9" s="104"/>
      <c r="CE9" s="104"/>
      <c r="CF9" s="104"/>
      <c r="CG9" s="104"/>
      <c r="CH9" s="104"/>
      <c r="CI9" s="104"/>
      <c r="CJ9" s="104"/>
      <c r="CK9" s="104"/>
      <c r="CL9" s="104"/>
      <c r="CM9" s="104"/>
      <c r="CN9" s="104"/>
      <c r="CO9" s="104"/>
      <c r="CP9" s="104"/>
      <c r="CQ9" s="104"/>
      <c r="CR9" s="104"/>
      <c r="CS9" s="104"/>
      <c r="CT9" s="104"/>
      <c r="CU9" s="104"/>
      <c r="CV9" s="104"/>
      <c r="CW9" s="104"/>
      <c r="CX9" s="104"/>
      <c r="CY9" s="104"/>
      <c r="CZ9" s="104"/>
      <c r="DA9" s="104"/>
      <c r="DB9" s="104"/>
      <c r="DC9" s="104"/>
      <c r="DD9" s="104"/>
      <c r="DE9" s="104"/>
      <c r="DF9" s="104"/>
      <c r="DG9" s="104"/>
      <c r="DH9" s="104"/>
      <c r="DI9" s="104"/>
      <c r="DJ9" s="104"/>
      <c r="DK9" s="104"/>
      <c r="DL9" s="104"/>
      <c r="DM9" s="104"/>
      <c r="DN9" s="104"/>
      <c r="DO9" s="104"/>
      <c r="DP9" s="104"/>
      <c r="DQ9" s="104"/>
      <c r="DR9" s="104"/>
      <c r="DS9" s="104"/>
      <c r="DT9" s="104"/>
      <c r="DU9" s="104"/>
      <c r="DV9" s="104"/>
      <c r="DW9" s="104"/>
      <c r="DX9" s="104"/>
      <c r="DY9" s="104"/>
      <c r="DZ9" s="104"/>
      <c r="EA9" s="104"/>
      <c r="EB9" s="104"/>
      <c r="EC9" s="104"/>
      <c r="ED9" s="104"/>
      <c r="EE9" s="104"/>
      <c r="EF9" s="104"/>
      <c r="EG9" s="104"/>
      <c r="EH9" s="104"/>
      <c r="EI9" s="104"/>
      <c r="EJ9" s="104"/>
      <c r="EK9" s="104"/>
      <c r="EL9" s="104"/>
      <c r="EM9" s="104"/>
      <c r="EN9" s="104"/>
      <c r="EO9" s="104"/>
      <c r="EP9" s="104"/>
      <c r="EQ9" s="104"/>
      <c r="ER9" s="104"/>
      <c r="ES9" s="104"/>
      <c r="ET9" s="104"/>
      <c r="EU9" s="104"/>
      <c r="EV9" s="104"/>
      <c r="EW9" s="104"/>
      <c r="EX9" s="104"/>
      <c r="EY9" s="104"/>
      <c r="EZ9" s="104"/>
      <c r="FA9" s="104"/>
      <c r="FB9" s="104"/>
      <c r="FC9" s="104"/>
      <c r="FD9" s="104"/>
      <c r="FE9" s="104"/>
      <c r="FF9" s="104"/>
      <c r="FG9" s="104"/>
      <c r="FH9" s="104"/>
      <c r="FI9" s="104"/>
      <c r="FJ9" s="104"/>
      <c r="FK9" s="104"/>
      <c r="FL9" s="104"/>
      <c r="FM9" s="104"/>
      <c r="FN9" s="104"/>
      <c r="FO9" s="104"/>
      <c r="FP9" s="104"/>
      <c r="FQ9" s="104"/>
      <c r="FR9" s="104"/>
      <c r="FS9" s="104"/>
      <c r="FT9" s="104"/>
      <c r="FU9" s="104"/>
      <c r="FV9" s="104"/>
      <c r="FW9" s="104"/>
      <c r="FX9" s="104"/>
      <c r="FY9" s="104"/>
      <c r="FZ9" s="104"/>
      <c r="GA9" s="104"/>
      <c r="GB9" s="104"/>
      <c r="GC9" s="104"/>
      <c r="GD9" s="104"/>
      <c r="GE9" s="104"/>
      <c r="GF9" s="104"/>
      <c r="GG9" s="104"/>
      <c r="GH9" s="104"/>
      <c r="GI9" s="104"/>
      <c r="GJ9" s="104"/>
      <c r="GK9" s="104"/>
      <c r="GL9" s="104"/>
      <c r="GM9" s="104"/>
      <c r="GN9" s="104"/>
      <c r="GO9" s="104"/>
      <c r="GP9" s="104"/>
      <c r="GQ9" s="104"/>
      <c r="GR9" s="104"/>
      <c r="GS9" s="104"/>
      <c r="GT9" s="104"/>
      <c r="GU9" s="104"/>
      <c r="GV9" s="104"/>
      <c r="GW9" s="104"/>
      <c r="GX9" s="104"/>
      <c r="GY9" s="104"/>
      <c r="GZ9" s="104"/>
      <c r="HA9" s="104"/>
      <c r="HB9" s="104"/>
      <c r="HC9" s="104"/>
      <c r="HD9" s="104"/>
      <c r="HE9" s="104"/>
      <c r="HF9" s="104"/>
      <c r="HG9" s="104"/>
      <c r="HH9" s="104"/>
      <c r="HI9" s="104"/>
      <c r="HJ9" s="104"/>
      <c r="HK9" s="104"/>
      <c r="HL9" s="104"/>
      <c r="HM9" s="104"/>
      <c r="HN9" s="104"/>
      <c r="HO9" s="104"/>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c r="IV9" s="104"/>
      <c r="IW9" s="104"/>
      <c r="IX9" s="104"/>
      <c r="IY9" s="104"/>
      <c r="IZ9" s="104"/>
      <c r="JA9" s="104"/>
      <c r="JB9" s="104"/>
      <c r="JC9" s="104"/>
      <c r="JD9" s="104"/>
      <c r="JE9" s="104"/>
    </row>
    <row r="10" spans="1:265" ht="17.25" x14ac:dyDescent="0.3">
      <c r="A10" s="1"/>
      <c r="B10" s="81" t="s">
        <v>147</v>
      </c>
      <c r="C10" s="82">
        <v>0</v>
      </c>
      <c r="D10" s="183"/>
      <c r="K10" s="467" t="s">
        <v>2145</v>
      </c>
      <c r="L10" s="468"/>
      <c r="M10" s="469"/>
      <c r="O10" s="176"/>
      <c r="P10" s="176"/>
      <c r="Q10" s="176"/>
      <c r="R10" s="176"/>
      <c r="S10" s="161"/>
      <c r="T10" s="161"/>
      <c r="U10" s="161"/>
      <c r="V10" s="163"/>
      <c r="W10" s="163"/>
      <c r="X10" s="164"/>
      <c r="Y10" s="164"/>
      <c r="Z10" s="164"/>
      <c r="AA10" s="164"/>
      <c r="AB10" s="164"/>
      <c r="AC10" s="164"/>
      <c r="AD10" s="16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65"/>
      <c r="BE10" s="165"/>
      <c r="BF10" s="104"/>
      <c r="BG10" s="104"/>
      <c r="BH10" s="104"/>
      <c r="BI10" s="104"/>
      <c r="BJ10" s="104"/>
      <c r="BK10" s="104"/>
      <c r="BL10" s="104"/>
      <c r="BM10" s="104"/>
      <c r="BN10" s="104"/>
      <c r="BO10" s="104"/>
      <c r="BP10" s="104"/>
      <c r="BQ10" s="104"/>
      <c r="BR10" s="104"/>
      <c r="BS10" s="104"/>
      <c r="BT10" s="104"/>
      <c r="BU10" s="104"/>
      <c r="BV10" s="104"/>
      <c r="BW10" s="104"/>
      <c r="BX10" s="104"/>
      <c r="BY10" s="104"/>
      <c r="BZ10" s="104"/>
      <c r="CA10" s="104"/>
      <c r="CB10" s="104"/>
      <c r="CC10" s="104"/>
      <c r="CD10" s="104"/>
      <c r="CE10" s="104"/>
      <c r="CF10" s="104"/>
      <c r="CG10" s="104"/>
      <c r="CH10" s="104"/>
      <c r="CI10" s="104"/>
      <c r="CJ10" s="104"/>
      <c r="CK10" s="104"/>
      <c r="CL10" s="104"/>
      <c r="CM10" s="104"/>
      <c r="CN10" s="104"/>
      <c r="CO10" s="104"/>
      <c r="CP10" s="104"/>
      <c r="CQ10" s="104"/>
      <c r="CR10" s="104"/>
      <c r="CS10" s="104"/>
      <c r="CT10" s="104"/>
      <c r="CU10" s="104"/>
      <c r="CV10" s="104"/>
      <c r="CW10" s="104"/>
      <c r="CX10" s="104"/>
      <c r="CY10" s="104"/>
      <c r="CZ10" s="104"/>
      <c r="DA10" s="104"/>
      <c r="DB10" s="104"/>
      <c r="DC10" s="104"/>
      <c r="DD10" s="104"/>
      <c r="DE10" s="104"/>
      <c r="DF10" s="104"/>
      <c r="DG10" s="104"/>
      <c r="DH10" s="104"/>
      <c r="DI10" s="104"/>
      <c r="DJ10" s="104"/>
      <c r="DK10" s="104"/>
      <c r="DL10" s="104"/>
      <c r="DM10" s="104"/>
      <c r="DN10" s="104"/>
      <c r="DO10" s="104"/>
      <c r="DP10" s="104"/>
      <c r="DQ10" s="104"/>
      <c r="DR10" s="104"/>
      <c r="DS10" s="104"/>
      <c r="DT10" s="104"/>
      <c r="DU10" s="104"/>
      <c r="DV10" s="104"/>
      <c r="DW10" s="104"/>
      <c r="DX10" s="104"/>
      <c r="DY10" s="104"/>
      <c r="DZ10" s="104"/>
      <c r="EA10" s="104"/>
      <c r="EB10" s="104"/>
      <c r="EC10" s="104"/>
      <c r="ED10" s="104"/>
      <c r="EE10" s="104"/>
      <c r="EF10" s="104"/>
      <c r="EG10" s="104"/>
      <c r="EH10" s="104"/>
      <c r="EI10" s="104"/>
      <c r="EJ10" s="104"/>
      <c r="EK10" s="104"/>
      <c r="EL10" s="104"/>
      <c r="EM10" s="104"/>
      <c r="EN10" s="104"/>
      <c r="EO10" s="104"/>
      <c r="EP10" s="104"/>
      <c r="EQ10" s="104"/>
      <c r="ER10" s="104"/>
      <c r="ES10" s="104"/>
      <c r="ET10" s="104"/>
      <c r="EU10" s="104"/>
      <c r="EV10" s="104"/>
      <c r="EW10" s="104"/>
      <c r="EX10" s="104"/>
      <c r="EY10" s="104"/>
      <c r="EZ10" s="104"/>
      <c r="FA10" s="104"/>
      <c r="FB10" s="104"/>
      <c r="FC10" s="104"/>
      <c r="FD10" s="104"/>
      <c r="FE10" s="104"/>
      <c r="FF10" s="104"/>
      <c r="FG10" s="104"/>
      <c r="FH10" s="104"/>
      <c r="FI10" s="104"/>
      <c r="FJ10" s="104"/>
      <c r="FK10" s="104"/>
      <c r="FL10" s="104"/>
      <c r="FM10" s="104"/>
      <c r="FN10" s="104"/>
      <c r="FO10" s="104"/>
      <c r="FP10" s="104"/>
      <c r="FQ10" s="104"/>
      <c r="FR10" s="104"/>
      <c r="FS10" s="104"/>
      <c r="FT10" s="104"/>
      <c r="FU10" s="104"/>
      <c r="FV10" s="104"/>
      <c r="FW10" s="104"/>
      <c r="FX10" s="104"/>
      <c r="FY10" s="104"/>
      <c r="FZ10" s="104"/>
      <c r="GA10" s="104"/>
      <c r="GB10" s="104"/>
      <c r="GC10" s="104"/>
      <c r="GD10" s="104"/>
      <c r="GE10" s="104"/>
      <c r="GF10" s="104"/>
      <c r="GG10" s="104"/>
      <c r="GH10" s="104"/>
      <c r="GI10" s="104"/>
      <c r="GJ10" s="104"/>
      <c r="GK10" s="104"/>
      <c r="GL10" s="104"/>
      <c r="GM10" s="104"/>
      <c r="GN10" s="104"/>
      <c r="GO10" s="104"/>
      <c r="GP10" s="104"/>
      <c r="GQ10" s="104"/>
      <c r="GR10" s="104"/>
      <c r="GS10" s="104"/>
      <c r="GT10" s="104"/>
      <c r="GU10" s="104"/>
      <c r="GV10" s="104"/>
      <c r="GW10" s="104"/>
      <c r="GX10" s="104"/>
      <c r="GY10" s="104"/>
      <c r="GZ10" s="104"/>
      <c r="HA10" s="104"/>
      <c r="HB10" s="104"/>
      <c r="HC10" s="104"/>
      <c r="HD10" s="104"/>
      <c r="HE10" s="104"/>
      <c r="HF10" s="104"/>
      <c r="HG10" s="104"/>
      <c r="HH10" s="104"/>
      <c r="HI10" s="104"/>
      <c r="HJ10" s="104"/>
      <c r="HK10" s="104"/>
      <c r="HL10" s="104"/>
      <c r="HM10" s="104"/>
      <c r="HN10" s="104"/>
      <c r="HO10" s="104"/>
      <c r="HP10" s="104"/>
      <c r="HQ10" s="104"/>
      <c r="HR10" s="104"/>
      <c r="HS10" s="104"/>
      <c r="HT10" s="104"/>
      <c r="HU10" s="104"/>
      <c r="HV10" s="104"/>
      <c r="HW10" s="104"/>
      <c r="HX10" s="104"/>
      <c r="HY10" s="104"/>
      <c r="HZ10" s="104"/>
      <c r="IA10" s="104"/>
      <c r="IB10" s="104"/>
      <c r="IC10" s="104"/>
      <c r="ID10" s="104"/>
      <c r="IE10" s="104"/>
      <c r="IF10" s="104"/>
      <c r="IG10" s="104"/>
      <c r="IH10" s="104"/>
      <c r="II10" s="104"/>
      <c r="IJ10" s="104"/>
      <c r="IK10" s="104"/>
      <c r="IL10" s="104"/>
      <c r="IM10" s="104"/>
      <c r="IN10" s="104"/>
      <c r="IO10" s="104"/>
      <c r="IP10" s="104"/>
      <c r="IQ10" s="104"/>
      <c r="IR10" s="104"/>
      <c r="IS10" s="104"/>
      <c r="IT10" s="104"/>
      <c r="IU10" s="104"/>
      <c r="IV10" s="104"/>
      <c r="IW10" s="104"/>
      <c r="IX10" s="104"/>
      <c r="IY10" s="104"/>
      <c r="IZ10" s="104"/>
      <c r="JA10" s="104"/>
      <c r="JB10" s="104"/>
      <c r="JC10" s="104"/>
      <c r="JD10" s="104"/>
      <c r="JE10" s="104"/>
    </row>
    <row r="11" spans="1:265" ht="17.25" x14ac:dyDescent="0.3">
      <c r="A11" s="1"/>
      <c r="B11" s="81" t="s">
        <v>148</v>
      </c>
      <c r="C11" s="82"/>
      <c r="D11" s="183"/>
      <c r="K11" s="472">
        <f>'Factor 3 Calculations'!B27</f>
        <v>0</v>
      </c>
      <c r="L11" s="473"/>
      <c r="M11" s="474"/>
      <c r="O11" s="176"/>
      <c r="P11" s="176"/>
      <c r="Q11" s="176"/>
      <c r="R11" s="176"/>
      <c r="S11" s="161"/>
      <c r="T11" s="161"/>
      <c r="U11" s="161"/>
      <c r="V11" s="163"/>
      <c r="W11" s="163"/>
      <c r="X11" s="164"/>
      <c r="Y11" s="164"/>
      <c r="Z11" s="164"/>
      <c r="AA11" s="164"/>
      <c r="AB11" s="164"/>
      <c r="AC11" s="164"/>
      <c r="AD11" s="16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65"/>
      <c r="BE11" s="165"/>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c r="DA11" s="104"/>
      <c r="DB11" s="104"/>
      <c r="DC11" s="104"/>
      <c r="DD11" s="104"/>
      <c r="DE11" s="104"/>
      <c r="DF11" s="104"/>
      <c r="DG11" s="104"/>
      <c r="DH11" s="104"/>
      <c r="DI11" s="104"/>
      <c r="DJ11" s="104"/>
      <c r="DK11" s="104"/>
      <c r="DL11" s="104"/>
      <c r="DM11" s="104"/>
      <c r="DN11" s="104"/>
      <c r="DO11" s="104"/>
      <c r="DP11" s="104"/>
      <c r="DQ11" s="104"/>
      <c r="DR11" s="104"/>
      <c r="DS11" s="104"/>
      <c r="DT11" s="104"/>
      <c r="DU11" s="104"/>
      <c r="DV11" s="104"/>
      <c r="DW11" s="104"/>
      <c r="DX11" s="104"/>
      <c r="DY11" s="104"/>
      <c r="DZ11" s="104"/>
      <c r="EA11" s="104"/>
      <c r="EB11" s="104"/>
      <c r="EC11" s="104"/>
      <c r="ED11" s="104"/>
      <c r="EE11" s="104"/>
      <c r="EF11" s="104"/>
      <c r="EG11" s="104"/>
      <c r="EH11" s="104"/>
      <c r="EI11" s="104"/>
      <c r="EJ11" s="104"/>
      <c r="EK11" s="104"/>
      <c r="EL11" s="104"/>
      <c r="EM11" s="104"/>
      <c r="EN11" s="104"/>
      <c r="EO11" s="104"/>
      <c r="EP11" s="104"/>
      <c r="EQ11" s="104"/>
      <c r="ER11" s="104"/>
      <c r="ES11" s="104"/>
      <c r="ET11" s="104"/>
      <c r="EU11" s="104"/>
      <c r="EV11" s="104"/>
      <c r="EW11" s="104"/>
      <c r="EX11" s="104"/>
      <c r="EY11" s="104"/>
      <c r="EZ11" s="104"/>
      <c r="FA11" s="104"/>
      <c r="FB11" s="104"/>
      <c r="FC11" s="104"/>
      <c r="FD11" s="104"/>
      <c r="FE11" s="104"/>
      <c r="FF11" s="104"/>
      <c r="FG11" s="104"/>
      <c r="FH11" s="104"/>
      <c r="FI11" s="104"/>
      <c r="FJ11" s="104"/>
      <c r="FK11" s="104"/>
      <c r="FL11" s="104"/>
      <c r="FM11" s="104"/>
      <c r="FN11" s="104"/>
      <c r="FO11" s="104"/>
      <c r="FP11" s="104"/>
      <c r="FQ11" s="104"/>
      <c r="FR11" s="104"/>
      <c r="FS11" s="104"/>
      <c r="FT11" s="104"/>
      <c r="FU11" s="104"/>
      <c r="FV11" s="104"/>
      <c r="FW11" s="104"/>
      <c r="FX11" s="104"/>
      <c r="FY11" s="104"/>
      <c r="FZ11" s="104"/>
      <c r="GA11" s="104"/>
      <c r="GB11" s="104"/>
      <c r="GC11" s="104"/>
      <c r="GD11" s="104"/>
      <c r="GE11" s="104"/>
      <c r="GF11" s="104"/>
      <c r="GG11" s="104"/>
      <c r="GH11" s="104"/>
      <c r="GI11" s="104"/>
      <c r="GJ11" s="104"/>
      <c r="GK11" s="104"/>
      <c r="GL11" s="104"/>
      <c r="GM11" s="104"/>
      <c r="GN11" s="104"/>
      <c r="GO11" s="104"/>
      <c r="GP11" s="104"/>
      <c r="GQ11" s="104"/>
      <c r="GR11" s="104"/>
      <c r="GS11" s="104"/>
      <c r="GT11" s="104"/>
      <c r="GU11" s="104"/>
      <c r="GV11" s="104"/>
      <c r="GW11" s="104"/>
      <c r="GX11" s="104"/>
      <c r="GY11" s="104"/>
      <c r="GZ11" s="104"/>
      <c r="HA11" s="104"/>
      <c r="HB11" s="104"/>
      <c r="HC11" s="104"/>
      <c r="HD11" s="104"/>
      <c r="HE11" s="104"/>
      <c r="HF11" s="104"/>
      <c r="HG11" s="104"/>
      <c r="HH11" s="104"/>
      <c r="HI11" s="104"/>
      <c r="HJ11" s="104"/>
      <c r="HK11" s="104"/>
      <c r="HL11" s="104"/>
      <c r="HM11" s="104"/>
      <c r="HN11" s="104"/>
      <c r="HO11" s="104"/>
      <c r="HP11" s="104"/>
      <c r="HQ11" s="104"/>
      <c r="HR11" s="104"/>
      <c r="HS11" s="104"/>
      <c r="HT11" s="104"/>
      <c r="HU11" s="104"/>
      <c r="HV11" s="104"/>
      <c r="HW11" s="104"/>
      <c r="HX11" s="104"/>
      <c r="HY11" s="104"/>
      <c r="HZ11" s="104"/>
      <c r="IA11" s="104"/>
      <c r="IB11" s="104"/>
      <c r="IC11" s="104"/>
      <c r="ID11" s="104"/>
      <c r="IE11" s="104"/>
      <c r="IF11" s="104"/>
      <c r="IG11" s="104"/>
      <c r="IH11" s="104"/>
      <c r="II11" s="104"/>
      <c r="IJ11" s="104"/>
      <c r="IK11" s="104"/>
      <c r="IL11" s="104"/>
      <c r="IM11" s="104"/>
      <c r="IN11" s="104"/>
      <c r="IO11" s="104"/>
      <c r="IP11" s="104"/>
      <c r="IQ11" s="104"/>
      <c r="IR11" s="104"/>
      <c r="IS11" s="104"/>
      <c r="IT11" s="104"/>
      <c r="IU11" s="104"/>
      <c r="IV11" s="104"/>
      <c r="IW11" s="104"/>
      <c r="IX11" s="104"/>
      <c r="IY11" s="104"/>
      <c r="IZ11" s="104"/>
      <c r="JA11" s="104"/>
      <c r="JB11" s="104"/>
      <c r="JC11" s="104"/>
      <c r="JD11" s="104"/>
      <c r="JE11" s="104"/>
    </row>
    <row r="12" spans="1:265" ht="15" customHeight="1" x14ac:dyDescent="0.3">
      <c r="A12" s="1"/>
      <c r="B12" s="146" t="s">
        <v>149</v>
      </c>
      <c r="C12" s="74">
        <f>C9-C10</f>
        <v>100000000</v>
      </c>
      <c r="D12" s="183"/>
      <c r="K12" s="11"/>
      <c r="L12" s="37"/>
      <c r="M12" s="12"/>
      <c r="O12" s="176"/>
      <c r="P12" s="176"/>
      <c r="Q12" s="176"/>
      <c r="R12" s="176"/>
      <c r="S12" s="161"/>
      <c r="T12" s="161"/>
      <c r="U12" s="161"/>
      <c r="V12" s="163"/>
      <c r="W12" s="163"/>
      <c r="X12" s="164"/>
      <c r="Y12" s="164"/>
      <c r="Z12" s="164"/>
      <c r="AA12" s="164"/>
      <c r="AB12" s="164"/>
      <c r="AC12" s="164"/>
      <c r="AD12" s="16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65"/>
      <c r="BE12" s="165"/>
      <c r="BF12" s="104"/>
      <c r="BG12" s="104"/>
      <c r="BH12" s="104"/>
      <c r="BI12" s="104"/>
      <c r="BJ12" s="104"/>
      <c r="BK12" s="104"/>
      <c r="BL12" s="104"/>
      <c r="BM12" s="104"/>
      <c r="BN12" s="104"/>
      <c r="BO12" s="104"/>
      <c r="BP12" s="104"/>
      <c r="BQ12" s="104"/>
      <c r="BR12" s="104"/>
      <c r="BS12" s="104"/>
      <c r="BT12" s="104"/>
      <c r="BU12" s="104"/>
      <c r="BV12" s="104"/>
      <c r="BW12" s="104"/>
      <c r="BX12" s="104"/>
      <c r="BY12" s="104"/>
      <c r="BZ12" s="104"/>
      <c r="CA12" s="104"/>
      <c r="CB12" s="104"/>
      <c r="CC12" s="104"/>
      <c r="CD12" s="104"/>
      <c r="CE12" s="104"/>
      <c r="CF12" s="104"/>
      <c r="CG12" s="104"/>
      <c r="CH12" s="104"/>
      <c r="CI12" s="104"/>
      <c r="CJ12" s="104"/>
      <c r="CK12" s="104"/>
      <c r="CL12" s="104"/>
      <c r="CM12" s="104"/>
      <c r="CN12" s="104"/>
      <c r="CO12" s="104"/>
      <c r="CP12" s="104"/>
      <c r="CQ12" s="104"/>
      <c r="CR12" s="104"/>
      <c r="CS12" s="104"/>
      <c r="CT12" s="104"/>
      <c r="CU12" s="104"/>
      <c r="CV12" s="104"/>
      <c r="CW12" s="104"/>
      <c r="CX12" s="104"/>
      <c r="CY12" s="104"/>
      <c r="CZ12" s="104"/>
      <c r="DA12" s="104"/>
      <c r="DB12" s="104"/>
      <c r="DC12" s="104"/>
      <c r="DD12" s="104"/>
      <c r="DE12" s="104"/>
      <c r="DF12" s="104"/>
      <c r="DG12" s="104"/>
      <c r="DH12" s="104"/>
      <c r="DI12" s="104"/>
      <c r="DJ12" s="104"/>
      <c r="DK12" s="104"/>
      <c r="DL12" s="104"/>
      <c r="DM12" s="104"/>
      <c r="DN12" s="104"/>
      <c r="DO12" s="104"/>
      <c r="DP12" s="104"/>
      <c r="DQ12" s="104"/>
      <c r="DR12" s="104"/>
      <c r="DS12" s="104"/>
      <c r="DT12" s="104"/>
      <c r="DU12" s="104"/>
      <c r="DV12" s="104"/>
      <c r="DW12" s="104"/>
      <c r="DX12" s="104"/>
      <c r="DY12" s="104"/>
      <c r="DZ12" s="104"/>
      <c r="EA12" s="104"/>
      <c r="EB12" s="104"/>
      <c r="EC12" s="104"/>
      <c r="ED12" s="104"/>
      <c r="EE12" s="104"/>
      <c r="EF12" s="104"/>
      <c r="EG12" s="104"/>
      <c r="EH12" s="104"/>
      <c r="EI12" s="104"/>
      <c r="EJ12" s="104"/>
      <c r="EK12" s="104"/>
      <c r="EL12" s="104"/>
      <c r="EM12" s="104"/>
      <c r="EN12" s="104"/>
      <c r="EO12" s="104"/>
      <c r="EP12" s="104"/>
      <c r="EQ12" s="104"/>
      <c r="ER12" s="104"/>
      <c r="ES12" s="104"/>
      <c r="ET12" s="104"/>
      <c r="EU12" s="104"/>
      <c r="EV12" s="104"/>
      <c r="EW12" s="104"/>
      <c r="EX12" s="104"/>
      <c r="EY12" s="104"/>
      <c r="EZ12" s="104"/>
      <c r="FA12" s="104"/>
      <c r="FB12" s="104"/>
      <c r="FC12" s="104"/>
      <c r="FD12" s="104"/>
      <c r="FE12" s="104"/>
      <c r="FF12" s="104"/>
      <c r="FG12" s="104"/>
      <c r="FH12" s="104"/>
      <c r="FI12" s="104"/>
      <c r="FJ12" s="104"/>
      <c r="FK12" s="104"/>
      <c r="FL12" s="104"/>
      <c r="FM12" s="104"/>
      <c r="FN12" s="104"/>
      <c r="FO12" s="104"/>
      <c r="FP12" s="104"/>
      <c r="FQ12" s="104"/>
      <c r="FR12" s="104"/>
      <c r="FS12" s="104"/>
      <c r="FT12" s="104"/>
      <c r="FU12" s="104"/>
      <c r="FV12" s="104"/>
      <c r="FW12" s="104"/>
      <c r="FX12" s="104"/>
      <c r="FY12" s="104"/>
      <c r="FZ12" s="104"/>
      <c r="GA12" s="104"/>
      <c r="GB12" s="104"/>
      <c r="GC12" s="104"/>
      <c r="GD12" s="104"/>
      <c r="GE12" s="104"/>
      <c r="GF12" s="104"/>
      <c r="GG12" s="104"/>
      <c r="GH12" s="104"/>
      <c r="GI12" s="104"/>
      <c r="GJ12" s="104"/>
      <c r="GK12" s="104"/>
      <c r="GL12" s="104"/>
      <c r="GM12" s="104"/>
      <c r="GN12" s="104"/>
      <c r="GO12" s="104"/>
      <c r="GP12" s="104"/>
      <c r="GQ12" s="104"/>
      <c r="GR12" s="104"/>
      <c r="GS12" s="104"/>
      <c r="GT12" s="104"/>
      <c r="GU12" s="104"/>
      <c r="GV12" s="104"/>
      <c r="GW12" s="104"/>
      <c r="GX12" s="104"/>
      <c r="GY12" s="104"/>
      <c r="GZ12" s="104"/>
      <c r="HA12" s="104"/>
      <c r="HB12" s="104"/>
      <c r="HC12" s="104"/>
      <c r="HD12" s="104"/>
      <c r="HE12" s="104"/>
      <c r="HF12" s="104"/>
      <c r="HG12" s="104"/>
      <c r="HH12" s="104"/>
      <c r="HI12" s="104"/>
      <c r="HJ12" s="104"/>
      <c r="HK12" s="104"/>
      <c r="HL12" s="104"/>
      <c r="HM12" s="104"/>
      <c r="HN12" s="104"/>
      <c r="HO12" s="104"/>
      <c r="HP12" s="104"/>
      <c r="HQ12" s="104"/>
      <c r="HR12" s="104"/>
      <c r="HS12" s="104"/>
      <c r="HT12" s="104"/>
      <c r="HU12" s="104"/>
      <c r="HV12" s="104"/>
      <c r="HW12" s="104"/>
      <c r="HX12" s="104"/>
      <c r="HY12" s="104"/>
      <c r="HZ12" s="104"/>
      <c r="IA12" s="104"/>
      <c r="IB12" s="104"/>
      <c r="IC12" s="104"/>
      <c r="ID12" s="104"/>
      <c r="IE12" s="104"/>
      <c r="IF12" s="104"/>
      <c r="IG12" s="104"/>
      <c r="IH12" s="104"/>
      <c r="II12" s="104"/>
      <c r="IJ12" s="104"/>
      <c r="IK12" s="104"/>
      <c r="IL12" s="104"/>
      <c r="IM12" s="104"/>
      <c r="IN12" s="104"/>
      <c r="IO12" s="104"/>
      <c r="IP12" s="104"/>
      <c r="IQ12" s="104"/>
      <c r="IR12" s="104"/>
      <c r="IS12" s="104"/>
      <c r="IT12" s="104"/>
      <c r="IU12" s="104"/>
      <c r="IV12" s="104"/>
      <c r="IW12" s="104"/>
      <c r="IX12" s="104"/>
      <c r="IY12" s="104"/>
      <c r="IZ12" s="104"/>
      <c r="JA12" s="104"/>
      <c r="JB12" s="104"/>
      <c r="JC12" s="104"/>
      <c r="JD12" s="104"/>
      <c r="JE12" s="104"/>
    </row>
    <row r="13" spans="1:265" ht="17.25" x14ac:dyDescent="0.25">
      <c r="A13" s="1"/>
      <c r="B13" s="14" t="s">
        <v>150</v>
      </c>
      <c r="C13" s="64" t="str">
        <f>IF(YEAR('Cover Sheet'!H2)&lt;2025,"Enter Date on Cover Sheet",YEAR('Cover Sheet'!H2))</f>
        <v>Enter Date on Cover Sheet</v>
      </c>
      <c r="D13" s="17"/>
      <c r="K13" s="467" t="s">
        <v>2146</v>
      </c>
      <c r="L13" s="468"/>
      <c r="M13" s="469"/>
      <c r="O13" s="176"/>
      <c r="P13" s="176"/>
      <c r="Q13" s="176"/>
      <c r="R13" s="176"/>
      <c r="S13" s="161"/>
      <c r="T13" s="161"/>
      <c r="U13" s="161"/>
      <c r="V13" s="163"/>
      <c r="W13" s="163"/>
      <c r="X13" s="164"/>
      <c r="Y13" s="164"/>
      <c r="Z13" s="164"/>
      <c r="AA13" s="164"/>
      <c r="AB13" s="164"/>
      <c r="AC13" s="164"/>
      <c r="AD13" s="16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65"/>
      <c r="BE13" s="165"/>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row>
    <row r="14" spans="1:265" ht="17.25" x14ac:dyDescent="0.25">
      <c r="A14" s="1"/>
      <c r="B14" s="14" t="s">
        <v>151</v>
      </c>
      <c r="C14" s="64" t="str">
        <f>IFERROR(C13+6,"")</f>
        <v/>
      </c>
      <c r="D14" s="17"/>
      <c r="K14" s="472">
        <f>'Factor 3 Calculations'!B29</f>
        <v>0</v>
      </c>
      <c r="L14" s="473"/>
      <c r="M14" s="474"/>
      <c r="O14" s="176"/>
      <c r="P14" s="176"/>
      <c r="Q14" s="176"/>
      <c r="R14" s="176"/>
      <c r="S14" s="161"/>
      <c r="T14" s="161"/>
      <c r="U14" s="161"/>
      <c r="V14" s="163"/>
      <c r="W14" s="163"/>
      <c r="X14" s="164"/>
      <c r="Y14" s="164"/>
      <c r="Z14" s="164"/>
      <c r="AA14" s="164"/>
      <c r="AB14" s="164"/>
      <c r="AC14" s="164"/>
      <c r="AD14" s="16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65"/>
      <c r="BE14" s="165"/>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row>
    <row r="15" spans="1:265" ht="17.25" x14ac:dyDescent="0.3">
      <c r="A15" s="1"/>
      <c r="B15" s="73" t="s">
        <v>152</v>
      </c>
      <c r="C15" s="75">
        <v>20</v>
      </c>
      <c r="D15" s="17"/>
      <c r="K15" s="11"/>
      <c r="L15" s="37"/>
      <c r="M15" s="12"/>
      <c r="O15" s="176"/>
      <c r="P15" s="176"/>
      <c r="Q15" s="176"/>
      <c r="R15" s="176"/>
      <c r="S15" s="161"/>
      <c r="T15" s="161"/>
      <c r="U15" s="161"/>
      <c r="V15" s="163"/>
      <c r="W15" s="163"/>
      <c r="X15" s="164"/>
      <c r="Y15" s="164"/>
      <c r="Z15" s="164"/>
      <c r="AA15" s="164"/>
      <c r="AB15" s="164"/>
      <c r="AC15" s="164"/>
      <c r="AD15" s="16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65"/>
      <c r="BE15" s="165"/>
      <c r="BF15" s="104"/>
      <c r="BG15" s="104"/>
      <c r="BH15" s="104"/>
      <c r="BI15" s="104"/>
      <c r="BJ15" s="104"/>
      <c r="BK15" s="104"/>
      <c r="BL15" s="104"/>
      <c r="BM15" s="104"/>
      <c r="BN15" s="104"/>
      <c r="BO15" s="104"/>
      <c r="BP15" s="104"/>
      <c r="BQ15" s="104"/>
      <c r="BR15" s="104"/>
      <c r="BS15" s="104"/>
      <c r="BT15" s="104"/>
      <c r="BU15" s="104"/>
      <c r="BV15" s="104"/>
      <c r="BW15" s="104"/>
      <c r="BX15" s="104"/>
      <c r="BY15" s="104"/>
      <c r="BZ15" s="104"/>
      <c r="CA15" s="104"/>
      <c r="CB15" s="104"/>
      <c r="CC15" s="104"/>
      <c r="CD15" s="104"/>
      <c r="CE15" s="104"/>
      <c r="CF15" s="104"/>
      <c r="CG15" s="104"/>
      <c r="CH15" s="104"/>
      <c r="CI15" s="104"/>
      <c r="CJ15" s="104"/>
      <c r="CK15" s="104"/>
      <c r="CL15" s="104"/>
      <c r="CM15" s="104"/>
      <c r="CN15" s="104"/>
      <c r="CO15" s="104"/>
      <c r="CP15" s="104"/>
      <c r="CQ15" s="104"/>
      <c r="CR15" s="104"/>
      <c r="CS15" s="104"/>
      <c r="CT15" s="104"/>
      <c r="CU15" s="104"/>
      <c r="CV15" s="104"/>
      <c r="CW15" s="104"/>
      <c r="CX15" s="104"/>
      <c r="CY15" s="104"/>
      <c r="CZ15" s="104"/>
      <c r="DA15" s="104"/>
      <c r="DB15" s="104"/>
      <c r="DC15" s="104"/>
      <c r="DD15" s="104"/>
      <c r="DE15" s="104"/>
      <c r="DF15" s="104"/>
      <c r="DG15" s="104"/>
      <c r="DH15" s="104"/>
      <c r="DI15" s="104"/>
      <c r="DJ15" s="104"/>
      <c r="DK15" s="104"/>
      <c r="DL15" s="104"/>
      <c r="DM15" s="104"/>
      <c r="DN15" s="104"/>
      <c r="DO15" s="104"/>
      <c r="DP15" s="104"/>
      <c r="DQ15" s="104"/>
      <c r="DR15" s="104"/>
      <c r="DS15" s="104"/>
      <c r="DT15" s="104"/>
      <c r="DU15" s="104"/>
      <c r="DV15" s="104"/>
      <c r="DW15" s="104"/>
      <c r="DX15" s="104"/>
      <c r="DY15" s="104"/>
      <c r="DZ15" s="104"/>
      <c r="EA15" s="104"/>
      <c r="EB15" s="104"/>
      <c r="EC15" s="104"/>
      <c r="ED15" s="104"/>
      <c r="EE15" s="104"/>
      <c r="EF15" s="104"/>
      <c r="EG15" s="104"/>
      <c r="EH15" s="104"/>
      <c r="EI15" s="104"/>
      <c r="EJ15" s="104"/>
      <c r="EK15" s="104"/>
      <c r="EL15" s="104"/>
      <c r="EM15" s="104"/>
      <c r="EN15" s="104"/>
      <c r="EO15" s="104"/>
      <c r="EP15" s="104"/>
      <c r="EQ15" s="104"/>
      <c r="ER15" s="104"/>
      <c r="ES15" s="104"/>
      <c r="ET15" s="104"/>
      <c r="EU15" s="104"/>
      <c r="EV15" s="104"/>
      <c r="EW15" s="104"/>
      <c r="EX15" s="104"/>
      <c r="EY15" s="104"/>
      <c r="EZ15" s="104"/>
      <c r="FA15" s="104"/>
      <c r="FB15" s="104"/>
      <c r="FC15" s="104"/>
      <c r="FD15" s="104"/>
      <c r="FE15" s="104"/>
      <c r="FF15" s="104"/>
      <c r="FG15" s="104"/>
      <c r="FH15" s="104"/>
      <c r="FI15" s="104"/>
      <c r="FJ15" s="104"/>
      <c r="FK15" s="104"/>
      <c r="FL15" s="104"/>
      <c r="FM15" s="104"/>
      <c r="FN15" s="104"/>
      <c r="FO15" s="104"/>
      <c r="FP15" s="104"/>
      <c r="FQ15" s="104"/>
      <c r="FR15" s="104"/>
      <c r="FS15" s="104"/>
      <c r="FT15" s="104"/>
      <c r="FU15" s="104"/>
      <c r="FV15" s="104"/>
      <c r="FW15" s="104"/>
      <c r="FX15" s="104"/>
      <c r="FY15" s="104"/>
      <c r="FZ15" s="104"/>
      <c r="GA15" s="104"/>
      <c r="GB15" s="104"/>
      <c r="GC15" s="104"/>
      <c r="GD15" s="104"/>
      <c r="GE15" s="104"/>
      <c r="GF15" s="104"/>
      <c r="GG15" s="104"/>
      <c r="GH15" s="104"/>
      <c r="GI15" s="104"/>
      <c r="GJ15" s="104"/>
      <c r="GK15" s="104"/>
      <c r="GL15" s="104"/>
      <c r="GM15" s="104"/>
      <c r="GN15" s="104"/>
      <c r="GO15" s="104"/>
      <c r="GP15" s="104"/>
      <c r="GQ15" s="104"/>
      <c r="GR15" s="104"/>
      <c r="GS15" s="104"/>
      <c r="GT15" s="104"/>
      <c r="GU15" s="104"/>
      <c r="GV15" s="104"/>
      <c r="GW15" s="104"/>
      <c r="GX15" s="104"/>
      <c r="GY15" s="104"/>
      <c r="GZ15" s="104"/>
      <c r="HA15" s="104"/>
      <c r="HB15" s="104"/>
      <c r="HC15" s="104"/>
      <c r="HD15" s="104"/>
      <c r="HE15" s="104"/>
      <c r="HF15" s="104"/>
      <c r="HG15" s="104"/>
      <c r="HH15" s="104"/>
      <c r="HI15" s="104"/>
      <c r="HJ15" s="104"/>
      <c r="HK15" s="104"/>
      <c r="HL15" s="104"/>
      <c r="HM15" s="104"/>
      <c r="HN15" s="104"/>
      <c r="HO15" s="104"/>
      <c r="HP15" s="104"/>
      <c r="HQ15" s="104"/>
      <c r="HR15" s="104"/>
      <c r="HS15" s="104"/>
      <c r="HT15" s="104"/>
      <c r="HU15" s="104"/>
      <c r="HV15" s="104"/>
      <c r="HW15" s="104"/>
      <c r="HX15" s="104"/>
      <c r="HY15" s="104"/>
      <c r="HZ15" s="104"/>
      <c r="IA15" s="104"/>
      <c r="IB15" s="104"/>
      <c r="IC15" s="104"/>
      <c r="ID15" s="104"/>
      <c r="IE15" s="104"/>
      <c r="IF15" s="104"/>
      <c r="IG15" s="104"/>
      <c r="IH15" s="104"/>
      <c r="II15" s="104"/>
      <c r="IJ15" s="104"/>
      <c r="IK15" s="104"/>
      <c r="IL15" s="104"/>
      <c r="IM15" s="104"/>
      <c r="IN15" s="104"/>
      <c r="IO15" s="104"/>
      <c r="IP15" s="104"/>
      <c r="IQ15" s="104"/>
      <c r="IR15" s="104"/>
      <c r="IS15" s="104"/>
      <c r="IT15" s="104"/>
      <c r="IU15" s="104"/>
      <c r="IV15" s="104"/>
      <c r="IW15" s="104"/>
      <c r="IX15" s="104"/>
      <c r="IY15" s="104"/>
      <c r="IZ15" s="104"/>
      <c r="JA15" s="104"/>
      <c r="JB15" s="104"/>
      <c r="JC15" s="104"/>
      <c r="JD15" s="104"/>
      <c r="JE15" s="104"/>
    </row>
    <row r="16" spans="1:265" ht="17.25" x14ac:dyDescent="0.25">
      <c r="A16" s="1"/>
      <c r="B16" s="14" t="s">
        <v>153</v>
      </c>
      <c r="C16" s="76">
        <v>7.0000000000000001E-3</v>
      </c>
      <c r="D16" s="17"/>
      <c r="K16" s="467" t="s">
        <v>2147</v>
      </c>
      <c r="L16" s="468"/>
      <c r="M16" s="469"/>
      <c r="O16" s="176"/>
      <c r="P16" s="176"/>
      <c r="Q16" s="176"/>
      <c r="R16" s="176"/>
      <c r="S16" s="161"/>
      <c r="T16" s="161"/>
      <c r="U16" s="161"/>
      <c r="V16" s="163"/>
      <c r="W16" s="163"/>
      <c r="X16" s="164"/>
      <c r="Y16" s="164"/>
      <c r="Z16" s="164"/>
      <c r="AA16" s="164"/>
      <c r="AB16" s="164"/>
      <c r="AC16" s="164"/>
      <c r="AD16" s="16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65"/>
      <c r="BE16" s="165"/>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104"/>
      <c r="EP16" s="104"/>
      <c r="EQ16" s="104"/>
      <c r="ER16" s="104"/>
      <c r="ES16" s="104"/>
      <c r="ET16" s="104"/>
      <c r="EU16" s="104"/>
      <c r="EV16" s="104"/>
      <c r="EW16" s="104"/>
      <c r="EX16" s="104"/>
      <c r="EY16" s="104"/>
      <c r="EZ16" s="104"/>
      <c r="FA16" s="104"/>
      <c r="FB16" s="104"/>
      <c r="FC16" s="104"/>
      <c r="FD16" s="104"/>
      <c r="FE16" s="104"/>
      <c r="FF16" s="104"/>
      <c r="FG16" s="104"/>
      <c r="FH16" s="104"/>
      <c r="FI16" s="104"/>
      <c r="FJ16" s="104"/>
      <c r="FK16" s="104"/>
      <c r="FL16" s="104"/>
      <c r="FM16" s="104"/>
      <c r="FN16" s="104"/>
      <c r="FO16" s="104"/>
      <c r="FP16" s="104"/>
      <c r="FQ16" s="104"/>
      <c r="FR16" s="104"/>
      <c r="FS16" s="104"/>
      <c r="FT16" s="104"/>
      <c r="FU16" s="104"/>
      <c r="FV16" s="104"/>
      <c r="FW16" s="104"/>
      <c r="FX16" s="104"/>
      <c r="FY16" s="104"/>
      <c r="FZ16" s="104"/>
      <c r="GA16" s="104"/>
      <c r="GB16" s="104"/>
      <c r="GC16" s="104"/>
      <c r="GD16" s="104"/>
      <c r="GE16" s="104"/>
      <c r="GF16" s="104"/>
      <c r="GG16" s="104"/>
      <c r="GH16" s="104"/>
      <c r="GI16" s="104"/>
      <c r="GJ16" s="104"/>
      <c r="GK16" s="104"/>
      <c r="GL16" s="104"/>
      <c r="GM16" s="104"/>
      <c r="GN16" s="104"/>
      <c r="GO16" s="104"/>
      <c r="GP16" s="104"/>
      <c r="GQ16" s="104"/>
      <c r="GR16" s="104"/>
      <c r="GS16" s="104"/>
      <c r="GT16" s="104"/>
      <c r="GU16" s="104"/>
      <c r="GV16" s="104"/>
      <c r="GW16" s="104"/>
      <c r="GX16" s="104"/>
      <c r="GY16" s="104"/>
      <c r="GZ16" s="104"/>
      <c r="HA16" s="104"/>
      <c r="HB16" s="104"/>
      <c r="HC16" s="104"/>
      <c r="HD16" s="104"/>
      <c r="HE16" s="104"/>
      <c r="HF16" s="104"/>
      <c r="HG16" s="104"/>
      <c r="HH16" s="104"/>
      <c r="HI16" s="104"/>
      <c r="HJ16" s="104"/>
      <c r="HK16" s="104"/>
      <c r="HL16" s="104"/>
      <c r="HM16" s="104"/>
      <c r="HN16" s="104"/>
      <c r="HO16" s="104"/>
      <c r="HP16" s="104"/>
      <c r="HQ16" s="104"/>
      <c r="HR16" s="104"/>
      <c r="HS16" s="104"/>
      <c r="HT16" s="104"/>
      <c r="HU16" s="104"/>
      <c r="HV16" s="104"/>
      <c r="HW16" s="104"/>
      <c r="HX16" s="104"/>
      <c r="HY16" s="104"/>
      <c r="HZ16" s="104"/>
      <c r="IA16" s="104"/>
      <c r="IB16" s="104"/>
      <c r="IC16" s="104"/>
      <c r="ID16" s="104"/>
      <c r="IE16" s="104"/>
      <c r="IF16" s="104"/>
      <c r="IG16" s="104"/>
      <c r="IH16" s="104"/>
      <c r="II16" s="104"/>
      <c r="IJ16" s="104"/>
      <c r="IK16" s="104"/>
      <c r="IL16" s="104"/>
      <c r="IM16" s="104"/>
      <c r="IN16" s="104"/>
      <c r="IO16" s="104"/>
      <c r="IP16" s="104"/>
      <c r="IQ16" s="104"/>
      <c r="IR16" s="104"/>
      <c r="IS16" s="104"/>
      <c r="IT16" s="104"/>
      <c r="IU16" s="104"/>
      <c r="IV16" s="104"/>
      <c r="IW16" s="104"/>
      <c r="IX16" s="104"/>
      <c r="IY16" s="104"/>
      <c r="IZ16" s="104"/>
      <c r="JA16" s="104"/>
      <c r="JB16" s="104"/>
      <c r="JC16" s="104"/>
      <c r="JD16" s="104"/>
      <c r="JE16" s="104"/>
    </row>
    <row r="17" spans="1:265" ht="18.75" thickBot="1" x14ac:dyDescent="0.3">
      <c r="A17" s="1"/>
      <c r="B17" s="475" t="s">
        <v>154</v>
      </c>
      <c r="C17" s="476"/>
      <c r="D17" s="18"/>
      <c r="H17" s="18"/>
      <c r="K17" s="472">
        <f>'Factor 3 Calculations'!B30</f>
        <v>0</v>
      </c>
      <c r="L17" s="473"/>
      <c r="M17" s="474"/>
      <c r="O17" s="176"/>
      <c r="P17" s="176"/>
      <c r="Q17" s="176"/>
      <c r="R17" s="176"/>
      <c r="S17" s="161"/>
      <c r="T17" s="161"/>
      <c r="U17" s="161"/>
      <c r="V17" s="163"/>
      <c r="W17" s="163"/>
      <c r="X17" s="164"/>
      <c r="Y17" s="164"/>
      <c r="Z17" s="164"/>
      <c r="AA17" s="164"/>
      <c r="AB17" s="164"/>
      <c r="AC17" s="164"/>
      <c r="AD17" s="16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C17" s="104"/>
      <c r="BD17" s="165"/>
      <c r="BE17" s="165"/>
      <c r="BF17" s="104"/>
      <c r="BG17" s="104"/>
      <c r="BH17" s="104"/>
      <c r="BI17" s="104"/>
      <c r="BJ17" s="104"/>
      <c r="BK17" s="104"/>
      <c r="BL17" s="104"/>
      <c r="BM17" s="104"/>
      <c r="BN17" s="104"/>
      <c r="BO17" s="104"/>
      <c r="BP17" s="104"/>
      <c r="BQ17" s="104"/>
      <c r="BR17" s="104"/>
      <c r="BS17" s="104"/>
      <c r="BT17" s="104"/>
      <c r="BU17" s="104"/>
      <c r="BV17" s="104"/>
      <c r="BW17" s="104"/>
      <c r="BX17" s="104"/>
      <c r="BY17" s="104"/>
      <c r="BZ17" s="104"/>
      <c r="CA17" s="104"/>
      <c r="CB17" s="104"/>
      <c r="CC17" s="104"/>
      <c r="CD17" s="104"/>
      <c r="CE17" s="104"/>
      <c r="CF17" s="104"/>
      <c r="CG17" s="104"/>
      <c r="CH17" s="104"/>
      <c r="CI17" s="104"/>
      <c r="CJ17" s="104"/>
      <c r="CK17" s="104"/>
      <c r="CL17" s="104"/>
      <c r="CM17" s="104"/>
      <c r="CN17" s="104"/>
      <c r="CO17" s="104"/>
      <c r="CP17" s="104"/>
      <c r="CQ17" s="104"/>
      <c r="CR17" s="104"/>
      <c r="CS17" s="104"/>
      <c r="CT17" s="104"/>
      <c r="CU17" s="104"/>
      <c r="CV17" s="104"/>
      <c r="CW17" s="104"/>
      <c r="CX17" s="104"/>
      <c r="CY17" s="104"/>
      <c r="CZ17" s="104"/>
      <c r="DA17" s="104"/>
      <c r="DB17" s="104"/>
      <c r="DC17" s="104"/>
      <c r="DD17" s="104"/>
      <c r="DE17" s="104"/>
      <c r="DF17" s="104"/>
      <c r="DG17" s="104"/>
      <c r="DH17" s="104"/>
      <c r="DI17" s="104"/>
      <c r="DJ17" s="104"/>
      <c r="DK17" s="104"/>
      <c r="DL17" s="104"/>
      <c r="DM17" s="104"/>
      <c r="DN17" s="104"/>
      <c r="DO17" s="104"/>
      <c r="DP17" s="104"/>
      <c r="DQ17" s="104"/>
      <c r="DR17" s="104"/>
      <c r="DS17" s="104"/>
      <c r="DT17" s="104"/>
      <c r="DU17" s="104"/>
      <c r="DV17" s="104"/>
      <c r="DW17" s="104"/>
      <c r="DX17" s="104"/>
      <c r="DY17" s="104"/>
      <c r="DZ17" s="104"/>
      <c r="EA17" s="104"/>
      <c r="EB17" s="104"/>
      <c r="EC17" s="104"/>
      <c r="ED17" s="104"/>
      <c r="EE17" s="104"/>
      <c r="EF17" s="104"/>
      <c r="EG17" s="104"/>
      <c r="EH17" s="104"/>
      <c r="EI17" s="104"/>
      <c r="EJ17" s="104"/>
      <c r="EK17" s="104"/>
      <c r="EL17" s="104"/>
      <c r="EM17" s="104"/>
      <c r="EN17" s="104"/>
      <c r="EO17" s="104"/>
      <c r="EP17" s="104"/>
      <c r="EQ17" s="104"/>
      <c r="ER17" s="104"/>
      <c r="ES17" s="104"/>
      <c r="ET17" s="104"/>
      <c r="EU17" s="104"/>
      <c r="EV17" s="104"/>
      <c r="EW17" s="104"/>
      <c r="EX17" s="104"/>
      <c r="EY17" s="104"/>
      <c r="EZ17" s="104"/>
      <c r="FA17" s="104"/>
      <c r="FB17" s="104"/>
      <c r="FC17" s="104"/>
      <c r="FD17" s="104"/>
      <c r="FE17" s="104"/>
      <c r="FF17" s="104"/>
      <c r="FG17" s="104"/>
      <c r="FH17" s="104"/>
      <c r="FI17" s="104"/>
      <c r="FJ17" s="104"/>
      <c r="FK17" s="104"/>
      <c r="FL17" s="104"/>
      <c r="FM17" s="104"/>
      <c r="FN17" s="104"/>
      <c r="FO17" s="104"/>
      <c r="FP17" s="104"/>
      <c r="FQ17" s="104"/>
      <c r="FR17" s="104"/>
      <c r="FS17" s="104"/>
      <c r="FT17" s="104"/>
      <c r="FU17" s="104"/>
      <c r="FV17" s="104"/>
      <c r="FW17" s="104"/>
      <c r="FX17" s="104"/>
      <c r="FY17" s="104"/>
      <c r="FZ17" s="104"/>
      <c r="GA17" s="104"/>
      <c r="GB17" s="104"/>
      <c r="GC17" s="104"/>
      <c r="GD17" s="104"/>
      <c r="GE17" s="104"/>
      <c r="GF17" s="104"/>
      <c r="GG17" s="104"/>
      <c r="GH17" s="104"/>
      <c r="GI17" s="104"/>
      <c r="GJ17" s="104"/>
      <c r="GK17" s="104"/>
      <c r="GL17" s="104"/>
      <c r="GM17" s="104"/>
      <c r="GN17" s="104"/>
      <c r="GO17" s="104"/>
      <c r="GP17" s="104"/>
      <c r="GQ17" s="104"/>
      <c r="GR17" s="104"/>
      <c r="GS17" s="104"/>
      <c r="GT17" s="104"/>
      <c r="GU17" s="104"/>
      <c r="GV17" s="104"/>
      <c r="GW17" s="104"/>
      <c r="GX17" s="104"/>
      <c r="GY17" s="104"/>
      <c r="GZ17" s="104"/>
      <c r="HA17" s="104"/>
      <c r="HB17" s="104"/>
      <c r="HC17" s="104"/>
      <c r="HD17" s="104"/>
      <c r="HE17" s="104"/>
      <c r="HF17" s="104"/>
      <c r="HG17" s="104"/>
      <c r="HH17" s="104"/>
      <c r="HI17" s="104"/>
      <c r="HJ17" s="104"/>
      <c r="HK17" s="104"/>
      <c r="HL17" s="104"/>
      <c r="HM17" s="104"/>
      <c r="HN17" s="104"/>
      <c r="HO17" s="104"/>
      <c r="HP17" s="104"/>
      <c r="HQ17" s="104"/>
      <c r="HR17" s="104"/>
      <c r="HS17" s="104"/>
      <c r="HT17" s="104"/>
      <c r="HU17" s="104"/>
      <c r="HV17" s="104"/>
      <c r="HW17" s="104"/>
      <c r="HX17" s="104"/>
      <c r="HY17" s="104"/>
      <c r="HZ17" s="104"/>
      <c r="IA17" s="104"/>
      <c r="IB17" s="104"/>
      <c r="IC17" s="104"/>
      <c r="ID17" s="104"/>
      <c r="IE17" s="104"/>
      <c r="IF17" s="104"/>
      <c r="IG17" s="104"/>
      <c r="IH17" s="104"/>
      <c r="II17" s="104"/>
      <c r="IJ17" s="104"/>
      <c r="IK17" s="104"/>
      <c r="IL17" s="104"/>
      <c r="IM17" s="104"/>
      <c r="IN17" s="104"/>
      <c r="IO17" s="104"/>
      <c r="IP17" s="104"/>
      <c r="IQ17" s="104"/>
      <c r="IR17" s="104"/>
      <c r="IS17" s="104"/>
      <c r="IT17" s="104"/>
      <c r="IU17" s="104"/>
      <c r="IV17" s="104"/>
      <c r="IW17" s="104"/>
      <c r="IX17" s="104"/>
      <c r="IY17" s="104"/>
      <c r="IZ17" s="104"/>
      <c r="JA17" s="104"/>
      <c r="JB17" s="104"/>
      <c r="JC17" s="104"/>
      <c r="JD17" s="104"/>
      <c r="JE17" s="104"/>
    </row>
    <row r="18" spans="1:265" ht="17.25" x14ac:dyDescent="0.25">
      <c r="A18" s="1"/>
      <c r="B18" s="26" t="s">
        <v>2120</v>
      </c>
      <c r="C18" s="157">
        <f>IF(AND(C20="",C23="",C21="",C24=""),100000000,(0.3*(C20-C21))+(2000*(C23-C24)+1000))</f>
        <v>100000000</v>
      </c>
      <c r="D18" s="19"/>
      <c r="H18" s="19"/>
      <c r="K18" s="70"/>
      <c r="L18" s="71"/>
      <c r="M18" s="72"/>
      <c r="O18" s="176"/>
      <c r="P18" s="176"/>
      <c r="Q18" s="176"/>
      <c r="R18" s="176"/>
      <c r="S18" s="161"/>
      <c r="T18" s="161"/>
      <c r="U18" s="161"/>
      <c r="V18" s="163"/>
      <c r="W18" s="163"/>
      <c r="X18" s="164"/>
      <c r="Y18" s="164"/>
      <c r="Z18" s="164"/>
      <c r="AA18" s="164"/>
      <c r="AB18" s="164"/>
      <c r="AC18" s="164"/>
      <c r="AD18" s="16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4"/>
      <c r="BA18" s="104"/>
      <c r="BB18" s="104"/>
      <c r="BC18" s="104"/>
      <c r="BD18" s="165"/>
      <c r="BE18" s="165"/>
      <c r="BF18" s="104"/>
      <c r="BG18" s="104"/>
      <c r="BH18" s="104"/>
      <c r="BI18" s="104"/>
      <c r="BJ18" s="104"/>
      <c r="BK18" s="104"/>
      <c r="BL18" s="104"/>
      <c r="BM18" s="104"/>
      <c r="BN18" s="104"/>
      <c r="BO18" s="104"/>
      <c r="BP18" s="104"/>
      <c r="BQ18" s="104"/>
      <c r="BR18" s="104"/>
      <c r="BS18" s="104"/>
      <c r="BT18" s="104"/>
      <c r="BU18" s="104"/>
      <c r="BV18" s="104"/>
      <c r="BW18" s="104"/>
      <c r="BX18" s="104"/>
      <c r="BY18" s="104"/>
      <c r="BZ18" s="104"/>
      <c r="CA18" s="104"/>
      <c r="CB18" s="104"/>
      <c r="CC18" s="104"/>
      <c r="CD18" s="104"/>
      <c r="CE18" s="104"/>
      <c r="CF18" s="104"/>
      <c r="CG18" s="104"/>
      <c r="CH18" s="104"/>
      <c r="CI18" s="104"/>
      <c r="CJ18" s="104"/>
      <c r="CK18" s="104"/>
      <c r="CL18" s="104"/>
      <c r="CM18" s="104"/>
      <c r="CN18" s="104"/>
      <c r="CO18" s="104"/>
      <c r="CP18" s="104"/>
      <c r="CQ18" s="104"/>
      <c r="CR18" s="104"/>
      <c r="CS18" s="104"/>
      <c r="CT18" s="104"/>
      <c r="CU18" s="104"/>
      <c r="CV18" s="104"/>
      <c r="CW18" s="104"/>
      <c r="CX18" s="104"/>
      <c r="CY18" s="104"/>
      <c r="CZ18" s="104"/>
      <c r="DA18" s="104"/>
      <c r="DB18" s="104"/>
      <c r="DC18" s="104"/>
      <c r="DD18" s="104"/>
      <c r="DE18" s="104"/>
      <c r="DF18" s="104"/>
      <c r="DG18" s="104"/>
      <c r="DH18" s="104"/>
      <c r="DI18" s="104"/>
      <c r="DJ18" s="104"/>
      <c r="DK18" s="104"/>
      <c r="DL18" s="104"/>
      <c r="DM18" s="104"/>
      <c r="DN18" s="104"/>
      <c r="DO18" s="104"/>
      <c r="DP18" s="104"/>
      <c r="DQ18" s="104"/>
      <c r="DR18" s="104"/>
      <c r="DS18" s="104"/>
      <c r="DT18" s="104"/>
      <c r="DU18" s="104"/>
      <c r="DV18" s="104"/>
      <c r="DW18" s="104"/>
      <c r="DX18" s="104"/>
      <c r="DY18" s="104"/>
      <c r="DZ18" s="104"/>
      <c r="EA18" s="104"/>
      <c r="EB18" s="104"/>
      <c r="EC18" s="104"/>
      <c r="ED18" s="104"/>
      <c r="EE18" s="104"/>
      <c r="EF18" s="104"/>
      <c r="EG18" s="104"/>
      <c r="EH18" s="104"/>
      <c r="EI18" s="104"/>
      <c r="EJ18" s="104"/>
      <c r="EK18" s="104"/>
      <c r="EL18" s="104"/>
      <c r="EM18" s="104"/>
      <c r="EN18" s="104"/>
      <c r="EO18" s="104"/>
      <c r="EP18" s="104"/>
      <c r="EQ18" s="104"/>
      <c r="ER18" s="104"/>
      <c r="ES18" s="104"/>
      <c r="ET18" s="104"/>
      <c r="EU18" s="104"/>
      <c r="EV18" s="104"/>
      <c r="EW18" s="104"/>
      <c r="EX18" s="104"/>
      <c r="EY18" s="104"/>
      <c r="EZ18" s="104"/>
      <c r="FA18" s="104"/>
      <c r="FB18" s="104"/>
      <c r="FC18" s="104"/>
      <c r="FD18" s="104"/>
      <c r="FE18" s="104"/>
      <c r="FF18" s="104"/>
      <c r="FG18" s="104"/>
      <c r="FH18" s="104"/>
      <c r="FI18" s="104"/>
      <c r="FJ18" s="104"/>
      <c r="FK18" s="104"/>
      <c r="FL18" s="104"/>
      <c r="FM18" s="104"/>
      <c r="FN18" s="104"/>
      <c r="FO18" s="104"/>
      <c r="FP18" s="104"/>
      <c r="FQ18" s="104"/>
      <c r="FR18" s="104"/>
      <c r="FS18" s="104"/>
      <c r="FT18" s="104"/>
      <c r="FU18" s="104"/>
      <c r="FV18" s="104"/>
      <c r="FW18" s="104"/>
      <c r="FX18" s="104"/>
      <c r="FY18" s="104"/>
      <c r="FZ18" s="104"/>
      <c r="GA18" s="104"/>
      <c r="GB18" s="104"/>
      <c r="GC18" s="104"/>
      <c r="GD18" s="104"/>
      <c r="GE18" s="104"/>
      <c r="GF18" s="104"/>
      <c r="GG18" s="104"/>
      <c r="GH18" s="104"/>
      <c r="GI18" s="104"/>
      <c r="GJ18" s="104"/>
      <c r="GK18" s="104"/>
      <c r="GL18" s="104"/>
      <c r="GM18" s="104"/>
      <c r="GN18" s="104"/>
      <c r="GO18" s="104"/>
      <c r="GP18" s="104"/>
      <c r="GQ18" s="104"/>
      <c r="GR18" s="104"/>
      <c r="GS18" s="104"/>
      <c r="GT18" s="104"/>
      <c r="GU18" s="104"/>
      <c r="GV18" s="104"/>
      <c r="GW18" s="104"/>
      <c r="GX18" s="104"/>
      <c r="GY18" s="104"/>
      <c r="GZ18" s="104"/>
      <c r="HA18" s="104"/>
      <c r="HB18" s="104"/>
      <c r="HC18" s="104"/>
      <c r="HD18" s="104"/>
      <c r="HE18" s="104"/>
      <c r="HF18" s="104"/>
      <c r="HG18" s="104"/>
      <c r="HH18" s="104"/>
      <c r="HI18" s="104"/>
      <c r="HJ18" s="104"/>
      <c r="HK18" s="104"/>
      <c r="HL18" s="104"/>
      <c r="HM18" s="104"/>
      <c r="HN18" s="104"/>
      <c r="HO18" s="104"/>
      <c r="HP18" s="104"/>
      <c r="HQ18" s="104"/>
      <c r="HR18" s="104"/>
      <c r="HS18" s="104"/>
      <c r="HT18" s="104"/>
      <c r="HU18" s="104"/>
      <c r="HV18" s="104"/>
      <c r="HW18" s="104"/>
      <c r="HX18" s="104"/>
      <c r="HY18" s="104"/>
      <c r="HZ18" s="104"/>
      <c r="IA18" s="104"/>
      <c r="IB18" s="104"/>
      <c r="IC18" s="104"/>
      <c r="ID18" s="104"/>
      <c r="IE18" s="104"/>
      <c r="IF18" s="104"/>
      <c r="IG18" s="104"/>
      <c r="IH18" s="104"/>
      <c r="II18" s="104"/>
      <c r="IJ18" s="104"/>
      <c r="IK18" s="104"/>
      <c r="IL18" s="104"/>
      <c r="IM18" s="104"/>
      <c r="IN18" s="104"/>
      <c r="IO18" s="104"/>
      <c r="IP18" s="104"/>
      <c r="IQ18" s="104"/>
      <c r="IR18" s="104"/>
      <c r="IS18" s="104"/>
      <c r="IT18" s="104"/>
      <c r="IU18" s="104"/>
      <c r="IV18" s="104"/>
      <c r="IW18" s="104"/>
      <c r="IX18" s="104"/>
      <c r="IY18" s="104"/>
      <c r="IZ18" s="104"/>
      <c r="JA18" s="104"/>
      <c r="JB18" s="104"/>
      <c r="JC18" s="104"/>
      <c r="JD18" s="104"/>
      <c r="JE18" s="104"/>
    </row>
    <row r="19" spans="1:265" ht="17.25" x14ac:dyDescent="0.25">
      <c r="A19" s="1"/>
      <c r="B19" s="482" t="s">
        <v>2119</v>
      </c>
      <c r="C19" s="483"/>
      <c r="D19" s="184"/>
      <c r="H19" s="184"/>
      <c r="K19" s="467" t="s">
        <v>2150</v>
      </c>
      <c r="L19" s="468"/>
      <c r="M19" s="469"/>
      <c r="O19" s="176"/>
      <c r="P19" s="176"/>
      <c r="Q19" s="176"/>
      <c r="R19" s="176"/>
      <c r="S19" s="161"/>
      <c r="T19" s="161"/>
      <c r="U19" s="161"/>
      <c r="V19" s="163"/>
      <c r="W19" s="163"/>
      <c r="X19" s="164"/>
      <c r="Y19" s="164"/>
      <c r="Z19" s="164"/>
      <c r="AA19" s="164"/>
      <c r="AB19" s="164"/>
      <c r="AC19" s="164"/>
      <c r="AD19" s="16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65"/>
      <c r="BE19" s="165"/>
      <c r="BF19" s="104"/>
      <c r="BG19" s="104"/>
      <c r="BH19" s="104"/>
      <c r="BI19" s="104"/>
      <c r="BJ19" s="104"/>
      <c r="BK19" s="104"/>
      <c r="BL19" s="104"/>
      <c r="BM19" s="104"/>
      <c r="BN19" s="104"/>
      <c r="BO19" s="104"/>
      <c r="BP19" s="104"/>
      <c r="BQ19" s="104"/>
      <c r="BR19" s="104"/>
      <c r="BS19" s="104"/>
      <c r="BT19" s="104"/>
      <c r="BU19" s="104"/>
      <c r="BV19" s="104"/>
      <c r="BW19" s="104"/>
      <c r="BX19" s="104"/>
      <c r="BY19" s="104"/>
      <c r="BZ19" s="104"/>
      <c r="CA19" s="104"/>
      <c r="CB19" s="104"/>
      <c r="CC19" s="104"/>
      <c r="CD19" s="104"/>
      <c r="CE19" s="104"/>
      <c r="CF19" s="104"/>
      <c r="CG19" s="104"/>
      <c r="CH19" s="104"/>
      <c r="CI19" s="104"/>
      <c r="CJ19" s="104"/>
      <c r="CK19" s="104"/>
      <c r="CL19" s="104"/>
      <c r="CM19" s="104"/>
      <c r="CN19" s="104"/>
      <c r="CO19" s="104"/>
      <c r="CP19" s="104"/>
      <c r="CQ19" s="104"/>
      <c r="CR19" s="104"/>
      <c r="CS19" s="104"/>
      <c r="CT19" s="104"/>
      <c r="CU19" s="104"/>
      <c r="CV19" s="104"/>
      <c r="CW19" s="104"/>
      <c r="CX19" s="104"/>
      <c r="CY19" s="104"/>
      <c r="CZ19" s="104"/>
      <c r="DA19" s="104"/>
      <c r="DB19" s="104"/>
      <c r="DC19" s="104"/>
      <c r="DD19" s="104"/>
      <c r="DE19" s="104"/>
      <c r="DF19" s="104"/>
      <c r="DG19" s="104"/>
      <c r="DH19" s="104"/>
      <c r="DI19" s="104"/>
      <c r="DJ19" s="104"/>
      <c r="DK19" s="104"/>
      <c r="DL19" s="104"/>
      <c r="DM19" s="104"/>
      <c r="DN19" s="104"/>
      <c r="DO19" s="104"/>
      <c r="DP19" s="104"/>
      <c r="DQ19" s="104"/>
      <c r="DR19" s="104"/>
      <c r="DS19" s="104"/>
      <c r="DT19" s="104"/>
      <c r="DU19" s="104"/>
      <c r="DV19" s="104"/>
      <c r="DW19" s="104"/>
      <c r="DX19" s="104"/>
      <c r="DY19" s="104"/>
      <c r="DZ19" s="104"/>
      <c r="EA19" s="104"/>
      <c r="EB19" s="104"/>
      <c r="EC19" s="104"/>
      <c r="ED19" s="104"/>
      <c r="EE19" s="104"/>
      <c r="EF19" s="104"/>
      <c r="EG19" s="104"/>
      <c r="EH19" s="104"/>
      <c r="EI19" s="104"/>
      <c r="EJ19" s="104"/>
      <c r="EK19" s="104"/>
      <c r="EL19" s="104"/>
      <c r="EM19" s="104"/>
      <c r="EN19" s="104"/>
      <c r="EO19" s="104"/>
      <c r="EP19" s="104"/>
      <c r="EQ19" s="104"/>
      <c r="ER19" s="104"/>
      <c r="ES19" s="104"/>
      <c r="ET19" s="104"/>
      <c r="EU19" s="104"/>
      <c r="EV19" s="104"/>
      <c r="EW19" s="104"/>
      <c r="EX19" s="104"/>
      <c r="EY19" s="104"/>
      <c r="EZ19" s="104"/>
      <c r="FA19" s="104"/>
      <c r="FB19" s="104"/>
      <c r="FC19" s="104"/>
      <c r="FD19" s="104"/>
      <c r="FE19" s="104"/>
      <c r="FF19" s="104"/>
      <c r="FG19" s="104"/>
      <c r="FH19" s="104"/>
      <c r="FI19" s="104"/>
      <c r="FJ19" s="104"/>
      <c r="FK19" s="104"/>
      <c r="FL19" s="104"/>
      <c r="FM19" s="104"/>
      <c r="FN19" s="104"/>
      <c r="FO19" s="104"/>
      <c r="FP19" s="104"/>
      <c r="FQ19" s="104"/>
      <c r="FR19" s="104"/>
      <c r="FS19" s="104"/>
      <c r="FT19" s="104"/>
      <c r="FU19" s="104"/>
      <c r="FV19" s="104"/>
      <c r="FW19" s="104"/>
      <c r="FX19" s="104"/>
      <c r="FY19" s="104"/>
      <c r="FZ19" s="104"/>
      <c r="GA19" s="104"/>
      <c r="GB19" s="104"/>
      <c r="GC19" s="104"/>
      <c r="GD19" s="104"/>
      <c r="GE19" s="104"/>
      <c r="GF19" s="104"/>
      <c r="GG19" s="104"/>
      <c r="GH19" s="104"/>
      <c r="GI19" s="104"/>
      <c r="GJ19" s="104"/>
      <c r="GK19" s="104"/>
      <c r="GL19" s="104"/>
      <c r="GM19" s="104"/>
      <c r="GN19" s="104"/>
      <c r="GO19" s="104"/>
      <c r="GP19" s="104"/>
      <c r="GQ19" s="104"/>
      <c r="GR19" s="104"/>
      <c r="GS19" s="104"/>
      <c r="GT19" s="104"/>
      <c r="GU19" s="104"/>
      <c r="GV19" s="104"/>
      <c r="GW19" s="104"/>
      <c r="GX19" s="104"/>
      <c r="GY19" s="104"/>
      <c r="GZ19" s="104"/>
      <c r="HA19" s="104"/>
      <c r="HB19" s="104"/>
      <c r="HC19" s="104"/>
      <c r="HD19" s="104"/>
      <c r="HE19" s="104"/>
      <c r="HF19" s="104"/>
      <c r="HG19" s="104"/>
      <c r="HH19" s="104"/>
      <c r="HI19" s="104"/>
      <c r="HJ19" s="104"/>
      <c r="HK19" s="104"/>
      <c r="HL19" s="104"/>
      <c r="HM19" s="104"/>
      <c r="HN19" s="104"/>
      <c r="HO19" s="104"/>
      <c r="HP19" s="104"/>
      <c r="HQ19" s="104"/>
      <c r="HR19" s="104"/>
      <c r="HS19" s="104"/>
      <c r="HT19" s="104"/>
      <c r="HU19" s="104"/>
      <c r="HV19" s="104"/>
      <c r="HW19" s="104"/>
      <c r="HX19" s="104"/>
      <c r="HY19" s="104"/>
      <c r="HZ19" s="104"/>
      <c r="IA19" s="104"/>
      <c r="IB19" s="104"/>
      <c r="IC19" s="104"/>
      <c r="ID19" s="104"/>
      <c r="IE19" s="104"/>
      <c r="IF19" s="104"/>
      <c r="IG19" s="104"/>
      <c r="IH19" s="104"/>
      <c r="II19" s="104"/>
      <c r="IJ19" s="104"/>
      <c r="IK19" s="104"/>
      <c r="IL19" s="104"/>
      <c r="IM19" s="104"/>
      <c r="IN19" s="104"/>
      <c r="IO19" s="104"/>
      <c r="IP19" s="104"/>
      <c r="IQ19" s="104"/>
      <c r="IR19" s="104"/>
      <c r="IS19" s="104"/>
      <c r="IT19" s="104"/>
      <c r="IU19" s="104"/>
      <c r="IV19" s="104"/>
      <c r="IW19" s="104"/>
      <c r="IX19" s="104"/>
      <c r="IY19" s="104"/>
      <c r="IZ19" s="104"/>
      <c r="JA19" s="104"/>
      <c r="JB19" s="104"/>
      <c r="JC19" s="104"/>
      <c r="JD19" s="104"/>
      <c r="JE19" s="104"/>
    </row>
    <row r="20" spans="1:265" ht="17.25" x14ac:dyDescent="0.25">
      <c r="A20" s="1"/>
      <c r="B20" s="77" t="s">
        <v>155</v>
      </c>
      <c r="C20" s="43"/>
      <c r="D20" s="5"/>
      <c r="H20" s="5"/>
      <c r="K20" s="472">
        <f>IFERROR('Factor 3 Calculations'!B24,0)</f>
        <v>0</v>
      </c>
      <c r="L20" s="473"/>
      <c r="M20" s="474"/>
      <c r="O20" s="176"/>
      <c r="P20" s="176"/>
      <c r="Q20" s="176"/>
      <c r="R20" s="176"/>
      <c r="S20" s="161"/>
      <c r="T20" s="161"/>
      <c r="U20" s="161"/>
      <c r="V20" s="163"/>
      <c r="W20" s="163"/>
      <c r="X20" s="164"/>
      <c r="Y20" s="164"/>
      <c r="Z20" s="164"/>
      <c r="AA20" s="164"/>
      <c r="AB20" s="164"/>
      <c r="AC20" s="164"/>
      <c r="AD20" s="16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c r="BA20" s="104"/>
      <c r="BB20" s="104"/>
      <c r="BC20" s="104"/>
      <c r="BD20" s="165"/>
      <c r="BE20" s="165"/>
      <c r="BF20" s="104"/>
      <c r="BG20" s="104"/>
      <c r="BH20" s="104"/>
      <c r="BI20" s="104"/>
      <c r="BJ20" s="104"/>
      <c r="BK20" s="104"/>
      <c r="BL20" s="104"/>
      <c r="BM20" s="104"/>
      <c r="BN20" s="104"/>
      <c r="BO20" s="104"/>
      <c r="BP20" s="104"/>
      <c r="BQ20" s="104"/>
      <c r="BR20" s="104"/>
      <c r="BS20" s="104"/>
      <c r="BT20" s="104"/>
      <c r="BU20" s="104"/>
      <c r="BV20" s="104"/>
      <c r="BW20" s="104"/>
      <c r="BX20" s="104"/>
      <c r="BY20" s="104"/>
      <c r="BZ20" s="104"/>
      <c r="CA20" s="104"/>
      <c r="CB20" s="104"/>
      <c r="CC20" s="104"/>
      <c r="CD20" s="104"/>
      <c r="CE20" s="104"/>
      <c r="CF20" s="104"/>
      <c r="CG20" s="104"/>
      <c r="CH20" s="104"/>
      <c r="CI20" s="104"/>
      <c r="CJ20" s="104"/>
      <c r="CK20" s="104"/>
      <c r="CL20" s="104"/>
      <c r="CM20" s="104"/>
      <c r="CN20" s="104"/>
      <c r="CO20" s="104"/>
      <c r="CP20" s="104"/>
      <c r="CQ20" s="104"/>
      <c r="CR20" s="104"/>
      <c r="CS20" s="104"/>
      <c r="CT20" s="104"/>
      <c r="CU20" s="104"/>
      <c r="CV20" s="104"/>
      <c r="CW20" s="104"/>
      <c r="CX20" s="104"/>
      <c r="CY20" s="104"/>
      <c r="CZ20" s="104"/>
      <c r="DA20" s="104"/>
      <c r="DB20" s="104"/>
      <c r="DC20" s="104"/>
      <c r="DD20" s="104"/>
      <c r="DE20" s="104"/>
      <c r="DF20" s="104"/>
      <c r="DG20" s="104"/>
      <c r="DH20" s="104"/>
      <c r="DI20" s="104"/>
      <c r="DJ20" s="104"/>
      <c r="DK20" s="104"/>
      <c r="DL20" s="104"/>
      <c r="DM20" s="104"/>
      <c r="DN20" s="104"/>
      <c r="DO20" s="104"/>
      <c r="DP20" s="104"/>
      <c r="DQ20" s="104"/>
      <c r="DR20" s="104"/>
      <c r="DS20" s="104"/>
      <c r="DT20" s="104"/>
      <c r="DU20" s="104"/>
      <c r="DV20" s="104"/>
      <c r="DW20" s="104"/>
      <c r="DX20" s="104"/>
      <c r="DY20" s="104"/>
      <c r="DZ20" s="104"/>
      <c r="EA20" s="104"/>
      <c r="EB20" s="104"/>
      <c r="EC20" s="104"/>
      <c r="ED20" s="104"/>
      <c r="EE20" s="104"/>
      <c r="EF20" s="104"/>
      <c r="EG20" s="104"/>
      <c r="EH20" s="104"/>
      <c r="EI20" s="104"/>
      <c r="EJ20" s="104"/>
      <c r="EK20" s="104"/>
      <c r="EL20" s="104"/>
      <c r="EM20" s="104"/>
      <c r="EN20" s="104"/>
      <c r="EO20" s="104"/>
      <c r="EP20" s="104"/>
      <c r="EQ20" s="104"/>
      <c r="ER20" s="104"/>
      <c r="ES20" s="104"/>
      <c r="ET20" s="104"/>
      <c r="EU20" s="104"/>
      <c r="EV20" s="104"/>
      <c r="EW20" s="104"/>
      <c r="EX20" s="104"/>
      <c r="EY20" s="104"/>
      <c r="EZ20" s="104"/>
      <c r="FA20" s="104"/>
      <c r="FB20" s="104"/>
      <c r="FC20" s="104"/>
      <c r="FD20" s="104"/>
      <c r="FE20" s="104"/>
      <c r="FF20" s="104"/>
      <c r="FG20" s="104"/>
      <c r="FH20" s="104"/>
      <c r="FI20" s="104"/>
      <c r="FJ20" s="104"/>
      <c r="FK20" s="104"/>
      <c r="FL20" s="104"/>
      <c r="FM20" s="104"/>
      <c r="FN20" s="104"/>
      <c r="FO20" s="104"/>
      <c r="FP20" s="104"/>
      <c r="FQ20" s="104"/>
      <c r="FR20" s="104"/>
      <c r="FS20" s="104"/>
      <c r="FT20" s="104"/>
      <c r="FU20" s="104"/>
      <c r="FV20" s="104"/>
      <c r="FW20" s="104"/>
      <c r="FX20" s="104"/>
      <c r="FY20" s="104"/>
      <c r="FZ20" s="104"/>
      <c r="GA20" s="104"/>
      <c r="GB20" s="104"/>
      <c r="GC20" s="104"/>
      <c r="GD20" s="104"/>
      <c r="GE20" s="104"/>
      <c r="GF20" s="104"/>
      <c r="GG20" s="104"/>
      <c r="GH20" s="104"/>
      <c r="GI20" s="104"/>
      <c r="GJ20" s="104"/>
      <c r="GK20" s="104"/>
      <c r="GL20" s="104"/>
      <c r="GM20" s="104"/>
      <c r="GN20" s="104"/>
      <c r="GO20" s="104"/>
      <c r="GP20" s="104"/>
      <c r="GQ20" s="104"/>
      <c r="GR20" s="104"/>
      <c r="GS20" s="104"/>
      <c r="GT20" s="104"/>
      <c r="GU20" s="104"/>
      <c r="GV20" s="104"/>
      <c r="GW20" s="104"/>
      <c r="GX20" s="104"/>
      <c r="GY20" s="104"/>
      <c r="GZ20" s="104"/>
      <c r="HA20" s="104"/>
      <c r="HB20" s="104"/>
      <c r="HC20" s="104"/>
      <c r="HD20" s="104"/>
      <c r="HE20" s="104"/>
      <c r="HF20" s="104"/>
      <c r="HG20" s="104"/>
      <c r="HH20" s="104"/>
      <c r="HI20" s="104"/>
      <c r="HJ20" s="104"/>
      <c r="HK20" s="104"/>
      <c r="HL20" s="104"/>
      <c r="HM20" s="104"/>
      <c r="HN20" s="104"/>
      <c r="HO20" s="104"/>
      <c r="HP20" s="104"/>
      <c r="HQ20" s="104"/>
      <c r="HR20" s="104"/>
      <c r="HS20" s="104"/>
      <c r="HT20" s="104"/>
      <c r="HU20" s="104"/>
      <c r="HV20" s="104"/>
      <c r="HW20" s="104"/>
      <c r="HX20" s="104"/>
      <c r="HY20" s="104"/>
      <c r="HZ20" s="104"/>
      <c r="IA20" s="104"/>
      <c r="IB20" s="104"/>
      <c r="IC20" s="104"/>
      <c r="ID20" s="104"/>
      <c r="IE20" s="104"/>
      <c r="IF20" s="104"/>
      <c r="IG20" s="104"/>
      <c r="IH20" s="104"/>
      <c r="II20" s="104"/>
      <c r="IJ20" s="104"/>
      <c r="IK20" s="104"/>
      <c r="IL20" s="104"/>
      <c r="IM20" s="104"/>
      <c r="IN20" s="104"/>
      <c r="IO20" s="104"/>
      <c r="IP20" s="104"/>
      <c r="IQ20" s="104"/>
      <c r="IR20" s="104"/>
      <c r="IS20" s="104"/>
      <c r="IT20" s="104"/>
      <c r="IU20" s="104"/>
      <c r="IV20" s="104"/>
      <c r="IW20" s="104"/>
      <c r="IX20" s="104"/>
      <c r="IY20" s="104"/>
      <c r="IZ20" s="104"/>
      <c r="JA20" s="104"/>
      <c r="JB20" s="104"/>
      <c r="JC20" s="104"/>
      <c r="JD20" s="104"/>
      <c r="JE20" s="104"/>
    </row>
    <row r="21" spans="1:265" ht="15" customHeight="1" x14ac:dyDescent="0.25">
      <c r="A21" s="1"/>
      <c r="B21" s="77" t="s">
        <v>2118</v>
      </c>
      <c r="C21" s="43"/>
      <c r="D21" s="17"/>
      <c r="K21" s="13"/>
      <c r="L21" s="184"/>
      <c r="M21" s="185"/>
      <c r="O21" s="176"/>
      <c r="P21" s="176"/>
      <c r="Q21" s="176"/>
      <c r="R21" s="176"/>
      <c r="S21" s="161"/>
      <c r="T21" s="161"/>
      <c r="U21" s="161"/>
      <c r="V21" s="163"/>
      <c r="W21" s="163"/>
      <c r="X21" s="164"/>
      <c r="Y21" s="164"/>
      <c r="Z21" s="164"/>
      <c r="AA21" s="164"/>
      <c r="AB21" s="164"/>
      <c r="AC21" s="164"/>
      <c r="AD21" s="16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65"/>
      <c r="BE21" s="165"/>
      <c r="BF21" s="104"/>
      <c r="BG21" s="104"/>
      <c r="BH21" s="104"/>
      <c r="BI21" s="104"/>
      <c r="BJ21" s="104"/>
      <c r="BK21" s="104"/>
      <c r="BL21" s="104"/>
      <c r="BM21" s="104"/>
      <c r="BN21" s="104"/>
      <c r="BO21" s="104"/>
      <c r="BP21" s="104"/>
      <c r="BQ21" s="104"/>
      <c r="BR21" s="104"/>
      <c r="BS21" s="104"/>
      <c r="BT21" s="104"/>
      <c r="BU21" s="104"/>
      <c r="BV21" s="104"/>
      <c r="BW21" s="104"/>
      <c r="BX21" s="104"/>
      <c r="BY21" s="104"/>
      <c r="BZ21" s="104"/>
      <c r="CA21" s="104"/>
      <c r="CB21" s="104"/>
      <c r="CC21" s="104"/>
      <c r="CD21" s="104"/>
      <c r="CE21" s="104"/>
      <c r="CF21" s="104"/>
      <c r="CG21" s="104"/>
      <c r="CH21" s="104"/>
      <c r="CI21" s="104"/>
      <c r="CJ21" s="104"/>
      <c r="CK21" s="104"/>
      <c r="CL21" s="104"/>
      <c r="CM21" s="104"/>
      <c r="CN21" s="104"/>
      <c r="CO21" s="104"/>
      <c r="CP21" s="104"/>
      <c r="CQ21" s="104"/>
      <c r="CR21" s="104"/>
      <c r="CS21" s="104"/>
      <c r="CT21" s="104"/>
      <c r="CU21" s="104"/>
      <c r="CV21" s="104"/>
      <c r="CW21" s="104"/>
      <c r="CX21" s="104"/>
      <c r="CY21" s="104"/>
      <c r="CZ21" s="104"/>
      <c r="DA21" s="104"/>
      <c r="DB21" s="104"/>
      <c r="DC21" s="104"/>
      <c r="DD21" s="104"/>
      <c r="DE21" s="104"/>
      <c r="DF21" s="104"/>
      <c r="DG21" s="104"/>
      <c r="DH21" s="104"/>
      <c r="DI21" s="104"/>
      <c r="DJ21" s="104"/>
      <c r="DK21" s="104"/>
      <c r="DL21" s="104"/>
      <c r="DM21" s="104"/>
      <c r="DN21" s="104"/>
      <c r="DO21" s="104"/>
      <c r="DP21" s="104"/>
      <c r="DQ21" s="104"/>
      <c r="DR21" s="104"/>
      <c r="DS21" s="104"/>
      <c r="DT21" s="104"/>
      <c r="DU21" s="104"/>
      <c r="DV21" s="104"/>
      <c r="DW21" s="104"/>
      <c r="DX21" s="104"/>
      <c r="DY21" s="104"/>
      <c r="DZ21" s="104"/>
      <c r="EA21" s="104"/>
      <c r="EB21" s="104"/>
      <c r="EC21" s="104"/>
      <c r="ED21" s="104"/>
      <c r="EE21" s="104"/>
      <c r="EF21" s="104"/>
      <c r="EG21" s="104"/>
      <c r="EH21" s="104"/>
      <c r="EI21" s="104"/>
      <c r="EJ21" s="104"/>
      <c r="EK21" s="104"/>
      <c r="EL21" s="104"/>
      <c r="EM21" s="104"/>
      <c r="EN21" s="104"/>
      <c r="EO21" s="104"/>
      <c r="EP21" s="104"/>
      <c r="EQ21" s="104"/>
      <c r="ER21" s="104"/>
      <c r="ES21" s="104"/>
      <c r="ET21" s="104"/>
      <c r="EU21" s="104"/>
      <c r="EV21" s="104"/>
      <c r="EW21" s="104"/>
      <c r="EX21" s="104"/>
      <c r="EY21" s="104"/>
      <c r="EZ21" s="104"/>
      <c r="FA21" s="104"/>
      <c r="FB21" s="104"/>
      <c r="FC21" s="104"/>
      <c r="FD21" s="104"/>
      <c r="FE21" s="104"/>
      <c r="FF21" s="104"/>
      <c r="FG21" s="104"/>
      <c r="FH21" s="104"/>
      <c r="FI21" s="104"/>
      <c r="FJ21" s="104"/>
      <c r="FK21" s="104"/>
      <c r="FL21" s="104"/>
      <c r="FM21" s="104"/>
      <c r="FN21" s="104"/>
      <c r="FO21" s="104"/>
      <c r="FP21" s="104"/>
      <c r="FQ21" s="104"/>
      <c r="FR21" s="104"/>
      <c r="FS21" s="104"/>
      <c r="FT21" s="104"/>
      <c r="FU21" s="104"/>
      <c r="FV21" s="104"/>
      <c r="FW21" s="104"/>
      <c r="FX21" s="104"/>
      <c r="FY21" s="104"/>
      <c r="FZ21" s="104"/>
      <c r="GA21" s="104"/>
      <c r="GB21" s="104"/>
      <c r="GC21" s="104"/>
      <c r="GD21" s="104"/>
      <c r="GE21" s="104"/>
      <c r="GF21" s="104"/>
      <c r="GG21" s="104"/>
      <c r="GH21" s="104"/>
      <c r="GI21" s="104"/>
      <c r="GJ21" s="104"/>
      <c r="GK21" s="104"/>
      <c r="GL21" s="104"/>
      <c r="GM21" s="104"/>
      <c r="GN21" s="104"/>
      <c r="GO21" s="104"/>
      <c r="GP21" s="104"/>
      <c r="GQ21" s="104"/>
      <c r="GR21" s="104"/>
      <c r="GS21" s="104"/>
      <c r="GT21" s="104"/>
      <c r="GU21" s="104"/>
      <c r="GV21" s="104"/>
      <c r="GW21" s="104"/>
      <c r="GX21" s="104"/>
      <c r="GY21" s="104"/>
      <c r="GZ21" s="104"/>
      <c r="HA21" s="104"/>
      <c r="HB21" s="104"/>
      <c r="HC21" s="104"/>
      <c r="HD21" s="104"/>
      <c r="HE21" s="104"/>
      <c r="HF21" s="104"/>
      <c r="HG21" s="104"/>
      <c r="HH21" s="104"/>
      <c r="HI21" s="104"/>
      <c r="HJ21" s="104"/>
      <c r="HK21" s="104"/>
      <c r="HL21" s="104"/>
      <c r="HM21" s="104"/>
      <c r="HN21" s="104"/>
      <c r="HO21" s="104"/>
      <c r="HP21" s="104"/>
      <c r="HQ21" s="104"/>
      <c r="HR21" s="104"/>
      <c r="HS21" s="104"/>
      <c r="HT21" s="104"/>
      <c r="HU21" s="104"/>
      <c r="HV21" s="104"/>
      <c r="HW21" s="104"/>
      <c r="HX21" s="104"/>
      <c r="HY21" s="104"/>
      <c r="HZ21" s="104"/>
      <c r="IA21" s="104"/>
      <c r="IB21" s="104"/>
      <c r="IC21" s="104"/>
      <c r="ID21" s="104"/>
      <c r="IE21" s="104"/>
      <c r="IF21" s="104"/>
      <c r="IG21" s="104"/>
      <c r="IH21" s="104"/>
      <c r="II21" s="104"/>
      <c r="IJ21" s="104"/>
      <c r="IK21" s="104"/>
      <c r="IL21" s="104"/>
      <c r="IM21" s="104"/>
      <c r="IN21" s="104"/>
      <c r="IO21" s="104"/>
      <c r="IP21" s="104"/>
      <c r="IQ21" s="104"/>
      <c r="IR21" s="104"/>
      <c r="IS21" s="104"/>
      <c r="IT21" s="104"/>
      <c r="IU21" s="104"/>
      <c r="IV21" s="104"/>
      <c r="IW21" s="104"/>
      <c r="IX21" s="104"/>
      <c r="IY21" s="104"/>
      <c r="IZ21" s="104"/>
      <c r="JA21" s="104"/>
      <c r="JB21" s="104"/>
      <c r="JC21" s="104"/>
      <c r="JD21" s="104"/>
      <c r="JE21" s="104"/>
    </row>
    <row r="22" spans="1:265" ht="17.25" x14ac:dyDescent="0.25">
      <c r="A22" s="1"/>
      <c r="B22" s="484" t="s">
        <v>2179</v>
      </c>
      <c r="C22" s="485"/>
      <c r="D22" s="159"/>
      <c r="K22" s="467" t="s">
        <v>156</v>
      </c>
      <c r="L22" s="468"/>
      <c r="M22" s="469"/>
      <c r="R22" s="176"/>
      <c r="S22" s="161"/>
      <c r="T22" s="161"/>
      <c r="U22" s="161"/>
      <c r="V22" s="163"/>
      <c r="W22" s="163"/>
      <c r="X22" s="164"/>
      <c r="Y22" s="164"/>
      <c r="Z22" s="164"/>
      <c r="AA22" s="164"/>
      <c r="AB22" s="164"/>
      <c r="AC22" s="164"/>
      <c r="AD22" s="16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c r="BA22" s="104"/>
      <c r="BB22" s="104"/>
      <c r="BC22" s="104"/>
      <c r="BD22" s="165"/>
      <c r="BE22" s="165"/>
      <c r="BF22" s="104"/>
      <c r="BG22" s="104"/>
      <c r="BH22" s="104"/>
      <c r="BI22" s="104"/>
      <c r="BJ22" s="104"/>
      <c r="BK22" s="104"/>
      <c r="BL22" s="104"/>
      <c r="BM22" s="104"/>
      <c r="BN22" s="104"/>
      <c r="BO22" s="104"/>
      <c r="BP22" s="104"/>
      <c r="BQ22" s="104"/>
      <c r="BR22" s="104"/>
      <c r="BS22" s="104"/>
      <c r="BT22" s="104"/>
      <c r="BU22" s="104"/>
      <c r="BV22" s="104"/>
      <c r="BW22" s="104"/>
      <c r="BX22" s="104"/>
      <c r="BY22" s="104"/>
      <c r="BZ22" s="104"/>
      <c r="CA22" s="104"/>
      <c r="CB22" s="104"/>
      <c r="CC22" s="104"/>
      <c r="CD22" s="104"/>
      <c r="CE22" s="104"/>
      <c r="CF22" s="104"/>
      <c r="CG22" s="104"/>
      <c r="CH22" s="104"/>
      <c r="CI22" s="104"/>
      <c r="CJ22" s="104"/>
      <c r="CK22" s="104"/>
      <c r="CL22" s="104"/>
      <c r="CM22" s="104"/>
      <c r="CN22" s="104"/>
      <c r="CO22" s="104"/>
      <c r="CP22" s="104"/>
      <c r="CQ22" s="104"/>
      <c r="CR22" s="104"/>
      <c r="CS22" s="104"/>
      <c r="CT22" s="104"/>
      <c r="CU22" s="104"/>
      <c r="CV22" s="104"/>
      <c r="CW22" s="104"/>
      <c r="CX22" s="104"/>
      <c r="CY22" s="104"/>
      <c r="CZ22" s="104"/>
      <c r="DA22" s="104"/>
      <c r="DB22" s="104"/>
      <c r="DC22" s="104"/>
      <c r="DD22" s="104"/>
      <c r="DE22" s="104"/>
      <c r="DF22" s="104"/>
      <c r="DG22" s="104"/>
      <c r="DH22" s="104"/>
      <c r="DI22" s="104"/>
      <c r="DJ22" s="104"/>
      <c r="DK22" s="104"/>
      <c r="DL22" s="104"/>
      <c r="DM22" s="104"/>
      <c r="DN22" s="104"/>
      <c r="DO22" s="104"/>
      <c r="DP22" s="104"/>
      <c r="DQ22" s="104"/>
      <c r="DR22" s="104"/>
      <c r="DS22" s="104"/>
      <c r="DT22" s="104"/>
      <c r="DU22" s="104"/>
      <c r="DV22" s="104"/>
      <c r="DW22" s="104"/>
      <c r="DX22" s="104"/>
      <c r="DY22" s="104"/>
      <c r="DZ22" s="104"/>
      <c r="EA22" s="104"/>
      <c r="EB22" s="104"/>
      <c r="EC22" s="104"/>
      <c r="ED22" s="104"/>
      <c r="EE22" s="104"/>
      <c r="EF22" s="104"/>
      <c r="EG22" s="104"/>
      <c r="EH22" s="104"/>
      <c r="EI22" s="104"/>
      <c r="EJ22" s="104"/>
      <c r="EK22" s="104"/>
      <c r="EL22" s="104"/>
      <c r="EM22" s="104"/>
      <c r="EN22" s="104"/>
      <c r="EO22" s="104"/>
      <c r="EP22" s="104"/>
      <c r="EQ22" s="104"/>
      <c r="ER22" s="104"/>
      <c r="ES22" s="104"/>
      <c r="ET22" s="104"/>
      <c r="EU22" s="104"/>
      <c r="EV22" s="104"/>
      <c r="EW22" s="104"/>
      <c r="EX22" s="104"/>
      <c r="EY22" s="104"/>
      <c r="EZ22" s="104"/>
      <c r="FA22" s="104"/>
      <c r="FB22" s="104"/>
      <c r="FC22" s="104"/>
      <c r="FD22" s="104"/>
      <c r="FE22" s="104"/>
      <c r="FF22" s="104"/>
      <c r="FG22" s="104"/>
      <c r="FH22" s="104"/>
      <c r="FI22" s="104"/>
      <c r="FJ22" s="104"/>
      <c r="FK22" s="104"/>
      <c r="FL22" s="104"/>
      <c r="FM22" s="104"/>
      <c r="FN22" s="104"/>
      <c r="FO22" s="104"/>
      <c r="FP22" s="104"/>
      <c r="FQ22" s="104"/>
      <c r="FR22" s="104"/>
      <c r="FS22" s="104"/>
      <c r="FT22" s="104"/>
      <c r="FU22" s="104"/>
      <c r="FV22" s="104"/>
      <c r="FW22" s="104"/>
      <c r="FX22" s="104"/>
      <c r="FY22" s="104"/>
      <c r="FZ22" s="104"/>
      <c r="GA22" s="104"/>
      <c r="GB22" s="104"/>
      <c r="GC22" s="104"/>
      <c r="GD22" s="104"/>
      <c r="GE22" s="104"/>
      <c r="GF22" s="104"/>
      <c r="GG22" s="104"/>
      <c r="GH22" s="104"/>
      <c r="GI22" s="104"/>
      <c r="GJ22" s="104"/>
      <c r="GK22" s="104"/>
      <c r="GL22" s="104"/>
      <c r="GM22" s="104"/>
      <c r="GN22" s="104"/>
      <c r="GO22" s="104"/>
      <c r="GP22" s="104"/>
      <c r="GQ22" s="104"/>
      <c r="GR22" s="104"/>
      <c r="GS22" s="104"/>
      <c r="GT22" s="104"/>
      <c r="GU22" s="104"/>
      <c r="GV22" s="104"/>
      <c r="GW22" s="104"/>
      <c r="GX22" s="104"/>
      <c r="GY22" s="104"/>
      <c r="GZ22" s="104"/>
      <c r="HA22" s="104"/>
      <c r="HB22" s="104"/>
      <c r="HC22" s="104"/>
      <c r="HD22" s="104"/>
      <c r="HE22" s="104"/>
      <c r="HF22" s="104"/>
      <c r="HG22" s="104"/>
      <c r="HH22" s="104"/>
      <c r="HI22" s="104"/>
      <c r="HJ22" s="104"/>
      <c r="HK22" s="104"/>
      <c r="HL22" s="104"/>
      <c r="HM22" s="104"/>
      <c r="HN22" s="104"/>
      <c r="HO22" s="104"/>
      <c r="HP22" s="104"/>
      <c r="HQ22" s="104"/>
      <c r="HR22" s="104"/>
      <c r="HS22" s="104"/>
      <c r="HT22" s="104"/>
      <c r="HU22" s="104"/>
      <c r="HV22" s="104"/>
      <c r="HW22" s="104"/>
      <c r="HX22" s="104"/>
      <c r="HY22" s="104"/>
      <c r="HZ22" s="104"/>
      <c r="IA22" s="104"/>
      <c r="IB22" s="104"/>
      <c r="IC22" s="104"/>
      <c r="ID22" s="104"/>
      <c r="IE22" s="104"/>
      <c r="IF22" s="104"/>
      <c r="IG22" s="104"/>
      <c r="IH22" s="104"/>
      <c r="II22" s="104"/>
      <c r="IJ22" s="104"/>
      <c r="IK22" s="104"/>
      <c r="IL22" s="104"/>
      <c r="IM22" s="104"/>
      <c r="IN22" s="104"/>
      <c r="IO22" s="104"/>
      <c r="IP22" s="104"/>
      <c r="IQ22" s="104"/>
      <c r="IR22" s="104"/>
      <c r="IS22" s="104"/>
      <c r="IT22" s="104"/>
      <c r="IU22" s="104"/>
      <c r="IV22" s="104"/>
      <c r="IW22" s="104"/>
      <c r="IX22" s="104"/>
      <c r="IY22" s="104"/>
      <c r="IZ22" s="104"/>
      <c r="JA22" s="104"/>
      <c r="JB22" s="104"/>
      <c r="JC22" s="104"/>
      <c r="JD22" s="104"/>
      <c r="JE22" s="104"/>
    </row>
    <row r="23" spans="1:265" ht="18" customHeight="1" x14ac:dyDescent="0.25">
      <c r="A23" s="1"/>
      <c r="B23" s="77" t="s">
        <v>2177</v>
      </c>
      <c r="C23" s="44"/>
      <c r="D23" s="183"/>
      <c r="K23" s="486">
        <f>IFERROR('Factor 3 Calculations'!B31,0)</f>
        <v>0</v>
      </c>
      <c r="L23" s="487"/>
      <c r="M23" s="488"/>
      <c r="R23" s="176"/>
      <c r="S23" s="161"/>
      <c r="T23" s="161"/>
      <c r="U23" s="161"/>
      <c r="V23" s="163"/>
      <c r="W23" s="163"/>
      <c r="X23" s="164"/>
      <c r="Y23" s="164"/>
      <c r="Z23" s="164"/>
      <c r="AA23" s="164"/>
      <c r="AB23" s="164"/>
      <c r="AC23" s="164"/>
      <c r="AD23" s="16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65"/>
      <c r="BE23" s="165"/>
      <c r="BF23" s="104"/>
      <c r="BG23" s="104"/>
      <c r="BH23" s="104"/>
      <c r="BI23" s="104"/>
      <c r="BJ23" s="104"/>
      <c r="BK23" s="104"/>
      <c r="BL23" s="104"/>
      <c r="BM23" s="104"/>
      <c r="BN23" s="104"/>
      <c r="BO23" s="104"/>
      <c r="BP23" s="104"/>
      <c r="BQ23" s="104"/>
      <c r="BR23" s="104"/>
      <c r="BS23" s="104"/>
      <c r="BT23" s="104"/>
      <c r="BU23" s="104"/>
      <c r="BV23" s="104"/>
      <c r="BW23" s="104"/>
      <c r="BX23" s="104"/>
      <c r="BY23" s="104"/>
      <c r="BZ23" s="104"/>
      <c r="CA23" s="104"/>
      <c r="CB23" s="104"/>
      <c r="CC23" s="104"/>
      <c r="CD23" s="104"/>
      <c r="CE23" s="104"/>
      <c r="CF23" s="104"/>
      <c r="CG23" s="104"/>
      <c r="CH23" s="104"/>
      <c r="CI23" s="104"/>
      <c r="CJ23" s="104"/>
      <c r="CK23" s="104"/>
      <c r="CL23" s="104"/>
      <c r="CM23" s="104"/>
      <c r="CN23" s="104"/>
      <c r="CO23" s="104"/>
      <c r="CP23" s="104"/>
      <c r="CQ23" s="104"/>
      <c r="CR23" s="104"/>
      <c r="CS23" s="104"/>
      <c r="CT23" s="104"/>
      <c r="CU23" s="104"/>
      <c r="CV23" s="104"/>
      <c r="CW23" s="104"/>
      <c r="CX23" s="104"/>
      <c r="CY23" s="104"/>
      <c r="CZ23" s="104"/>
      <c r="DA23" s="104"/>
      <c r="DB23" s="104"/>
      <c r="DC23" s="104"/>
      <c r="DD23" s="104"/>
      <c r="DE23" s="104"/>
      <c r="DF23" s="104"/>
      <c r="DG23" s="104"/>
      <c r="DH23" s="104"/>
      <c r="DI23" s="104"/>
      <c r="DJ23" s="104"/>
      <c r="DK23" s="104"/>
      <c r="DL23" s="104"/>
      <c r="DM23" s="104"/>
      <c r="DN23" s="104"/>
      <c r="DO23" s="104"/>
      <c r="DP23" s="104"/>
      <c r="DQ23" s="104"/>
      <c r="DR23" s="104"/>
      <c r="DS23" s="104"/>
      <c r="DT23" s="104"/>
      <c r="DU23" s="104"/>
      <c r="DV23" s="104"/>
      <c r="DW23" s="104"/>
      <c r="DX23" s="104"/>
      <c r="DY23" s="104"/>
      <c r="DZ23" s="104"/>
      <c r="EA23" s="104"/>
      <c r="EB23" s="104"/>
      <c r="EC23" s="104"/>
      <c r="ED23" s="104"/>
      <c r="EE23" s="104"/>
      <c r="EF23" s="104"/>
      <c r="EG23" s="104"/>
      <c r="EH23" s="104"/>
      <c r="EI23" s="104"/>
      <c r="EJ23" s="104"/>
      <c r="EK23" s="104"/>
      <c r="EL23" s="104"/>
      <c r="EM23" s="104"/>
      <c r="EN23" s="104"/>
      <c r="EO23" s="104"/>
      <c r="EP23" s="104"/>
      <c r="EQ23" s="104"/>
      <c r="ER23" s="104"/>
      <c r="ES23" s="104"/>
      <c r="ET23" s="104"/>
      <c r="EU23" s="104"/>
      <c r="EV23" s="104"/>
      <c r="EW23" s="104"/>
      <c r="EX23" s="104"/>
      <c r="EY23" s="104"/>
      <c r="EZ23" s="104"/>
      <c r="FA23" s="104"/>
      <c r="FB23" s="104"/>
      <c r="FC23" s="104"/>
      <c r="FD23" s="104"/>
      <c r="FE23" s="104"/>
      <c r="FF23" s="104"/>
      <c r="FG23" s="104"/>
      <c r="FH23" s="104"/>
      <c r="FI23" s="104"/>
      <c r="FJ23" s="104"/>
      <c r="FK23" s="104"/>
      <c r="FL23" s="104"/>
      <c r="FM23" s="104"/>
      <c r="FN23" s="104"/>
      <c r="FO23" s="104"/>
      <c r="FP23" s="104"/>
      <c r="FQ23" s="104"/>
      <c r="FR23" s="104"/>
      <c r="FS23" s="104"/>
      <c r="FT23" s="104"/>
      <c r="FU23" s="104"/>
      <c r="FV23" s="104"/>
      <c r="FW23" s="104"/>
      <c r="FX23" s="104"/>
      <c r="FY23" s="104"/>
      <c r="FZ23" s="104"/>
      <c r="GA23" s="104"/>
      <c r="GB23" s="104"/>
      <c r="GC23" s="104"/>
      <c r="GD23" s="104"/>
      <c r="GE23" s="104"/>
      <c r="GF23" s="104"/>
      <c r="GG23" s="104"/>
      <c r="GH23" s="104"/>
      <c r="GI23" s="104"/>
      <c r="GJ23" s="104"/>
      <c r="GK23" s="104"/>
      <c r="GL23" s="104"/>
      <c r="GM23" s="104"/>
      <c r="GN23" s="104"/>
      <c r="GO23" s="104"/>
      <c r="GP23" s="104"/>
      <c r="GQ23" s="104"/>
      <c r="GR23" s="104"/>
      <c r="GS23" s="104"/>
      <c r="GT23" s="104"/>
      <c r="GU23" s="104"/>
      <c r="GV23" s="104"/>
      <c r="GW23" s="104"/>
      <c r="GX23" s="104"/>
      <c r="GY23" s="104"/>
      <c r="GZ23" s="104"/>
      <c r="HA23" s="104"/>
      <c r="HB23" s="104"/>
      <c r="HC23" s="104"/>
      <c r="HD23" s="104"/>
      <c r="HE23" s="104"/>
      <c r="HF23" s="104"/>
      <c r="HG23" s="104"/>
      <c r="HH23" s="104"/>
      <c r="HI23" s="104"/>
      <c r="HJ23" s="104"/>
      <c r="HK23" s="104"/>
      <c r="HL23" s="104"/>
      <c r="HM23" s="104"/>
      <c r="HN23" s="104"/>
      <c r="HO23" s="104"/>
      <c r="HP23" s="104"/>
      <c r="HQ23" s="104"/>
      <c r="HR23" s="104"/>
      <c r="HS23" s="104"/>
      <c r="HT23" s="104"/>
      <c r="HU23" s="104"/>
      <c r="HV23" s="104"/>
      <c r="HW23" s="104"/>
      <c r="HX23" s="104"/>
      <c r="HY23" s="104"/>
      <c r="HZ23" s="104"/>
      <c r="IA23" s="104"/>
      <c r="IB23" s="104"/>
      <c r="IC23" s="104"/>
      <c r="ID23" s="104"/>
      <c r="IE23" s="104"/>
      <c r="IF23" s="104"/>
      <c r="IG23" s="104"/>
      <c r="IH23" s="104"/>
      <c r="II23" s="104"/>
      <c r="IJ23" s="104"/>
      <c r="IK23" s="104"/>
      <c r="IL23" s="104"/>
      <c r="IM23" s="104"/>
      <c r="IN23" s="104"/>
      <c r="IO23" s="104"/>
      <c r="IP23" s="104"/>
      <c r="IQ23" s="104"/>
      <c r="IR23" s="104"/>
      <c r="IS23" s="104"/>
      <c r="IT23" s="104"/>
      <c r="IU23" s="104"/>
      <c r="IV23" s="104"/>
      <c r="IW23" s="104"/>
      <c r="IX23" s="104"/>
      <c r="IY23" s="104"/>
      <c r="IZ23" s="104"/>
      <c r="JA23" s="104"/>
      <c r="JB23" s="104"/>
      <c r="JC23" s="104"/>
      <c r="JD23" s="104"/>
      <c r="JE23" s="104"/>
    </row>
    <row r="24" spans="1:265" ht="18" customHeight="1" thickBot="1" x14ac:dyDescent="0.35">
      <c r="A24" s="1"/>
      <c r="B24" s="77" t="s">
        <v>2178</v>
      </c>
      <c r="C24" s="43"/>
      <c r="D24" s="183"/>
      <c r="E24" s="183"/>
      <c r="F24" s="183"/>
      <c r="K24" s="11"/>
      <c r="L24" s="183"/>
      <c r="M24" s="12"/>
      <c r="R24" s="176"/>
      <c r="S24" s="161"/>
      <c r="T24" s="161"/>
      <c r="U24" s="161"/>
      <c r="V24" s="163"/>
      <c r="W24" s="163"/>
      <c r="X24" s="164"/>
      <c r="Y24" s="164"/>
      <c r="Z24" s="164"/>
      <c r="AA24" s="164"/>
      <c r="AB24" s="164"/>
      <c r="AC24" s="164"/>
      <c r="AD24" s="16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65"/>
      <c r="BE24" s="165"/>
      <c r="BF24" s="104"/>
      <c r="BG24" s="104"/>
      <c r="BH24" s="104"/>
      <c r="BI24" s="104"/>
      <c r="BJ24" s="104"/>
      <c r="BK24" s="104"/>
      <c r="BL24" s="104"/>
      <c r="BM24" s="104"/>
      <c r="BN24" s="104"/>
      <c r="BO24" s="104"/>
      <c r="BP24" s="104"/>
      <c r="BQ24" s="104"/>
      <c r="BR24" s="104"/>
      <c r="BS24" s="104"/>
      <c r="BT24" s="104"/>
      <c r="BU24" s="104"/>
      <c r="BV24" s="104"/>
      <c r="BW24" s="104"/>
      <c r="BX24" s="104"/>
      <c r="BY24" s="104"/>
      <c r="BZ24" s="104"/>
      <c r="CA24" s="104"/>
      <c r="CB24" s="104"/>
      <c r="CC24" s="104"/>
      <c r="CD24" s="104"/>
      <c r="CE24" s="104"/>
      <c r="CF24" s="104"/>
      <c r="CG24" s="104"/>
      <c r="CH24" s="104"/>
      <c r="CI24" s="104"/>
      <c r="CJ24" s="104"/>
      <c r="CK24" s="104"/>
      <c r="CL24" s="104"/>
      <c r="CM24" s="104"/>
      <c r="CN24" s="104"/>
      <c r="CO24" s="104"/>
      <c r="CP24" s="104"/>
      <c r="CQ24" s="104"/>
      <c r="CR24" s="104"/>
      <c r="CS24" s="104"/>
      <c r="CT24" s="104"/>
      <c r="CU24" s="104"/>
      <c r="CV24" s="104"/>
      <c r="CW24" s="104"/>
      <c r="CX24" s="104"/>
      <c r="CY24" s="104"/>
      <c r="CZ24" s="104"/>
      <c r="DA24" s="104"/>
      <c r="DB24" s="104"/>
      <c r="DC24" s="104"/>
      <c r="DD24" s="104"/>
      <c r="DE24" s="104"/>
      <c r="DF24" s="104"/>
      <c r="DG24" s="104"/>
      <c r="DH24" s="104"/>
      <c r="DI24" s="104"/>
      <c r="DJ24" s="104"/>
      <c r="DK24" s="104"/>
      <c r="DL24" s="104"/>
      <c r="DM24" s="104"/>
      <c r="DN24" s="104"/>
      <c r="DO24" s="104"/>
      <c r="DP24" s="104"/>
      <c r="DQ24" s="104"/>
      <c r="DR24" s="104"/>
      <c r="DS24" s="104"/>
      <c r="DT24" s="104"/>
      <c r="DU24" s="104"/>
      <c r="DV24" s="104"/>
      <c r="DW24" s="104"/>
      <c r="DX24" s="104"/>
      <c r="DY24" s="104"/>
      <c r="DZ24" s="104"/>
      <c r="EA24" s="104"/>
      <c r="EB24" s="104"/>
      <c r="EC24" s="104"/>
      <c r="ED24" s="104"/>
      <c r="EE24" s="104"/>
      <c r="EF24" s="104"/>
      <c r="EG24" s="104"/>
      <c r="EH24" s="104"/>
      <c r="EI24" s="104"/>
      <c r="EJ24" s="104"/>
      <c r="EK24" s="104"/>
      <c r="EL24" s="104"/>
      <c r="EM24" s="104"/>
      <c r="EN24" s="104"/>
      <c r="EO24" s="104"/>
      <c r="EP24" s="104"/>
      <c r="EQ24" s="104"/>
      <c r="ER24" s="104"/>
      <c r="ES24" s="104"/>
      <c r="ET24" s="104"/>
      <c r="EU24" s="104"/>
      <c r="EV24" s="104"/>
      <c r="EW24" s="104"/>
      <c r="EX24" s="104"/>
      <c r="EY24" s="104"/>
      <c r="EZ24" s="104"/>
      <c r="FA24" s="104"/>
      <c r="FB24" s="104"/>
      <c r="FC24" s="104"/>
      <c r="FD24" s="104"/>
      <c r="FE24" s="104"/>
      <c r="FF24" s="104"/>
      <c r="FG24" s="104"/>
      <c r="FH24" s="104"/>
      <c r="FI24" s="104"/>
      <c r="FJ24" s="104"/>
      <c r="FK24" s="104"/>
      <c r="FL24" s="104"/>
      <c r="FM24" s="104"/>
      <c r="FN24" s="104"/>
      <c r="FO24" s="104"/>
      <c r="FP24" s="104"/>
      <c r="FQ24" s="104"/>
      <c r="FR24" s="104"/>
      <c r="FS24" s="104"/>
      <c r="FT24" s="104"/>
      <c r="FU24" s="104"/>
      <c r="FV24" s="104"/>
      <c r="FW24" s="104"/>
      <c r="FX24" s="104"/>
      <c r="FY24" s="104"/>
      <c r="FZ24" s="104"/>
      <c r="GA24" s="104"/>
      <c r="GB24" s="104"/>
      <c r="GC24" s="104"/>
      <c r="GD24" s="104"/>
      <c r="GE24" s="104"/>
      <c r="GF24" s="104"/>
      <c r="GG24" s="104"/>
      <c r="GH24" s="104"/>
      <c r="GI24" s="104"/>
      <c r="GJ24" s="104"/>
      <c r="GK24" s="104"/>
      <c r="GL24" s="104"/>
      <c r="GM24" s="104"/>
      <c r="GN24" s="104"/>
      <c r="GO24" s="104"/>
      <c r="GP24" s="104"/>
      <c r="GQ24" s="104"/>
      <c r="GR24" s="104"/>
      <c r="GS24" s="104"/>
      <c r="GT24" s="104"/>
      <c r="GU24" s="104"/>
      <c r="GV24" s="104"/>
      <c r="GW24" s="104"/>
      <c r="GX24" s="104"/>
      <c r="GY24" s="104"/>
      <c r="GZ24" s="104"/>
      <c r="HA24" s="104"/>
      <c r="HB24" s="104"/>
      <c r="HC24" s="104"/>
      <c r="HD24" s="104"/>
      <c r="HE24" s="104"/>
      <c r="HF24" s="104"/>
      <c r="HG24" s="104"/>
      <c r="HH24" s="104"/>
      <c r="HI24" s="104"/>
      <c r="HJ24" s="104"/>
      <c r="HK24" s="104"/>
      <c r="HL24" s="104"/>
      <c r="HM24" s="104"/>
      <c r="HN24" s="104"/>
      <c r="HO24" s="104"/>
      <c r="HP24" s="104"/>
      <c r="HQ24" s="104"/>
      <c r="HR24" s="104"/>
      <c r="HS24" s="104"/>
      <c r="HT24" s="104"/>
      <c r="HU24" s="104"/>
      <c r="HV24" s="104"/>
      <c r="HW24" s="104"/>
      <c r="HX24" s="104"/>
      <c r="HY24" s="104"/>
      <c r="HZ24" s="104"/>
      <c r="IA24" s="104"/>
      <c r="IB24" s="104"/>
      <c r="IC24" s="104"/>
      <c r="ID24" s="104"/>
      <c r="IE24" s="104"/>
      <c r="IF24" s="104"/>
      <c r="IG24" s="104"/>
      <c r="IH24" s="104"/>
      <c r="II24" s="104"/>
      <c r="IJ24" s="104"/>
      <c r="IK24" s="104"/>
      <c r="IL24" s="104"/>
      <c r="IM24" s="104"/>
      <c r="IN24" s="104"/>
      <c r="IO24" s="104"/>
      <c r="IP24" s="104"/>
      <c r="IQ24" s="104"/>
      <c r="IR24" s="104"/>
      <c r="IS24" s="104"/>
      <c r="IT24" s="104"/>
      <c r="IU24" s="104"/>
      <c r="IV24" s="104"/>
      <c r="IW24" s="104"/>
      <c r="IX24" s="104"/>
      <c r="IY24" s="104"/>
      <c r="IZ24" s="104"/>
      <c r="JA24" s="104"/>
      <c r="JB24" s="104"/>
      <c r="JC24" s="104"/>
      <c r="JD24" s="104"/>
      <c r="JE24" s="104"/>
    </row>
    <row r="25" spans="1:265" ht="17.25" customHeight="1" thickBot="1" x14ac:dyDescent="0.3">
      <c r="A25" s="1"/>
      <c r="B25" s="387" t="s">
        <v>158</v>
      </c>
      <c r="C25" s="389"/>
      <c r="D25" s="183"/>
      <c r="E25" s="183"/>
      <c r="F25" s="183"/>
      <c r="K25" s="477" t="s">
        <v>14</v>
      </c>
      <c r="L25" s="478"/>
      <c r="M25" s="479"/>
      <c r="R25" s="176"/>
      <c r="S25" s="161"/>
      <c r="T25" s="161"/>
      <c r="U25" s="161"/>
      <c r="V25" s="163"/>
      <c r="W25" s="163"/>
      <c r="X25" s="164"/>
      <c r="Y25" s="164"/>
      <c r="Z25" s="164"/>
      <c r="AA25" s="164"/>
      <c r="AB25" s="164"/>
      <c r="AC25" s="164"/>
      <c r="AD25" s="164"/>
      <c r="AE25" s="104"/>
      <c r="AF25" s="104"/>
      <c r="AG25" s="104"/>
      <c r="AH25" s="104"/>
      <c r="AI25" s="104"/>
      <c r="AJ25" s="104"/>
      <c r="AK25" s="104"/>
      <c r="AL25" s="104"/>
      <c r="AM25" s="104"/>
      <c r="AN25" s="104"/>
      <c r="AO25" s="104"/>
      <c r="AP25" s="104"/>
      <c r="AQ25" s="104"/>
      <c r="AR25" s="104"/>
      <c r="AS25" s="104"/>
      <c r="AT25" s="104"/>
      <c r="AU25" s="104"/>
      <c r="AV25" s="104"/>
      <c r="AW25" s="104"/>
      <c r="AX25" s="104"/>
      <c r="AY25" s="104"/>
      <c r="AZ25" s="104"/>
      <c r="BA25" s="104"/>
      <c r="BB25" s="104"/>
      <c r="BC25" s="104"/>
      <c r="BD25" s="165"/>
      <c r="BE25" s="166"/>
      <c r="BF25" s="104"/>
      <c r="BG25" s="104"/>
      <c r="BH25" s="104"/>
      <c r="BI25" s="104"/>
      <c r="BJ25" s="104"/>
      <c r="BK25" s="104"/>
      <c r="BL25" s="104"/>
      <c r="BM25" s="104"/>
      <c r="BN25" s="104"/>
      <c r="BO25" s="104"/>
      <c r="BP25" s="104"/>
      <c r="BQ25" s="104"/>
      <c r="BR25" s="104"/>
      <c r="BS25" s="104"/>
      <c r="BT25" s="104"/>
      <c r="BU25" s="104"/>
      <c r="BV25" s="104"/>
      <c r="BW25" s="104"/>
      <c r="BX25" s="104"/>
      <c r="BY25" s="104"/>
      <c r="BZ25" s="104"/>
      <c r="CA25" s="104"/>
      <c r="CB25" s="104"/>
      <c r="CC25" s="104"/>
      <c r="CD25" s="104"/>
      <c r="CE25" s="104"/>
      <c r="CF25" s="104"/>
      <c r="CG25" s="104"/>
      <c r="CH25" s="104"/>
      <c r="CI25" s="104"/>
      <c r="CJ25" s="104"/>
      <c r="CK25" s="104"/>
      <c r="CL25" s="104"/>
      <c r="CM25" s="104"/>
      <c r="CN25" s="104"/>
      <c r="CO25" s="104"/>
      <c r="CP25" s="104"/>
      <c r="CQ25" s="104"/>
      <c r="CR25" s="104"/>
      <c r="CS25" s="104"/>
      <c r="CT25" s="104"/>
      <c r="CU25" s="104"/>
      <c r="CV25" s="104"/>
      <c r="CW25" s="104"/>
      <c r="CX25" s="104"/>
      <c r="CY25" s="104"/>
      <c r="CZ25" s="104"/>
      <c r="DA25" s="104"/>
      <c r="DB25" s="104"/>
      <c r="DC25" s="104"/>
      <c r="DD25" s="104"/>
      <c r="DE25" s="104"/>
      <c r="DF25" s="104"/>
      <c r="DG25" s="104"/>
      <c r="DH25" s="104"/>
      <c r="DI25" s="104"/>
      <c r="DJ25" s="104"/>
      <c r="DK25" s="104"/>
      <c r="DL25" s="104"/>
      <c r="DM25" s="104"/>
      <c r="DN25" s="104"/>
      <c r="DO25" s="104"/>
      <c r="DP25" s="104"/>
      <c r="DQ25" s="104"/>
      <c r="DR25" s="104"/>
      <c r="DS25" s="104"/>
      <c r="DT25" s="104"/>
      <c r="DU25" s="104"/>
      <c r="DV25" s="104"/>
      <c r="DW25" s="104"/>
      <c r="DX25" s="104"/>
      <c r="DY25" s="104"/>
      <c r="DZ25" s="104"/>
      <c r="EA25" s="104"/>
      <c r="EB25" s="104"/>
      <c r="EC25" s="104"/>
      <c r="ED25" s="104"/>
      <c r="EE25" s="104"/>
      <c r="EF25" s="104"/>
      <c r="EG25" s="104"/>
      <c r="EH25" s="104"/>
      <c r="EI25" s="104"/>
      <c r="EJ25" s="104"/>
      <c r="EK25" s="104"/>
      <c r="EL25" s="104"/>
      <c r="EM25" s="104"/>
      <c r="EN25" s="104"/>
      <c r="EO25" s="104"/>
      <c r="EP25" s="104"/>
      <c r="EQ25" s="104"/>
      <c r="ER25" s="104"/>
      <c r="ES25" s="104"/>
      <c r="ET25" s="104"/>
      <c r="EU25" s="104"/>
      <c r="EV25" s="104"/>
      <c r="EW25" s="104"/>
      <c r="EX25" s="104"/>
      <c r="EY25" s="104"/>
      <c r="EZ25" s="104"/>
      <c r="FA25" s="104"/>
      <c r="FB25" s="104"/>
      <c r="FC25" s="104"/>
      <c r="FD25" s="104"/>
      <c r="FE25" s="104"/>
      <c r="FF25" s="104"/>
      <c r="FG25" s="104"/>
      <c r="FH25" s="104"/>
      <c r="FI25" s="104"/>
      <c r="FJ25" s="104"/>
      <c r="FK25" s="104"/>
      <c r="FL25" s="104"/>
      <c r="FM25" s="104"/>
      <c r="FN25" s="104"/>
      <c r="FO25" s="104"/>
      <c r="FP25" s="104"/>
      <c r="FQ25" s="104"/>
      <c r="FR25" s="104"/>
      <c r="FS25" s="104"/>
      <c r="FT25" s="104"/>
      <c r="FU25" s="104"/>
      <c r="FV25" s="104"/>
      <c r="FW25" s="104"/>
      <c r="FX25" s="104"/>
      <c r="FY25" s="104"/>
      <c r="FZ25" s="104"/>
      <c r="GA25" s="104"/>
      <c r="GB25" s="104"/>
      <c r="GC25" s="104"/>
      <c r="GD25" s="104"/>
      <c r="GE25" s="104"/>
      <c r="GF25" s="104"/>
      <c r="GG25" s="104"/>
      <c r="GH25" s="104"/>
      <c r="GI25" s="104"/>
      <c r="GJ25" s="104"/>
      <c r="GK25" s="104"/>
      <c r="GL25" s="104"/>
      <c r="GM25" s="104"/>
      <c r="GN25" s="104"/>
      <c r="GO25" s="104"/>
      <c r="GP25" s="104"/>
      <c r="GQ25" s="104"/>
      <c r="GR25" s="104"/>
      <c r="GS25" s="104"/>
      <c r="GT25" s="104"/>
      <c r="GU25" s="104"/>
      <c r="GV25" s="104"/>
      <c r="GW25" s="104"/>
      <c r="GX25" s="104"/>
      <c r="GY25" s="104"/>
      <c r="GZ25" s="104"/>
      <c r="HA25" s="104"/>
      <c r="HB25" s="104"/>
      <c r="HC25" s="104"/>
      <c r="HD25" s="104"/>
      <c r="HE25" s="104"/>
      <c r="HF25" s="104"/>
      <c r="HG25" s="104"/>
      <c r="HH25" s="104"/>
      <c r="HI25" s="104"/>
      <c r="HJ25" s="104"/>
      <c r="HK25" s="104"/>
      <c r="HL25" s="104"/>
      <c r="HM25" s="104"/>
      <c r="HN25" s="104"/>
      <c r="HO25" s="104"/>
      <c r="HP25" s="104"/>
      <c r="HQ25" s="104"/>
      <c r="HR25" s="104"/>
      <c r="HS25" s="104"/>
      <c r="HT25" s="104"/>
      <c r="HU25" s="104"/>
      <c r="HV25" s="104"/>
      <c r="HW25" s="104"/>
      <c r="HX25" s="104"/>
      <c r="HY25" s="104"/>
      <c r="HZ25" s="104"/>
      <c r="IA25" s="104"/>
      <c r="IB25" s="104"/>
      <c r="IC25" s="104"/>
      <c r="ID25" s="104"/>
      <c r="IE25" s="104"/>
      <c r="IF25" s="104"/>
      <c r="IG25" s="104"/>
      <c r="IH25" s="104"/>
      <c r="II25" s="104"/>
      <c r="IJ25" s="104"/>
      <c r="IK25" s="104"/>
      <c r="IL25" s="104"/>
      <c r="IM25" s="104"/>
      <c r="IN25" s="104"/>
      <c r="IO25" s="104"/>
      <c r="IP25" s="104"/>
      <c r="IQ25" s="104"/>
      <c r="IR25" s="104"/>
      <c r="IS25" s="104"/>
      <c r="IT25" s="104"/>
      <c r="IU25" s="104"/>
      <c r="IV25" s="104"/>
      <c r="IW25" s="104"/>
      <c r="IX25" s="104"/>
      <c r="IY25" s="104"/>
      <c r="IZ25" s="104"/>
      <c r="JA25" s="104"/>
      <c r="JB25" s="104"/>
      <c r="JC25" s="104"/>
      <c r="JD25" s="104"/>
      <c r="JE25" s="104"/>
    </row>
    <row r="26" spans="1:265" ht="18" customHeight="1" thickBot="1" x14ac:dyDescent="0.3">
      <c r="A26" s="1"/>
      <c r="B26" s="58" t="s">
        <v>159</v>
      </c>
      <c r="C26" s="59"/>
      <c r="D26" s="480"/>
      <c r="E26" s="480"/>
      <c r="F26" s="480"/>
      <c r="G26" s="480"/>
      <c r="H26" s="480"/>
      <c r="K26" s="63">
        <f>IF(K23="",0,IF(K23&gt;9,45,IF(K23&lt;1,0,(((45/8)*K23)-(45/8)))))</f>
        <v>0</v>
      </c>
      <c r="L26" s="41" t="s">
        <v>157</v>
      </c>
      <c r="M26" s="42">
        <v>45</v>
      </c>
      <c r="R26" s="176"/>
      <c r="S26" s="161"/>
      <c r="T26" s="161"/>
      <c r="U26" s="161"/>
      <c r="V26" s="163"/>
      <c r="W26" s="163"/>
      <c r="X26" s="164"/>
      <c r="Y26" s="164"/>
      <c r="Z26" s="164"/>
      <c r="AA26" s="164"/>
      <c r="AB26" s="164"/>
      <c r="AC26" s="164"/>
      <c r="AD26" s="16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65"/>
      <c r="BE26" s="165"/>
      <c r="BF26" s="104"/>
      <c r="BG26" s="104"/>
      <c r="BH26" s="104"/>
      <c r="BI26" s="104"/>
      <c r="BJ26" s="104"/>
      <c r="BK26" s="104"/>
      <c r="BL26" s="104"/>
      <c r="BM26" s="104"/>
      <c r="BN26" s="104"/>
      <c r="BO26" s="104"/>
      <c r="BP26" s="104"/>
      <c r="BQ26" s="104"/>
      <c r="BR26" s="104"/>
      <c r="BS26" s="104"/>
      <c r="BT26" s="104"/>
      <c r="BU26" s="104"/>
      <c r="BV26" s="104"/>
      <c r="BW26" s="104"/>
      <c r="BX26" s="104"/>
      <c r="BY26" s="104"/>
      <c r="BZ26" s="104"/>
      <c r="CA26" s="104"/>
      <c r="CB26" s="104"/>
      <c r="CC26" s="104"/>
      <c r="CD26" s="104"/>
      <c r="CE26" s="104"/>
      <c r="CF26" s="104"/>
      <c r="CG26" s="104"/>
      <c r="CH26" s="104"/>
      <c r="CI26" s="104"/>
      <c r="CJ26" s="104"/>
      <c r="CK26" s="104"/>
      <c r="CL26" s="104"/>
      <c r="CM26" s="104"/>
      <c r="CN26" s="104"/>
      <c r="CO26" s="104"/>
      <c r="CP26" s="104"/>
      <c r="CQ26" s="104"/>
      <c r="CR26" s="104"/>
      <c r="CS26" s="104"/>
      <c r="CT26" s="104"/>
      <c r="CU26" s="104"/>
      <c r="CV26" s="104"/>
      <c r="CW26" s="104"/>
      <c r="CX26" s="104"/>
      <c r="CY26" s="104"/>
      <c r="CZ26" s="104"/>
      <c r="DA26" s="104"/>
      <c r="DB26" s="104"/>
      <c r="DC26" s="104"/>
      <c r="DD26" s="104"/>
      <c r="DE26" s="104"/>
      <c r="DF26" s="104"/>
      <c r="DG26" s="104"/>
      <c r="DH26" s="104"/>
      <c r="DI26" s="104"/>
      <c r="DJ26" s="104"/>
      <c r="DK26" s="104"/>
      <c r="DL26" s="104"/>
      <c r="DM26" s="104"/>
      <c r="DN26" s="104"/>
      <c r="DO26" s="104"/>
      <c r="DP26" s="104"/>
      <c r="DQ26" s="104"/>
      <c r="DR26" s="104"/>
      <c r="DS26" s="104"/>
      <c r="DT26" s="104"/>
      <c r="DU26" s="104"/>
      <c r="DV26" s="104"/>
      <c r="DW26" s="104"/>
      <c r="DX26" s="104"/>
      <c r="DY26" s="104"/>
      <c r="DZ26" s="104"/>
      <c r="EA26" s="104"/>
      <c r="EB26" s="104"/>
      <c r="EC26" s="104"/>
      <c r="ED26" s="104"/>
      <c r="EE26" s="104"/>
      <c r="EF26" s="104"/>
      <c r="EG26" s="104"/>
      <c r="EH26" s="104"/>
      <c r="EI26" s="104"/>
      <c r="EJ26" s="104"/>
      <c r="EK26" s="104"/>
      <c r="EL26" s="104"/>
      <c r="EM26" s="104"/>
      <c r="EN26" s="104"/>
      <c r="EO26" s="104"/>
      <c r="EP26" s="104"/>
      <c r="EQ26" s="104"/>
      <c r="ER26" s="104"/>
      <c r="ES26" s="104"/>
      <c r="ET26" s="104"/>
      <c r="EU26" s="104"/>
      <c r="EV26" s="104"/>
      <c r="EW26" s="104"/>
      <c r="EX26" s="104"/>
      <c r="EY26" s="104"/>
      <c r="EZ26" s="104"/>
      <c r="FA26" s="104"/>
      <c r="FB26" s="104"/>
      <c r="FC26" s="104"/>
      <c r="FD26" s="104"/>
      <c r="FE26" s="104"/>
      <c r="FF26" s="104"/>
      <c r="FG26" s="104"/>
      <c r="FH26" s="104"/>
      <c r="FI26" s="104"/>
      <c r="FJ26" s="104"/>
      <c r="FK26" s="104"/>
      <c r="FL26" s="104"/>
      <c r="FM26" s="104"/>
      <c r="FN26" s="104"/>
      <c r="FO26" s="104"/>
      <c r="FP26" s="104"/>
      <c r="FQ26" s="104"/>
      <c r="FR26" s="104"/>
      <c r="FS26" s="104"/>
      <c r="FT26" s="104"/>
      <c r="FU26" s="104"/>
      <c r="FV26" s="104"/>
      <c r="FW26" s="104"/>
      <c r="FX26" s="104"/>
      <c r="FY26" s="104"/>
      <c r="FZ26" s="104"/>
      <c r="GA26" s="104"/>
      <c r="GB26" s="104"/>
      <c r="GC26" s="104"/>
      <c r="GD26" s="104"/>
      <c r="GE26" s="104"/>
      <c r="GF26" s="104"/>
      <c r="GG26" s="104"/>
      <c r="GH26" s="104"/>
      <c r="GI26" s="104"/>
      <c r="GJ26" s="104"/>
      <c r="GK26" s="104"/>
      <c r="GL26" s="104"/>
      <c r="GM26" s="104"/>
      <c r="GN26" s="104"/>
      <c r="GO26" s="104"/>
      <c r="GP26" s="104"/>
      <c r="GQ26" s="104"/>
      <c r="GR26" s="104"/>
      <c r="GS26" s="104"/>
      <c r="GT26" s="104"/>
      <c r="GU26" s="104"/>
      <c r="GV26" s="104"/>
      <c r="GW26" s="104"/>
      <c r="GX26" s="104"/>
      <c r="GY26" s="104"/>
      <c r="GZ26" s="104"/>
      <c r="HA26" s="104"/>
      <c r="HB26" s="104"/>
      <c r="HC26" s="104"/>
      <c r="HD26" s="104"/>
      <c r="HE26" s="104"/>
      <c r="HF26" s="104"/>
      <c r="HG26" s="104"/>
      <c r="HH26" s="104"/>
      <c r="HI26" s="104"/>
      <c r="HJ26" s="104"/>
      <c r="HK26" s="104"/>
      <c r="HL26" s="104"/>
      <c r="HM26" s="104"/>
      <c r="HN26" s="104"/>
      <c r="HO26" s="104"/>
      <c r="HP26" s="104"/>
      <c r="HQ26" s="104"/>
      <c r="HR26" s="104"/>
      <c r="HS26" s="104"/>
      <c r="HT26" s="104"/>
      <c r="HU26" s="104"/>
      <c r="HV26" s="104"/>
      <c r="HW26" s="104"/>
      <c r="HX26" s="104"/>
      <c r="HY26" s="104"/>
      <c r="HZ26" s="104"/>
      <c r="IA26" s="104"/>
      <c r="IB26" s="104"/>
      <c r="IC26" s="104"/>
      <c r="ID26" s="104"/>
      <c r="IE26" s="104"/>
      <c r="IF26" s="104"/>
      <c r="IG26" s="104"/>
      <c r="IH26" s="104"/>
      <c r="II26" s="104"/>
      <c r="IJ26" s="104"/>
      <c r="IK26" s="104"/>
      <c r="IL26" s="104"/>
      <c r="IM26" s="104"/>
      <c r="IN26" s="104"/>
      <c r="IO26" s="104"/>
      <c r="IP26" s="104"/>
      <c r="IQ26" s="104"/>
      <c r="IR26" s="104"/>
      <c r="IS26" s="104"/>
      <c r="IT26" s="104"/>
      <c r="IU26" s="104"/>
      <c r="IV26" s="104"/>
      <c r="IW26" s="104"/>
      <c r="IX26" s="104"/>
      <c r="IY26" s="104"/>
      <c r="IZ26" s="104"/>
      <c r="JA26" s="104"/>
      <c r="JB26" s="104"/>
      <c r="JC26" s="104"/>
      <c r="JD26" s="104"/>
      <c r="JE26" s="104"/>
    </row>
    <row r="27" spans="1:265" ht="17.25" customHeight="1" x14ac:dyDescent="0.25">
      <c r="A27" s="1"/>
      <c r="B27" s="57" t="s">
        <v>161</v>
      </c>
      <c r="C27" s="154"/>
      <c r="D27" s="480"/>
      <c r="E27" s="480"/>
      <c r="F27" s="480"/>
      <c r="G27" s="480"/>
      <c r="H27" s="480"/>
      <c r="N27" s="160"/>
      <c r="R27" s="176"/>
      <c r="S27" s="161"/>
      <c r="T27" s="161"/>
      <c r="U27" s="161"/>
      <c r="V27" s="163"/>
      <c r="W27" s="163"/>
      <c r="X27" s="164"/>
      <c r="Y27" s="164"/>
      <c r="Z27" s="164"/>
      <c r="AA27" s="164"/>
      <c r="AB27" s="164"/>
      <c r="AC27" s="164"/>
      <c r="AD27" s="16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65"/>
      <c r="BE27" s="165"/>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c r="DS27" s="104"/>
      <c r="DT27" s="104"/>
      <c r="DU27" s="104"/>
      <c r="DV27" s="104"/>
      <c r="DW27" s="104"/>
      <c r="DX27" s="104"/>
      <c r="DY27" s="104"/>
      <c r="DZ27" s="104"/>
      <c r="EA27" s="104"/>
      <c r="EB27" s="104"/>
      <c r="EC27" s="104"/>
      <c r="ED27" s="104"/>
      <c r="EE27" s="104"/>
      <c r="EF27" s="104"/>
      <c r="EG27" s="104"/>
      <c r="EH27" s="104"/>
      <c r="EI27" s="104"/>
      <c r="EJ27" s="104"/>
      <c r="EK27" s="104"/>
      <c r="EL27" s="104"/>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04"/>
      <c r="FY27" s="104"/>
      <c r="FZ27" s="104"/>
      <c r="GA27" s="104"/>
      <c r="GB27" s="104"/>
      <c r="GC27" s="104"/>
      <c r="GD27" s="104"/>
      <c r="GE27" s="104"/>
      <c r="GF27" s="104"/>
      <c r="GG27" s="104"/>
      <c r="GH27" s="104"/>
      <c r="GI27" s="104"/>
      <c r="GJ27" s="104"/>
      <c r="GK27" s="104"/>
      <c r="GL27" s="104"/>
      <c r="GM27" s="104"/>
      <c r="GN27" s="104"/>
      <c r="GO27" s="104"/>
      <c r="GP27" s="104"/>
      <c r="GQ27" s="104"/>
      <c r="GR27" s="104"/>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c r="IC27" s="104"/>
      <c r="ID27" s="104"/>
      <c r="IE27" s="104"/>
      <c r="IF27" s="104"/>
      <c r="IG27" s="104"/>
      <c r="IH27" s="104"/>
      <c r="II27" s="104"/>
      <c r="IJ27" s="104"/>
      <c r="IK27" s="104"/>
      <c r="IL27" s="104"/>
      <c r="IM27" s="104"/>
      <c r="IN27" s="104"/>
      <c r="IO27" s="104"/>
      <c r="IP27" s="104"/>
      <c r="IQ27" s="104"/>
      <c r="IR27" s="104"/>
      <c r="IS27" s="104"/>
      <c r="IT27" s="104"/>
      <c r="IU27" s="104"/>
      <c r="IV27" s="104"/>
      <c r="IW27" s="104"/>
      <c r="IX27" s="104"/>
      <c r="IY27" s="104"/>
      <c r="IZ27" s="104"/>
      <c r="JA27" s="104"/>
      <c r="JB27" s="104"/>
      <c r="JC27" s="104"/>
      <c r="JD27" s="104"/>
      <c r="JE27" s="104"/>
    </row>
    <row r="28" spans="1:265" ht="17.25" x14ac:dyDescent="0.25">
      <c r="A28" s="1"/>
      <c r="B28" s="53" t="str">
        <f>IF($C$26="Yes","Combined CRF",IF(C27='Factor 3 Calculations'!A44,"Combined CRF (KABC)",IF(C27='Factor 3 Calculations'!A45,"Combined CRF (All Severities)","Combined CRF")))</f>
        <v>Combined CRF</v>
      </c>
      <c r="C28" s="54">
        <f>ROUND(100*(1-(((100-C30)/100)*((100-C32)/100)*((100-C34)/100))),3)</f>
        <v>0</v>
      </c>
      <c r="D28" s="481" t="str">
        <f>IF(C26="Yes","Provide justification for custom CRF below","")</f>
        <v/>
      </c>
      <c r="E28" s="481"/>
      <c r="F28" s="481"/>
      <c r="G28" s="481"/>
      <c r="H28" s="481"/>
      <c r="J28" s="1"/>
      <c r="N28" s="160"/>
      <c r="R28" s="176"/>
      <c r="S28" s="161"/>
      <c r="T28" s="161"/>
      <c r="U28" s="161"/>
      <c r="V28" s="163"/>
      <c r="W28" s="163"/>
      <c r="X28" s="164"/>
      <c r="Y28" s="164"/>
      <c r="Z28" s="164"/>
      <c r="AA28" s="164"/>
      <c r="AB28" s="164"/>
      <c r="AC28" s="164"/>
      <c r="AD28" s="16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65"/>
      <c r="BE28" s="165"/>
      <c r="BF28" s="104"/>
      <c r="BG28" s="104"/>
      <c r="BH28" s="104"/>
      <c r="BI28" s="104"/>
      <c r="BJ28" s="104"/>
      <c r="BK28" s="104"/>
      <c r="BL28" s="104"/>
      <c r="BM28" s="104"/>
      <c r="BN28" s="104"/>
      <c r="BO28" s="104"/>
      <c r="BP28" s="104"/>
      <c r="BQ28" s="104"/>
      <c r="BR28" s="104"/>
      <c r="BS28" s="104"/>
      <c r="BT28" s="104"/>
      <c r="BU28" s="104"/>
      <c r="BV28" s="104"/>
      <c r="BW28" s="104"/>
      <c r="BX28" s="104"/>
      <c r="BY28" s="104"/>
      <c r="BZ28" s="104"/>
      <c r="CA28" s="104"/>
      <c r="CB28" s="104"/>
      <c r="CC28" s="104"/>
      <c r="CD28" s="104"/>
      <c r="CE28" s="104"/>
      <c r="CF28" s="104"/>
      <c r="CG28" s="104"/>
      <c r="CH28" s="104"/>
      <c r="CI28" s="104"/>
      <c r="CJ28" s="104"/>
      <c r="CK28" s="104"/>
      <c r="CL28" s="104"/>
      <c r="CM28" s="104"/>
      <c r="CN28" s="104"/>
      <c r="CO28" s="104"/>
      <c r="CP28" s="104"/>
      <c r="CQ28" s="104"/>
      <c r="CR28" s="104"/>
      <c r="CS28" s="104"/>
      <c r="CT28" s="104"/>
      <c r="CU28" s="104"/>
      <c r="CV28" s="104"/>
      <c r="CW28" s="104"/>
      <c r="CX28" s="104"/>
      <c r="CY28" s="104"/>
      <c r="CZ28" s="104"/>
      <c r="DA28" s="104"/>
      <c r="DB28" s="104"/>
      <c r="DC28" s="104"/>
      <c r="DD28" s="104"/>
      <c r="DE28" s="104"/>
      <c r="DF28" s="104"/>
      <c r="DG28" s="104"/>
      <c r="DH28" s="104"/>
      <c r="DI28" s="104"/>
      <c r="DJ28" s="104"/>
      <c r="DK28" s="104"/>
      <c r="DL28" s="104"/>
      <c r="DM28" s="104"/>
      <c r="DN28" s="104"/>
      <c r="DO28" s="104"/>
      <c r="DP28" s="104"/>
      <c r="DQ28" s="104"/>
      <c r="DR28" s="104"/>
      <c r="DS28" s="104"/>
      <c r="DT28" s="104"/>
      <c r="DU28" s="104"/>
      <c r="DV28" s="104"/>
      <c r="DW28" s="104"/>
      <c r="DX28" s="104"/>
      <c r="DY28" s="104"/>
      <c r="DZ28" s="104"/>
      <c r="EA28" s="104"/>
      <c r="EB28" s="104"/>
      <c r="EC28" s="104"/>
      <c r="ED28" s="104"/>
      <c r="EE28" s="104"/>
      <c r="EF28" s="104"/>
      <c r="EG28" s="104"/>
      <c r="EH28" s="104"/>
      <c r="EI28" s="104"/>
      <c r="EJ28" s="104"/>
      <c r="EK28" s="104"/>
      <c r="EL28" s="104"/>
      <c r="EM28" s="104"/>
      <c r="EN28" s="104"/>
      <c r="EO28" s="104"/>
      <c r="EP28" s="104"/>
      <c r="EQ28" s="104"/>
      <c r="ER28" s="104"/>
      <c r="ES28" s="104"/>
      <c r="ET28" s="104"/>
      <c r="EU28" s="104"/>
      <c r="EV28" s="104"/>
      <c r="EW28" s="104"/>
      <c r="EX28" s="104"/>
      <c r="EY28" s="104"/>
      <c r="EZ28" s="104"/>
      <c r="FA28" s="104"/>
      <c r="FB28" s="104"/>
      <c r="FC28" s="104"/>
      <c r="FD28" s="104"/>
      <c r="FE28" s="104"/>
      <c r="FF28" s="104"/>
      <c r="FG28" s="104"/>
      <c r="FH28" s="104"/>
      <c r="FI28" s="104"/>
      <c r="FJ28" s="104"/>
      <c r="FK28" s="104"/>
      <c r="FL28" s="104"/>
      <c r="FM28" s="104"/>
      <c r="FN28" s="104"/>
      <c r="FO28" s="104"/>
      <c r="FP28" s="104"/>
      <c r="FQ28" s="104"/>
      <c r="FR28" s="104"/>
      <c r="FS28" s="104"/>
      <c r="FT28" s="104"/>
      <c r="FU28" s="104"/>
      <c r="FV28" s="104"/>
      <c r="FW28" s="104"/>
      <c r="FX28" s="104"/>
      <c r="FY28" s="104"/>
      <c r="FZ28" s="104"/>
      <c r="GA28" s="104"/>
      <c r="GB28" s="104"/>
      <c r="GC28" s="104"/>
      <c r="GD28" s="104"/>
      <c r="GE28" s="104"/>
      <c r="GF28" s="104"/>
      <c r="GG28" s="104"/>
      <c r="GH28" s="104"/>
      <c r="GI28" s="104"/>
      <c r="GJ28" s="104"/>
      <c r="GK28" s="104"/>
      <c r="GL28" s="104"/>
      <c r="GM28" s="104"/>
      <c r="GN28" s="104"/>
      <c r="GO28" s="104"/>
      <c r="GP28" s="104"/>
      <c r="GQ28" s="104"/>
      <c r="GR28" s="104"/>
      <c r="GS28" s="104"/>
      <c r="GT28" s="104"/>
      <c r="GU28" s="104"/>
      <c r="GV28" s="104"/>
      <c r="GW28" s="104"/>
      <c r="GX28" s="104"/>
      <c r="GY28" s="104"/>
      <c r="GZ28" s="104"/>
      <c r="HA28" s="104"/>
      <c r="HB28" s="104"/>
      <c r="HC28" s="104"/>
      <c r="HD28" s="104"/>
      <c r="HE28" s="104"/>
      <c r="HF28" s="104"/>
      <c r="HG28" s="104"/>
      <c r="HH28" s="104"/>
      <c r="HI28" s="104"/>
      <c r="HJ28" s="104"/>
      <c r="HK28" s="104"/>
      <c r="HL28" s="104"/>
      <c r="HM28" s="104"/>
      <c r="HN28" s="104"/>
      <c r="HO28" s="104"/>
      <c r="HP28" s="104"/>
      <c r="HQ28" s="104"/>
      <c r="HR28" s="104"/>
      <c r="HS28" s="104"/>
      <c r="HT28" s="104"/>
      <c r="HU28" s="104"/>
      <c r="HV28" s="104"/>
      <c r="HW28" s="104"/>
      <c r="HX28" s="104"/>
      <c r="HY28" s="104"/>
      <c r="HZ28" s="104"/>
      <c r="IA28" s="104"/>
      <c r="IB28" s="104"/>
      <c r="IC28" s="104"/>
      <c r="ID28" s="104"/>
      <c r="IE28" s="104"/>
      <c r="IF28" s="104"/>
      <c r="IG28" s="104"/>
      <c r="IH28" s="104"/>
      <c r="II28" s="104"/>
      <c r="IJ28" s="104"/>
      <c r="IK28" s="104"/>
      <c r="IL28" s="104"/>
      <c r="IM28" s="104"/>
      <c r="IN28" s="104"/>
      <c r="IO28" s="104"/>
      <c r="IP28" s="104"/>
      <c r="IQ28" s="104"/>
      <c r="IR28" s="104"/>
      <c r="IS28" s="104"/>
      <c r="IT28" s="104"/>
      <c r="IU28" s="104"/>
      <c r="IV28" s="104"/>
      <c r="IW28" s="104"/>
      <c r="IX28" s="104"/>
      <c r="IY28" s="104"/>
      <c r="IZ28" s="104"/>
      <c r="JA28" s="104"/>
      <c r="JB28" s="104"/>
      <c r="JC28" s="104"/>
      <c r="JD28" s="104"/>
      <c r="JE28" s="104"/>
    </row>
    <row r="29" spans="1:265" ht="17.25" customHeight="1" thickBot="1" x14ac:dyDescent="0.3">
      <c r="A29" s="1"/>
      <c r="B29" s="15" t="str">
        <f>IF(C26="No", "Custom CRF", IF(C27='Factor 3 Calculations'!A44,"Custom CRF (KABC)",IF(C27='Factor 3 Calculations'!A45,"Custom CRF (All Severities)","Custom CRF")))</f>
        <v>Custom CRF</v>
      </c>
      <c r="C29" s="61"/>
      <c r="D29" s="465"/>
      <c r="E29" s="466"/>
      <c r="F29" s="466"/>
      <c r="G29" s="466"/>
      <c r="H29" s="466"/>
      <c r="J29" s="1"/>
      <c r="N29" s="160"/>
      <c r="R29" s="176"/>
      <c r="S29" s="161"/>
      <c r="T29" s="161"/>
      <c r="U29" s="161"/>
      <c r="V29" s="163"/>
      <c r="W29" s="163"/>
      <c r="X29" s="164"/>
      <c r="Y29" s="164"/>
      <c r="Z29" s="164"/>
      <c r="AA29" s="164"/>
      <c r="AB29" s="164"/>
      <c r="AC29" s="164"/>
      <c r="AD29" s="16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65"/>
      <c r="BE29" s="165"/>
      <c r="BF29" s="104"/>
      <c r="BG29" s="104"/>
      <c r="BH29" s="104"/>
      <c r="BI29" s="104"/>
      <c r="BJ29" s="104"/>
      <c r="BK29" s="104"/>
      <c r="BL29" s="104"/>
      <c r="BM29" s="104"/>
      <c r="BN29" s="104"/>
      <c r="BO29" s="104"/>
      <c r="BP29" s="104"/>
      <c r="BQ29" s="104"/>
      <c r="BR29" s="104"/>
      <c r="BS29" s="104"/>
      <c r="BT29" s="104"/>
      <c r="BU29" s="104"/>
      <c r="BV29" s="104"/>
      <c r="BW29" s="104"/>
      <c r="BX29" s="104"/>
      <c r="BY29" s="104"/>
      <c r="BZ29" s="104"/>
      <c r="CA29" s="104"/>
      <c r="CB29" s="104"/>
      <c r="CC29" s="104"/>
      <c r="CD29" s="104"/>
      <c r="CE29" s="104"/>
      <c r="CF29" s="104"/>
      <c r="CG29" s="104"/>
      <c r="CH29" s="104"/>
      <c r="CI29" s="104"/>
      <c r="CJ29" s="104"/>
      <c r="CK29" s="104"/>
      <c r="CL29" s="104"/>
      <c r="CM29" s="104"/>
      <c r="CN29" s="104"/>
      <c r="CO29" s="104"/>
      <c r="CP29" s="104"/>
      <c r="CQ29" s="104"/>
      <c r="CR29" s="104"/>
      <c r="CS29" s="104"/>
      <c r="CT29" s="104"/>
      <c r="CU29" s="104"/>
      <c r="CV29" s="104"/>
      <c r="CW29" s="104"/>
      <c r="CX29" s="104"/>
      <c r="CY29" s="104"/>
      <c r="CZ29" s="104"/>
      <c r="DA29" s="104"/>
      <c r="DB29" s="104"/>
      <c r="DC29" s="104"/>
      <c r="DD29" s="104"/>
      <c r="DE29" s="104"/>
      <c r="DF29" s="104"/>
      <c r="DG29" s="104"/>
      <c r="DH29" s="104"/>
      <c r="DI29" s="104"/>
      <c r="DJ29" s="104"/>
      <c r="DK29" s="104"/>
      <c r="DL29" s="104"/>
      <c r="DM29" s="104"/>
      <c r="DN29" s="104"/>
      <c r="DO29" s="104"/>
      <c r="DP29" s="104"/>
      <c r="DQ29" s="104"/>
      <c r="DR29" s="104"/>
      <c r="DS29" s="104"/>
      <c r="DT29" s="104"/>
      <c r="DU29" s="104"/>
      <c r="DV29" s="104"/>
      <c r="DW29" s="104"/>
      <c r="DX29" s="104"/>
      <c r="DY29" s="104"/>
      <c r="DZ29" s="104"/>
      <c r="EA29" s="104"/>
      <c r="EB29" s="104"/>
      <c r="EC29" s="104"/>
      <c r="ED29" s="104"/>
      <c r="EE29" s="104"/>
      <c r="EF29" s="104"/>
      <c r="EG29" s="104"/>
      <c r="EH29" s="104"/>
      <c r="EI29" s="104"/>
      <c r="EJ29" s="104"/>
      <c r="EK29" s="104"/>
      <c r="EL29" s="104"/>
      <c r="EM29" s="104"/>
      <c r="EN29" s="104"/>
      <c r="EO29" s="104"/>
      <c r="EP29" s="104"/>
      <c r="EQ29" s="104"/>
      <c r="ER29" s="104"/>
      <c r="ES29" s="104"/>
      <c r="ET29" s="104"/>
      <c r="EU29" s="104"/>
      <c r="EV29" s="104"/>
      <c r="EW29" s="104"/>
      <c r="EX29" s="104"/>
      <c r="EY29" s="104"/>
      <c r="EZ29" s="104"/>
      <c r="FA29" s="104"/>
      <c r="FB29" s="104"/>
      <c r="FC29" s="104"/>
      <c r="FD29" s="104"/>
      <c r="FE29" s="104"/>
      <c r="FF29" s="104"/>
      <c r="FG29" s="104"/>
      <c r="FH29" s="104"/>
      <c r="FI29" s="104"/>
      <c r="FJ29" s="104"/>
      <c r="FK29" s="104"/>
      <c r="FL29" s="104"/>
      <c r="FM29" s="104"/>
      <c r="FN29" s="104"/>
      <c r="FO29" s="104"/>
      <c r="FP29" s="104"/>
      <c r="FQ29" s="104"/>
      <c r="FR29" s="104"/>
      <c r="FS29" s="104"/>
      <c r="FT29" s="104"/>
      <c r="FU29" s="104"/>
      <c r="FV29" s="104"/>
      <c r="FW29" s="104"/>
      <c r="FX29" s="104"/>
      <c r="FY29" s="104"/>
      <c r="FZ29" s="104"/>
      <c r="GA29" s="104"/>
      <c r="GB29" s="104"/>
      <c r="GC29" s="104"/>
      <c r="GD29" s="104"/>
      <c r="GE29" s="104"/>
      <c r="GF29" s="104"/>
      <c r="GG29" s="104"/>
      <c r="GH29" s="104"/>
      <c r="GI29" s="104"/>
      <c r="GJ29" s="104"/>
      <c r="GK29" s="104"/>
      <c r="GL29" s="104"/>
      <c r="GM29" s="104"/>
      <c r="GN29" s="104"/>
      <c r="GO29" s="104"/>
      <c r="GP29" s="104"/>
      <c r="GQ29" s="104"/>
      <c r="GR29" s="104"/>
      <c r="GS29" s="104"/>
      <c r="GT29" s="104"/>
      <c r="GU29" s="104"/>
      <c r="GV29" s="104"/>
      <c r="GW29" s="104"/>
      <c r="GX29" s="104"/>
      <c r="GY29" s="104"/>
      <c r="GZ29" s="104"/>
      <c r="HA29" s="104"/>
      <c r="HB29" s="104"/>
      <c r="HC29" s="104"/>
      <c r="HD29" s="104"/>
      <c r="HE29" s="104"/>
      <c r="HF29" s="104"/>
      <c r="HG29" s="104"/>
      <c r="HH29" s="104"/>
      <c r="HI29" s="104"/>
      <c r="HJ29" s="104"/>
      <c r="HK29" s="104"/>
      <c r="HL29" s="104"/>
      <c r="HM29" s="104"/>
      <c r="HN29" s="104"/>
      <c r="HO29" s="104"/>
      <c r="HP29" s="104"/>
      <c r="HQ29" s="104"/>
      <c r="HR29" s="104"/>
      <c r="HS29" s="104"/>
      <c r="HT29" s="104"/>
      <c r="HU29" s="104"/>
      <c r="HV29" s="104"/>
      <c r="HW29" s="104"/>
      <c r="HX29" s="104"/>
      <c r="HY29" s="104"/>
      <c r="HZ29" s="104"/>
      <c r="IA29" s="104"/>
      <c r="IB29" s="104"/>
      <c r="IC29" s="104"/>
      <c r="ID29" s="104"/>
      <c r="IE29" s="104"/>
      <c r="IF29" s="104"/>
      <c r="IG29" s="104"/>
      <c r="IH29" s="104"/>
      <c r="II29" s="104"/>
      <c r="IJ29" s="104"/>
      <c r="IK29" s="104"/>
      <c r="IL29" s="104"/>
      <c r="IM29" s="104"/>
      <c r="IN29" s="104"/>
      <c r="IO29" s="104"/>
      <c r="IP29" s="104"/>
      <c r="IQ29" s="104"/>
      <c r="IR29" s="104"/>
      <c r="IS29" s="104"/>
      <c r="IT29" s="104"/>
      <c r="IU29" s="104"/>
      <c r="IV29" s="104"/>
      <c r="IW29" s="104"/>
      <c r="IX29" s="104"/>
      <c r="IY29" s="104"/>
      <c r="IZ29" s="104"/>
      <c r="JA29" s="104"/>
      <c r="JB29" s="104"/>
      <c r="JC29" s="104"/>
      <c r="JD29" s="104"/>
      <c r="JE29" s="104"/>
    </row>
    <row r="30" spans="1:265" ht="18" customHeight="1" x14ac:dyDescent="0.25">
      <c r="A30" s="1"/>
      <c r="B30" s="57" t="str">
        <f>IF($C$26="Yes","Countermeasure 1 CRF",IF($C$27='Factor 3 Calculations'!A44,"Countermeasure 1 CRF (KABC) ",IF($C$27='Factor 3 Calculations'!A45,"Countermeasure 1 CRF (All Severities)","Countermeasure 1 CRF")))</f>
        <v>Countermeasure 1 CRF</v>
      </c>
      <c r="C30" s="60"/>
      <c r="D30" s="465"/>
      <c r="E30" s="466"/>
      <c r="F30" s="466"/>
      <c r="G30" s="466"/>
      <c r="H30" s="466"/>
      <c r="J30" s="1"/>
      <c r="N30" s="160"/>
      <c r="R30" s="176"/>
      <c r="S30" s="161"/>
      <c r="T30" s="161"/>
      <c r="U30" s="161"/>
      <c r="V30" s="163"/>
      <c r="W30" s="163"/>
      <c r="X30" s="164"/>
      <c r="Y30" s="164"/>
      <c r="Z30" s="164"/>
      <c r="AA30" s="164"/>
      <c r="AB30" s="164"/>
      <c r="AC30" s="164"/>
      <c r="AD30" s="16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c r="BB30" s="104"/>
      <c r="BC30" s="104"/>
      <c r="BD30" s="165"/>
      <c r="BE30" s="165"/>
      <c r="BF30" s="104"/>
      <c r="BG30" s="104"/>
      <c r="BH30" s="104"/>
      <c r="BI30" s="104"/>
      <c r="BJ30" s="104"/>
      <c r="BK30" s="104"/>
      <c r="BL30" s="104"/>
      <c r="BM30" s="104"/>
      <c r="BN30" s="104"/>
      <c r="BO30" s="104"/>
      <c r="BP30" s="104"/>
      <c r="BQ30" s="104"/>
      <c r="BR30" s="104"/>
      <c r="BS30" s="104"/>
      <c r="BT30" s="104"/>
      <c r="BU30" s="104"/>
      <c r="BV30" s="104"/>
      <c r="BW30" s="104"/>
      <c r="BX30" s="104"/>
      <c r="BY30" s="104"/>
      <c r="BZ30" s="104"/>
      <c r="CA30" s="104"/>
      <c r="CB30" s="104"/>
      <c r="CC30" s="104"/>
      <c r="CD30" s="104"/>
      <c r="CE30" s="104"/>
      <c r="CF30" s="104"/>
      <c r="CG30" s="104"/>
      <c r="CH30" s="104"/>
      <c r="CI30" s="104"/>
      <c r="CJ30" s="104"/>
      <c r="CK30" s="104"/>
      <c r="CL30" s="104"/>
      <c r="CM30" s="104"/>
      <c r="CN30" s="104"/>
      <c r="CO30" s="104"/>
      <c r="CP30" s="104"/>
      <c r="CQ30" s="104"/>
      <c r="CR30" s="104"/>
      <c r="CS30" s="104"/>
      <c r="CT30" s="104"/>
      <c r="CU30" s="104"/>
      <c r="CV30" s="104"/>
      <c r="CW30" s="104"/>
      <c r="CX30" s="104"/>
      <c r="CY30" s="104"/>
      <c r="CZ30" s="104"/>
      <c r="DA30" s="104"/>
      <c r="DB30" s="104"/>
      <c r="DC30" s="104"/>
      <c r="DD30" s="104"/>
      <c r="DE30" s="104"/>
      <c r="DF30" s="104"/>
      <c r="DG30" s="104"/>
      <c r="DH30" s="104"/>
      <c r="DI30" s="104"/>
      <c r="DJ30" s="104"/>
      <c r="DK30" s="104"/>
      <c r="DL30" s="104"/>
      <c r="DM30" s="104"/>
      <c r="DN30" s="104"/>
      <c r="DO30" s="104"/>
      <c r="DP30" s="104"/>
      <c r="DQ30" s="104"/>
      <c r="DR30" s="104"/>
      <c r="DS30" s="104"/>
      <c r="DT30" s="104"/>
      <c r="DU30" s="104"/>
      <c r="DV30" s="104"/>
      <c r="DW30" s="104"/>
      <c r="DX30" s="104"/>
      <c r="DY30" s="104"/>
      <c r="DZ30" s="104"/>
      <c r="EA30" s="104"/>
      <c r="EB30" s="104"/>
      <c r="EC30" s="104"/>
      <c r="ED30" s="104"/>
      <c r="EE30" s="104"/>
      <c r="EF30" s="104"/>
      <c r="EG30" s="104"/>
      <c r="EH30" s="104"/>
      <c r="EI30" s="104"/>
      <c r="EJ30" s="104"/>
      <c r="EK30" s="104"/>
      <c r="EL30" s="104"/>
      <c r="EM30" s="104"/>
      <c r="EN30" s="104"/>
      <c r="EO30" s="104"/>
      <c r="EP30" s="104"/>
      <c r="EQ30" s="104"/>
      <c r="ER30" s="104"/>
      <c r="ES30" s="104"/>
      <c r="ET30" s="104"/>
      <c r="EU30" s="104"/>
      <c r="EV30" s="104"/>
      <c r="EW30" s="104"/>
      <c r="EX30" s="104"/>
      <c r="EY30" s="104"/>
      <c r="EZ30" s="104"/>
      <c r="FA30" s="104"/>
      <c r="FB30" s="104"/>
      <c r="FC30" s="104"/>
      <c r="FD30" s="104"/>
      <c r="FE30" s="104"/>
      <c r="FF30" s="104"/>
      <c r="FG30" s="104"/>
      <c r="FH30" s="104"/>
      <c r="FI30" s="104"/>
      <c r="FJ30" s="104"/>
      <c r="FK30" s="104"/>
      <c r="FL30" s="104"/>
      <c r="FM30" s="104"/>
      <c r="FN30" s="104"/>
      <c r="FO30" s="104"/>
      <c r="FP30" s="104"/>
      <c r="FQ30" s="104"/>
      <c r="FR30" s="104"/>
      <c r="FS30" s="104"/>
      <c r="FT30" s="104"/>
      <c r="FU30" s="104"/>
      <c r="FV30" s="104"/>
      <c r="FW30" s="104"/>
      <c r="FX30" s="104"/>
      <c r="FY30" s="104"/>
      <c r="FZ30" s="104"/>
      <c r="GA30" s="104"/>
      <c r="GB30" s="104"/>
      <c r="GC30" s="104"/>
      <c r="GD30" s="104"/>
      <c r="GE30" s="104"/>
      <c r="GF30" s="104"/>
      <c r="GG30" s="104"/>
      <c r="GH30" s="104"/>
      <c r="GI30" s="104"/>
      <c r="GJ30" s="104"/>
      <c r="GK30" s="104"/>
      <c r="GL30" s="104"/>
      <c r="GM30" s="104"/>
      <c r="GN30" s="104"/>
      <c r="GO30" s="104"/>
      <c r="GP30" s="104"/>
      <c r="GQ30" s="104"/>
      <c r="GR30" s="104"/>
      <c r="GS30" s="104"/>
      <c r="GT30" s="104"/>
      <c r="GU30" s="104"/>
      <c r="GV30" s="104"/>
      <c r="GW30" s="104"/>
      <c r="GX30" s="104"/>
      <c r="GY30" s="104"/>
      <c r="GZ30" s="104"/>
      <c r="HA30" s="104"/>
      <c r="HB30" s="104"/>
      <c r="HC30" s="104"/>
      <c r="HD30" s="104"/>
      <c r="HE30" s="104"/>
      <c r="HF30" s="104"/>
      <c r="HG30" s="104"/>
      <c r="HH30" s="104"/>
      <c r="HI30" s="104"/>
      <c r="HJ30" s="104"/>
      <c r="HK30" s="104"/>
      <c r="HL30" s="104"/>
      <c r="HM30" s="104"/>
      <c r="HN30" s="104"/>
      <c r="HO30" s="104"/>
      <c r="HP30" s="104"/>
      <c r="HQ30" s="104"/>
      <c r="HR30" s="104"/>
      <c r="HS30" s="104"/>
      <c r="HT30" s="104"/>
      <c r="HU30" s="104"/>
      <c r="HV30" s="104"/>
      <c r="HW30" s="104"/>
      <c r="HX30" s="104"/>
      <c r="HY30" s="104"/>
      <c r="HZ30" s="104"/>
      <c r="IA30" s="104"/>
      <c r="IB30" s="104"/>
      <c r="IC30" s="104"/>
      <c r="ID30" s="104"/>
      <c r="IE30" s="104"/>
      <c r="IF30" s="104"/>
      <c r="IG30" s="104"/>
      <c r="IH30" s="104"/>
      <c r="II30" s="104"/>
      <c r="IJ30" s="104"/>
      <c r="IK30" s="104"/>
      <c r="IL30" s="104"/>
      <c r="IM30" s="104"/>
      <c r="IN30" s="104"/>
      <c r="IO30" s="104"/>
      <c r="IP30" s="104"/>
      <c r="IQ30" s="104"/>
      <c r="IR30" s="104"/>
      <c r="IS30" s="104"/>
      <c r="IT30" s="104"/>
      <c r="IU30" s="104"/>
      <c r="IV30" s="104"/>
      <c r="IW30" s="104"/>
      <c r="IX30" s="104"/>
      <c r="IY30" s="104"/>
      <c r="IZ30" s="104"/>
      <c r="JA30" s="104"/>
      <c r="JB30" s="104"/>
      <c r="JC30" s="104"/>
      <c r="JD30" s="104"/>
      <c r="JE30" s="104"/>
    </row>
    <row r="31" spans="1:265" ht="15.75" customHeight="1" thickBot="1" x14ac:dyDescent="0.3">
      <c r="A31" s="1"/>
      <c r="B31" s="56" t="s">
        <v>162</v>
      </c>
      <c r="C31" s="158"/>
      <c r="D31" s="465"/>
      <c r="E31" s="466"/>
      <c r="F31" s="466"/>
      <c r="G31" s="466"/>
      <c r="H31" s="466"/>
      <c r="J31" s="1"/>
      <c r="N31" s="160"/>
      <c r="O31" s="104"/>
      <c r="P31" s="104"/>
      <c r="Q31" s="104"/>
      <c r="R31" s="161"/>
      <c r="S31" s="161"/>
      <c r="T31" s="161"/>
      <c r="U31" s="161"/>
      <c r="V31" s="163"/>
      <c r="W31" s="163"/>
      <c r="X31" s="164"/>
      <c r="Y31" s="164"/>
      <c r="Z31" s="164"/>
      <c r="AA31" s="164"/>
      <c r="AB31" s="164"/>
      <c r="AC31" s="164"/>
      <c r="AD31" s="16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65"/>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104"/>
      <c r="DX31" s="104"/>
      <c r="DY31" s="104"/>
      <c r="DZ31" s="104"/>
      <c r="EA31" s="104"/>
      <c r="EB31" s="104"/>
      <c r="EC31" s="104"/>
      <c r="ED31" s="104"/>
      <c r="EE31" s="104"/>
      <c r="EF31" s="104"/>
      <c r="EG31" s="104"/>
      <c r="EH31" s="104"/>
      <c r="EI31" s="104"/>
      <c r="EJ31" s="104"/>
      <c r="EK31" s="104"/>
      <c r="EL31" s="104"/>
      <c r="EM31" s="104"/>
      <c r="EN31" s="104"/>
      <c r="EO31" s="104"/>
      <c r="EP31" s="104"/>
      <c r="EQ31" s="104"/>
      <c r="ER31" s="104"/>
      <c r="ES31" s="104"/>
      <c r="ET31" s="104"/>
      <c r="EU31" s="104"/>
      <c r="EV31" s="104"/>
      <c r="EW31" s="104"/>
      <c r="EX31" s="104"/>
      <c r="EY31" s="104"/>
      <c r="EZ31" s="104"/>
      <c r="FA31" s="104"/>
      <c r="FB31" s="104"/>
      <c r="FC31" s="104"/>
      <c r="FD31" s="104"/>
      <c r="FE31" s="104"/>
      <c r="FF31" s="104"/>
      <c r="FG31" s="104"/>
      <c r="FH31" s="104"/>
      <c r="FI31" s="104"/>
      <c r="FJ31" s="104"/>
      <c r="FK31" s="104"/>
      <c r="FL31" s="104"/>
      <c r="FM31" s="104"/>
      <c r="FN31" s="104"/>
      <c r="FO31" s="104"/>
      <c r="FP31" s="104"/>
      <c r="FQ31" s="104"/>
      <c r="FR31" s="104"/>
      <c r="FS31" s="104"/>
      <c r="FT31" s="104"/>
      <c r="FU31" s="104"/>
      <c r="FV31" s="104"/>
      <c r="FW31" s="104"/>
      <c r="FX31" s="104"/>
      <c r="FY31" s="104"/>
      <c r="FZ31" s="104"/>
      <c r="GA31" s="104"/>
      <c r="GB31" s="104"/>
      <c r="GC31" s="104"/>
      <c r="GD31" s="104"/>
      <c r="GE31" s="104"/>
      <c r="GF31" s="104"/>
      <c r="GG31" s="104"/>
      <c r="GH31" s="104"/>
      <c r="GI31" s="104"/>
      <c r="GJ31" s="104"/>
      <c r="GK31" s="104"/>
      <c r="GL31" s="104"/>
      <c r="GM31" s="104"/>
      <c r="GN31" s="104"/>
      <c r="GO31" s="104"/>
      <c r="GP31" s="104"/>
      <c r="GQ31" s="104"/>
      <c r="GR31" s="104"/>
      <c r="GS31" s="104"/>
      <c r="GT31" s="104"/>
      <c r="GU31" s="104"/>
      <c r="GV31" s="104"/>
      <c r="GW31" s="104"/>
      <c r="GX31" s="104"/>
      <c r="GY31" s="104"/>
      <c r="GZ31" s="104"/>
      <c r="HA31" s="104"/>
      <c r="HB31" s="104"/>
      <c r="HC31" s="104"/>
      <c r="HD31" s="104"/>
      <c r="HE31" s="104"/>
      <c r="HF31" s="104"/>
      <c r="HG31" s="104"/>
      <c r="HH31" s="104"/>
      <c r="HI31" s="104"/>
      <c r="HJ31" s="104"/>
      <c r="HK31" s="104"/>
      <c r="HL31" s="104"/>
      <c r="HM31" s="104"/>
      <c r="HN31" s="104"/>
      <c r="HO31" s="104"/>
      <c r="HP31" s="104"/>
      <c r="HQ31" s="104"/>
      <c r="HR31" s="104"/>
      <c r="HS31" s="104"/>
      <c r="HT31" s="104"/>
      <c r="HU31" s="104"/>
      <c r="HV31" s="104"/>
      <c r="HW31" s="104"/>
      <c r="HX31" s="104"/>
      <c r="HY31" s="104"/>
      <c r="HZ31" s="104"/>
      <c r="IA31" s="104"/>
      <c r="IB31" s="104"/>
      <c r="IC31" s="104"/>
      <c r="ID31" s="104"/>
      <c r="IE31" s="104"/>
      <c r="IF31" s="104"/>
      <c r="IG31" s="104"/>
      <c r="IH31" s="104"/>
      <c r="II31" s="104"/>
      <c r="IJ31" s="104"/>
      <c r="IK31" s="104"/>
      <c r="IL31" s="104"/>
      <c r="IM31" s="104"/>
      <c r="IN31" s="104"/>
      <c r="IO31" s="104"/>
      <c r="IP31" s="104"/>
      <c r="IQ31" s="104"/>
      <c r="IR31" s="104"/>
      <c r="IS31" s="104"/>
      <c r="IT31" s="104"/>
      <c r="IU31" s="104"/>
      <c r="IV31" s="104"/>
      <c r="IW31" s="104"/>
      <c r="IX31" s="104"/>
      <c r="IY31" s="104"/>
      <c r="IZ31" s="104"/>
      <c r="JA31" s="104"/>
      <c r="JB31" s="104"/>
      <c r="JC31" s="104"/>
      <c r="JD31" s="104"/>
      <c r="JE31" s="104"/>
    </row>
    <row r="32" spans="1:265" ht="17.25" x14ac:dyDescent="0.25">
      <c r="A32" s="1"/>
      <c r="B32" s="52" t="str">
        <f>IF($C$26="Yes","Countermeasure 1 CRF",IF($C$27='Factor 3 Calculations'!A44,"Countermeasure 2 CRF (KABC) ",IF($C$27='Factor 3 Calculations'!A45,"Countermeasure 2 CRF (All Severities)","Countermeasure 2 CRF")))</f>
        <v>Countermeasure 2 CRF</v>
      </c>
      <c r="C32" s="55"/>
      <c r="D32" s="465"/>
      <c r="E32" s="466"/>
      <c r="F32" s="466"/>
      <c r="G32" s="466"/>
      <c r="H32" s="466"/>
      <c r="J32" s="1"/>
      <c r="N32" s="160"/>
      <c r="O32" s="104"/>
      <c r="P32" s="104"/>
      <c r="Q32" s="104"/>
      <c r="R32" s="161"/>
      <c r="S32" s="161"/>
      <c r="T32" s="161"/>
      <c r="U32" s="161"/>
      <c r="V32" s="163"/>
      <c r="W32" s="163"/>
      <c r="X32" s="164"/>
      <c r="Y32" s="164"/>
      <c r="Z32" s="164"/>
      <c r="AA32" s="164"/>
      <c r="AB32" s="164"/>
      <c r="AC32" s="164"/>
      <c r="AD32" s="16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65"/>
      <c r="BE32" s="104"/>
      <c r="BF32" s="104"/>
      <c r="BG32" s="104"/>
      <c r="BH32" s="104"/>
      <c r="BI32" s="104"/>
      <c r="BJ32" s="104"/>
      <c r="BK32" s="104"/>
      <c r="BL32" s="104"/>
      <c r="BM32" s="104"/>
      <c r="BN32" s="104"/>
      <c r="BO32" s="104"/>
      <c r="BP32" s="104"/>
      <c r="BQ32" s="104"/>
      <c r="BR32" s="104"/>
      <c r="BS32" s="104"/>
      <c r="BT32" s="104"/>
      <c r="BU32" s="104"/>
      <c r="BV32" s="104"/>
      <c r="BW32" s="104"/>
      <c r="BX32" s="104"/>
      <c r="BY32" s="104"/>
      <c r="BZ32" s="104"/>
      <c r="CA32" s="104"/>
      <c r="CB32" s="104"/>
      <c r="CC32" s="104"/>
      <c r="CD32" s="104"/>
      <c r="CE32" s="104"/>
      <c r="CF32" s="104"/>
      <c r="CG32" s="104"/>
      <c r="CH32" s="104"/>
      <c r="CI32" s="104"/>
      <c r="CJ32" s="104"/>
      <c r="CK32" s="104"/>
      <c r="CL32" s="104"/>
      <c r="CM32" s="104"/>
      <c r="CN32" s="104"/>
      <c r="CO32" s="104"/>
      <c r="CP32" s="104"/>
      <c r="CQ32" s="104"/>
      <c r="CR32" s="104"/>
      <c r="CS32" s="104"/>
      <c r="CT32" s="104"/>
      <c r="CU32" s="104"/>
      <c r="CV32" s="104"/>
      <c r="CW32" s="104"/>
      <c r="CX32" s="104"/>
      <c r="CY32" s="104"/>
      <c r="CZ32" s="104"/>
      <c r="DA32" s="104"/>
      <c r="DB32" s="104"/>
      <c r="DC32" s="104"/>
      <c r="DD32" s="104"/>
      <c r="DE32" s="104"/>
      <c r="DF32" s="104"/>
      <c r="DG32" s="104"/>
      <c r="DH32" s="104"/>
      <c r="DI32" s="104"/>
      <c r="DJ32" s="104"/>
      <c r="DK32" s="104"/>
      <c r="DL32" s="104"/>
      <c r="DM32" s="104"/>
      <c r="DN32" s="104"/>
      <c r="DO32" s="104"/>
      <c r="DP32" s="104"/>
      <c r="DQ32" s="104"/>
      <c r="DR32" s="104"/>
      <c r="DS32" s="104"/>
      <c r="DT32" s="104"/>
      <c r="DU32" s="104"/>
      <c r="DV32" s="104"/>
      <c r="DW32" s="104"/>
      <c r="DX32" s="104"/>
      <c r="DY32" s="104"/>
      <c r="DZ32" s="104"/>
      <c r="EA32" s="104"/>
      <c r="EB32" s="104"/>
      <c r="EC32" s="104"/>
      <c r="ED32" s="104"/>
      <c r="EE32" s="104"/>
      <c r="EF32" s="104"/>
      <c r="EG32" s="104"/>
      <c r="EH32" s="104"/>
      <c r="EI32" s="104"/>
      <c r="EJ32" s="104"/>
      <c r="EK32" s="104"/>
      <c r="EL32" s="104"/>
      <c r="EM32" s="104"/>
      <c r="EN32" s="104"/>
      <c r="EO32" s="104"/>
      <c r="EP32" s="104"/>
      <c r="EQ32" s="104"/>
      <c r="ER32" s="104"/>
      <c r="ES32" s="104"/>
      <c r="ET32" s="104"/>
      <c r="EU32" s="104"/>
      <c r="EV32" s="104"/>
      <c r="EW32" s="104"/>
      <c r="EX32" s="104"/>
      <c r="EY32" s="104"/>
      <c r="EZ32" s="104"/>
      <c r="FA32" s="104"/>
      <c r="FB32" s="104"/>
      <c r="FC32" s="104"/>
      <c r="FD32" s="104"/>
      <c r="FE32" s="104"/>
      <c r="FF32" s="104"/>
      <c r="FG32" s="104"/>
      <c r="FH32" s="104"/>
      <c r="FI32" s="104"/>
      <c r="FJ32" s="104"/>
      <c r="FK32" s="104"/>
      <c r="FL32" s="104"/>
      <c r="FM32" s="104"/>
      <c r="FN32" s="104"/>
      <c r="FO32" s="104"/>
      <c r="FP32" s="104"/>
      <c r="FQ32" s="104"/>
      <c r="FR32" s="104"/>
      <c r="FS32" s="104"/>
      <c r="FT32" s="104"/>
      <c r="FU32" s="104"/>
      <c r="FV32" s="104"/>
      <c r="FW32" s="104"/>
      <c r="FX32" s="104"/>
      <c r="FY32" s="104"/>
      <c r="FZ32" s="104"/>
      <c r="GA32" s="104"/>
      <c r="GB32" s="104"/>
      <c r="GC32" s="104"/>
      <c r="GD32" s="104"/>
      <c r="GE32" s="104"/>
      <c r="GF32" s="104"/>
      <c r="GG32" s="104"/>
      <c r="GH32" s="104"/>
      <c r="GI32" s="104"/>
      <c r="GJ32" s="104"/>
      <c r="GK32" s="104"/>
      <c r="GL32" s="104"/>
      <c r="GM32" s="104"/>
      <c r="GN32" s="104"/>
      <c r="GO32" s="104"/>
      <c r="GP32" s="104"/>
      <c r="GQ32" s="104"/>
      <c r="GR32" s="104"/>
      <c r="GS32" s="104"/>
      <c r="GT32" s="104"/>
      <c r="GU32" s="104"/>
      <c r="GV32" s="104"/>
      <c r="GW32" s="104"/>
      <c r="GX32" s="104"/>
      <c r="GY32" s="104"/>
      <c r="GZ32" s="104"/>
      <c r="HA32" s="104"/>
      <c r="HB32" s="104"/>
      <c r="HC32" s="104"/>
      <c r="HD32" s="104"/>
      <c r="HE32" s="104"/>
      <c r="HF32" s="104"/>
      <c r="HG32" s="104"/>
      <c r="HH32" s="104"/>
      <c r="HI32" s="104"/>
      <c r="HJ32" s="104"/>
      <c r="HK32" s="104"/>
      <c r="HL32" s="104"/>
      <c r="HM32" s="104"/>
      <c r="HN32" s="104"/>
      <c r="HO32" s="104"/>
      <c r="HP32" s="104"/>
      <c r="HQ32" s="104"/>
      <c r="HR32" s="104"/>
      <c r="HS32" s="104"/>
      <c r="HT32" s="104"/>
      <c r="HU32" s="104"/>
      <c r="HV32" s="104"/>
      <c r="HW32" s="104"/>
      <c r="HX32" s="104"/>
      <c r="HY32" s="104"/>
      <c r="HZ32" s="104"/>
      <c r="IA32" s="104"/>
      <c r="IB32" s="104"/>
      <c r="IC32" s="104"/>
      <c r="ID32" s="104"/>
      <c r="IE32" s="104"/>
      <c r="IF32" s="104"/>
      <c r="IG32" s="104"/>
      <c r="IH32" s="104"/>
      <c r="II32" s="104"/>
      <c r="IJ32" s="104"/>
      <c r="IK32" s="104"/>
      <c r="IL32" s="104"/>
      <c r="IM32" s="104"/>
      <c r="IN32" s="104"/>
      <c r="IO32" s="104"/>
      <c r="IP32" s="104"/>
      <c r="IQ32" s="104"/>
      <c r="IR32" s="104"/>
      <c r="IS32" s="104"/>
      <c r="IT32" s="104"/>
      <c r="IU32" s="104"/>
      <c r="IV32" s="104"/>
      <c r="IW32" s="104"/>
      <c r="IX32" s="104"/>
      <c r="IY32" s="104"/>
      <c r="IZ32" s="104"/>
      <c r="JA32" s="104"/>
      <c r="JB32" s="104"/>
      <c r="JC32" s="104"/>
      <c r="JD32" s="104"/>
      <c r="JE32" s="104"/>
    </row>
    <row r="33" spans="1:265" ht="15.75" customHeight="1" thickBot="1" x14ac:dyDescent="0.3">
      <c r="A33" s="1"/>
      <c r="B33" s="56" t="s">
        <v>163</v>
      </c>
      <c r="C33" s="158"/>
      <c r="D33" s="465"/>
      <c r="E33" s="466"/>
      <c r="F33" s="466"/>
      <c r="G33" s="466"/>
      <c r="H33" s="466"/>
      <c r="J33" s="1"/>
      <c r="N33" s="160"/>
      <c r="O33" s="104"/>
      <c r="P33" s="104"/>
      <c r="Q33" s="104"/>
      <c r="R33" s="161"/>
      <c r="S33" s="161"/>
      <c r="T33" s="161"/>
      <c r="U33" s="161"/>
      <c r="V33" s="163"/>
      <c r="W33" s="163"/>
      <c r="X33" s="164"/>
      <c r="Y33" s="164"/>
      <c r="Z33" s="164"/>
      <c r="AA33" s="164"/>
      <c r="AB33" s="164"/>
      <c r="AC33" s="164"/>
      <c r="AD33" s="16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4"/>
      <c r="BZ33" s="104"/>
      <c r="CA33" s="104"/>
      <c r="CB33" s="104"/>
      <c r="CC33" s="104"/>
      <c r="CD33" s="104"/>
      <c r="CE33" s="104"/>
      <c r="CF33" s="104"/>
      <c r="CG33" s="104"/>
      <c r="CH33" s="104"/>
      <c r="CI33" s="104"/>
      <c r="CJ33" s="104"/>
      <c r="CK33" s="104"/>
      <c r="CL33" s="104"/>
      <c r="CM33" s="104"/>
      <c r="CN33" s="104"/>
      <c r="CO33" s="104"/>
      <c r="CP33" s="104"/>
      <c r="CQ33" s="104"/>
      <c r="CR33" s="104"/>
      <c r="CS33" s="104"/>
      <c r="CT33" s="104"/>
      <c r="CU33" s="104"/>
      <c r="CV33" s="104"/>
      <c r="CW33" s="104"/>
      <c r="CX33" s="104"/>
      <c r="CY33" s="104"/>
      <c r="CZ33" s="104"/>
      <c r="DA33" s="104"/>
      <c r="DB33" s="104"/>
      <c r="DC33" s="104"/>
      <c r="DD33" s="104"/>
      <c r="DE33" s="104"/>
      <c r="DF33" s="104"/>
      <c r="DG33" s="104"/>
      <c r="DH33" s="104"/>
      <c r="DI33" s="104"/>
      <c r="DJ33" s="104"/>
      <c r="DK33" s="104"/>
      <c r="DL33" s="104"/>
      <c r="DM33" s="104"/>
      <c r="DN33" s="104"/>
      <c r="DO33" s="104"/>
      <c r="DP33" s="104"/>
      <c r="DQ33" s="104"/>
      <c r="DR33" s="104"/>
      <c r="DS33" s="104"/>
      <c r="DT33" s="104"/>
      <c r="DU33" s="104"/>
      <c r="DV33" s="104"/>
      <c r="DW33" s="104"/>
      <c r="DX33" s="104"/>
      <c r="DY33" s="104"/>
      <c r="DZ33" s="104"/>
      <c r="EA33" s="104"/>
      <c r="EB33" s="104"/>
      <c r="EC33" s="104"/>
      <c r="ED33" s="104"/>
      <c r="EE33" s="104"/>
      <c r="EF33" s="104"/>
      <c r="EG33" s="104"/>
      <c r="EH33" s="104"/>
      <c r="EI33" s="104"/>
      <c r="EJ33" s="104"/>
      <c r="EK33" s="104"/>
      <c r="EL33" s="104"/>
      <c r="EM33" s="104"/>
      <c r="EN33" s="104"/>
      <c r="EO33" s="104"/>
      <c r="EP33" s="104"/>
      <c r="EQ33" s="104"/>
      <c r="ER33" s="104"/>
      <c r="ES33" s="104"/>
      <c r="ET33" s="104"/>
      <c r="EU33" s="104"/>
      <c r="EV33" s="104"/>
      <c r="EW33" s="104"/>
      <c r="EX33" s="104"/>
      <c r="EY33" s="104"/>
      <c r="EZ33" s="104"/>
      <c r="FA33" s="104"/>
      <c r="FB33" s="104"/>
      <c r="FC33" s="104"/>
      <c r="FD33" s="104"/>
      <c r="FE33" s="104"/>
      <c r="FF33" s="104"/>
      <c r="FG33" s="104"/>
      <c r="FH33" s="104"/>
      <c r="FI33" s="104"/>
      <c r="FJ33" s="104"/>
      <c r="FK33" s="104"/>
      <c r="FL33" s="104"/>
      <c r="FM33" s="104"/>
      <c r="FN33" s="104"/>
      <c r="FO33" s="104"/>
      <c r="FP33" s="104"/>
      <c r="FQ33" s="104"/>
      <c r="FR33" s="104"/>
      <c r="FS33" s="104"/>
      <c r="FT33" s="104"/>
      <c r="FU33" s="104"/>
      <c r="FV33" s="104"/>
      <c r="FW33" s="104"/>
      <c r="FX33" s="104"/>
      <c r="FY33" s="104"/>
      <c r="FZ33" s="104"/>
      <c r="GA33" s="104"/>
      <c r="GB33" s="104"/>
      <c r="GC33" s="104"/>
      <c r="GD33" s="104"/>
      <c r="GE33" s="104"/>
      <c r="GF33" s="104"/>
      <c r="GG33" s="104"/>
      <c r="GH33" s="104"/>
      <c r="GI33" s="104"/>
      <c r="GJ33" s="104"/>
      <c r="GK33" s="104"/>
      <c r="GL33" s="104"/>
      <c r="GM33" s="104"/>
      <c r="GN33" s="104"/>
      <c r="GO33" s="104"/>
      <c r="GP33" s="104"/>
      <c r="GQ33" s="104"/>
      <c r="GR33" s="104"/>
      <c r="GS33" s="104"/>
      <c r="GT33" s="104"/>
      <c r="GU33" s="104"/>
      <c r="GV33" s="104"/>
      <c r="GW33" s="104"/>
      <c r="GX33" s="104"/>
      <c r="GY33" s="104"/>
      <c r="GZ33" s="104"/>
      <c r="HA33" s="104"/>
      <c r="HB33" s="104"/>
      <c r="HC33" s="104"/>
      <c r="HD33" s="104"/>
      <c r="HE33" s="104"/>
      <c r="HF33" s="104"/>
      <c r="HG33" s="104"/>
      <c r="HH33" s="104"/>
      <c r="HI33" s="104"/>
      <c r="HJ33" s="104"/>
      <c r="HK33" s="104"/>
      <c r="HL33" s="104"/>
      <c r="HM33" s="104"/>
      <c r="HN33" s="104"/>
      <c r="HO33" s="104"/>
      <c r="HP33" s="104"/>
      <c r="HQ33" s="104"/>
      <c r="HR33" s="104"/>
      <c r="HS33" s="104"/>
      <c r="HT33" s="104"/>
      <c r="HU33" s="104"/>
      <c r="HV33" s="104"/>
      <c r="HW33" s="104"/>
      <c r="HX33" s="104"/>
      <c r="HY33" s="104"/>
      <c r="HZ33" s="104"/>
      <c r="IA33" s="104"/>
      <c r="IB33" s="104"/>
      <c r="IC33" s="104"/>
      <c r="ID33" s="104"/>
      <c r="IE33" s="104"/>
      <c r="IF33" s="104"/>
      <c r="IG33" s="104"/>
      <c r="IH33" s="104"/>
      <c r="II33" s="104"/>
      <c r="IJ33" s="104"/>
      <c r="IK33" s="104"/>
      <c r="IL33" s="104"/>
      <c r="IM33" s="104"/>
      <c r="IN33" s="104"/>
      <c r="IO33" s="104"/>
      <c r="IP33" s="104"/>
      <c r="IQ33" s="104"/>
      <c r="IR33" s="104"/>
      <c r="IS33" s="104"/>
      <c r="IT33" s="104"/>
      <c r="IU33" s="104"/>
      <c r="IV33" s="104"/>
      <c r="IW33" s="104"/>
      <c r="IX33" s="104"/>
      <c r="IY33" s="104"/>
      <c r="IZ33" s="104"/>
      <c r="JA33" s="104"/>
      <c r="JB33" s="104"/>
      <c r="JC33" s="104"/>
      <c r="JD33" s="104"/>
      <c r="JE33" s="104"/>
    </row>
    <row r="34" spans="1:265" ht="17.25" x14ac:dyDescent="0.25">
      <c r="A34" s="1"/>
      <c r="B34" s="52" t="str">
        <f>IF($C$26="Yes","Countermeasure 1 CRF",IF($C$27='Factor 3 Calculations'!A44,"Countermeasure 3 CRF (KABC) ",IF($C$27='Factor 3 Calculations'!A45,"Countermeasure 3 CRF (All Severities)","Countermeasure 3 CRF")))</f>
        <v>Countermeasure 3 CRF</v>
      </c>
      <c r="C34" s="55"/>
      <c r="D34" s="465"/>
      <c r="E34" s="466"/>
      <c r="F34" s="466"/>
      <c r="G34" s="466"/>
      <c r="H34" s="466"/>
      <c r="J34" s="1"/>
      <c r="N34" s="18"/>
      <c r="O34" s="104"/>
      <c r="P34" s="104"/>
      <c r="Q34" s="104"/>
      <c r="R34" s="167"/>
      <c r="S34" s="167"/>
      <c r="T34" s="168"/>
      <c r="U34" s="168"/>
      <c r="V34" s="168"/>
      <c r="W34" s="168"/>
      <c r="X34" s="164"/>
      <c r="Y34" s="164"/>
      <c r="Z34" s="164"/>
      <c r="AA34" s="164"/>
      <c r="AB34" s="164"/>
      <c r="AC34" s="164"/>
      <c r="AD34" s="164"/>
      <c r="AE34" s="104"/>
      <c r="AF34" s="104"/>
      <c r="AG34" s="104"/>
      <c r="AH34" s="104"/>
      <c r="AI34" s="104"/>
      <c r="AJ34" s="104"/>
      <c r="AK34" s="104"/>
      <c r="AL34" s="104"/>
      <c r="AM34" s="104"/>
      <c r="AN34" s="104"/>
      <c r="AO34" s="104"/>
      <c r="AP34" s="104"/>
      <c r="AQ34" s="104"/>
      <c r="AR34" s="104"/>
      <c r="AS34" s="104"/>
      <c r="AT34" s="104"/>
      <c r="AU34" s="104"/>
      <c r="AV34" s="104"/>
      <c r="AW34" s="104"/>
      <c r="AX34" s="104"/>
      <c r="AY34" s="104"/>
      <c r="AZ34" s="104"/>
      <c r="BA34" s="104"/>
      <c r="BB34" s="104"/>
      <c r="BC34" s="104"/>
      <c r="BD34" s="104"/>
      <c r="BE34" s="104"/>
      <c r="BF34" s="104"/>
      <c r="BG34" s="104"/>
      <c r="BH34" s="104"/>
      <c r="BI34" s="104"/>
      <c r="BJ34" s="104"/>
      <c r="BK34" s="104"/>
      <c r="BL34" s="104"/>
      <c r="BM34" s="104"/>
      <c r="BN34" s="104"/>
      <c r="BO34" s="104"/>
      <c r="BP34" s="104"/>
      <c r="BQ34" s="104"/>
      <c r="BR34" s="104"/>
      <c r="BS34" s="104"/>
      <c r="BT34" s="104"/>
      <c r="BU34" s="104"/>
      <c r="BV34" s="104"/>
      <c r="BW34" s="104"/>
      <c r="BX34" s="104"/>
      <c r="BY34" s="104"/>
      <c r="BZ34" s="104"/>
      <c r="CA34" s="104"/>
      <c r="CB34" s="104"/>
      <c r="CC34" s="104"/>
      <c r="CD34" s="104"/>
      <c r="CE34" s="104"/>
      <c r="CF34" s="104"/>
      <c r="CG34" s="104"/>
      <c r="CH34" s="104"/>
      <c r="CI34" s="104"/>
      <c r="CJ34" s="104"/>
      <c r="CK34" s="104"/>
      <c r="CL34" s="104"/>
      <c r="CM34" s="104"/>
      <c r="CN34" s="104"/>
      <c r="CO34" s="104"/>
      <c r="CP34" s="104"/>
      <c r="CQ34" s="104"/>
      <c r="CR34" s="104"/>
      <c r="CS34" s="104"/>
      <c r="CT34" s="104"/>
      <c r="CU34" s="104"/>
      <c r="CV34" s="104"/>
      <c r="CW34" s="104"/>
      <c r="CX34" s="104"/>
      <c r="CY34" s="104"/>
      <c r="CZ34" s="104"/>
      <c r="DA34" s="104"/>
      <c r="DB34" s="104"/>
      <c r="DC34" s="104"/>
      <c r="DD34" s="104"/>
      <c r="DE34" s="104"/>
      <c r="DF34" s="104"/>
      <c r="DG34" s="104"/>
      <c r="DH34" s="104"/>
      <c r="DI34" s="104"/>
      <c r="DJ34" s="104"/>
      <c r="DK34" s="104"/>
      <c r="DL34" s="104"/>
      <c r="DM34" s="104"/>
      <c r="DN34" s="104"/>
      <c r="DO34" s="104"/>
      <c r="DP34" s="104"/>
      <c r="DQ34" s="104"/>
      <c r="DR34" s="104"/>
      <c r="DS34" s="104"/>
      <c r="DT34" s="104"/>
      <c r="DU34" s="104"/>
      <c r="DV34" s="104"/>
      <c r="DW34" s="104"/>
      <c r="DX34" s="104"/>
      <c r="DY34" s="104"/>
      <c r="DZ34" s="104"/>
      <c r="EA34" s="104"/>
      <c r="EB34" s="104"/>
      <c r="EC34" s="104"/>
      <c r="ED34" s="104"/>
      <c r="EE34" s="104"/>
      <c r="EF34" s="104"/>
      <c r="EG34" s="104"/>
      <c r="EH34" s="104"/>
      <c r="EI34" s="104"/>
      <c r="EJ34" s="104"/>
      <c r="EK34" s="104"/>
      <c r="EL34" s="104"/>
      <c r="EM34" s="104"/>
      <c r="EN34" s="104"/>
      <c r="EO34" s="104"/>
      <c r="EP34" s="104"/>
      <c r="EQ34" s="104"/>
      <c r="ER34" s="104"/>
      <c r="ES34" s="104"/>
      <c r="ET34" s="104"/>
      <c r="EU34" s="104"/>
      <c r="EV34" s="104"/>
      <c r="EW34" s="104"/>
      <c r="EX34" s="104"/>
      <c r="EY34" s="104"/>
      <c r="EZ34" s="104"/>
      <c r="FA34" s="104"/>
      <c r="FB34" s="104"/>
      <c r="FC34" s="104"/>
      <c r="FD34" s="104"/>
      <c r="FE34" s="104"/>
      <c r="FF34" s="104"/>
      <c r="FG34" s="104"/>
      <c r="FH34" s="104"/>
      <c r="FI34" s="104"/>
      <c r="FJ34" s="104"/>
      <c r="FK34" s="104"/>
      <c r="FL34" s="104"/>
      <c r="FM34" s="104"/>
      <c r="FN34" s="104"/>
      <c r="FO34" s="104"/>
      <c r="FP34" s="104"/>
      <c r="FQ34" s="104"/>
      <c r="FR34" s="104"/>
      <c r="FS34" s="104"/>
      <c r="FT34" s="104"/>
      <c r="FU34" s="104"/>
      <c r="FV34" s="104"/>
      <c r="FW34" s="104"/>
      <c r="FX34" s="104"/>
      <c r="FY34" s="104"/>
      <c r="FZ34" s="104"/>
      <c r="GA34" s="104"/>
      <c r="GB34" s="104"/>
      <c r="GC34" s="104"/>
      <c r="GD34" s="104"/>
      <c r="GE34" s="104"/>
      <c r="GF34" s="104"/>
      <c r="GG34" s="104"/>
      <c r="GH34" s="104"/>
      <c r="GI34" s="104"/>
      <c r="GJ34" s="104"/>
      <c r="GK34" s="104"/>
      <c r="GL34" s="104"/>
      <c r="GM34" s="104"/>
      <c r="GN34" s="104"/>
      <c r="GO34" s="104"/>
      <c r="GP34" s="104"/>
      <c r="GQ34" s="104"/>
      <c r="GR34" s="104"/>
      <c r="GS34" s="104"/>
      <c r="GT34" s="104"/>
      <c r="GU34" s="104"/>
      <c r="GV34" s="104"/>
      <c r="GW34" s="104"/>
      <c r="GX34" s="104"/>
      <c r="GY34" s="104"/>
      <c r="GZ34" s="104"/>
      <c r="HA34" s="104"/>
      <c r="HB34" s="104"/>
      <c r="HC34" s="104"/>
      <c r="HD34" s="104"/>
      <c r="HE34" s="104"/>
      <c r="HF34" s="104"/>
      <c r="HG34" s="104"/>
      <c r="HH34" s="104"/>
      <c r="HI34" s="104"/>
      <c r="HJ34" s="104"/>
      <c r="HK34" s="104"/>
      <c r="HL34" s="104"/>
      <c r="HM34" s="104"/>
      <c r="HN34" s="104"/>
      <c r="HO34" s="104"/>
      <c r="HP34" s="104"/>
      <c r="HQ34" s="104"/>
      <c r="HR34" s="104"/>
      <c r="HS34" s="104"/>
      <c r="HT34" s="104"/>
      <c r="HU34" s="104"/>
      <c r="HV34" s="104"/>
      <c r="HW34" s="104"/>
      <c r="HX34" s="104"/>
      <c r="HY34" s="104"/>
      <c r="HZ34" s="104"/>
      <c r="IA34" s="104"/>
      <c r="IB34" s="104"/>
      <c r="IC34" s="104"/>
      <c r="ID34" s="104"/>
      <c r="IE34" s="104"/>
      <c r="IF34" s="104"/>
      <c r="IG34" s="104"/>
      <c r="IH34" s="104"/>
      <c r="II34" s="104"/>
      <c r="IJ34" s="104"/>
      <c r="IK34" s="104"/>
      <c r="IL34" s="104"/>
      <c r="IM34" s="104"/>
      <c r="IN34" s="104"/>
      <c r="IO34" s="104"/>
      <c r="IP34" s="104"/>
      <c r="IQ34" s="104"/>
      <c r="IR34" s="104"/>
      <c r="IS34" s="104"/>
      <c r="IT34" s="104"/>
      <c r="IU34" s="104"/>
      <c r="IV34" s="104"/>
      <c r="IW34" s="104"/>
      <c r="IX34" s="104"/>
      <c r="IY34" s="104"/>
      <c r="IZ34" s="104"/>
      <c r="JA34" s="104"/>
      <c r="JB34" s="104"/>
      <c r="JC34" s="104"/>
      <c r="JD34" s="104"/>
      <c r="JE34" s="104"/>
    </row>
    <row r="35" spans="1:265" ht="18" thickBot="1" x14ac:dyDescent="0.3">
      <c r="A35" s="1"/>
      <c r="B35" s="56" t="s">
        <v>164</v>
      </c>
      <c r="C35" s="158"/>
      <c r="D35" s="183"/>
      <c r="E35" s="183"/>
      <c r="F35" s="183"/>
      <c r="G35" s="184"/>
      <c r="J35" s="1"/>
      <c r="N35" s="18"/>
      <c r="O35" s="104"/>
      <c r="P35" s="104"/>
      <c r="Q35" s="104"/>
      <c r="R35" s="167"/>
      <c r="S35" s="167"/>
      <c r="T35" s="168"/>
      <c r="U35" s="168"/>
      <c r="V35" s="168"/>
      <c r="W35" s="168"/>
      <c r="X35" s="164"/>
      <c r="Y35" s="164"/>
      <c r="Z35" s="164"/>
      <c r="AA35" s="164"/>
      <c r="AB35" s="164"/>
      <c r="AC35" s="164"/>
      <c r="AD35" s="16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4"/>
      <c r="BR35" s="104"/>
      <c r="BS35" s="104"/>
      <c r="BT35" s="104"/>
      <c r="BU35" s="104"/>
      <c r="BV35" s="104"/>
      <c r="BW35" s="104"/>
      <c r="BX35" s="104"/>
      <c r="BY35" s="104"/>
      <c r="BZ35" s="104"/>
      <c r="CA35" s="104"/>
      <c r="CB35" s="104"/>
      <c r="CC35" s="104"/>
      <c r="CD35" s="104"/>
      <c r="CE35" s="104"/>
      <c r="CF35" s="104"/>
      <c r="CG35" s="104"/>
      <c r="CH35" s="104"/>
      <c r="CI35" s="104"/>
      <c r="CJ35" s="104"/>
      <c r="CK35" s="104"/>
      <c r="CL35" s="104"/>
      <c r="CM35" s="104"/>
      <c r="CN35" s="104"/>
      <c r="CO35" s="104"/>
      <c r="CP35" s="104"/>
      <c r="CQ35" s="104"/>
      <c r="CR35" s="104"/>
      <c r="CS35" s="104"/>
      <c r="CT35" s="104"/>
      <c r="CU35" s="104"/>
      <c r="CV35" s="104"/>
      <c r="CW35" s="104"/>
      <c r="CX35" s="104"/>
      <c r="CY35" s="104"/>
      <c r="CZ35" s="104"/>
      <c r="DA35" s="104"/>
      <c r="DB35" s="104"/>
      <c r="DC35" s="104"/>
      <c r="DD35" s="104"/>
      <c r="DE35" s="104"/>
      <c r="DF35" s="104"/>
      <c r="DG35" s="104"/>
      <c r="DH35" s="104"/>
      <c r="DI35" s="104"/>
      <c r="DJ35" s="104"/>
      <c r="DK35" s="104"/>
      <c r="DL35" s="104"/>
      <c r="DM35" s="104"/>
      <c r="DN35" s="104"/>
      <c r="DO35" s="104"/>
      <c r="DP35" s="104"/>
      <c r="DQ35" s="104"/>
      <c r="DR35" s="104"/>
      <c r="DS35" s="104"/>
      <c r="DT35" s="104"/>
      <c r="DU35" s="104"/>
      <c r="DV35" s="104"/>
      <c r="DW35" s="104"/>
      <c r="DX35" s="104"/>
      <c r="DY35" s="104"/>
      <c r="DZ35" s="104"/>
      <c r="EA35" s="104"/>
      <c r="EB35" s="104"/>
      <c r="EC35" s="104"/>
      <c r="ED35" s="104"/>
      <c r="EE35" s="104"/>
      <c r="EF35" s="104"/>
      <c r="EG35" s="104"/>
      <c r="EH35" s="104"/>
      <c r="EI35" s="104"/>
      <c r="EJ35" s="104"/>
      <c r="EK35" s="104"/>
      <c r="EL35" s="104"/>
      <c r="EM35" s="104"/>
      <c r="EN35" s="104"/>
      <c r="EO35" s="104"/>
      <c r="EP35" s="104"/>
      <c r="EQ35" s="104"/>
      <c r="ER35" s="104"/>
      <c r="ES35" s="104"/>
      <c r="ET35" s="104"/>
      <c r="EU35" s="104"/>
      <c r="EV35" s="104"/>
      <c r="EW35" s="104"/>
      <c r="EX35" s="104"/>
      <c r="EY35" s="104"/>
      <c r="EZ35" s="104"/>
      <c r="FA35" s="104"/>
      <c r="FB35" s="104"/>
      <c r="FC35" s="104"/>
      <c r="FD35" s="104"/>
      <c r="FE35" s="104"/>
      <c r="FF35" s="104"/>
      <c r="FG35" s="104"/>
      <c r="FH35" s="104"/>
      <c r="FI35" s="104"/>
      <c r="FJ35" s="104"/>
      <c r="FK35" s="104"/>
      <c r="FL35" s="104"/>
      <c r="FM35" s="104"/>
      <c r="FN35" s="104"/>
      <c r="FO35" s="104"/>
      <c r="FP35" s="104"/>
      <c r="FQ35" s="104"/>
      <c r="FR35" s="104"/>
      <c r="FS35" s="104"/>
      <c r="FT35" s="104"/>
      <c r="FU35" s="104"/>
      <c r="FV35" s="104"/>
      <c r="FW35" s="104"/>
      <c r="FX35" s="104"/>
      <c r="FY35" s="104"/>
      <c r="FZ35" s="104"/>
      <c r="GA35" s="104"/>
      <c r="GB35" s="104"/>
      <c r="GC35" s="104"/>
      <c r="GD35" s="104"/>
      <c r="GE35" s="104"/>
      <c r="GF35" s="104"/>
      <c r="GG35" s="104"/>
      <c r="GH35" s="104"/>
      <c r="GI35" s="104"/>
      <c r="GJ35" s="104"/>
      <c r="GK35" s="104"/>
      <c r="GL35" s="104"/>
      <c r="GM35" s="104"/>
      <c r="GN35" s="104"/>
      <c r="GO35" s="104"/>
      <c r="GP35" s="104"/>
      <c r="GQ35" s="104"/>
      <c r="GR35" s="104"/>
      <c r="GS35" s="104"/>
      <c r="GT35" s="104"/>
      <c r="GU35" s="104"/>
      <c r="GV35" s="104"/>
      <c r="GW35" s="104"/>
      <c r="GX35" s="104"/>
      <c r="GY35" s="104"/>
      <c r="GZ35" s="104"/>
      <c r="HA35" s="104"/>
      <c r="HB35" s="104"/>
      <c r="HC35" s="104"/>
      <c r="HD35" s="104"/>
      <c r="HE35" s="104"/>
      <c r="HF35" s="104"/>
      <c r="HG35" s="104"/>
      <c r="HH35" s="104"/>
      <c r="HI35" s="104"/>
      <c r="HJ35" s="104"/>
      <c r="HK35" s="104"/>
      <c r="HL35" s="104"/>
      <c r="HM35" s="104"/>
      <c r="HN35" s="104"/>
      <c r="HO35" s="104"/>
      <c r="HP35" s="104"/>
      <c r="HQ35" s="104"/>
      <c r="HR35" s="104"/>
      <c r="HS35" s="104"/>
      <c r="HT35" s="104"/>
      <c r="HU35" s="104"/>
      <c r="HV35" s="104"/>
      <c r="HW35" s="104"/>
      <c r="HX35" s="104"/>
      <c r="HY35" s="104"/>
      <c r="HZ35" s="104"/>
      <c r="IA35" s="104"/>
      <c r="IB35" s="104"/>
      <c r="IC35" s="104"/>
      <c r="ID35" s="104"/>
      <c r="IE35" s="104"/>
      <c r="IF35" s="104"/>
      <c r="IG35" s="104"/>
      <c r="IH35" s="104"/>
      <c r="II35" s="104"/>
      <c r="IJ35" s="104"/>
      <c r="IK35" s="104"/>
      <c r="IL35" s="104"/>
      <c r="IM35" s="104"/>
      <c r="IN35" s="104"/>
      <c r="IO35" s="104"/>
      <c r="IP35" s="104"/>
      <c r="IQ35" s="104"/>
      <c r="IR35" s="104"/>
      <c r="IS35" s="104"/>
      <c r="IT35" s="104"/>
      <c r="IU35" s="104"/>
      <c r="IV35" s="104"/>
      <c r="IW35" s="104"/>
      <c r="IX35" s="104"/>
      <c r="IY35" s="104"/>
      <c r="IZ35" s="104"/>
      <c r="JA35" s="104"/>
      <c r="JB35" s="104"/>
      <c r="JC35" s="104"/>
      <c r="JD35" s="104"/>
      <c r="JE35" s="104"/>
    </row>
    <row r="36" spans="1:265" ht="17.25" x14ac:dyDescent="0.25">
      <c r="A36" s="1"/>
      <c r="J36" s="1"/>
      <c r="N36" s="18"/>
      <c r="O36" s="104"/>
      <c r="P36" s="104"/>
      <c r="Q36" s="104"/>
      <c r="R36" s="104"/>
      <c r="S36" s="167"/>
      <c r="T36" s="168"/>
      <c r="U36" s="168"/>
      <c r="V36" s="168"/>
      <c r="W36" s="168"/>
      <c r="X36" s="164"/>
      <c r="Y36" s="164"/>
      <c r="Z36" s="164"/>
      <c r="AA36" s="164"/>
      <c r="AB36" s="164"/>
      <c r="AC36" s="164"/>
      <c r="AD36" s="164"/>
      <c r="AE36" s="104"/>
      <c r="AF36" s="104"/>
      <c r="AG36" s="104"/>
      <c r="AH36" s="104"/>
      <c r="AI36" s="104"/>
      <c r="AJ36" s="104"/>
      <c r="AK36" s="104"/>
      <c r="AL36" s="104"/>
      <c r="AM36" s="104"/>
      <c r="AN36" s="104"/>
      <c r="AO36" s="104"/>
      <c r="AP36" s="104"/>
      <c r="AQ36" s="104"/>
      <c r="AR36" s="104"/>
      <c r="AS36" s="104"/>
      <c r="AT36" s="104"/>
      <c r="AU36" s="104"/>
      <c r="AV36" s="104"/>
      <c r="AW36" s="104"/>
      <c r="AX36" s="104"/>
      <c r="AY36" s="104"/>
      <c r="AZ36" s="104"/>
      <c r="BA36" s="104"/>
      <c r="BB36" s="104"/>
      <c r="BC36" s="104"/>
      <c r="BD36" s="104"/>
      <c r="BE36" s="104"/>
      <c r="BF36" s="104"/>
      <c r="BG36" s="104"/>
      <c r="BH36" s="104"/>
      <c r="BI36" s="104"/>
      <c r="BJ36" s="104"/>
      <c r="BK36" s="104"/>
      <c r="BL36" s="104"/>
      <c r="BM36" s="104"/>
      <c r="BN36" s="104"/>
      <c r="BO36" s="104"/>
      <c r="BP36" s="104"/>
      <c r="BQ36" s="104"/>
      <c r="BR36" s="104"/>
      <c r="BS36" s="104"/>
      <c r="BT36" s="104"/>
      <c r="BU36" s="104"/>
      <c r="BV36" s="104"/>
      <c r="BW36" s="104"/>
      <c r="BX36" s="104"/>
      <c r="BY36" s="104"/>
      <c r="BZ36" s="104"/>
      <c r="CA36" s="104"/>
      <c r="CB36" s="104"/>
      <c r="CC36" s="104"/>
      <c r="CD36" s="104"/>
      <c r="CE36" s="104"/>
      <c r="CF36" s="104"/>
      <c r="CG36" s="104"/>
      <c r="CH36" s="104"/>
      <c r="CI36" s="104"/>
      <c r="CJ36" s="104"/>
      <c r="CK36" s="104"/>
      <c r="CL36" s="104"/>
      <c r="CM36" s="104"/>
      <c r="CN36" s="104"/>
      <c r="CO36" s="104"/>
      <c r="CP36" s="104"/>
      <c r="CQ36" s="104"/>
      <c r="CR36" s="104"/>
      <c r="CS36" s="104"/>
      <c r="CT36" s="104"/>
      <c r="CU36" s="104"/>
      <c r="CV36" s="104"/>
      <c r="CW36" s="104"/>
      <c r="CX36" s="104"/>
      <c r="CY36" s="104"/>
      <c r="CZ36" s="104"/>
      <c r="DA36" s="104"/>
      <c r="DB36" s="104"/>
      <c r="DC36" s="104"/>
      <c r="DD36" s="104"/>
      <c r="DE36" s="104"/>
      <c r="DF36" s="104"/>
      <c r="DG36" s="104"/>
      <c r="DH36" s="104"/>
      <c r="DI36" s="104"/>
      <c r="DJ36" s="104"/>
      <c r="DK36" s="104"/>
      <c r="DL36" s="104"/>
      <c r="DM36" s="104"/>
      <c r="DN36" s="104"/>
      <c r="DO36" s="104"/>
      <c r="DP36" s="104"/>
      <c r="DQ36" s="104"/>
      <c r="DR36" s="104"/>
      <c r="DS36" s="104"/>
      <c r="DT36" s="104"/>
      <c r="DU36" s="104"/>
      <c r="DV36" s="104"/>
      <c r="DW36" s="104"/>
      <c r="DX36" s="104"/>
      <c r="DY36" s="104"/>
      <c r="DZ36" s="104"/>
      <c r="EA36" s="104"/>
      <c r="EB36" s="104"/>
      <c r="EC36" s="104"/>
      <c r="ED36" s="104"/>
      <c r="EE36" s="104"/>
      <c r="EF36" s="104"/>
      <c r="EG36" s="104"/>
      <c r="EH36" s="104"/>
      <c r="EI36" s="104"/>
      <c r="EJ36" s="104"/>
      <c r="EK36" s="104"/>
      <c r="EL36" s="104"/>
      <c r="EM36" s="104"/>
      <c r="EN36" s="104"/>
      <c r="EO36" s="104"/>
      <c r="EP36" s="104"/>
      <c r="EQ36" s="104"/>
      <c r="ER36" s="104"/>
      <c r="ES36" s="104"/>
      <c r="ET36" s="104"/>
      <c r="EU36" s="104"/>
      <c r="EV36" s="104"/>
      <c r="EW36" s="104"/>
      <c r="EX36" s="104"/>
      <c r="EY36" s="104"/>
      <c r="EZ36" s="104"/>
      <c r="FA36" s="104"/>
      <c r="FB36" s="104"/>
      <c r="FC36" s="104"/>
      <c r="FD36" s="104"/>
      <c r="FE36" s="104"/>
      <c r="FF36" s="104"/>
      <c r="FG36" s="104"/>
      <c r="FH36" s="104"/>
      <c r="FI36" s="104"/>
      <c r="FJ36" s="104"/>
      <c r="FK36" s="104"/>
      <c r="FL36" s="104"/>
      <c r="FM36" s="104"/>
      <c r="FN36" s="104"/>
      <c r="FO36" s="104"/>
      <c r="FP36" s="104"/>
      <c r="FQ36" s="104"/>
      <c r="FR36" s="104"/>
      <c r="FS36" s="104"/>
      <c r="FT36" s="104"/>
      <c r="FU36" s="104"/>
      <c r="FV36" s="104"/>
      <c r="FW36" s="104"/>
      <c r="FX36" s="104"/>
      <c r="FY36" s="104"/>
      <c r="FZ36" s="104"/>
      <c r="GA36" s="104"/>
      <c r="GB36" s="104"/>
      <c r="GC36" s="104"/>
      <c r="GD36" s="104"/>
      <c r="GE36" s="104"/>
      <c r="GF36" s="104"/>
      <c r="GG36" s="104"/>
      <c r="GH36" s="104"/>
      <c r="GI36" s="104"/>
      <c r="GJ36" s="104"/>
      <c r="GK36" s="104"/>
      <c r="GL36" s="104"/>
      <c r="GM36" s="104"/>
      <c r="GN36" s="104"/>
      <c r="GO36" s="104"/>
      <c r="GP36" s="104"/>
      <c r="GQ36" s="104"/>
      <c r="GR36" s="104"/>
      <c r="GS36" s="104"/>
      <c r="GT36" s="104"/>
      <c r="GU36" s="104"/>
      <c r="GV36" s="104"/>
      <c r="GW36" s="104"/>
      <c r="GX36" s="104"/>
      <c r="GY36" s="104"/>
      <c r="GZ36" s="104"/>
      <c r="HA36" s="104"/>
      <c r="HB36" s="104"/>
      <c r="HC36" s="104"/>
      <c r="HD36" s="104"/>
      <c r="HE36" s="104"/>
      <c r="HF36" s="104"/>
      <c r="HG36" s="104"/>
      <c r="HH36" s="104"/>
      <c r="HI36" s="104"/>
      <c r="HJ36" s="104"/>
      <c r="HK36" s="104"/>
      <c r="HL36" s="104"/>
      <c r="HM36" s="104"/>
      <c r="HN36" s="104"/>
      <c r="HO36" s="104"/>
      <c r="HP36" s="104"/>
      <c r="HQ36" s="104"/>
      <c r="HR36" s="104"/>
      <c r="HS36" s="104"/>
      <c r="HT36" s="104"/>
      <c r="HU36" s="104"/>
      <c r="HV36" s="104"/>
      <c r="HW36" s="104"/>
      <c r="HX36" s="104"/>
      <c r="HY36" s="104"/>
      <c r="HZ36" s="104"/>
      <c r="IA36" s="104"/>
      <c r="IB36" s="104"/>
      <c r="IC36" s="104"/>
      <c r="ID36" s="104"/>
      <c r="IE36" s="104"/>
      <c r="IF36" s="104"/>
      <c r="IG36" s="104"/>
      <c r="IH36" s="104"/>
      <c r="II36" s="104"/>
      <c r="IJ36" s="104"/>
      <c r="IK36" s="104"/>
      <c r="IL36" s="104"/>
      <c r="IM36" s="104"/>
      <c r="IN36" s="104"/>
      <c r="IO36" s="104"/>
      <c r="IP36" s="104"/>
      <c r="IQ36" s="104"/>
      <c r="IR36" s="104"/>
      <c r="IS36" s="104"/>
      <c r="IT36" s="104"/>
      <c r="IU36" s="104"/>
      <c r="IV36" s="104"/>
      <c r="IW36" s="104"/>
      <c r="IX36" s="104"/>
      <c r="IY36" s="104"/>
      <c r="IZ36" s="104"/>
      <c r="JA36" s="104"/>
      <c r="JB36" s="104"/>
      <c r="JC36" s="104"/>
      <c r="JD36" s="104"/>
      <c r="JE36" s="104"/>
    </row>
    <row r="37" spans="1:265" ht="18" x14ac:dyDescent="0.25">
      <c r="J37" s="1"/>
      <c r="N37" s="20"/>
      <c r="O37" s="104"/>
      <c r="P37" s="104"/>
      <c r="Q37" s="104"/>
      <c r="R37" s="104"/>
      <c r="S37" s="104"/>
      <c r="T37" s="168"/>
      <c r="U37" s="168"/>
      <c r="V37" s="168"/>
      <c r="W37" s="168"/>
      <c r="X37" s="164"/>
      <c r="Y37" s="164"/>
      <c r="Z37" s="164"/>
      <c r="AA37" s="164"/>
      <c r="AB37" s="164"/>
      <c r="AC37" s="164"/>
      <c r="AD37" s="164"/>
      <c r="AE37" s="104"/>
      <c r="AF37" s="104"/>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c r="BI37" s="104"/>
      <c r="BJ37" s="104"/>
      <c r="BK37" s="104"/>
      <c r="BL37" s="104"/>
      <c r="BM37" s="104"/>
      <c r="BN37" s="104"/>
      <c r="BO37" s="104"/>
      <c r="BP37" s="104"/>
      <c r="BQ37" s="104"/>
      <c r="BR37" s="104"/>
      <c r="BS37" s="104"/>
      <c r="BT37" s="104"/>
      <c r="BU37" s="104"/>
      <c r="BV37" s="104"/>
      <c r="BW37" s="104"/>
      <c r="BX37" s="104"/>
      <c r="BY37" s="104"/>
      <c r="BZ37" s="104"/>
      <c r="CA37" s="104"/>
      <c r="CB37" s="104"/>
      <c r="CC37" s="104"/>
      <c r="CD37" s="104"/>
      <c r="CE37" s="104"/>
      <c r="CF37" s="104"/>
      <c r="CG37" s="104"/>
      <c r="CH37" s="104"/>
      <c r="CI37" s="104"/>
      <c r="CJ37" s="104"/>
      <c r="CK37" s="104"/>
      <c r="CL37" s="104"/>
      <c r="CM37" s="104"/>
      <c r="CN37" s="104"/>
      <c r="CO37" s="104"/>
      <c r="CP37" s="104"/>
      <c r="CQ37" s="104"/>
      <c r="CR37" s="104"/>
      <c r="CS37" s="104"/>
      <c r="CT37" s="104"/>
      <c r="CU37" s="104"/>
      <c r="CV37" s="104"/>
      <c r="CW37" s="104"/>
      <c r="CX37" s="104"/>
      <c r="CY37" s="104"/>
      <c r="CZ37" s="104"/>
      <c r="DA37" s="104"/>
      <c r="DB37" s="104"/>
      <c r="DC37" s="104"/>
      <c r="DD37" s="104"/>
      <c r="DE37" s="104"/>
      <c r="DF37" s="104"/>
      <c r="DG37" s="104"/>
      <c r="DH37" s="104"/>
      <c r="DI37" s="104"/>
      <c r="DJ37" s="104"/>
      <c r="DK37" s="104"/>
      <c r="DL37" s="104"/>
      <c r="DM37" s="104"/>
      <c r="DN37" s="104"/>
      <c r="DO37" s="104"/>
      <c r="DP37" s="104"/>
      <c r="DQ37" s="104"/>
      <c r="DR37" s="104"/>
      <c r="DS37" s="104"/>
      <c r="DT37" s="104"/>
      <c r="DU37" s="104"/>
      <c r="DV37" s="104"/>
      <c r="DW37" s="104"/>
      <c r="DX37" s="104"/>
      <c r="DY37" s="104"/>
      <c r="DZ37" s="104"/>
      <c r="EA37" s="104"/>
      <c r="EB37" s="104"/>
      <c r="EC37" s="104"/>
      <c r="ED37" s="104"/>
      <c r="EE37" s="104"/>
      <c r="EF37" s="104"/>
      <c r="EG37" s="104"/>
      <c r="EH37" s="104"/>
      <c r="EI37" s="104"/>
      <c r="EJ37" s="104"/>
      <c r="EK37" s="104"/>
      <c r="EL37" s="104"/>
      <c r="EM37" s="104"/>
      <c r="EN37" s="104"/>
      <c r="EO37" s="104"/>
      <c r="EP37" s="104"/>
      <c r="EQ37" s="104"/>
      <c r="ER37" s="104"/>
      <c r="ES37" s="104"/>
      <c r="ET37" s="104"/>
      <c r="EU37" s="104"/>
      <c r="EV37" s="104"/>
      <c r="EW37" s="104"/>
      <c r="EX37" s="104"/>
      <c r="EY37" s="104"/>
      <c r="EZ37" s="104"/>
      <c r="FA37" s="104"/>
      <c r="FB37" s="104"/>
      <c r="FC37" s="104"/>
      <c r="FD37" s="104"/>
      <c r="FE37" s="104"/>
      <c r="FF37" s="104"/>
      <c r="FG37" s="104"/>
      <c r="FH37" s="104"/>
      <c r="FI37" s="104"/>
      <c r="FJ37" s="104"/>
      <c r="FK37" s="104"/>
      <c r="FL37" s="104"/>
      <c r="FM37" s="104"/>
      <c r="FN37" s="104"/>
      <c r="FO37" s="104"/>
      <c r="FP37" s="104"/>
      <c r="FQ37" s="104"/>
      <c r="FR37" s="104"/>
      <c r="FS37" s="104"/>
      <c r="FT37" s="104"/>
      <c r="FU37" s="104"/>
      <c r="FV37" s="104"/>
      <c r="FW37" s="104"/>
      <c r="FX37" s="104"/>
      <c r="FY37" s="104"/>
      <c r="FZ37" s="104"/>
      <c r="GA37" s="104"/>
      <c r="GB37" s="104"/>
      <c r="GC37" s="104"/>
      <c r="GD37" s="104"/>
      <c r="GE37" s="104"/>
      <c r="GF37" s="104"/>
      <c r="GG37" s="104"/>
      <c r="GH37" s="104"/>
      <c r="GI37" s="104"/>
      <c r="GJ37" s="104"/>
      <c r="GK37" s="104"/>
      <c r="GL37" s="104"/>
      <c r="GM37" s="104"/>
      <c r="GN37" s="104"/>
      <c r="GO37" s="104"/>
      <c r="GP37" s="104"/>
      <c r="GQ37" s="104"/>
      <c r="GR37" s="104"/>
      <c r="GS37" s="104"/>
      <c r="GT37" s="104"/>
      <c r="GU37" s="104"/>
      <c r="GV37" s="104"/>
      <c r="GW37" s="104"/>
      <c r="GX37" s="104"/>
      <c r="GY37" s="104"/>
      <c r="GZ37" s="104"/>
      <c r="HA37" s="104"/>
      <c r="HB37" s="104"/>
      <c r="HC37" s="104"/>
      <c r="HD37" s="104"/>
      <c r="HE37" s="104"/>
      <c r="HF37" s="104"/>
      <c r="HG37" s="104"/>
      <c r="HH37" s="104"/>
      <c r="HI37" s="104"/>
      <c r="HJ37" s="104"/>
      <c r="HK37" s="104"/>
      <c r="HL37" s="104"/>
      <c r="HM37" s="104"/>
      <c r="HN37" s="104"/>
      <c r="HO37" s="104"/>
      <c r="HP37" s="104"/>
      <c r="HQ37" s="104"/>
      <c r="HR37" s="104"/>
      <c r="HS37" s="104"/>
      <c r="HT37" s="104"/>
      <c r="HU37" s="104"/>
      <c r="HV37" s="104"/>
      <c r="HW37" s="104"/>
      <c r="HX37" s="104"/>
      <c r="HY37" s="104"/>
      <c r="HZ37" s="104"/>
      <c r="IA37" s="104"/>
      <c r="IB37" s="104"/>
      <c r="IC37" s="104"/>
      <c r="ID37" s="104"/>
      <c r="IE37" s="104"/>
      <c r="IF37" s="104"/>
      <c r="IG37" s="104"/>
      <c r="IH37" s="104"/>
      <c r="II37" s="104"/>
      <c r="IJ37" s="104"/>
      <c r="IK37" s="104"/>
      <c r="IL37" s="104"/>
      <c r="IM37" s="104"/>
      <c r="IN37" s="104"/>
      <c r="IO37" s="104"/>
      <c r="IP37" s="104"/>
      <c r="IQ37" s="104"/>
      <c r="IR37" s="104"/>
      <c r="IS37" s="104"/>
      <c r="IT37" s="104"/>
      <c r="IU37" s="104"/>
      <c r="IV37" s="104"/>
      <c r="IW37" s="104"/>
      <c r="IX37" s="104"/>
      <c r="IY37" s="104"/>
      <c r="IZ37" s="104"/>
      <c r="JA37" s="104"/>
      <c r="JB37" s="104"/>
      <c r="JC37" s="104"/>
      <c r="JD37" s="104"/>
      <c r="JE37" s="104"/>
    </row>
    <row r="38" spans="1:265" ht="17.25" x14ac:dyDescent="0.25">
      <c r="J38" s="1"/>
      <c r="N38" s="18"/>
      <c r="O38" s="104"/>
      <c r="P38" s="104"/>
      <c r="Q38" s="104"/>
      <c r="R38" s="104"/>
      <c r="S38" s="104"/>
      <c r="T38" s="163"/>
      <c r="U38" s="163"/>
      <c r="V38" s="163"/>
      <c r="W38" s="163"/>
      <c r="X38" s="164"/>
      <c r="Y38" s="164"/>
      <c r="Z38" s="164"/>
      <c r="AA38" s="164"/>
      <c r="AB38" s="164"/>
      <c r="AC38" s="164"/>
      <c r="AD38" s="164"/>
      <c r="AE38" s="163"/>
      <c r="AF38" s="163"/>
      <c r="AG38" s="163"/>
      <c r="AH38" s="163"/>
      <c r="AI38" s="163"/>
      <c r="AJ38" s="163"/>
      <c r="AK38" s="163"/>
      <c r="AL38" s="104"/>
      <c r="AM38" s="104"/>
      <c r="AN38" s="104"/>
      <c r="AO38" s="104"/>
      <c r="AP38" s="104"/>
      <c r="AQ38" s="104"/>
      <c r="AR38" s="104"/>
      <c r="AS38" s="104"/>
      <c r="AT38" s="104"/>
      <c r="AU38" s="104"/>
      <c r="AV38" s="104"/>
      <c r="AW38" s="104"/>
      <c r="AX38" s="104"/>
      <c r="AY38" s="104"/>
      <c r="AZ38" s="104"/>
      <c r="BA38" s="104"/>
      <c r="BB38" s="104"/>
      <c r="BC38" s="104"/>
      <c r="BD38" s="104"/>
      <c r="BE38" s="104"/>
      <c r="BF38" s="104"/>
      <c r="BG38" s="104"/>
      <c r="BH38" s="104"/>
      <c r="BI38" s="104"/>
      <c r="BJ38" s="104"/>
      <c r="BK38" s="104"/>
      <c r="BL38" s="104"/>
      <c r="BM38" s="104"/>
      <c r="BN38" s="104"/>
      <c r="BO38" s="104"/>
      <c r="BP38" s="104"/>
      <c r="BQ38" s="104"/>
      <c r="BR38" s="104"/>
      <c r="BS38" s="104"/>
      <c r="BT38" s="104"/>
      <c r="BU38" s="104"/>
      <c r="BV38" s="104"/>
      <c r="BW38" s="104"/>
      <c r="BX38" s="104"/>
      <c r="BY38" s="104"/>
      <c r="BZ38" s="104"/>
      <c r="CA38" s="104"/>
      <c r="CB38" s="104"/>
      <c r="CC38" s="104"/>
      <c r="CD38" s="104"/>
      <c r="CE38" s="104"/>
      <c r="CF38" s="104"/>
      <c r="CG38" s="104"/>
      <c r="CH38" s="104"/>
      <c r="CI38" s="104"/>
      <c r="CJ38" s="104"/>
      <c r="CK38" s="104"/>
      <c r="CL38" s="104"/>
      <c r="CM38" s="104"/>
      <c r="CN38" s="104"/>
      <c r="CO38" s="104"/>
      <c r="CP38" s="104"/>
      <c r="CQ38" s="104"/>
      <c r="CR38" s="104"/>
      <c r="CS38" s="104"/>
      <c r="CT38" s="104"/>
      <c r="CU38" s="104"/>
      <c r="CV38" s="104"/>
      <c r="CW38" s="104"/>
      <c r="CX38" s="104"/>
      <c r="CY38" s="104"/>
      <c r="CZ38" s="104"/>
      <c r="DA38" s="104"/>
      <c r="DB38" s="104"/>
      <c r="DC38" s="104"/>
      <c r="DD38" s="104"/>
      <c r="DE38" s="104"/>
      <c r="DF38" s="104"/>
      <c r="DG38" s="104"/>
      <c r="DH38" s="104"/>
      <c r="DI38" s="104"/>
      <c r="DJ38" s="104"/>
      <c r="DK38" s="104"/>
      <c r="DL38" s="104"/>
      <c r="DM38" s="104"/>
      <c r="DN38" s="104"/>
      <c r="DO38" s="104"/>
      <c r="DP38" s="104"/>
      <c r="DQ38" s="104"/>
      <c r="DR38" s="104"/>
      <c r="DS38" s="104"/>
      <c r="DT38" s="104"/>
      <c r="DU38" s="104"/>
      <c r="DV38" s="104"/>
      <c r="DW38" s="104"/>
      <c r="DX38" s="104"/>
      <c r="DY38" s="104"/>
      <c r="DZ38" s="104"/>
      <c r="EA38" s="104"/>
      <c r="EB38" s="104"/>
      <c r="EC38" s="104"/>
      <c r="ED38" s="104"/>
      <c r="EE38" s="104"/>
      <c r="EF38" s="104"/>
      <c r="EG38" s="104"/>
      <c r="EH38" s="104"/>
      <c r="EI38" s="104"/>
      <c r="EJ38" s="104"/>
      <c r="EK38" s="104"/>
      <c r="EL38" s="104"/>
      <c r="EM38" s="104"/>
      <c r="EN38" s="104"/>
      <c r="EO38" s="104"/>
      <c r="EP38" s="104"/>
      <c r="EQ38" s="104"/>
      <c r="ER38" s="104"/>
      <c r="ES38" s="104"/>
      <c r="ET38" s="104"/>
      <c r="EU38" s="104"/>
      <c r="EV38" s="104"/>
      <c r="EW38" s="104"/>
      <c r="EX38" s="104"/>
      <c r="EY38" s="104"/>
      <c r="EZ38" s="104"/>
      <c r="FA38" s="104"/>
      <c r="FB38" s="104"/>
      <c r="FC38" s="104"/>
      <c r="FD38" s="104"/>
      <c r="FE38" s="104"/>
      <c r="FF38" s="104"/>
      <c r="FG38" s="104"/>
      <c r="FH38" s="104"/>
      <c r="FI38" s="104"/>
      <c r="FJ38" s="104"/>
      <c r="FK38" s="104"/>
      <c r="FL38" s="104"/>
      <c r="FM38" s="104"/>
      <c r="FN38" s="104"/>
      <c r="FO38" s="104"/>
      <c r="FP38" s="104"/>
      <c r="FQ38" s="104"/>
      <c r="FR38" s="104"/>
      <c r="FS38" s="104"/>
      <c r="FT38" s="104"/>
      <c r="FU38" s="104"/>
      <c r="FV38" s="104"/>
      <c r="FW38" s="104"/>
      <c r="FX38" s="104"/>
      <c r="FY38" s="104"/>
      <c r="FZ38" s="104"/>
      <c r="GA38" s="104"/>
      <c r="GB38" s="104"/>
      <c r="GC38" s="104"/>
      <c r="GD38" s="104"/>
      <c r="GE38" s="104"/>
      <c r="GF38" s="104"/>
      <c r="GG38" s="104"/>
      <c r="GH38" s="104"/>
      <c r="GI38" s="104"/>
      <c r="GJ38" s="104"/>
      <c r="GK38" s="104"/>
      <c r="GL38" s="104"/>
      <c r="GM38" s="104"/>
      <c r="GN38" s="104"/>
      <c r="GO38" s="104"/>
      <c r="GP38" s="104"/>
      <c r="GQ38" s="104"/>
      <c r="GR38" s="104"/>
      <c r="GS38" s="104"/>
      <c r="GT38" s="104"/>
      <c r="GU38" s="104"/>
      <c r="GV38" s="104"/>
      <c r="GW38" s="104"/>
      <c r="GX38" s="104"/>
      <c r="GY38" s="104"/>
      <c r="GZ38" s="104"/>
      <c r="HA38" s="104"/>
      <c r="HB38" s="104"/>
      <c r="HC38" s="104"/>
      <c r="HD38" s="104"/>
      <c r="HE38" s="104"/>
      <c r="HF38" s="104"/>
      <c r="HG38" s="104"/>
      <c r="HH38" s="104"/>
      <c r="HI38" s="104"/>
      <c r="HJ38" s="104"/>
      <c r="HK38" s="104"/>
      <c r="HL38" s="104"/>
      <c r="HM38" s="104"/>
      <c r="HN38" s="104"/>
      <c r="HO38" s="104"/>
      <c r="HP38" s="104"/>
      <c r="HQ38" s="104"/>
      <c r="HR38" s="104"/>
      <c r="HS38" s="104"/>
      <c r="HT38" s="104"/>
      <c r="HU38" s="104"/>
      <c r="HV38" s="104"/>
      <c r="HW38" s="104"/>
      <c r="HX38" s="104"/>
      <c r="HY38" s="104"/>
      <c r="HZ38" s="104"/>
      <c r="IA38" s="104"/>
      <c r="IB38" s="104"/>
      <c r="IC38" s="104"/>
      <c r="ID38" s="104"/>
      <c r="IE38" s="104"/>
      <c r="IF38" s="104"/>
      <c r="IG38" s="104"/>
      <c r="IH38" s="104"/>
      <c r="II38" s="104"/>
      <c r="IJ38" s="104"/>
      <c r="IK38" s="104"/>
      <c r="IL38" s="104"/>
      <c r="IM38" s="104"/>
      <c r="IN38" s="104"/>
      <c r="IO38" s="104"/>
      <c r="IP38" s="104"/>
      <c r="IQ38" s="104"/>
      <c r="IR38" s="104"/>
      <c r="IS38" s="104"/>
      <c r="IT38" s="104"/>
      <c r="IU38" s="104"/>
      <c r="IV38" s="104"/>
      <c r="IW38" s="104"/>
      <c r="IX38" s="104"/>
      <c r="IY38" s="104"/>
      <c r="IZ38" s="104"/>
      <c r="JA38" s="104"/>
      <c r="JB38" s="104"/>
      <c r="JC38" s="104"/>
      <c r="JD38" s="104"/>
      <c r="JE38" s="104"/>
    </row>
    <row r="39" spans="1:265" ht="17.25" x14ac:dyDescent="0.25">
      <c r="J39" s="1"/>
      <c r="N39" s="18"/>
      <c r="O39" s="104"/>
      <c r="P39" s="104"/>
      <c r="Q39" s="104"/>
      <c r="R39" s="104"/>
      <c r="S39" s="104"/>
      <c r="T39" s="163"/>
      <c r="U39" s="163"/>
      <c r="V39" s="163"/>
      <c r="W39" s="163"/>
      <c r="X39" s="164"/>
      <c r="Y39" s="164"/>
      <c r="Z39" s="164"/>
      <c r="AA39" s="164"/>
      <c r="AB39" s="164"/>
      <c r="AC39" s="164"/>
      <c r="AD39" s="164"/>
      <c r="AE39" s="163"/>
      <c r="AF39" s="163"/>
      <c r="AG39" s="163"/>
      <c r="AH39" s="163"/>
      <c r="AI39" s="163"/>
      <c r="AJ39" s="163"/>
      <c r="AK39" s="163"/>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I39" s="104"/>
      <c r="BJ39" s="104"/>
      <c r="BK39" s="104"/>
      <c r="BL39" s="104"/>
      <c r="BM39" s="104"/>
      <c r="BN39" s="104"/>
      <c r="BO39" s="104"/>
      <c r="BP39" s="104"/>
      <c r="BQ39" s="104"/>
      <c r="BR39" s="104"/>
      <c r="BS39" s="104"/>
      <c r="BT39" s="104"/>
      <c r="BU39" s="104"/>
      <c r="BV39" s="104"/>
      <c r="BW39" s="104"/>
      <c r="BX39" s="104"/>
      <c r="BY39" s="104"/>
      <c r="BZ39" s="104"/>
      <c r="CA39" s="104"/>
      <c r="CB39" s="104"/>
      <c r="CC39" s="104"/>
      <c r="CD39" s="104"/>
      <c r="CE39" s="104"/>
      <c r="CF39" s="104"/>
      <c r="CG39" s="104"/>
      <c r="CH39" s="104"/>
      <c r="CI39" s="104"/>
      <c r="CJ39" s="104"/>
      <c r="CK39" s="104"/>
      <c r="CL39" s="104"/>
      <c r="CM39" s="104"/>
      <c r="CN39" s="104"/>
      <c r="CO39" s="104"/>
      <c r="CP39" s="104"/>
      <c r="CQ39" s="104"/>
      <c r="CR39" s="104"/>
      <c r="CS39" s="104"/>
      <c r="CT39" s="104"/>
      <c r="CU39" s="104"/>
      <c r="CV39" s="104"/>
      <c r="CW39" s="104"/>
      <c r="CX39" s="104"/>
      <c r="CY39" s="104"/>
      <c r="CZ39" s="104"/>
      <c r="DA39" s="104"/>
      <c r="DB39" s="104"/>
      <c r="DC39" s="104"/>
      <c r="DD39" s="104"/>
      <c r="DE39" s="104"/>
      <c r="DF39" s="104"/>
      <c r="DG39" s="104"/>
      <c r="DH39" s="104"/>
      <c r="DI39" s="104"/>
      <c r="DJ39" s="104"/>
      <c r="DK39" s="104"/>
      <c r="DL39" s="104"/>
      <c r="DM39" s="104"/>
      <c r="DN39" s="104"/>
      <c r="DO39" s="104"/>
      <c r="DP39" s="104"/>
      <c r="DQ39" s="104"/>
      <c r="DR39" s="104"/>
      <c r="DS39" s="104"/>
      <c r="DT39" s="104"/>
      <c r="DU39" s="104"/>
      <c r="DV39" s="104"/>
      <c r="DW39" s="104"/>
      <c r="DX39" s="104"/>
      <c r="DY39" s="104"/>
      <c r="DZ39" s="104"/>
      <c r="EA39" s="104"/>
      <c r="EB39" s="104"/>
      <c r="EC39" s="104"/>
      <c r="ED39" s="104"/>
      <c r="EE39" s="104"/>
      <c r="EF39" s="104"/>
      <c r="EG39" s="104"/>
      <c r="EH39" s="104"/>
      <c r="EI39" s="104"/>
      <c r="EJ39" s="104"/>
      <c r="EK39" s="104"/>
      <c r="EL39" s="104"/>
      <c r="EM39" s="104"/>
      <c r="EN39" s="104"/>
      <c r="EO39" s="104"/>
      <c r="EP39" s="104"/>
      <c r="EQ39" s="104"/>
      <c r="ER39" s="104"/>
      <c r="ES39" s="104"/>
      <c r="ET39" s="104"/>
      <c r="EU39" s="104"/>
      <c r="EV39" s="104"/>
      <c r="EW39" s="104"/>
      <c r="EX39" s="104"/>
      <c r="EY39" s="104"/>
      <c r="EZ39" s="104"/>
      <c r="FA39" s="104"/>
      <c r="FB39" s="104"/>
      <c r="FC39" s="104"/>
      <c r="FD39" s="104"/>
      <c r="FE39" s="104"/>
      <c r="FF39" s="104"/>
      <c r="FG39" s="104"/>
      <c r="FH39" s="104"/>
      <c r="FI39" s="104"/>
      <c r="FJ39" s="104"/>
      <c r="FK39" s="104"/>
      <c r="FL39" s="104"/>
      <c r="FM39" s="104"/>
      <c r="FN39" s="104"/>
      <c r="FO39" s="104"/>
      <c r="FP39" s="104"/>
      <c r="FQ39" s="104"/>
      <c r="FR39" s="104"/>
      <c r="FS39" s="104"/>
      <c r="FT39" s="104"/>
      <c r="FU39" s="104"/>
      <c r="FV39" s="104"/>
      <c r="FW39" s="104"/>
      <c r="FX39" s="104"/>
      <c r="FY39" s="104"/>
      <c r="FZ39" s="104"/>
      <c r="GA39" s="104"/>
      <c r="GB39" s="104"/>
      <c r="GC39" s="104"/>
      <c r="GD39" s="104"/>
      <c r="GE39" s="104"/>
      <c r="GF39" s="104"/>
      <c r="GG39" s="104"/>
      <c r="GH39" s="104"/>
      <c r="GI39" s="104"/>
      <c r="GJ39" s="104"/>
      <c r="GK39" s="104"/>
      <c r="GL39" s="104"/>
      <c r="GM39" s="104"/>
      <c r="GN39" s="104"/>
      <c r="GO39" s="104"/>
      <c r="GP39" s="104"/>
      <c r="GQ39" s="104"/>
      <c r="GR39" s="104"/>
      <c r="GS39" s="104"/>
      <c r="GT39" s="104"/>
      <c r="GU39" s="104"/>
      <c r="GV39" s="104"/>
      <c r="GW39" s="104"/>
      <c r="GX39" s="104"/>
      <c r="GY39" s="104"/>
      <c r="GZ39" s="104"/>
      <c r="HA39" s="104"/>
      <c r="HB39" s="104"/>
      <c r="HC39" s="104"/>
      <c r="HD39" s="104"/>
      <c r="HE39" s="104"/>
      <c r="HF39" s="104"/>
      <c r="HG39" s="104"/>
      <c r="HH39" s="104"/>
      <c r="HI39" s="104"/>
      <c r="HJ39" s="104"/>
      <c r="HK39" s="104"/>
      <c r="HL39" s="104"/>
      <c r="HM39" s="104"/>
      <c r="HN39" s="104"/>
      <c r="HO39" s="104"/>
      <c r="HP39" s="104"/>
      <c r="HQ39" s="104"/>
      <c r="HR39" s="104"/>
      <c r="HS39" s="104"/>
      <c r="HT39" s="104"/>
      <c r="HU39" s="104"/>
      <c r="HV39" s="104"/>
      <c r="HW39" s="104"/>
      <c r="HX39" s="104"/>
      <c r="HY39" s="104"/>
      <c r="HZ39" s="104"/>
      <c r="IA39" s="104"/>
      <c r="IB39" s="104"/>
      <c r="IC39" s="104"/>
      <c r="ID39" s="104"/>
      <c r="IE39" s="104"/>
      <c r="IF39" s="104"/>
      <c r="IG39" s="104"/>
      <c r="IH39" s="104"/>
      <c r="II39" s="104"/>
      <c r="IJ39" s="104"/>
      <c r="IK39" s="104"/>
      <c r="IL39" s="104"/>
      <c r="IM39" s="104"/>
      <c r="IN39" s="104"/>
      <c r="IO39" s="104"/>
      <c r="IP39" s="104"/>
      <c r="IQ39" s="104"/>
      <c r="IR39" s="104"/>
      <c r="IS39" s="104"/>
      <c r="IT39" s="104"/>
      <c r="IU39" s="104"/>
      <c r="IV39" s="104"/>
      <c r="IW39" s="104"/>
      <c r="IX39" s="104"/>
      <c r="IY39" s="104"/>
      <c r="IZ39" s="104"/>
      <c r="JA39" s="104"/>
      <c r="JB39" s="104"/>
      <c r="JC39" s="104"/>
      <c r="JD39" s="104"/>
      <c r="JE39" s="104"/>
    </row>
    <row r="40" spans="1:265" ht="15" customHeight="1" x14ac:dyDescent="0.25">
      <c r="B40" s="224"/>
      <c r="C40" s="224"/>
      <c r="O40" s="169"/>
      <c r="P40" s="104"/>
      <c r="Q40" s="104"/>
      <c r="R40" s="104"/>
      <c r="S40" s="104"/>
      <c r="T40" s="163"/>
      <c r="U40" s="163"/>
      <c r="V40" s="163"/>
      <c r="W40" s="163"/>
      <c r="X40" s="163"/>
      <c r="Y40" s="163"/>
      <c r="Z40" s="163"/>
      <c r="AA40" s="104"/>
      <c r="AB40" s="104"/>
      <c r="AC40" s="104"/>
      <c r="AD40" s="104"/>
      <c r="AE40" s="104"/>
      <c r="AF40" s="104"/>
      <c r="AG40" s="104"/>
      <c r="AH40" s="104"/>
      <c r="AI40" s="104"/>
      <c r="AJ40" s="104"/>
      <c r="AK40" s="104"/>
      <c r="AL40" s="104"/>
      <c r="AM40" s="104"/>
      <c r="AN40" s="170"/>
      <c r="AO40" s="171"/>
      <c r="AP40" s="172"/>
      <c r="AQ40" s="172"/>
      <c r="AR40" s="172"/>
      <c r="AS40" s="172"/>
      <c r="AT40" s="172"/>
      <c r="AU40" s="172"/>
      <c r="AV40" s="172"/>
      <c r="AW40" s="172"/>
      <c r="AX40" s="172"/>
      <c r="AY40" s="172"/>
      <c r="AZ40" s="172"/>
      <c r="BA40" s="172"/>
      <c r="BB40" s="172"/>
      <c r="BC40" s="172"/>
      <c r="BD40" s="172"/>
      <c r="BE40" s="172"/>
      <c r="BF40" s="172"/>
      <c r="BG40" s="172"/>
      <c r="BH40" s="172" t="e">
        <f>IF(#REF!=$C$54+1,0,BG40*(1+($C$55/100)))</f>
        <v>#REF!</v>
      </c>
      <c r="BI40" s="172" t="e">
        <f>IF(#REF!=$C$54+1,0,BH40*(1+($C$55/100)))</f>
        <v>#REF!</v>
      </c>
      <c r="BJ40" s="172" t="e">
        <f>IF(#REF!=$C$54+1,0,BI40*(1+($C$55/100)))</f>
        <v>#REF!</v>
      </c>
      <c r="BK40" s="172" t="e">
        <f>IF(#REF!=$C$54+1,0,BJ40*(1+($C$55/100)))</f>
        <v>#REF!</v>
      </c>
      <c r="BL40" s="172" t="e">
        <f>IF(#REF!=$C$54+1,0,BK40*(1+($C$55/100)))</f>
        <v>#REF!</v>
      </c>
      <c r="BM40" s="172" t="e">
        <f>IF(#REF!=$C$54+1,0,BL40*(1+($C$55/100)))</f>
        <v>#REF!</v>
      </c>
      <c r="BN40" s="172" t="e">
        <f>IF(#REF!=$C$54+1,0,BM40*(1+($C$55/100)))</f>
        <v>#REF!</v>
      </c>
      <c r="BO40" s="172" t="e">
        <f>IF(#REF!=$C$54+1,0,BN40*(1+($C$55/100)))</f>
        <v>#REF!</v>
      </c>
      <c r="BP40" s="172" t="e">
        <f>IF(#REF!=$C$54+1,0,BO40*(1+($C$55/100)))</f>
        <v>#REF!</v>
      </c>
      <c r="BQ40" s="172" t="e">
        <f>IF(#REF!=$C$54+1,0,BP40*(1+($C$55/100)))</f>
        <v>#REF!</v>
      </c>
      <c r="BR40" s="172" t="e">
        <f>IF(#REF!=$C$54+1,0,BQ40*(1+($C$55/100)))</f>
        <v>#REF!</v>
      </c>
      <c r="BS40" s="172" t="e">
        <f>IF(#REF!=$C$54+1,0,BR40*(1+($C$55/100)))</f>
        <v>#REF!</v>
      </c>
      <c r="BT40" s="172" t="e">
        <f>IF(#REF!=$C$54+1,0,BS40*(1+($C$55/100)))</f>
        <v>#REF!</v>
      </c>
      <c r="BU40" s="172" t="e">
        <f>IF(#REF!=$C$54+1,0,BT40*(1+($C$55/100)))</f>
        <v>#REF!</v>
      </c>
      <c r="BV40" s="172" t="e">
        <f>IF(#REF!=$C$54+1,0,BU40*(1+($C$55/100)))</f>
        <v>#REF!</v>
      </c>
      <c r="BW40" s="172" t="e">
        <f>IF(#REF!=$C$54+1,0,BV40*(1+($C$55/100)))</f>
        <v>#REF!</v>
      </c>
      <c r="BX40" s="172" t="e">
        <f>IF(#REF!=$C$54+1,0,BW40*(1+($C$55/100)))</f>
        <v>#REF!</v>
      </c>
      <c r="BY40" s="172" t="e">
        <f>IF(#REF!=$C$54+1,0,BX40*(1+($C$55/100)))</f>
        <v>#REF!</v>
      </c>
      <c r="BZ40" s="172" t="e">
        <f>IF(#REF!=$C$54+1,0,BY40*(1+($C$55/100)))</f>
        <v>#REF!</v>
      </c>
      <c r="CA40" s="172" t="e">
        <f>IF(#REF!=$C$54+1,0,BZ40*(1+($C$55/100)))</f>
        <v>#REF!</v>
      </c>
      <c r="CB40" s="172" t="e">
        <f>IF(#REF!=$C$54+1,0,CA40*(1+($C$55/100)))</f>
        <v>#REF!</v>
      </c>
      <c r="CC40" s="172" t="e">
        <f>IF(#REF!=$C$54+1,0,CB40*(1+($C$55/100)))</f>
        <v>#REF!</v>
      </c>
      <c r="CD40" s="172" t="e">
        <f>IF(#REF!=$C$54+1,0,CC40*(1+($C$55/100)))</f>
        <v>#REF!</v>
      </c>
      <c r="CE40" s="172" t="e">
        <f>IF(#REF!=$C$54+1,0,CD40*(1+($C$55/100)))</f>
        <v>#REF!</v>
      </c>
      <c r="CF40" s="172" t="e">
        <f>IF(#REF!=$C$54+1,0,CE40*(1+($C$55/100)))</f>
        <v>#REF!</v>
      </c>
      <c r="CG40" s="172" t="e">
        <f>IF(#REF!=$C$54+1,0,CF40*(1+($C$55/100)))</f>
        <v>#REF!</v>
      </c>
      <c r="CH40" s="172" t="e">
        <f>IF(#REF!=$C$54+1,0,CG40*(1+($C$55/100)))</f>
        <v>#REF!</v>
      </c>
      <c r="CI40" s="172" t="e">
        <f>IF(#REF!=$C$54+1,0,CH40*(1+($C$55/100)))</f>
        <v>#REF!</v>
      </c>
      <c r="CJ40" s="172" t="e">
        <f>IF(#REF!=$C$54+1,0,CI40*(1+($C$55/100)))</f>
        <v>#REF!</v>
      </c>
      <c r="CK40" s="172" t="e">
        <f>IF(#REF!=$C$54+1,0,CJ40*(1+($C$55/100)))</f>
        <v>#REF!</v>
      </c>
      <c r="CL40" s="172" t="e">
        <f>IF(#REF!=$C$54+1,0,CK40*(1+($C$55/100)))</f>
        <v>#REF!</v>
      </c>
      <c r="CM40" s="172" t="e">
        <f>IF(#REF!=$C$54+1,0,CL40*(1+($C$55/100)))</f>
        <v>#REF!</v>
      </c>
      <c r="CN40" s="104"/>
      <c r="CO40" s="104"/>
      <c r="CP40" s="104"/>
      <c r="CQ40" s="104"/>
      <c r="CR40" s="104"/>
      <c r="CS40" s="104"/>
      <c r="CT40" s="104"/>
      <c r="CU40" s="104"/>
      <c r="CV40" s="104"/>
      <c r="CW40" s="104"/>
      <c r="CX40" s="104"/>
      <c r="CY40" s="104"/>
      <c r="CZ40" s="104"/>
      <c r="DA40" s="104"/>
      <c r="DB40" s="104"/>
      <c r="DC40" s="104"/>
      <c r="DD40" s="104"/>
      <c r="DE40" s="104"/>
      <c r="DF40" s="104"/>
      <c r="DG40" s="104"/>
      <c r="DH40" s="104"/>
      <c r="DI40" s="104"/>
      <c r="DJ40" s="104"/>
      <c r="DK40" s="104"/>
      <c r="DL40" s="104"/>
      <c r="DM40" s="104"/>
      <c r="DN40" s="104"/>
      <c r="DO40" s="104"/>
      <c r="DP40" s="104"/>
      <c r="DQ40" s="104"/>
      <c r="DR40" s="104"/>
      <c r="DS40" s="104"/>
      <c r="DT40" s="104"/>
      <c r="DU40" s="104"/>
      <c r="DV40" s="104"/>
      <c r="DW40" s="104"/>
      <c r="DX40" s="104"/>
      <c r="DY40" s="104"/>
      <c r="DZ40" s="104"/>
      <c r="EA40" s="104"/>
      <c r="EB40" s="104"/>
      <c r="EC40" s="104"/>
      <c r="ED40" s="104"/>
      <c r="EE40" s="104"/>
      <c r="EF40" s="104"/>
      <c r="EG40" s="104"/>
      <c r="EH40" s="104"/>
      <c r="EI40" s="104"/>
      <c r="EJ40" s="104"/>
      <c r="EK40" s="104"/>
      <c r="EL40" s="104"/>
      <c r="EM40" s="104"/>
      <c r="EN40" s="104"/>
      <c r="EO40" s="104"/>
      <c r="EP40" s="104"/>
      <c r="EQ40" s="104"/>
      <c r="ER40" s="104"/>
      <c r="ES40" s="104"/>
      <c r="ET40" s="104"/>
      <c r="EU40" s="104"/>
      <c r="EV40" s="104"/>
      <c r="EW40" s="104"/>
      <c r="EX40" s="104"/>
      <c r="EY40" s="104"/>
      <c r="EZ40" s="104"/>
      <c r="FA40" s="104"/>
      <c r="FB40" s="104"/>
      <c r="FC40" s="104"/>
      <c r="FD40" s="104"/>
      <c r="FE40" s="104"/>
      <c r="FF40" s="104"/>
      <c r="FG40" s="104"/>
      <c r="FH40" s="104"/>
      <c r="FI40" s="104"/>
      <c r="FJ40" s="104"/>
      <c r="FK40" s="104"/>
      <c r="FL40" s="104"/>
      <c r="FM40" s="104"/>
      <c r="FN40" s="104"/>
      <c r="FO40" s="104"/>
      <c r="FP40" s="104"/>
      <c r="FQ40" s="104"/>
      <c r="FR40" s="104"/>
      <c r="FS40" s="104"/>
      <c r="FT40" s="104"/>
      <c r="FU40" s="104"/>
      <c r="FV40" s="104"/>
      <c r="FW40" s="104"/>
      <c r="FX40" s="104"/>
      <c r="FY40" s="104"/>
      <c r="FZ40" s="104"/>
      <c r="GA40" s="104"/>
      <c r="GB40" s="104"/>
      <c r="GC40" s="104"/>
      <c r="GD40" s="104"/>
      <c r="GE40" s="104"/>
      <c r="GF40" s="104"/>
      <c r="GG40" s="104"/>
      <c r="GH40" s="104"/>
      <c r="GI40" s="104"/>
      <c r="GJ40" s="104"/>
      <c r="GK40" s="104"/>
      <c r="GL40" s="104"/>
      <c r="GM40" s="104"/>
      <c r="GN40" s="104"/>
      <c r="GO40" s="104"/>
      <c r="GP40" s="104"/>
      <c r="GQ40" s="104"/>
      <c r="GR40" s="104"/>
      <c r="GS40" s="104"/>
      <c r="GT40" s="104"/>
      <c r="GU40" s="104"/>
      <c r="GV40" s="104"/>
      <c r="GW40" s="104"/>
      <c r="GX40" s="104"/>
      <c r="GY40" s="104"/>
      <c r="GZ40" s="104"/>
      <c r="HA40" s="104"/>
      <c r="HB40" s="104"/>
      <c r="HC40" s="104"/>
      <c r="HD40" s="104"/>
      <c r="HE40" s="104"/>
      <c r="HF40" s="104"/>
      <c r="HG40" s="104"/>
      <c r="HH40" s="104"/>
      <c r="HI40" s="104"/>
      <c r="HJ40" s="104"/>
      <c r="HK40" s="104"/>
      <c r="HL40" s="104"/>
      <c r="HM40" s="104"/>
      <c r="HN40" s="104"/>
      <c r="HO40" s="104"/>
      <c r="HP40" s="104"/>
      <c r="HQ40" s="104"/>
      <c r="HR40" s="104"/>
      <c r="HS40" s="104"/>
      <c r="HT40" s="104"/>
      <c r="HU40" s="104"/>
      <c r="HV40" s="104"/>
      <c r="HW40" s="104"/>
      <c r="HX40" s="104"/>
      <c r="HY40" s="104"/>
      <c r="HZ40" s="104"/>
      <c r="IA40" s="104"/>
      <c r="IB40" s="104"/>
      <c r="IC40" s="104"/>
      <c r="ID40" s="104"/>
      <c r="IE40" s="104"/>
      <c r="IF40" s="104"/>
      <c r="IG40" s="104"/>
      <c r="IH40" s="104"/>
      <c r="II40" s="104"/>
      <c r="IJ40" s="104"/>
      <c r="IK40" s="104"/>
      <c r="IL40" s="104"/>
      <c r="IM40" s="104"/>
      <c r="IN40" s="104"/>
      <c r="IO40" s="104"/>
      <c r="IP40" s="104"/>
      <c r="IQ40" s="104"/>
      <c r="IR40" s="104"/>
      <c r="IS40" s="104"/>
      <c r="IT40" s="104"/>
      <c r="IU40" s="104"/>
      <c r="IV40" s="104"/>
      <c r="IW40" s="104"/>
      <c r="IX40" s="104"/>
      <c r="IY40" s="104"/>
      <c r="IZ40" s="104"/>
      <c r="JA40" s="104"/>
      <c r="JB40" s="104"/>
      <c r="JC40" s="104"/>
      <c r="JD40" s="104"/>
      <c r="JE40" s="104"/>
    </row>
    <row r="41" spans="1:265" ht="15.75" customHeight="1" x14ac:dyDescent="0.25">
      <c r="B41" s="224"/>
      <c r="C41" s="224"/>
      <c r="O41" s="169"/>
      <c r="P41" s="104"/>
      <c r="Q41" s="104"/>
      <c r="R41" s="104"/>
      <c r="S41" s="104"/>
      <c r="T41" s="163"/>
      <c r="U41" s="163"/>
      <c r="V41" s="163"/>
      <c r="W41" s="163"/>
      <c r="X41" s="163"/>
      <c r="Y41" s="163"/>
      <c r="Z41" s="163"/>
      <c r="AA41" s="104"/>
      <c r="AB41" s="104"/>
      <c r="AC41" s="104"/>
      <c r="AD41" s="104"/>
      <c r="AE41" s="104"/>
      <c r="AF41" s="104"/>
      <c r="AG41" s="104"/>
      <c r="AH41" s="104"/>
      <c r="AI41" s="104"/>
      <c r="AJ41" s="104"/>
      <c r="AK41" s="104"/>
      <c r="AL41" s="104"/>
      <c r="AM41" s="104"/>
      <c r="AN41" s="171"/>
      <c r="AO41" s="173"/>
      <c r="AP41" s="172"/>
      <c r="AQ41" s="172"/>
      <c r="AR41" s="172"/>
      <c r="AS41" s="172"/>
      <c r="AT41" s="172"/>
      <c r="AU41" s="172"/>
      <c r="AV41" s="172"/>
      <c r="AW41" s="172"/>
      <c r="AX41" s="172"/>
      <c r="AY41" s="172"/>
      <c r="AZ41" s="172"/>
      <c r="BA41" s="172"/>
      <c r="BB41" s="172"/>
      <c r="BC41" s="172"/>
      <c r="BD41" s="172"/>
      <c r="BE41" s="172"/>
      <c r="BF41" s="172"/>
      <c r="BG41" s="172"/>
      <c r="BH41" s="172" t="e">
        <f t="shared" ref="BH41:CM41" si="0">SUM(BH40:BH40)</f>
        <v>#REF!</v>
      </c>
      <c r="BI41" s="172" t="e">
        <f t="shared" si="0"/>
        <v>#REF!</v>
      </c>
      <c r="BJ41" s="172" t="e">
        <f t="shared" si="0"/>
        <v>#REF!</v>
      </c>
      <c r="BK41" s="172" t="e">
        <f t="shared" si="0"/>
        <v>#REF!</v>
      </c>
      <c r="BL41" s="172" t="e">
        <f t="shared" si="0"/>
        <v>#REF!</v>
      </c>
      <c r="BM41" s="172" t="e">
        <f t="shared" si="0"/>
        <v>#REF!</v>
      </c>
      <c r="BN41" s="172" t="e">
        <f t="shared" si="0"/>
        <v>#REF!</v>
      </c>
      <c r="BO41" s="172" t="e">
        <f t="shared" si="0"/>
        <v>#REF!</v>
      </c>
      <c r="BP41" s="172" t="e">
        <f t="shared" si="0"/>
        <v>#REF!</v>
      </c>
      <c r="BQ41" s="172" t="e">
        <f t="shared" si="0"/>
        <v>#REF!</v>
      </c>
      <c r="BR41" s="172" t="e">
        <f t="shared" si="0"/>
        <v>#REF!</v>
      </c>
      <c r="BS41" s="172" t="e">
        <f t="shared" si="0"/>
        <v>#REF!</v>
      </c>
      <c r="BT41" s="172" t="e">
        <f t="shared" si="0"/>
        <v>#REF!</v>
      </c>
      <c r="BU41" s="172" t="e">
        <f t="shared" si="0"/>
        <v>#REF!</v>
      </c>
      <c r="BV41" s="172" t="e">
        <f t="shared" si="0"/>
        <v>#REF!</v>
      </c>
      <c r="BW41" s="172" t="e">
        <f t="shared" si="0"/>
        <v>#REF!</v>
      </c>
      <c r="BX41" s="172" t="e">
        <f t="shared" si="0"/>
        <v>#REF!</v>
      </c>
      <c r="BY41" s="172" t="e">
        <f t="shared" si="0"/>
        <v>#REF!</v>
      </c>
      <c r="BZ41" s="172" t="e">
        <f t="shared" si="0"/>
        <v>#REF!</v>
      </c>
      <c r="CA41" s="172" t="e">
        <f t="shared" si="0"/>
        <v>#REF!</v>
      </c>
      <c r="CB41" s="172" t="e">
        <f t="shared" si="0"/>
        <v>#REF!</v>
      </c>
      <c r="CC41" s="172" t="e">
        <f t="shared" si="0"/>
        <v>#REF!</v>
      </c>
      <c r="CD41" s="172" t="e">
        <f t="shared" si="0"/>
        <v>#REF!</v>
      </c>
      <c r="CE41" s="172" t="e">
        <f t="shared" si="0"/>
        <v>#REF!</v>
      </c>
      <c r="CF41" s="172" t="e">
        <f t="shared" si="0"/>
        <v>#REF!</v>
      </c>
      <c r="CG41" s="172" t="e">
        <f t="shared" si="0"/>
        <v>#REF!</v>
      </c>
      <c r="CH41" s="172" t="e">
        <f t="shared" si="0"/>
        <v>#REF!</v>
      </c>
      <c r="CI41" s="172" t="e">
        <f t="shared" si="0"/>
        <v>#REF!</v>
      </c>
      <c r="CJ41" s="172" t="e">
        <f t="shared" si="0"/>
        <v>#REF!</v>
      </c>
      <c r="CK41" s="172" t="e">
        <f t="shared" si="0"/>
        <v>#REF!</v>
      </c>
      <c r="CL41" s="172" t="e">
        <f t="shared" si="0"/>
        <v>#REF!</v>
      </c>
      <c r="CM41" s="172" t="e">
        <f t="shared" si="0"/>
        <v>#REF!</v>
      </c>
      <c r="CN41" s="104"/>
      <c r="CO41" s="104"/>
      <c r="CP41" s="104"/>
      <c r="CQ41" s="104"/>
      <c r="CR41" s="104"/>
      <c r="CS41" s="104"/>
      <c r="CT41" s="104"/>
      <c r="CU41" s="104"/>
      <c r="CV41" s="104"/>
      <c r="CW41" s="104"/>
      <c r="CX41" s="104"/>
      <c r="CY41" s="104"/>
      <c r="CZ41" s="104"/>
      <c r="DA41" s="104"/>
      <c r="DB41" s="104"/>
      <c r="DC41" s="104"/>
      <c r="DD41" s="104"/>
      <c r="DE41" s="104"/>
      <c r="DF41" s="104"/>
      <c r="DG41" s="104"/>
      <c r="DH41" s="104"/>
      <c r="DI41" s="104"/>
      <c r="DJ41" s="104"/>
      <c r="DK41" s="104"/>
      <c r="DL41" s="104"/>
      <c r="DM41" s="104"/>
      <c r="DN41" s="104"/>
      <c r="DO41" s="104"/>
      <c r="DP41" s="104"/>
      <c r="DQ41" s="104"/>
      <c r="DR41" s="104"/>
      <c r="DS41" s="104"/>
      <c r="DT41" s="104"/>
      <c r="DU41" s="104"/>
      <c r="DV41" s="104"/>
      <c r="DW41" s="104"/>
      <c r="DX41" s="104"/>
      <c r="DY41" s="104"/>
      <c r="DZ41" s="104"/>
      <c r="EA41" s="104"/>
      <c r="EB41" s="104"/>
      <c r="EC41" s="104"/>
      <c r="ED41" s="104"/>
      <c r="EE41" s="104"/>
      <c r="EF41" s="104"/>
      <c r="EG41" s="104"/>
      <c r="EH41" s="104"/>
      <c r="EI41" s="104"/>
      <c r="EJ41" s="104"/>
      <c r="EK41" s="104"/>
      <c r="EL41" s="104"/>
      <c r="EM41" s="104"/>
      <c r="EN41" s="104"/>
      <c r="EO41" s="104"/>
      <c r="EP41" s="104"/>
      <c r="EQ41" s="104"/>
      <c r="ER41" s="104"/>
      <c r="ES41" s="104"/>
      <c r="ET41" s="104"/>
      <c r="EU41" s="104"/>
      <c r="EV41" s="104"/>
      <c r="EW41" s="104"/>
      <c r="EX41" s="104"/>
      <c r="EY41" s="104"/>
      <c r="EZ41" s="104"/>
      <c r="FA41" s="104"/>
      <c r="FB41" s="104"/>
      <c r="FC41" s="104"/>
      <c r="FD41" s="104"/>
      <c r="FE41" s="104"/>
      <c r="FF41" s="104"/>
      <c r="FG41" s="104"/>
      <c r="FH41" s="104"/>
      <c r="FI41" s="104"/>
      <c r="FJ41" s="104"/>
      <c r="FK41" s="104"/>
      <c r="FL41" s="104"/>
      <c r="FM41" s="104"/>
      <c r="FN41" s="104"/>
      <c r="FO41" s="104"/>
      <c r="FP41" s="104"/>
      <c r="FQ41" s="104"/>
      <c r="FR41" s="104"/>
      <c r="FS41" s="104"/>
      <c r="FT41" s="104"/>
      <c r="FU41" s="104"/>
      <c r="FV41" s="104"/>
      <c r="FW41" s="104"/>
      <c r="FX41" s="104"/>
      <c r="FY41" s="104"/>
      <c r="FZ41" s="104"/>
      <c r="GA41" s="104"/>
      <c r="GB41" s="104"/>
      <c r="GC41" s="104"/>
      <c r="GD41" s="104"/>
      <c r="GE41" s="104"/>
      <c r="GF41" s="104"/>
      <c r="GG41" s="104"/>
      <c r="GH41" s="104"/>
      <c r="GI41" s="104"/>
      <c r="GJ41" s="104"/>
      <c r="GK41" s="104"/>
      <c r="GL41" s="104"/>
      <c r="GM41" s="104"/>
      <c r="GN41" s="104"/>
      <c r="GO41" s="104"/>
      <c r="GP41" s="104"/>
      <c r="GQ41" s="104"/>
      <c r="GR41" s="104"/>
      <c r="GS41" s="104"/>
      <c r="GT41" s="104"/>
      <c r="GU41" s="104"/>
      <c r="GV41" s="104"/>
      <c r="GW41" s="104"/>
      <c r="GX41" s="104"/>
      <c r="GY41" s="104"/>
      <c r="GZ41" s="104"/>
      <c r="HA41" s="104"/>
      <c r="HB41" s="104"/>
      <c r="HC41" s="104"/>
      <c r="HD41" s="104"/>
      <c r="HE41" s="104"/>
      <c r="HF41" s="104"/>
      <c r="HG41" s="104"/>
      <c r="HH41" s="104"/>
      <c r="HI41" s="104"/>
      <c r="HJ41" s="104"/>
      <c r="HK41" s="104"/>
      <c r="HL41" s="104"/>
      <c r="HM41" s="104"/>
      <c r="HN41" s="104"/>
      <c r="HO41" s="104"/>
      <c r="HP41" s="104"/>
      <c r="HQ41" s="104"/>
      <c r="HR41" s="104"/>
      <c r="HS41" s="104"/>
      <c r="HT41" s="104"/>
      <c r="HU41" s="104"/>
      <c r="HV41" s="104"/>
      <c r="HW41" s="104"/>
      <c r="HX41" s="104"/>
      <c r="HY41" s="104"/>
      <c r="HZ41" s="104"/>
      <c r="IA41" s="104"/>
      <c r="IB41" s="104"/>
      <c r="IC41" s="104"/>
      <c r="ID41" s="104"/>
      <c r="IE41" s="104"/>
      <c r="IF41" s="104"/>
      <c r="IG41" s="104"/>
      <c r="IH41" s="104"/>
      <c r="II41" s="104"/>
      <c r="IJ41" s="104"/>
      <c r="IK41" s="104"/>
      <c r="IL41" s="104"/>
      <c r="IM41" s="104"/>
      <c r="IN41" s="104"/>
      <c r="IO41" s="104"/>
      <c r="IP41" s="104"/>
      <c r="IQ41" s="104"/>
      <c r="IR41" s="104"/>
      <c r="IS41" s="104"/>
      <c r="IT41" s="104"/>
      <c r="IU41" s="104"/>
      <c r="IV41" s="104"/>
      <c r="IW41" s="104"/>
      <c r="IX41" s="104"/>
      <c r="IY41" s="104"/>
      <c r="IZ41" s="104"/>
      <c r="JA41" s="104"/>
      <c r="JB41" s="104"/>
      <c r="JC41" s="104"/>
      <c r="JD41" s="104"/>
      <c r="JE41" s="104"/>
    </row>
    <row r="42" spans="1:265" ht="19.5" customHeight="1" x14ac:dyDescent="0.25">
      <c r="B42" s="224"/>
      <c r="C42" s="224"/>
      <c r="O42" s="169"/>
      <c r="P42" s="104"/>
      <c r="Q42" s="104"/>
      <c r="R42" s="104"/>
      <c r="S42" s="104"/>
      <c r="T42" s="163"/>
      <c r="U42" s="163"/>
      <c r="V42" s="163"/>
      <c r="W42" s="163"/>
      <c r="X42" s="163"/>
      <c r="Y42" s="163"/>
      <c r="Z42" s="163"/>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4"/>
      <c r="BE42" s="104"/>
      <c r="BF42" s="104"/>
      <c r="BG42" s="104"/>
      <c r="BH42" s="104"/>
      <c r="BI42" s="104"/>
      <c r="BJ42" s="104"/>
      <c r="BK42" s="104"/>
      <c r="BL42" s="104"/>
      <c r="BM42" s="104"/>
      <c r="BN42" s="104"/>
      <c r="BO42" s="104"/>
      <c r="BP42" s="104"/>
      <c r="BQ42" s="104"/>
      <c r="BR42" s="104"/>
      <c r="BS42" s="104"/>
      <c r="BT42" s="104"/>
      <c r="BU42" s="104"/>
      <c r="BV42" s="104"/>
      <c r="BW42" s="104"/>
      <c r="BX42" s="104"/>
      <c r="BY42" s="104"/>
      <c r="BZ42" s="104"/>
      <c r="CA42" s="104"/>
      <c r="CB42" s="104"/>
      <c r="CC42" s="104"/>
      <c r="CD42" s="104"/>
      <c r="CE42" s="104"/>
      <c r="CF42" s="104"/>
      <c r="CG42" s="104"/>
      <c r="CH42" s="104"/>
      <c r="CI42" s="104"/>
      <c r="CJ42" s="104"/>
      <c r="CK42" s="104"/>
      <c r="CL42" s="104"/>
      <c r="CM42" s="104"/>
      <c r="CN42" s="104"/>
      <c r="CO42" s="104"/>
      <c r="CP42" s="104"/>
      <c r="CQ42" s="104"/>
      <c r="CR42" s="104"/>
      <c r="CS42" s="104"/>
      <c r="CT42" s="104"/>
      <c r="CU42" s="104"/>
      <c r="CV42" s="104"/>
      <c r="CW42" s="104"/>
      <c r="CX42" s="104"/>
      <c r="CY42" s="104"/>
      <c r="CZ42" s="104"/>
      <c r="DA42" s="104"/>
      <c r="DB42" s="104"/>
      <c r="DC42" s="104"/>
      <c r="DD42" s="104"/>
      <c r="DE42" s="104"/>
      <c r="DF42" s="104"/>
      <c r="DG42" s="104"/>
      <c r="DH42" s="104"/>
      <c r="DI42" s="104"/>
      <c r="DJ42" s="104"/>
      <c r="DK42" s="104"/>
      <c r="DL42" s="104"/>
      <c r="DM42" s="104"/>
      <c r="DN42" s="104"/>
      <c r="DO42" s="104"/>
      <c r="DP42" s="104"/>
      <c r="DQ42" s="104"/>
      <c r="DR42" s="104"/>
      <c r="DS42" s="104"/>
      <c r="DT42" s="104"/>
      <c r="DU42" s="104"/>
      <c r="DV42" s="104"/>
      <c r="DW42" s="104"/>
      <c r="DX42" s="104"/>
      <c r="DY42" s="104"/>
      <c r="DZ42" s="104"/>
      <c r="EA42" s="104"/>
      <c r="EB42" s="104"/>
      <c r="EC42" s="104"/>
      <c r="ED42" s="104"/>
      <c r="EE42" s="104"/>
      <c r="EF42" s="104"/>
      <c r="EG42" s="104"/>
      <c r="EH42" s="104"/>
      <c r="EI42" s="104"/>
      <c r="EJ42" s="104"/>
      <c r="EK42" s="104"/>
      <c r="EL42" s="104"/>
      <c r="EM42" s="104"/>
      <c r="EN42" s="104"/>
      <c r="EO42" s="104"/>
      <c r="EP42" s="104"/>
      <c r="EQ42" s="104"/>
      <c r="ER42" s="104"/>
      <c r="ES42" s="104"/>
      <c r="ET42" s="104"/>
      <c r="EU42" s="104"/>
      <c r="EV42" s="104"/>
      <c r="EW42" s="104"/>
      <c r="EX42" s="104"/>
      <c r="EY42" s="104"/>
      <c r="EZ42" s="104"/>
      <c r="FA42" s="104"/>
      <c r="FB42" s="104"/>
      <c r="FC42" s="104"/>
      <c r="FD42" s="104"/>
      <c r="FE42" s="104"/>
      <c r="FF42" s="104"/>
      <c r="FG42" s="104"/>
      <c r="FH42" s="104"/>
      <c r="FI42" s="104"/>
      <c r="FJ42" s="104"/>
      <c r="FK42" s="104"/>
      <c r="FL42" s="104"/>
      <c r="FM42" s="104"/>
      <c r="FN42" s="104"/>
      <c r="FO42" s="104"/>
      <c r="FP42" s="104"/>
      <c r="FQ42" s="104"/>
      <c r="FR42" s="104"/>
      <c r="FS42" s="104"/>
      <c r="FT42" s="104"/>
      <c r="FU42" s="104"/>
      <c r="FV42" s="104"/>
      <c r="FW42" s="104"/>
      <c r="FX42" s="104"/>
      <c r="FY42" s="104"/>
      <c r="FZ42" s="104"/>
      <c r="GA42" s="104"/>
      <c r="GB42" s="104"/>
      <c r="GC42" s="104"/>
      <c r="GD42" s="104"/>
      <c r="GE42" s="104"/>
      <c r="GF42" s="104"/>
      <c r="GG42" s="104"/>
      <c r="GH42" s="104"/>
      <c r="GI42" s="104"/>
      <c r="GJ42" s="104"/>
      <c r="GK42" s="104"/>
      <c r="GL42" s="104"/>
      <c r="GM42" s="104"/>
      <c r="GN42" s="104"/>
      <c r="GO42" s="104"/>
      <c r="GP42" s="104"/>
      <c r="GQ42" s="104"/>
      <c r="GR42" s="104"/>
      <c r="GS42" s="104"/>
      <c r="GT42" s="104"/>
      <c r="GU42" s="104"/>
      <c r="GV42" s="104"/>
      <c r="GW42" s="104"/>
      <c r="GX42" s="104"/>
      <c r="GY42" s="104"/>
      <c r="GZ42" s="104"/>
      <c r="HA42" s="104"/>
      <c r="HB42" s="104"/>
      <c r="HC42" s="104"/>
      <c r="HD42" s="104"/>
      <c r="HE42" s="104"/>
      <c r="HF42" s="104"/>
      <c r="HG42" s="104"/>
      <c r="HH42" s="104"/>
      <c r="HI42" s="104"/>
      <c r="HJ42" s="104"/>
      <c r="HK42" s="104"/>
      <c r="HL42" s="104"/>
      <c r="HM42" s="104"/>
      <c r="HN42" s="104"/>
      <c r="HO42" s="104"/>
      <c r="HP42" s="104"/>
      <c r="HQ42" s="104"/>
      <c r="HR42" s="104"/>
      <c r="HS42" s="104"/>
      <c r="HT42" s="104"/>
      <c r="HU42" s="104"/>
      <c r="HV42" s="104"/>
      <c r="HW42" s="104"/>
      <c r="HX42" s="104"/>
      <c r="HY42" s="104"/>
      <c r="HZ42" s="104"/>
      <c r="IA42" s="104"/>
      <c r="IB42" s="104"/>
      <c r="IC42" s="104"/>
      <c r="ID42" s="104"/>
      <c r="IE42" s="104"/>
      <c r="IF42" s="104"/>
      <c r="IG42" s="104"/>
      <c r="IH42" s="104"/>
      <c r="II42" s="104"/>
      <c r="IJ42" s="104"/>
      <c r="IK42" s="104"/>
      <c r="IL42" s="104"/>
      <c r="IM42" s="104"/>
      <c r="IN42" s="104"/>
      <c r="IO42" s="104"/>
      <c r="IP42" s="104"/>
      <c r="IQ42" s="104"/>
      <c r="IR42" s="104"/>
      <c r="IS42" s="104"/>
      <c r="IT42" s="104"/>
      <c r="IU42" s="104"/>
      <c r="IV42" s="104"/>
      <c r="IW42" s="104"/>
      <c r="IX42" s="104"/>
      <c r="IY42" s="104"/>
      <c r="IZ42" s="104"/>
      <c r="JA42" s="104"/>
      <c r="JB42" s="104"/>
      <c r="JC42" s="104"/>
      <c r="JD42" s="104"/>
      <c r="JE42" s="104"/>
    </row>
    <row r="43" spans="1:265" ht="15.75" customHeight="1" x14ac:dyDescent="0.25">
      <c r="B43" s="224"/>
      <c r="C43" s="224"/>
      <c r="O43" s="169"/>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c r="BU43" s="104"/>
      <c r="BV43" s="104"/>
      <c r="BW43" s="104"/>
      <c r="BX43" s="104"/>
      <c r="BY43" s="104"/>
      <c r="BZ43" s="104"/>
      <c r="CA43" s="104"/>
      <c r="CB43" s="104"/>
      <c r="CC43" s="104"/>
      <c r="CD43" s="104"/>
      <c r="CE43" s="104"/>
      <c r="CF43" s="104"/>
      <c r="CG43" s="104"/>
      <c r="CH43" s="104"/>
      <c r="CI43" s="104"/>
      <c r="CJ43" s="104"/>
      <c r="CK43" s="104"/>
      <c r="CL43" s="104"/>
      <c r="CM43" s="104"/>
      <c r="CN43" s="104"/>
      <c r="CO43" s="104"/>
      <c r="CP43" s="104"/>
      <c r="CQ43" s="104"/>
      <c r="CR43" s="104"/>
      <c r="CS43" s="104"/>
      <c r="CT43" s="104"/>
      <c r="CU43" s="104"/>
      <c r="CV43" s="104"/>
      <c r="CW43" s="104"/>
      <c r="CX43" s="104"/>
      <c r="CY43" s="104"/>
      <c r="CZ43" s="104"/>
      <c r="DA43" s="104"/>
      <c r="DB43" s="104"/>
      <c r="DC43" s="104"/>
      <c r="DD43" s="104"/>
      <c r="DE43" s="104"/>
      <c r="DF43" s="104"/>
      <c r="DG43" s="104"/>
      <c r="DH43" s="104"/>
      <c r="DI43" s="104"/>
      <c r="DJ43" s="104"/>
      <c r="DK43" s="104"/>
      <c r="DL43" s="104"/>
      <c r="DM43" s="104"/>
      <c r="DN43" s="104"/>
      <c r="DO43" s="104"/>
      <c r="DP43" s="104"/>
      <c r="DQ43" s="104"/>
      <c r="DR43" s="104"/>
      <c r="DS43" s="104"/>
      <c r="DT43" s="104"/>
      <c r="DU43" s="104"/>
      <c r="DV43" s="104"/>
      <c r="DW43" s="104"/>
      <c r="DX43" s="104"/>
      <c r="DY43" s="104"/>
      <c r="DZ43" s="104"/>
      <c r="EA43" s="104"/>
      <c r="EB43" s="104"/>
      <c r="EC43" s="104"/>
      <c r="ED43" s="104"/>
      <c r="EE43" s="104"/>
      <c r="EF43" s="104"/>
      <c r="EG43" s="104"/>
      <c r="EH43" s="104"/>
      <c r="EI43" s="104"/>
      <c r="EJ43" s="104"/>
      <c r="EK43" s="104"/>
      <c r="EL43" s="104"/>
      <c r="EM43" s="104"/>
      <c r="EN43" s="104"/>
      <c r="EO43" s="104"/>
      <c r="EP43" s="104"/>
      <c r="EQ43" s="104"/>
      <c r="ER43" s="104"/>
      <c r="ES43" s="104"/>
      <c r="ET43" s="104"/>
      <c r="EU43" s="104"/>
      <c r="EV43" s="104"/>
      <c r="EW43" s="104"/>
      <c r="EX43" s="104"/>
      <c r="EY43" s="104"/>
      <c r="EZ43" s="104"/>
      <c r="FA43" s="104"/>
      <c r="FB43" s="104"/>
      <c r="FC43" s="104"/>
      <c r="FD43" s="104"/>
      <c r="FE43" s="104"/>
      <c r="FF43" s="104"/>
      <c r="FG43" s="104"/>
      <c r="FH43" s="104"/>
      <c r="FI43" s="104"/>
      <c r="FJ43" s="104"/>
      <c r="FK43" s="104"/>
      <c r="FL43" s="104"/>
      <c r="FM43" s="104"/>
      <c r="FN43" s="104"/>
      <c r="FO43" s="104"/>
      <c r="FP43" s="104"/>
      <c r="FQ43" s="104"/>
      <c r="FR43" s="104"/>
      <c r="FS43" s="104"/>
      <c r="FT43" s="104"/>
      <c r="FU43" s="104"/>
      <c r="FV43" s="104"/>
      <c r="FW43" s="104"/>
      <c r="FX43" s="104"/>
      <c r="FY43" s="104"/>
      <c r="FZ43" s="104"/>
      <c r="GA43" s="104"/>
      <c r="GB43" s="104"/>
      <c r="GC43" s="104"/>
      <c r="GD43" s="104"/>
      <c r="GE43" s="104"/>
      <c r="GF43" s="104"/>
      <c r="GG43" s="104"/>
      <c r="GH43" s="104"/>
      <c r="GI43" s="104"/>
      <c r="GJ43" s="104"/>
      <c r="GK43" s="104"/>
      <c r="GL43" s="104"/>
      <c r="GM43" s="104"/>
      <c r="GN43" s="104"/>
      <c r="GO43" s="104"/>
      <c r="GP43" s="104"/>
      <c r="GQ43" s="104"/>
      <c r="GR43" s="104"/>
      <c r="GS43" s="104"/>
      <c r="GT43" s="104"/>
      <c r="GU43" s="104"/>
      <c r="GV43" s="104"/>
      <c r="GW43" s="104"/>
      <c r="GX43" s="104"/>
      <c r="GY43" s="104"/>
      <c r="GZ43" s="104"/>
      <c r="HA43" s="104"/>
      <c r="HB43" s="104"/>
      <c r="HC43" s="104"/>
      <c r="HD43" s="104"/>
      <c r="HE43" s="104"/>
      <c r="HF43" s="104"/>
      <c r="HG43" s="104"/>
      <c r="HH43" s="104"/>
      <c r="HI43" s="104"/>
      <c r="HJ43" s="104"/>
      <c r="HK43" s="104"/>
      <c r="HL43" s="104"/>
      <c r="HM43" s="104"/>
      <c r="HN43" s="104"/>
      <c r="HO43" s="104"/>
      <c r="HP43" s="104"/>
      <c r="HQ43" s="104"/>
      <c r="HR43" s="104"/>
      <c r="HS43" s="104"/>
      <c r="HT43" s="104"/>
      <c r="HU43" s="104"/>
      <c r="HV43" s="104"/>
      <c r="HW43" s="104"/>
      <c r="HX43" s="104"/>
      <c r="HY43" s="104"/>
      <c r="HZ43" s="104"/>
      <c r="IA43" s="104"/>
      <c r="IB43" s="104"/>
      <c r="IC43" s="104"/>
      <c r="ID43" s="104"/>
      <c r="IE43" s="104"/>
      <c r="IF43" s="104"/>
      <c r="IG43" s="104"/>
      <c r="IH43" s="104"/>
      <c r="II43" s="104"/>
      <c r="IJ43" s="104"/>
      <c r="IK43" s="104"/>
      <c r="IL43" s="104"/>
      <c r="IM43" s="104"/>
      <c r="IN43" s="104"/>
      <c r="IO43" s="104"/>
      <c r="IP43" s="104"/>
      <c r="IQ43" s="104"/>
      <c r="IR43" s="104"/>
      <c r="IS43" s="104"/>
      <c r="IT43" s="104"/>
      <c r="IU43" s="104"/>
      <c r="IV43" s="104"/>
      <c r="IW43" s="104"/>
      <c r="IX43" s="104"/>
      <c r="IY43" s="104"/>
      <c r="IZ43" s="104"/>
      <c r="JA43" s="104"/>
      <c r="JB43" s="104"/>
      <c r="JC43" s="104"/>
      <c r="JD43" s="104"/>
      <c r="JE43" s="104"/>
    </row>
    <row r="44" spans="1:265" ht="15.75" customHeight="1" x14ac:dyDescent="0.25">
      <c r="A44" s="182"/>
      <c r="B44" s="182"/>
      <c r="C44" s="182"/>
      <c r="O44" s="169"/>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4"/>
      <c r="AY44" s="104"/>
      <c r="AZ44" s="104"/>
      <c r="BA44" s="104"/>
      <c r="BB44" s="104"/>
      <c r="BC44" s="104"/>
      <c r="BD44" s="104"/>
      <c r="BE44" s="104"/>
      <c r="BF44" s="104"/>
      <c r="BG44" s="104"/>
      <c r="BH44" s="104"/>
      <c r="BI44" s="104"/>
      <c r="BJ44" s="104"/>
      <c r="BK44" s="104"/>
      <c r="BL44" s="104"/>
      <c r="BM44" s="104"/>
      <c r="BN44" s="104"/>
      <c r="BO44" s="104"/>
      <c r="BP44" s="104"/>
      <c r="BQ44" s="104"/>
      <c r="BR44" s="104"/>
      <c r="BS44" s="104"/>
      <c r="BT44" s="104"/>
      <c r="BU44" s="104"/>
      <c r="BV44" s="104"/>
      <c r="BW44" s="104"/>
      <c r="BX44" s="104"/>
      <c r="BY44" s="104"/>
      <c r="BZ44" s="104"/>
      <c r="CA44" s="104"/>
      <c r="CB44" s="104"/>
      <c r="CC44" s="104"/>
      <c r="CD44" s="104"/>
      <c r="CE44" s="104"/>
      <c r="CF44" s="104"/>
      <c r="CG44" s="104"/>
      <c r="CH44" s="104"/>
      <c r="CI44" s="104"/>
      <c r="CJ44" s="104"/>
      <c r="CK44" s="104"/>
      <c r="CL44" s="104"/>
      <c r="CM44" s="104"/>
      <c r="CN44" s="104"/>
      <c r="CO44" s="104"/>
      <c r="CP44" s="104"/>
      <c r="CQ44" s="104"/>
      <c r="CR44" s="104"/>
      <c r="CS44" s="104"/>
      <c r="CT44" s="104"/>
      <c r="CU44" s="104"/>
      <c r="CV44" s="104"/>
      <c r="CW44" s="104"/>
      <c r="CX44" s="104"/>
      <c r="CY44" s="104"/>
      <c r="CZ44" s="104"/>
      <c r="DA44" s="104"/>
      <c r="DB44" s="104"/>
      <c r="DC44" s="104"/>
      <c r="DD44" s="104"/>
      <c r="DE44" s="104"/>
      <c r="DF44" s="104"/>
      <c r="DG44" s="104"/>
      <c r="DH44" s="104"/>
      <c r="DI44" s="104"/>
      <c r="DJ44" s="104"/>
      <c r="DK44" s="104"/>
      <c r="DL44" s="104"/>
      <c r="DM44" s="104"/>
      <c r="DN44" s="104"/>
      <c r="DO44" s="104"/>
      <c r="DP44" s="104"/>
      <c r="DQ44" s="104"/>
      <c r="DR44" s="104"/>
      <c r="DS44" s="104"/>
      <c r="DT44" s="104"/>
      <c r="DU44" s="104"/>
      <c r="DV44" s="104"/>
      <c r="DW44" s="104"/>
      <c r="DX44" s="104"/>
      <c r="DY44" s="104"/>
      <c r="DZ44" s="104"/>
      <c r="EA44" s="104"/>
      <c r="EB44" s="104"/>
      <c r="EC44" s="104"/>
      <c r="ED44" s="104"/>
      <c r="EE44" s="104"/>
      <c r="EF44" s="104"/>
      <c r="EG44" s="104"/>
      <c r="EH44" s="104"/>
      <c r="EI44" s="104"/>
      <c r="EJ44" s="104"/>
      <c r="EK44" s="104"/>
      <c r="EL44" s="104"/>
      <c r="EM44" s="104"/>
      <c r="EN44" s="104"/>
      <c r="EO44" s="104"/>
      <c r="EP44" s="104"/>
      <c r="EQ44" s="104"/>
      <c r="ER44" s="104"/>
      <c r="ES44" s="104"/>
      <c r="ET44" s="104"/>
      <c r="EU44" s="104"/>
      <c r="EV44" s="104"/>
      <c r="EW44" s="104"/>
      <c r="EX44" s="104"/>
      <c r="EY44" s="104"/>
      <c r="EZ44" s="104"/>
      <c r="FA44" s="104"/>
      <c r="FB44" s="104"/>
      <c r="FC44" s="104"/>
      <c r="FD44" s="104"/>
      <c r="FE44" s="104"/>
      <c r="FF44" s="104"/>
      <c r="FG44" s="104"/>
      <c r="FH44" s="104"/>
      <c r="FI44" s="104"/>
      <c r="FJ44" s="104"/>
      <c r="FK44" s="104"/>
      <c r="FL44" s="104"/>
      <c r="FM44" s="104"/>
      <c r="FN44" s="104"/>
      <c r="FO44" s="104"/>
      <c r="FP44" s="104"/>
      <c r="FQ44" s="104"/>
      <c r="FR44" s="104"/>
      <c r="FS44" s="104"/>
      <c r="FT44" s="104"/>
      <c r="FU44" s="104"/>
      <c r="FV44" s="104"/>
      <c r="FW44" s="104"/>
      <c r="FX44" s="104"/>
      <c r="FY44" s="104"/>
      <c r="FZ44" s="104"/>
      <c r="GA44" s="104"/>
      <c r="GB44" s="104"/>
      <c r="GC44" s="104"/>
      <c r="GD44" s="104"/>
      <c r="GE44" s="104"/>
      <c r="GF44" s="104"/>
      <c r="GG44" s="104"/>
      <c r="GH44" s="104"/>
      <c r="GI44" s="104"/>
      <c r="GJ44" s="104"/>
      <c r="GK44" s="104"/>
      <c r="GL44" s="104"/>
      <c r="GM44" s="104"/>
      <c r="GN44" s="104"/>
      <c r="GO44" s="104"/>
      <c r="GP44" s="104"/>
      <c r="GQ44" s="104"/>
      <c r="GR44" s="104"/>
      <c r="GS44" s="104"/>
      <c r="GT44" s="104"/>
      <c r="GU44" s="104"/>
      <c r="GV44" s="104"/>
      <c r="GW44" s="104"/>
      <c r="GX44" s="104"/>
      <c r="GY44" s="104"/>
      <c r="GZ44" s="104"/>
      <c r="HA44" s="104"/>
      <c r="HB44" s="104"/>
      <c r="HC44" s="104"/>
      <c r="HD44" s="104"/>
      <c r="HE44" s="104"/>
      <c r="HF44" s="104"/>
      <c r="HG44" s="104"/>
      <c r="HH44" s="104"/>
      <c r="HI44" s="104"/>
      <c r="HJ44" s="104"/>
      <c r="HK44" s="104"/>
      <c r="HL44" s="104"/>
      <c r="HM44" s="104"/>
      <c r="HN44" s="104"/>
      <c r="HO44" s="104"/>
      <c r="HP44" s="104"/>
      <c r="HQ44" s="104"/>
      <c r="HR44" s="104"/>
      <c r="HS44" s="104"/>
      <c r="HT44" s="104"/>
      <c r="HU44" s="104"/>
      <c r="HV44" s="104"/>
      <c r="HW44" s="104"/>
      <c r="HX44" s="104"/>
      <c r="HY44" s="104"/>
      <c r="HZ44" s="104"/>
      <c r="IA44" s="104"/>
      <c r="IB44" s="104"/>
      <c r="IC44" s="104"/>
      <c r="ID44" s="104"/>
      <c r="IE44" s="104"/>
      <c r="IF44" s="104"/>
      <c r="IG44" s="104"/>
      <c r="IH44" s="104"/>
      <c r="II44" s="104"/>
      <c r="IJ44" s="104"/>
      <c r="IK44" s="104"/>
      <c r="IL44" s="104"/>
      <c r="IM44" s="104"/>
      <c r="IN44" s="104"/>
      <c r="IO44" s="104"/>
      <c r="IP44" s="104"/>
      <c r="IQ44" s="104"/>
      <c r="IR44" s="104"/>
      <c r="IS44" s="104"/>
      <c r="IT44" s="104"/>
      <c r="IU44" s="104"/>
      <c r="IV44" s="104"/>
      <c r="IW44" s="104"/>
      <c r="IX44" s="104"/>
      <c r="IY44" s="104"/>
      <c r="IZ44" s="104"/>
      <c r="JA44" s="104"/>
      <c r="JB44" s="104"/>
      <c r="JC44" s="104"/>
      <c r="JD44" s="104"/>
      <c r="JE44" s="104"/>
    </row>
    <row r="45" spans="1:265" ht="15.75" customHeight="1" x14ac:dyDescent="0.25">
      <c r="A45" s="182"/>
      <c r="B45" s="182"/>
      <c r="C45" s="182"/>
      <c r="O45" s="169"/>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4"/>
      <c r="BR45" s="104"/>
      <c r="BS45" s="104"/>
      <c r="BT45" s="104"/>
      <c r="BU45" s="104"/>
      <c r="BV45" s="104"/>
      <c r="BW45" s="104"/>
      <c r="BX45" s="104"/>
      <c r="BY45" s="104"/>
      <c r="BZ45" s="104"/>
      <c r="CA45" s="104"/>
      <c r="CB45" s="104"/>
      <c r="CC45" s="104"/>
      <c r="CD45" s="104"/>
      <c r="CE45" s="104"/>
      <c r="CF45" s="104"/>
      <c r="CG45" s="104"/>
      <c r="CH45" s="104"/>
      <c r="CI45" s="104"/>
      <c r="CJ45" s="104"/>
      <c r="CK45" s="104"/>
      <c r="CL45" s="104"/>
      <c r="CM45" s="104"/>
      <c r="CN45" s="104"/>
      <c r="CO45" s="104"/>
      <c r="CP45" s="104"/>
      <c r="CQ45" s="104"/>
      <c r="CR45" s="104"/>
      <c r="CS45" s="104"/>
      <c r="CT45" s="104"/>
      <c r="CU45" s="104"/>
      <c r="CV45" s="104"/>
      <c r="CW45" s="104"/>
      <c r="CX45" s="104"/>
      <c r="CY45" s="104"/>
      <c r="CZ45" s="104"/>
      <c r="DA45" s="104"/>
      <c r="DB45" s="104"/>
      <c r="DC45" s="104"/>
      <c r="DD45" s="104"/>
      <c r="DE45" s="104"/>
      <c r="DF45" s="104"/>
      <c r="DG45" s="104"/>
      <c r="DH45" s="104"/>
      <c r="DI45" s="104"/>
      <c r="DJ45" s="104"/>
      <c r="DK45" s="104"/>
      <c r="DL45" s="104"/>
      <c r="DM45" s="104"/>
      <c r="DN45" s="104"/>
      <c r="DO45" s="104"/>
      <c r="DP45" s="104"/>
      <c r="DQ45" s="104"/>
      <c r="DR45" s="104"/>
      <c r="DS45" s="104"/>
      <c r="DT45" s="104"/>
      <c r="DU45" s="104"/>
      <c r="DV45" s="104"/>
      <c r="DW45" s="104"/>
      <c r="DX45" s="104"/>
      <c r="DY45" s="104"/>
      <c r="DZ45" s="104"/>
      <c r="EA45" s="104"/>
      <c r="EB45" s="104"/>
      <c r="EC45" s="104"/>
      <c r="ED45" s="104"/>
      <c r="EE45" s="104"/>
      <c r="EF45" s="104"/>
      <c r="EG45" s="104"/>
      <c r="EH45" s="104"/>
      <c r="EI45" s="104"/>
      <c r="EJ45" s="104"/>
      <c r="EK45" s="104"/>
      <c r="EL45" s="104"/>
      <c r="EM45" s="104"/>
      <c r="EN45" s="104"/>
      <c r="EO45" s="104"/>
      <c r="EP45" s="104"/>
      <c r="EQ45" s="104"/>
      <c r="ER45" s="104"/>
      <c r="ES45" s="104"/>
      <c r="ET45" s="104"/>
      <c r="EU45" s="104"/>
      <c r="EV45" s="104"/>
      <c r="EW45" s="104"/>
      <c r="EX45" s="104"/>
      <c r="EY45" s="104"/>
      <c r="EZ45" s="104"/>
      <c r="FA45" s="104"/>
      <c r="FB45" s="104"/>
      <c r="FC45" s="104"/>
      <c r="FD45" s="104"/>
      <c r="FE45" s="104"/>
      <c r="FF45" s="104"/>
      <c r="FG45" s="104"/>
      <c r="FH45" s="104"/>
      <c r="FI45" s="104"/>
      <c r="FJ45" s="104"/>
      <c r="FK45" s="104"/>
      <c r="FL45" s="104"/>
      <c r="FM45" s="104"/>
      <c r="FN45" s="104"/>
      <c r="FO45" s="104"/>
      <c r="FP45" s="104"/>
      <c r="FQ45" s="104"/>
      <c r="FR45" s="104"/>
      <c r="FS45" s="104"/>
      <c r="FT45" s="104"/>
      <c r="FU45" s="104"/>
      <c r="FV45" s="104"/>
      <c r="FW45" s="104"/>
      <c r="FX45" s="104"/>
      <c r="FY45" s="104"/>
      <c r="FZ45" s="104"/>
      <c r="GA45" s="104"/>
      <c r="GB45" s="104"/>
      <c r="GC45" s="104"/>
      <c r="GD45" s="104"/>
      <c r="GE45" s="104"/>
      <c r="GF45" s="104"/>
      <c r="GG45" s="104"/>
      <c r="GH45" s="104"/>
      <c r="GI45" s="104"/>
      <c r="GJ45" s="104"/>
      <c r="GK45" s="104"/>
      <c r="GL45" s="104"/>
      <c r="GM45" s="104"/>
      <c r="GN45" s="104"/>
      <c r="GO45" s="104"/>
      <c r="GP45" s="104"/>
      <c r="GQ45" s="104"/>
      <c r="GR45" s="104"/>
      <c r="GS45" s="104"/>
      <c r="GT45" s="104"/>
      <c r="GU45" s="104"/>
      <c r="GV45" s="104"/>
      <c r="GW45" s="104"/>
      <c r="GX45" s="104"/>
      <c r="GY45" s="104"/>
      <c r="GZ45" s="104"/>
      <c r="HA45" s="104"/>
      <c r="HB45" s="104"/>
      <c r="HC45" s="104"/>
      <c r="HD45" s="104"/>
      <c r="HE45" s="104"/>
      <c r="HF45" s="104"/>
      <c r="HG45" s="104"/>
      <c r="HH45" s="104"/>
      <c r="HI45" s="104"/>
      <c r="HJ45" s="104"/>
      <c r="HK45" s="104"/>
      <c r="HL45" s="104"/>
      <c r="HM45" s="104"/>
      <c r="HN45" s="104"/>
      <c r="HO45" s="104"/>
      <c r="HP45" s="104"/>
      <c r="HQ45" s="104"/>
      <c r="HR45" s="104"/>
      <c r="HS45" s="104"/>
      <c r="HT45" s="104"/>
      <c r="HU45" s="104"/>
      <c r="HV45" s="104"/>
      <c r="HW45" s="104"/>
      <c r="HX45" s="104"/>
      <c r="HY45" s="104"/>
      <c r="HZ45" s="104"/>
      <c r="IA45" s="104"/>
      <c r="IB45" s="104"/>
      <c r="IC45" s="104"/>
      <c r="ID45" s="104"/>
      <c r="IE45" s="104"/>
      <c r="IF45" s="104"/>
      <c r="IG45" s="104"/>
      <c r="IH45" s="104"/>
      <c r="II45" s="104"/>
      <c r="IJ45" s="104"/>
      <c r="IK45" s="104"/>
      <c r="IL45" s="104"/>
      <c r="IM45" s="104"/>
      <c r="IN45" s="104"/>
      <c r="IO45" s="104"/>
      <c r="IP45" s="104"/>
      <c r="IQ45" s="104"/>
      <c r="IR45" s="104"/>
      <c r="IS45" s="104"/>
      <c r="IT45" s="104"/>
      <c r="IU45" s="104"/>
      <c r="IV45" s="104"/>
      <c r="IW45" s="104"/>
      <c r="IX45" s="104"/>
      <c r="IY45" s="104"/>
      <c r="IZ45" s="104"/>
      <c r="JA45" s="104"/>
      <c r="JB45" s="104"/>
      <c r="JC45" s="104"/>
      <c r="JD45" s="104"/>
      <c r="JE45" s="104"/>
    </row>
    <row r="46" spans="1:265" ht="15" customHeight="1" x14ac:dyDescent="0.25">
      <c r="A46" s="182"/>
      <c r="B46" s="182"/>
      <c r="C46" s="182"/>
      <c r="O46" s="169"/>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72"/>
      <c r="AQ46" s="172"/>
      <c r="AR46" s="172"/>
      <c r="AS46" s="104"/>
      <c r="AT46" s="104"/>
      <c r="AU46" s="172"/>
      <c r="AV46" s="172"/>
      <c r="AW46" s="172"/>
      <c r="AX46" s="104"/>
      <c r="AY46" s="104"/>
      <c r="AZ46" s="104"/>
      <c r="BA46" s="104"/>
      <c r="BB46" s="104"/>
      <c r="BC46" s="104"/>
      <c r="BD46" s="104"/>
      <c r="BE46" s="104"/>
      <c r="BF46" s="104"/>
      <c r="BG46" s="104"/>
      <c r="BH46" s="104"/>
      <c r="BI46" s="104"/>
      <c r="BJ46" s="104"/>
      <c r="BK46" s="104"/>
      <c r="BL46" s="104"/>
      <c r="BM46" s="104"/>
      <c r="BN46" s="104"/>
      <c r="BO46" s="104"/>
      <c r="BP46" s="104"/>
      <c r="BQ46" s="104"/>
      <c r="BR46" s="104"/>
      <c r="BS46" s="104"/>
      <c r="BT46" s="104"/>
      <c r="BU46" s="104"/>
      <c r="BV46" s="104"/>
      <c r="BW46" s="104"/>
      <c r="BX46" s="104"/>
      <c r="BY46" s="104"/>
      <c r="BZ46" s="104"/>
      <c r="CA46" s="104"/>
      <c r="CB46" s="104"/>
      <c r="CC46" s="104"/>
      <c r="CD46" s="104"/>
      <c r="CE46" s="104"/>
      <c r="CF46" s="104"/>
      <c r="CG46" s="104"/>
      <c r="CH46" s="104"/>
      <c r="CI46" s="104"/>
      <c r="CJ46" s="104"/>
      <c r="CK46" s="104"/>
      <c r="CL46" s="104"/>
      <c r="CM46" s="104"/>
      <c r="CN46" s="104"/>
      <c r="CO46" s="104"/>
      <c r="CP46" s="104"/>
      <c r="CQ46" s="104"/>
      <c r="CR46" s="104"/>
      <c r="CS46" s="104"/>
      <c r="CT46" s="104"/>
      <c r="CU46" s="104"/>
      <c r="CV46" s="104"/>
      <c r="CW46" s="104"/>
      <c r="CX46" s="104"/>
      <c r="CY46" s="104"/>
      <c r="CZ46" s="104"/>
      <c r="DA46" s="104"/>
      <c r="DB46" s="104"/>
      <c r="DC46" s="104"/>
      <c r="DD46" s="104"/>
      <c r="DE46" s="104"/>
      <c r="DF46" s="104"/>
      <c r="DG46" s="104"/>
      <c r="DH46" s="104"/>
      <c r="DI46" s="104"/>
      <c r="DJ46" s="104"/>
      <c r="DK46" s="104"/>
      <c r="DL46" s="104"/>
      <c r="DM46" s="104"/>
      <c r="DN46" s="104"/>
      <c r="DO46" s="104"/>
      <c r="DP46" s="104"/>
      <c r="DQ46" s="104"/>
      <c r="DR46" s="104"/>
      <c r="DS46" s="104"/>
      <c r="DT46" s="104"/>
      <c r="DU46" s="104"/>
      <c r="DV46" s="104"/>
      <c r="DW46" s="104"/>
      <c r="DX46" s="104"/>
      <c r="DY46" s="104"/>
      <c r="DZ46" s="104"/>
      <c r="EA46" s="104"/>
      <c r="EB46" s="104"/>
      <c r="EC46" s="104"/>
      <c r="ED46" s="104"/>
      <c r="EE46" s="104"/>
      <c r="EF46" s="104"/>
      <c r="EG46" s="104"/>
      <c r="EH46" s="104"/>
      <c r="EI46" s="104"/>
      <c r="EJ46" s="104"/>
      <c r="EK46" s="104"/>
      <c r="EL46" s="104"/>
      <c r="EM46" s="104"/>
      <c r="EN46" s="104"/>
      <c r="EO46" s="104"/>
      <c r="EP46" s="104"/>
      <c r="EQ46" s="104"/>
      <c r="ER46" s="104"/>
      <c r="ES46" s="104"/>
      <c r="ET46" s="104"/>
      <c r="EU46" s="104"/>
      <c r="EV46" s="104"/>
      <c r="EW46" s="104"/>
      <c r="EX46" s="104"/>
      <c r="EY46" s="104"/>
      <c r="EZ46" s="104"/>
      <c r="FA46" s="104"/>
      <c r="FB46" s="104"/>
      <c r="FC46" s="104"/>
      <c r="FD46" s="104"/>
      <c r="FE46" s="104"/>
      <c r="FF46" s="104"/>
      <c r="FG46" s="104"/>
      <c r="FH46" s="104"/>
      <c r="FI46" s="104"/>
      <c r="FJ46" s="104"/>
      <c r="FK46" s="104"/>
      <c r="FL46" s="104"/>
      <c r="FM46" s="104"/>
      <c r="FN46" s="104"/>
      <c r="FO46" s="104"/>
      <c r="FP46" s="104"/>
      <c r="FQ46" s="104"/>
      <c r="FR46" s="104"/>
      <c r="FS46" s="104"/>
      <c r="FT46" s="104"/>
      <c r="FU46" s="104"/>
      <c r="FV46" s="104"/>
      <c r="FW46" s="104"/>
      <c r="FX46" s="104"/>
      <c r="FY46" s="104"/>
      <c r="FZ46" s="104"/>
      <c r="GA46" s="104"/>
      <c r="GB46" s="104"/>
      <c r="GC46" s="104"/>
      <c r="GD46" s="104"/>
      <c r="GE46" s="104"/>
      <c r="GF46" s="104"/>
      <c r="GG46" s="104"/>
      <c r="GH46" s="104"/>
      <c r="GI46" s="104"/>
      <c r="GJ46" s="104"/>
      <c r="GK46" s="104"/>
      <c r="GL46" s="104"/>
      <c r="GM46" s="104"/>
      <c r="GN46" s="104"/>
      <c r="GO46" s="104"/>
      <c r="GP46" s="104"/>
      <c r="GQ46" s="104"/>
      <c r="GR46" s="104"/>
      <c r="GS46" s="104"/>
      <c r="GT46" s="104"/>
      <c r="GU46" s="104"/>
      <c r="GV46" s="104"/>
      <c r="GW46" s="104"/>
      <c r="GX46" s="104"/>
      <c r="GY46" s="104"/>
      <c r="GZ46" s="104"/>
      <c r="HA46" s="104"/>
      <c r="HB46" s="104"/>
      <c r="HC46" s="104"/>
      <c r="HD46" s="104"/>
      <c r="HE46" s="104"/>
      <c r="HF46" s="104"/>
      <c r="HG46" s="104"/>
      <c r="HH46" s="104"/>
      <c r="HI46" s="104"/>
      <c r="HJ46" s="104"/>
      <c r="HK46" s="104"/>
      <c r="HL46" s="104"/>
      <c r="HM46" s="104"/>
      <c r="HN46" s="104"/>
      <c r="HO46" s="104"/>
      <c r="HP46" s="104"/>
      <c r="HQ46" s="104"/>
      <c r="HR46" s="104"/>
      <c r="HS46" s="104"/>
      <c r="HT46" s="104"/>
      <c r="HU46" s="104"/>
      <c r="HV46" s="104"/>
      <c r="HW46" s="104"/>
      <c r="HX46" s="104"/>
      <c r="HY46" s="104"/>
      <c r="HZ46" s="104"/>
      <c r="IA46" s="104"/>
      <c r="IB46" s="104"/>
      <c r="IC46" s="104"/>
      <c r="ID46" s="104"/>
      <c r="IE46" s="104"/>
      <c r="IF46" s="104"/>
      <c r="IG46" s="104"/>
      <c r="IH46" s="104"/>
      <c r="II46" s="104"/>
      <c r="IJ46" s="104"/>
      <c r="IK46" s="104"/>
      <c r="IL46" s="104"/>
      <c r="IM46" s="104"/>
      <c r="IN46" s="104"/>
      <c r="IO46" s="104"/>
      <c r="IP46" s="104"/>
      <c r="IQ46" s="104"/>
      <c r="IR46" s="104"/>
      <c r="IS46" s="104"/>
      <c r="IT46" s="104"/>
      <c r="IU46" s="104"/>
      <c r="IV46" s="104"/>
      <c r="IW46" s="104"/>
      <c r="IX46" s="104"/>
      <c r="IY46" s="104"/>
      <c r="IZ46" s="104"/>
      <c r="JA46" s="104"/>
      <c r="JB46" s="104"/>
      <c r="JC46" s="104"/>
      <c r="JD46" s="104"/>
      <c r="JE46" s="104"/>
    </row>
    <row r="47" spans="1:265" ht="15" customHeight="1" x14ac:dyDescent="0.25">
      <c r="A47" s="182"/>
      <c r="B47" s="182"/>
      <c r="C47" s="182"/>
      <c r="O47" s="169"/>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72"/>
      <c r="AQ47" s="172"/>
      <c r="AR47" s="172"/>
      <c r="AS47" s="104"/>
      <c r="AT47" s="104"/>
      <c r="AU47" s="172"/>
      <c r="AV47" s="172"/>
      <c r="AW47" s="172"/>
      <c r="AX47" s="104"/>
      <c r="AY47" s="104"/>
      <c r="AZ47" s="104"/>
      <c r="BA47" s="104"/>
      <c r="BB47" s="104"/>
      <c r="BC47" s="104"/>
      <c r="BD47" s="104"/>
      <c r="BE47" s="104"/>
      <c r="BF47" s="104"/>
      <c r="BG47" s="104"/>
      <c r="BH47" s="104"/>
      <c r="BI47" s="104"/>
      <c r="BJ47" s="104"/>
      <c r="BK47" s="104"/>
      <c r="BL47" s="104"/>
      <c r="BM47" s="104"/>
      <c r="BN47" s="104"/>
      <c r="BO47" s="104"/>
      <c r="BP47" s="104"/>
      <c r="BQ47" s="104"/>
      <c r="BR47" s="104"/>
      <c r="BS47" s="104"/>
      <c r="BT47" s="104"/>
      <c r="BU47" s="104"/>
      <c r="BV47" s="104"/>
      <c r="BW47" s="104"/>
      <c r="BX47" s="104"/>
      <c r="BY47" s="104"/>
      <c r="BZ47" s="104"/>
      <c r="CA47" s="104"/>
      <c r="CB47" s="104"/>
      <c r="CC47" s="104"/>
      <c r="CD47" s="104"/>
      <c r="CE47" s="104"/>
      <c r="CF47" s="104"/>
      <c r="CG47" s="104"/>
      <c r="CH47" s="104"/>
      <c r="CI47" s="104"/>
      <c r="CJ47" s="104"/>
      <c r="CK47" s="104"/>
      <c r="CL47" s="104"/>
      <c r="CM47" s="104"/>
      <c r="CN47" s="104"/>
      <c r="CO47" s="104"/>
      <c r="CP47" s="104"/>
      <c r="CQ47" s="104"/>
      <c r="CR47" s="104"/>
      <c r="CS47" s="104"/>
      <c r="CT47" s="104"/>
      <c r="CU47" s="104"/>
      <c r="CV47" s="104"/>
      <c r="CW47" s="104"/>
      <c r="CX47" s="104"/>
      <c r="CY47" s="104"/>
      <c r="CZ47" s="104"/>
      <c r="DA47" s="104"/>
      <c r="DB47" s="104"/>
      <c r="DC47" s="104"/>
      <c r="DD47" s="104"/>
      <c r="DE47" s="104"/>
      <c r="DF47" s="104"/>
      <c r="DG47" s="104"/>
      <c r="DH47" s="104"/>
      <c r="DI47" s="104"/>
      <c r="DJ47" s="104"/>
      <c r="DK47" s="104"/>
      <c r="DL47" s="104"/>
      <c r="DM47" s="104"/>
      <c r="DN47" s="104"/>
      <c r="DO47" s="104"/>
      <c r="DP47" s="104"/>
      <c r="DQ47" s="104"/>
      <c r="DR47" s="104"/>
      <c r="DS47" s="104"/>
      <c r="DT47" s="104"/>
      <c r="DU47" s="104"/>
      <c r="DV47" s="104"/>
      <c r="DW47" s="104"/>
      <c r="DX47" s="104"/>
      <c r="DY47" s="104"/>
      <c r="DZ47" s="104"/>
      <c r="EA47" s="104"/>
      <c r="EB47" s="104"/>
      <c r="EC47" s="104"/>
      <c r="ED47" s="104"/>
      <c r="EE47" s="104"/>
      <c r="EF47" s="104"/>
      <c r="EG47" s="104"/>
      <c r="EH47" s="104"/>
      <c r="EI47" s="104"/>
      <c r="EJ47" s="104"/>
      <c r="EK47" s="104"/>
      <c r="EL47" s="104"/>
      <c r="EM47" s="104"/>
      <c r="EN47" s="104"/>
      <c r="EO47" s="104"/>
      <c r="EP47" s="104"/>
      <c r="EQ47" s="104"/>
      <c r="ER47" s="104"/>
      <c r="ES47" s="104"/>
      <c r="ET47" s="104"/>
      <c r="EU47" s="104"/>
      <c r="EV47" s="104"/>
      <c r="EW47" s="104"/>
      <c r="EX47" s="104"/>
      <c r="EY47" s="104"/>
      <c r="EZ47" s="104"/>
      <c r="FA47" s="104"/>
      <c r="FB47" s="104"/>
      <c r="FC47" s="104"/>
      <c r="FD47" s="104"/>
      <c r="FE47" s="104"/>
      <c r="FF47" s="104"/>
      <c r="FG47" s="104"/>
      <c r="FH47" s="104"/>
      <c r="FI47" s="104"/>
      <c r="FJ47" s="104"/>
      <c r="FK47" s="104"/>
      <c r="FL47" s="104"/>
      <c r="FM47" s="104"/>
      <c r="FN47" s="104"/>
      <c r="FO47" s="104"/>
      <c r="FP47" s="104"/>
      <c r="FQ47" s="104"/>
      <c r="FR47" s="104"/>
      <c r="FS47" s="104"/>
      <c r="FT47" s="104"/>
      <c r="FU47" s="104"/>
      <c r="FV47" s="104"/>
      <c r="FW47" s="104"/>
      <c r="FX47" s="104"/>
      <c r="FY47" s="104"/>
      <c r="FZ47" s="104"/>
      <c r="GA47" s="104"/>
      <c r="GB47" s="104"/>
      <c r="GC47" s="104"/>
      <c r="GD47" s="104"/>
      <c r="GE47" s="104"/>
      <c r="GF47" s="104"/>
      <c r="GG47" s="104"/>
      <c r="GH47" s="104"/>
      <c r="GI47" s="104"/>
      <c r="GJ47" s="104"/>
      <c r="GK47" s="104"/>
      <c r="GL47" s="104"/>
      <c r="GM47" s="104"/>
      <c r="GN47" s="104"/>
      <c r="GO47" s="104"/>
      <c r="GP47" s="104"/>
      <c r="GQ47" s="104"/>
      <c r="GR47" s="104"/>
      <c r="GS47" s="104"/>
      <c r="GT47" s="104"/>
      <c r="GU47" s="104"/>
      <c r="GV47" s="104"/>
      <c r="GW47" s="104"/>
      <c r="GX47" s="104"/>
      <c r="GY47" s="104"/>
      <c r="GZ47" s="104"/>
      <c r="HA47" s="104"/>
      <c r="HB47" s="104"/>
      <c r="HC47" s="104"/>
      <c r="HD47" s="104"/>
      <c r="HE47" s="104"/>
      <c r="HF47" s="104"/>
      <c r="HG47" s="104"/>
      <c r="HH47" s="104"/>
      <c r="HI47" s="104"/>
      <c r="HJ47" s="104"/>
      <c r="HK47" s="104"/>
      <c r="HL47" s="104"/>
      <c r="HM47" s="104"/>
      <c r="HN47" s="104"/>
      <c r="HO47" s="104"/>
      <c r="HP47" s="104"/>
      <c r="HQ47" s="104"/>
      <c r="HR47" s="104"/>
      <c r="HS47" s="104"/>
      <c r="HT47" s="104"/>
      <c r="HU47" s="104"/>
      <c r="HV47" s="104"/>
      <c r="HW47" s="104"/>
      <c r="HX47" s="104"/>
      <c r="HY47" s="104"/>
      <c r="HZ47" s="104"/>
      <c r="IA47" s="104"/>
      <c r="IB47" s="104"/>
      <c r="IC47" s="104"/>
      <c r="ID47" s="104"/>
      <c r="IE47" s="104"/>
      <c r="IF47" s="104"/>
      <c r="IG47" s="104"/>
      <c r="IH47" s="104"/>
      <c r="II47" s="104"/>
      <c r="IJ47" s="104"/>
      <c r="IK47" s="104"/>
      <c r="IL47" s="104"/>
      <c r="IM47" s="104"/>
      <c r="IN47" s="104"/>
      <c r="IO47" s="104"/>
      <c r="IP47" s="104"/>
      <c r="IQ47" s="104"/>
      <c r="IR47" s="104"/>
      <c r="IS47" s="104"/>
      <c r="IT47" s="104"/>
      <c r="IU47" s="104"/>
      <c r="IV47" s="104"/>
      <c r="IW47" s="104"/>
      <c r="IX47" s="104"/>
      <c r="IY47" s="104"/>
      <c r="IZ47" s="104"/>
      <c r="JA47" s="104"/>
      <c r="JB47" s="104"/>
      <c r="JC47" s="104"/>
      <c r="JD47" s="104"/>
      <c r="JE47" s="104"/>
    </row>
    <row r="48" spans="1:265" ht="15" customHeight="1" x14ac:dyDescent="0.25">
      <c r="A48" s="182"/>
      <c r="B48" s="182"/>
      <c r="C48" s="182"/>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4"/>
      <c r="AO48" s="104"/>
      <c r="AP48" s="172"/>
      <c r="AQ48" s="172"/>
      <c r="AR48" s="172"/>
      <c r="AS48" s="104"/>
      <c r="AT48" s="104"/>
      <c r="AU48" s="172"/>
      <c r="AV48" s="172"/>
      <c r="AW48" s="172"/>
      <c r="AX48" s="104"/>
      <c r="AY48" s="104"/>
      <c r="AZ48" s="104"/>
      <c r="BA48" s="104"/>
      <c r="BB48" s="104"/>
      <c r="BC48" s="104"/>
      <c r="BD48" s="104"/>
      <c r="BE48" s="104"/>
      <c r="BF48" s="104"/>
      <c r="BG48" s="104"/>
      <c r="BH48" s="104"/>
      <c r="BI48" s="104"/>
      <c r="BJ48" s="104"/>
      <c r="BK48" s="104"/>
      <c r="BL48" s="104"/>
      <c r="BM48" s="104"/>
      <c r="BN48" s="104"/>
      <c r="BO48" s="104"/>
      <c r="BP48" s="104"/>
      <c r="BQ48" s="104"/>
      <c r="BR48" s="104"/>
      <c r="BS48" s="104"/>
      <c r="BT48" s="104"/>
      <c r="BU48" s="104"/>
      <c r="BV48" s="104"/>
      <c r="BW48" s="104"/>
      <c r="BX48" s="104"/>
      <c r="BY48" s="104"/>
      <c r="BZ48" s="104"/>
      <c r="CA48" s="104"/>
      <c r="CB48" s="104"/>
      <c r="CC48" s="104"/>
      <c r="CD48" s="104"/>
      <c r="CE48" s="104"/>
      <c r="CF48" s="104"/>
      <c r="CG48" s="104"/>
      <c r="CH48" s="104"/>
      <c r="CI48" s="104"/>
      <c r="CJ48" s="104"/>
      <c r="CK48" s="104"/>
      <c r="CL48" s="104"/>
      <c r="CM48" s="104"/>
      <c r="CN48" s="104"/>
      <c r="CO48" s="104"/>
      <c r="CP48" s="104"/>
      <c r="CQ48" s="104"/>
      <c r="CR48" s="104"/>
      <c r="CS48" s="104"/>
      <c r="CT48" s="104"/>
      <c r="CU48" s="104"/>
      <c r="CV48" s="104"/>
      <c r="CW48" s="104"/>
      <c r="CX48" s="104"/>
      <c r="CY48" s="104"/>
      <c r="CZ48" s="104"/>
      <c r="DA48" s="104"/>
      <c r="DB48" s="104"/>
      <c r="DC48" s="104"/>
      <c r="DD48" s="104"/>
      <c r="DE48" s="104"/>
      <c r="DF48" s="104"/>
      <c r="DG48" s="104"/>
      <c r="DH48" s="104"/>
      <c r="DI48" s="104"/>
      <c r="DJ48" s="104"/>
      <c r="DK48" s="10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c r="FF48" s="104"/>
      <c r="FG48" s="104"/>
      <c r="FH48" s="104"/>
      <c r="FI48" s="104"/>
      <c r="FJ48" s="104"/>
      <c r="FK48" s="104"/>
      <c r="FL48" s="104"/>
      <c r="FM48" s="104"/>
      <c r="FN48" s="104"/>
      <c r="FO48" s="104"/>
      <c r="FP48" s="104"/>
      <c r="FQ48" s="104"/>
      <c r="FR48" s="104"/>
      <c r="FS48" s="104"/>
      <c r="FT48" s="104"/>
      <c r="FU48" s="104"/>
      <c r="FV48" s="104"/>
      <c r="FW48" s="104"/>
      <c r="FX48" s="104"/>
      <c r="FY48" s="104"/>
      <c r="FZ48" s="104"/>
      <c r="GA48" s="104"/>
      <c r="GB48" s="104"/>
      <c r="GC48" s="104"/>
      <c r="GD48" s="104"/>
      <c r="GE48" s="104"/>
      <c r="GF48" s="104"/>
      <c r="GG48" s="104"/>
      <c r="GH48" s="104"/>
      <c r="GI48" s="104"/>
      <c r="GJ48" s="104"/>
      <c r="GK48" s="104"/>
      <c r="GL48" s="104"/>
      <c r="GM48" s="104"/>
      <c r="GN48" s="104"/>
      <c r="GO48" s="104"/>
      <c r="GP48" s="104"/>
      <c r="GQ48" s="104"/>
      <c r="GR48" s="104"/>
      <c r="GS48" s="104"/>
      <c r="GT48" s="104"/>
      <c r="GU48" s="104"/>
      <c r="GV48" s="104"/>
      <c r="GW48" s="104"/>
      <c r="GX48" s="104"/>
      <c r="GY48" s="104"/>
      <c r="GZ48" s="104"/>
      <c r="HA48" s="104"/>
      <c r="HB48" s="104"/>
      <c r="HC48" s="104"/>
      <c r="HD48" s="104"/>
      <c r="HE48" s="104"/>
      <c r="HF48" s="104"/>
      <c r="HG48" s="104"/>
      <c r="HH48" s="104"/>
      <c r="HI48" s="104"/>
      <c r="HJ48" s="104"/>
      <c r="HK48" s="104"/>
      <c r="HL48" s="104"/>
      <c r="HM48" s="104"/>
      <c r="HN48" s="104"/>
      <c r="HO48" s="104"/>
      <c r="HP48" s="104"/>
      <c r="HQ48" s="104"/>
      <c r="HR48" s="104"/>
      <c r="HS48" s="104"/>
      <c r="HT48" s="104"/>
      <c r="HU48" s="104"/>
      <c r="HV48" s="104"/>
      <c r="HW48" s="104"/>
      <c r="HX48" s="104"/>
      <c r="HY48" s="104"/>
      <c r="HZ48" s="104"/>
      <c r="IA48" s="104"/>
      <c r="IB48" s="104"/>
      <c r="IC48" s="104"/>
      <c r="ID48" s="104"/>
      <c r="IE48" s="104"/>
      <c r="IF48" s="104"/>
      <c r="IG48" s="104"/>
      <c r="IH48" s="104"/>
      <c r="II48" s="104"/>
      <c r="IJ48" s="104"/>
      <c r="IK48" s="104"/>
      <c r="IL48" s="104"/>
      <c r="IM48" s="104"/>
      <c r="IN48" s="104"/>
      <c r="IO48" s="104"/>
      <c r="IP48" s="104"/>
      <c r="IQ48" s="104"/>
      <c r="IR48" s="104"/>
      <c r="IS48" s="104"/>
      <c r="IT48" s="104"/>
      <c r="IU48" s="104"/>
      <c r="IV48" s="104"/>
      <c r="IW48" s="104"/>
      <c r="IX48" s="104"/>
      <c r="IY48" s="104"/>
      <c r="IZ48" s="104"/>
      <c r="JA48" s="104"/>
      <c r="JB48" s="104"/>
      <c r="JC48" s="104"/>
      <c r="JD48" s="104"/>
      <c r="JE48" s="104"/>
    </row>
    <row r="49" spans="1:265" ht="15" customHeight="1" x14ac:dyDescent="0.25">
      <c r="A49" s="182"/>
      <c r="B49" s="182"/>
      <c r="C49" s="182"/>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72"/>
      <c r="AQ49" s="172"/>
      <c r="AR49" s="172"/>
      <c r="AS49" s="104"/>
      <c r="AT49" s="104"/>
      <c r="AU49" s="172"/>
      <c r="AV49" s="172"/>
      <c r="AW49" s="172"/>
      <c r="AX49" s="104"/>
      <c r="AY49" s="104"/>
      <c r="AZ49" s="104"/>
      <c r="BA49" s="104"/>
      <c r="BB49" s="104"/>
      <c r="BC49" s="104"/>
      <c r="BD49" s="104"/>
      <c r="BE49" s="104"/>
      <c r="BF49" s="104"/>
      <c r="BG49" s="104"/>
      <c r="BH49" s="104"/>
      <c r="BI49" s="104"/>
      <c r="BJ49" s="104"/>
      <c r="BK49" s="104"/>
      <c r="BL49" s="104"/>
      <c r="BM49" s="104"/>
      <c r="BN49" s="104"/>
      <c r="BO49" s="104"/>
      <c r="BP49" s="104"/>
      <c r="BQ49" s="104"/>
      <c r="BR49" s="104"/>
      <c r="BS49" s="104"/>
      <c r="BT49" s="104"/>
      <c r="BU49" s="104"/>
      <c r="BV49" s="104"/>
      <c r="BW49" s="104"/>
      <c r="BX49" s="104"/>
      <c r="BY49" s="104"/>
      <c r="BZ49" s="104"/>
      <c r="CA49" s="104"/>
      <c r="CB49" s="104"/>
      <c r="CC49" s="104"/>
      <c r="CD49" s="104"/>
      <c r="CE49" s="104"/>
      <c r="CF49" s="104"/>
      <c r="CG49" s="104"/>
      <c r="CH49" s="104"/>
      <c r="CI49" s="104"/>
      <c r="CJ49" s="104"/>
      <c r="CK49" s="104"/>
      <c r="CL49" s="104"/>
      <c r="CM49" s="104"/>
      <c r="CN49" s="104"/>
      <c r="CO49" s="104"/>
      <c r="CP49" s="104"/>
      <c r="CQ49" s="104"/>
      <c r="CR49" s="104"/>
      <c r="CS49" s="104"/>
      <c r="CT49" s="104"/>
      <c r="CU49" s="104"/>
      <c r="CV49" s="104"/>
      <c r="CW49" s="104"/>
      <c r="CX49" s="104"/>
      <c r="CY49" s="104"/>
      <c r="CZ49" s="104"/>
      <c r="DA49" s="104"/>
      <c r="DB49" s="104"/>
      <c r="DC49" s="104"/>
      <c r="DD49" s="104"/>
      <c r="DE49" s="104"/>
      <c r="DF49" s="104"/>
      <c r="DG49" s="104"/>
      <c r="DH49" s="104"/>
      <c r="DI49" s="104"/>
      <c r="DJ49" s="104"/>
      <c r="DK49" s="104"/>
      <c r="DL49" s="104"/>
      <c r="DM49" s="104"/>
      <c r="DN49" s="104"/>
      <c r="DO49" s="104"/>
      <c r="DP49" s="104"/>
      <c r="DQ49" s="104"/>
      <c r="DR49" s="104"/>
      <c r="DS49" s="104"/>
      <c r="DT49" s="104"/>
      <c r="DU49" s="104"/>
      <c r="DV49" s="104"/>
      <c r="DW49" s="104"/>
      <c r="DX49" s="104"/>
      <c r="DY49" s="104"/>
      <c r="DZ49" s="104"/>
      <c r="EA49" s="104"/>
      <c r="EB49" s="104"/>
      <c r="EC49" s="104"/>
      <c r="ED49" s="104"/>
      <c r="EE49" s="104"/>
      <c r="EF49" s="104"/>
      <c r="EG49" s="104"/>
      <c r="EH49" s="104"/>
      <c r="EI49" s="104"/>
      <c r="EJ49" s="104"/>
      <c r="EK49" s="104"/>
      <c r="EL49" s="104"/>
      <c r="EM49" s="104"/>
      <c r="EN49" s="104"/>
      <c r="EO49" s="104"/>
      <c r="EP49" s="104"/>
      <c r="EQ49" s="104"/>
      <c r="ER49" s="104"/>
      <c r="ES49" s="104"/>
      <c r="ET49" s="104"/>
      <c r="EU49" s="104"/>
      <c r="EV49" s="104"/>
      <c r="EW49" s="104"/>
      <c r="EX49" s="104"/>
      <c r="EY49" s="104"/>
      <c r="EZ49" s="104"/>
      <c r="FA49" s="104"/>
      <c r="FB49" s="104"/>
      <c r="FC49" s="104"/>
      <c r="FD49" s="104"/>
      <c r="FE49" s="104"/>
      <c r="FF49" s="104"/>
      <c r="FG49" s="104"/>
      <c r="FH49" s="104"/>
      <c r="FI49" s="104"/>
      <c r="FJ49" s="104"/>
      <c r="FK49" s="104"/>
      <c r="FL49" s="104"/>
      <c r="FM49" s="104"/>
      <c r="FN49" s="104"/>
      <c r="FO49" s="104"/>
      <c r="FP49" s="104"/>
      <c r="FQ49" s="104"/>
      <c r="FR49" s="104"/>
      <c r="FS49" s="104"/>
      <c r="FT49" s="104"/>
      <c r="FU49" s="104"/>
      <c r="FV49" s="104"/>
      <c r="FW49" s="104"/>
      <c r="FX49" s="104"/>
      <c r="FY49" s="104"/>
      <c r="FZ49" s="104"/>
      <c r="GA49" s="104"/>
      <c r="GB49" s="104"/>
      <c r="GC49" s="104"/>
      <c r="GD49" s="104"/>
      <c r="GE49" s="104"/>
      <c r="GF49" s="104"/>
      <c r="GG49" s="104"/>
      <c r="GH49" s="104"/>
      <c r="GI49" s="104"/>
      <c r="GJ49" s="104"/>
      <c r="GK49" s="104"/>
      <c r="GL49" s="104"/>
      <c r="GM49" s="104"/>
      <c r="GN49" s="104"/>
      <c r="GO49" s="104"/>
      <c r="GP49" s="104"/>
      <c r="GQ49" s="104"/>
      <c r="GR49" s="104"/>
      <c r="GS49" s="104"/>
      <c r="GT49" s="104"/>
      <c r="GU49" s="104"/>
      <c r="GV49" s="104"/>
      <c r="GW49" s="104"/>
      <c r="GX49" s="104"/>
      <c r="GY49" s="104"/>
      <c r="GZ49" s="104"/>
      <c r="HA49" s="104"/>
      <c r="HB49" s="104"/>
      <c r="HC49" s="104"/>
      <c r="HD49" s="104"/>
      <c r="HE49" s="104"/>
      <c r="HF49" s="104"/>
      <c r="HG49" s="104"/>
      <c r="HH49" s="104"/>
      <c r="HI49" s="104"/>
      <c r="HJ49" s="104"/>
      <c r="HK49" s="104"/>
      <c r="HL49" s="104"/>
      <c r="HM49" s="104"/>
      <c r="HN49" s="104"/>
      <c r="HO49" s="104"/>
      <c r="HP49" s="104"/>
      <c r="HQ49" s="104"/>
      <c r="HR49" s="104"/>
      <c r="HS49" s="104"/>
      <c r="HT49" s="104"/>
      <c r="HU49" s="104"/>
      <c r="HV49" s="104"/>
      <c r="HW49" s="104"/>
      <c r="HX49" s="104"/>
      <c r="HY49" s="104"/>
      <c r="HZ49" s="104"/>
      <c r="IA49" s="104"/>
      <c r="IB49" s="104"/>
      <c r="IC49" s="104"/>
      <c r="ID49" s="104"/>
      <c r="IE49" s="104"/>
      <c r="IF49" s="104"/>
      <c r="IG49" s="104"/>
      <c r="IH49" s="104"/>
      <c r="II49" s="104"/>
      <c r="IJ49" s="104"/>
      <c r="IK49" s="104"/>
      <c r="IL49" s="104"/>
      <c r="IM49" s="104"/>
      <c r="IN49" s="104"/>
      <c r="IO49" s="104"/>
      <c r="IP49" s="104"/>
      <c r="IQ49" s="104"/>
      <c r="IR49" s="104"/>
      <c r="IS49" s="104"/>
      <c r="IT49" s="104"/>
      <c r="IU49" s="104"/>
      <c r="IV49" s="104"/>
      <c r="IW49" s="104"/>
      <c r="IX49" s="104"/>
      <c r="IY49" s="104"/>
      <c r="IZ49" s="104"/>
      <c r="JA49" s="104"/>
      <c r="JB49" s="104"/>
      <c r="JC49" s="104"/>
      <c r="JD49" s="104"/>
      <c r="JE49" s="104"/>
    </row>
    <row r="50" spans="1:265" ht="15.75" customHeight="1" x14ac:dyDescent="0.25">
      <c r="A50" s="182"/>
      <c r="B50" s="182"/>
      <c r="C50" s="182"/>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72"/>
      <c r="AQ50" s="172"/>
      <c r="AR50" s="172"/>
      <c r="AS50" s="104"/>
      <c r="AT50" s="104"/>
      <c r="AU50" s="172"/>
      <c r="AV50" s="172"/>
      <c r="AW50" s="172"/>
      <c r="AX50" s="104"/>
      <c r="AY50" s="104"/>
      <c r="AZ50" s="104"/>
      <c r="BA50" s="104"/>
      <c r="BB50" s="104"/>
      <c r="BC50" s="104"/>
      <c r="BD50" s="104"/>
      <c r="BE50" s="104"/>
      <c r="BF50" s="104"/>
      <c r="BG50" s="104"/>
      <c r="BH50" s="104"/>
      <c r="BI50" s="104"/>
      <c r="BJ50" s="104"/>
      <c r="BK50" s="104"/>
      <c r="BL50" s="104"/>
      <c r="BM50" s="104"/>
      <c r="BN50" s="104"/>
      <c r="BO50" s="104"/>
      <c r="BP50" s="104"/>
      <c r="BQ50" s="104"/>
      <c r="BR50" s="104"/>
      <c r="BS50" s="104"/>
      <c r="BT50" s="104"/>
      <c r="BU50" s="104"/>
      <c r="BV50" s="104"/>
      <c r="BW50" s="104"/>
      <c r="BX50" s="104"/>
      <c r="BY50" s="104"/>
      <c r="BZ50" s="104"/>
      <c r="CA50" s="104"/>
      <c r="CB50" s="104"/>
      <c r="CC50" s="104"/>
      <c r="CD50" s="104"/>
      <c r="CE50" s="104"/>
      <c r="CF50" s="104"/>
      <c r="CG50" s="104"/>
      <c r="CH50" s="104"/>
      <c r="CI50" s="104"/>
      <c r="CJ50" s="104"/>
      <c r="CK50" s="104"/>
      <c r="CL50" s="104"/>
      <c r="CM50" s="104"/>
      <c r="CN50" s="104"/>
      <c r="CO50" s="104"/>
      <c r="CP50" s="104"/>
      <c r="CQ50" s="104"/>
      <c r="CR50" s="104"/>
      <c r="CS50" s="104"/>
      <c r="CT50" s="104"/>
      <c r="CU50" s="104"/>
      <c r="CV50" s="104"/>
      <c r="CW50" s="104"/>
      <c r="CX50" s="104"/>
      <c r="CY50" s="104"/>
      <c r="CZ50" s="104"/>
      <c r="DA50" s="104"/>
      <c r="DB50" s="104"/>
      <c r="DC50" s="104"/>
      <c r="DD50" s="104"/>
      <c r="DE50" s="104"/>
      <c r="DF50" s="104"/>
      <c r="DG50" s="104"/>
      <c r="DH50" s="104"/>
      <c r="DI50" s="104"/>
      <c r="DJ50" s="104"/>
      <c r="DK50" s="104"/>
      <c r="DL50" s="104"/>
      <c r="DM50" s="104"/>
      <c r="DN50" s="104"/>
      <c r="DO50" s="104"/>
      <c r="DP50" s="104"/>
      <c r="DQ50" s="104"/>
      <c r="DR50" s="104"/>
      <c r="DS50" s="104"/>
      <c r="DT50" s="104"/>
      <c r="DU50" s="104"/>
      <c r="DV50" s="104"/>
      <c r="DW50" s="104"/>
      <c r="DX50" s="104"/>
      <c r="DY50" s="104"/>
      <c r="DZ50" s="104"/>
      <c r="EA50" s="104"/>
      <c r="EB50" s="104"/>
      <c r="EC50" s="104"/>
      <c r="ED50" s="104"/>
      <c r="EE50" s="104"/>
      <c r="EF50" s="104"/>
      <c r="EG50" s="104"/>
      <c r="EH50" s="104"/>
      <c r="EI50" s="104"/>
      <c r="EJ50" s="104"/>
      <c r="EK50" s="104"/>
      <c r="EL50" s="104"/>
      <c r="EM50" s="104"/>
      <c r="EN50" s="104"/>
      <c r="EO50" s="104"/>
      <c r="EP50" s="104"/>
      <c r="EQ50" s="104"/>
      <c r="ER50" s="104"/>
      <c r="ES50" s="104"/>
      <c r="ET50" s="104"/>
      <c r="EU50" s="104"/>
      <c r="EV50" s="104"/>
      <c r="EW50" s="104"/>
      <c r="EX50" s="104"/>
      <c r="EY50" s="104"/>
      <c r="EZ50" s="104"/>
      <c r="FA50" s="104"/>
      <c r="FB50" s="104"/>
      <c r="FC50" s="104"/>
      <c r="FD50" s="104"/>
      <c r="FE50" s="104"/>
      <c r="FF50" s="104"/>
      <c r="FG50" s="104"/>
      <c r="FH50" s="104"/>
      <c r="FI50" s="104"/>
      <c r="FJ50" s="104"/>
      <c r="FK50" s="104"/>
      <c r="FL50" s="104"/>
      <c r="FM50" s="104"/>
      <c r="FN50" s="104"/>
      <c r="FO50" s="104"/>
      <c r="FP50" s="104"/>
      <c r="FQ50" s="104"/>
      <c r="FR50" s="104"/>
      <c r="FS50" s="104"/>
      <c r="FT50" s="104"/>
      <c r="FU50" s="104"/>
      <c r="FV50" s="104"/>
      <c r="FW50" s="104"/>
      <c r="FX50" s="104"/>
      <c r="FY50" s="104"/>
      <c r="FZ50" s="104"/>
      <c r="GA50" s="104"/>
      <c r="GB50" s="104"/>
      <c r="GC50" s="104"/>
      <c r="GD50" s="104"/>
      <c r="GE50" s="104"/>
      <c r="GF50" s="104"/>
      <c r="GG50" s="104"/>
      <c r="GH50" s="104"/>
      <c r="GI50" s="104"/>
      <c r="GJ50" s="104"/>
      <c r="GK50" s="104"/>
      <c r="GL50" s="104"/>
      <c r="GM50" s="104"/>
      <c r="GN50" s="104"/>
      <c r="GO50" s="104"/>
      <c r="GP50" s="104"/>
      <c r="GQ50" s="104"/>
      <c r="GR50" s="104"/>
      <c r="GS50" s="104"/>
      <c r="GT50" s="104"/>
      <c r="GU50" s="104"/>
      <c r="GV50" s="104"/>
      <c r="GW50" s="104"/>
      <c r="GX50" s="104"/>
      <c r="GY50" s="104"/>
      <c r="GZ50" s="104"/>
      <c r="HA50" s="104"/>
      <c r="HB50" s="104"/>
      <c r="HC50" s="104"/>
      <c r="HD50" s="104"/>
      <c r="HE50" s="104"/>
      <c r="HF50" s="104"/>
      <c r="HG50" s="104"/>
      <c r="HH50" s="104"/>
      <c r="HI50" s="104"/>
      <c r="HJ50" s="104"/>
      <c r="HK50" s="104"/>
      <c r="HL50" s="104"/>
      <c r="HM50" s="104"/>
      <c r="HN50" s="104"/>
      <c r="HO50" s="104"/>
      <c r="HP50" s="104"/>
      <c r="HQ50" s="104"/>
      <c r="HR50" s="104"/>
      <c r="HS50" s="104"/>
      <c r="HT50" s="104"/>
      <c r="HU50" s="104"/>
      <c r="HV50" s="104"/>
      <c r="HW50" s="104"/>
      <c r="HX50" s="104"/>
      <c r="HY50" s="104"/>
      <c r="HZ50" s="104"/>
      <c r="IA50" s="104"/>
      <c r="IB50" s="104"/>
      <c r="IC50" s="104"/>
      <c r="ID50" s="104"/>
      <c r="IE50" s="104"/>
      <c r="IF50" s="104"/>
      <c r="IG50" s="104"/>
      <c r="IH50" s="104"/>
      <c r="II50" s="104"/>
      <c r="IJ50" s="104"/>
      <c r="IK50" s="104"/>
      <c r="IL50" s="104"/>
      <c r="IM50" s="104"/>
      <c r="IN50" s="104"/>
      <c r="IO50" s="104"/>
      <c r="IP50" s="104"/>
      <c r="IQ50" s="104"/>
      <c r="IR50" s="104"/>
      <c r="IS50" s="104"/>
      <c r="IT50" s="104"/>
      <c r="IU50" s="104"/>
      <c r="IV50" s="104"/>
      <c r="IW50" s="104"/>
      <c r="IX50" s="104"/>
      <c r="IY50" s="104"/>
      <c r="IZ50" s="104"/>
      <c r="JA50" s="104"/>
      <c r="JB50" s="104"/>
      <c r="JC50" s="104"/>
      <c r="JD50" s="104"/>
      <c r="JE50" s="104"/>
    </row>
    <row r="51" spans="1:265" ht="15" customHeight="1" x14ac:dyDescent="0.25">
      <c r="B51" s="9"/>
      <c r="C51" s="9"/>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04"/>
      <c r="AO51" s="104"/>
      <c r="AP51" s="172"/>
      <c r="AQ51" s="172"/>
      <c r="AR51" s="172"/>
      <c r="AS51" s="104"/>
      <c r="AT51" s="104"/>
      <c r="AU51" s="172"/>
      <c r="AV51" s="172"/>
      <c r="AW51" s="172"/>
      <c r="AX51" s="104"/>
      <c r="AY51" s="104"/>
      <c r="AZ51" s="104"/>
      <c r="BA51" s="104"/>
      <c r="BB51" s="104"/>
      <c r="BC51" s="104"/>
      <c r="BD51" s="104"/>
      <c r="BE51" s="104"/>
      <c r="BF51" s="104"/>
      <c r="BG51" s="104"/>
      <c r="BH51" s="104"/>
      <c r="BI51" s="104"/>
      <c r="BJ51" s="104"/>
      <c r="BK51" s="104"/>
      <c r="BL51" s="104"/>
      <c r="BM51" s="104"/>
      <c r="BN51" s="104"/>
      <c r="BO51" s="104"/>
      <c r="BP51" s="104"/>
      <c r="BQ51" s="104"/>
      <c r="BR51" s="104"/>
      <c r="BS51" s="104"/>
      <c r="BT51" s="104"/>
      <c r="BU51" s="104"/>
      <c r="BV51" s="104"/>
      <c r="BW51" s="104"/>
      <c r="BX51" s="104"/>
      <c r="BY51" s="104"/>
      <c r="BZ51" s="104"/>
      <c r="CA51" s="104"/>
      <c r="CB51" s="104"/>
      <c r="CC51" s="104"/>
      <c r="CD51" s="104"/>
      <c r="CE51" s="104"/>
      <c r="CF51" s="104"/>
      <c r="CG51" s="104"/>
      <c r="CH51" s="104"/>
      <c r="CI51" s="104"/>
      <c r="CJ51" s="104"/>
      <c r="CK51" s="104"/>
      <c r="CL51" s="104"/>
      <c r="CM51" s="104"/>
      <c r="CN51" s="104"/>
      <c r="CO51" s="104"/>
      <c r="CP51" s="104"/>
      <c r="CQ51" s="104"/>
      <c r="CR51" s="104"/>
      <c r="CS51" s="104"/>
      <c r="CT51" s="104"/>
      <c r="CU51" s="104"/>
      <c r="CV51" s="104"/>
      <c r="CW51" s="104"/>
      <c r="CX51" s="104"/>
      <c r="CY51" s="104"/>
      <c r="CZ51" s="104"/>
      <c r="DA51" s="104"/>
      <c r="DB51" s="104"/>
      <c r="DC51" s="104"/>
      <c r="DD51" s="104"/>
      <c r="DE51" s="104"/>
      <c r="DF51" s="104"/>
      <c r="DG51" s="104"/>
      <c r="DH51" s="104"/>
      <c r="DI51" s="104"/>
      <c r="DJ51" s="104"/>
      <c r="DK51" s="104"/>
      <c r="DL51" s="104"/>
      <c r="DM51" s="104"/>
      <c r="DN51" s="104"/>
      <c r="DO51" s="104"/>
      <c r="DP51" s="104"/>
      <c r="DQ51" s="104"/>
      <c r="DR51" s="104"/>
      <c r="DS51" s="104"/>
      <c r="DT51" s="104"/>
      <c r="DU51" s="104"/>
      <c r="DV51" s="104"/>
      <c r="DW51" s="104"/>
      <c r="DX51" s="104"/>
      <c r="DY51" s="104"/>
      <c r="DZ51" s="104"/>
      <c r="EA51" s="104"/>
      <c r="EB51" s="104"/>
      <c r="EC51" s="104"/>
      <c r="ED51" s="104"/>
      <c r="EE51" s="104"/>
      <c r="EF51" s="104"/>
      <c r="EG51" s="104"/>
      <c r="EH51" s="104"/>
      <c r="EI51" s="104"/>
      <c r="EJ51" s="104"/>
      <c r="EK51" s="104"/>
      <c r="EL51" s="104"/>
      <c r="EM51" s="104"/>
      <c r="EN51" s="104"/>
      <c r="EO51" s="104"/>
      <c r="EP51" s="104"/>
      <c r="EQ51" s="104"/>
      <c r="ER51" s="104"/>
      <c r="ES51" s="104"/>
      <c r="ET51" s="104"/>
      <c r="EU51" s="104"/>
      <c r="EV51" s="104"/>
      <c r="EW51" s="104"/>
      <c r="EX51" s="104"/>
      <c r="EY51" s="104"/>
      <c r="EZ51" s="104"/>
      <c r="FA51" s="104"/>
      <c r="FB51" s="104"/>
      <c r="FC51" s="104"/>
      <c r="FD51" s="104"/>
      <c r="FE51" s="104"/>
      <c r="FF51" s="104"/>
      <c r="FG51" s="104"/>
      <c r="FH51" s="104"/>
      <c r="FI51" s="104"/>
      <c r="FJ51" s="104"/>
      <c r="FK51" s="104"/>
      <c r="FL51" s="104"/>
      <c r="FM51" s="104"/>
      <c r="FN51" s="104"/>
      <c r="FO51" s="104"/>
      <c r="FP51" s="104"/>
      <c r="FQ51" s="104"/>
      <c r="FR51" s="104"/>
      <c r="FS51" s="104"/>
      <c r="FT51" s="104"/>
      <c r="FU51" s="104"/>
      <c r="FV51" s="104"/>
      <c r="FW51" s="104"/>
      <c r="FX51" s="104"/>
      <c r="FY51" s="104"/>
      <c r="FZ51" s="104"/>
      <c r="GA51" s="104"/>
      <c r="GB51" s="104"/>
      <c r="GC51" s="104"/>
      <c r="GD51" s="104"/>
      <c r="GE51" s="104"/>
      <c r="GF51" s="104"/>
      <c r="GG51" s="104"/>
      <c r="GH51" s="104"/>
      <c r="GI51" s="104"/>
      <c r="GJ51" s="104"/>
      <c r="GK51" s="104"/>
      <c r="GL51" s="104"/>
      <c r="GM51" s="104"/>
      <c r="GN51" s="104"/>
      <c r="GO51" s="104"/>
      <c r="GP51" s="104"/>
      <c r="GQ51" s="104"/>
      <c r="GR51" s="104"/>
      <c r="GS51" s="104"/>
      <c r="GT51" s="104"/>
      <c r="GU51" s="104"/>
      <c r="GV51" s="104"/>
      <c r="GW51" s="104"/>
      <c r="GX51" s="104"/>
      <c r="GY51" s="104"/>
      <c r="GZ51" s="104"/>
      <c r="HA51" s="104"/>
      <c r="HB51" s="104"/>
      <c r="HC51" s="104"/>
      <c r="HD51" s="104"/>
      <c r="HE51" s="104"/>
      <c r="HF51" s="104"/>
      <c r="HG51" s="104"/>
      <c r="HH51" s="104"/>
      <c r="HI51" s="104"/>
      <c r="HJ51" s="104"/>
      <c r="HK51" s="104"/>
      <c r="HL51" s="104"/>
      <c r="HM51" s="104"/>
      <c r="HN51" s="104"/>
      <c r="HO51" s="104"/>
      <c r="HP51" s="104"/>
      <c r="HQ51" s="104"/>
      <c r="HR51" s="104"/>
      <c r="HS51" s="104"/>
      <c r="HT51" s="104"/>
      <c r="HU51" s="104"/>
      <c r="HV51" s="104"/>
      <c r="HW51" s="104"/>
      <c r="HX51" s="104"/>
      <c r="HY51" s="104"/>
      <c r="HZ51" s="104"/>
      <c r="IA51" s="104"/>
      <c r="IB51" s="104"/>
      <c r="IC51" s="104"/>
      <c r="ID51" s="104"/>
      <c r="IE51" s="104"/>
      <c r="IF51" s="104"/>
      <c r="IG51" s="104"/>
      <c r="IH51" s="104"/>
      <c r="II51" s="104"/>
      <c r="IJ51" s="104"/>
      <c r="IK51" s="104"/>
      <c r="IL51" s="104"/>
      <c r="IM51" s="104"/>
      <c r="IN51" s="104"/>
      <c r="IO51" s="104"/>
      <c r="IP51" s="104"/>
      <c r="IQ51" s="104"/>
      <c r="IR51" s="104"/>
      <c r="IS51" s="104"/>
      <c r="IT51" s="104"/>
      <c r="IU51" s="104"/>
      <c r="IV51" s="104"/>
      <c r="IW51" s="104"/>
      <c r="IX51" s="104"/>
      <c r="IY51" s="104"/>
      <c r="IZ51" s="104"/>
      <c r="JA51" s="104"/>
      <c r="JB51" s="104"/>
      <c r="JC51" s="104"/>
      <c r="JD51" s="104"/>
      <c r="JE51" s="104"/>
    </row>
    <row r="52" spans="1:265" ht="15" customHeight="1" x14ac:dyDescent="0.25">
      <c r="B52" s="9"/>
      <c r="C52" s="9"/>
      <c r="K52" s="182"/>
      <c r="L52" s="182"/>
      <c r="M52" s="182"/>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c r="AL52" s="104"/>
      <c r="AM52" s="104"/>
      <c r="AN52" s="104"/>
      <c r="AO52" s="104"/>
      <c r="AP52" s="172"/>
      <c r="AQ52" s="172"/>
      <c r="AR52" s="172"/>
      <c r="AS52" s="104"/>
      <c r="AT52" s="104"/>
      <c r="AU52" s="172"/>
      <c r="AV52" s="172"/>
      <c r="AW52" s="172"/>
      <c r="AX52" s="104"/>
      <c r="AY52" s="104"/>
      <c r="AZ52" s="104"/>
      <c r="BA52" s="104"/>
      <c r="BB52" s="104"/>
      <c r="BC52" s="104"/>
      <c r="BD52" s="104"/>
      <c r="BE52" s="104"/>
      <c r="BF52" s="104"/>
      <c r="BG52" s="104"/>
      <c r="BH52" s="104"/>
      <c r="BI52" s="104"/>
      <c r="BJ52" s="104"/>
      <c r="BK52" s="104"/>
      <c r="BL52" s="104"/>
      <c r="BM52" s="104"/>
      <c r="BN52" s="104"/>
      <c r="BO52" s="104"/>
      <c r="BP52" s="104"/>
      <c r="BQ52" s="104"/>
      <c r="BR52" s="104"/>
      <c r="BS52" s="104"/>
      <c r="BT52" s="104"/>
      <c r="BU52" s="104"/>
      <c r="BV52" s="104"/>
      <c r="BW52" s="104"/>
      <c r="BX52" s="104"/>
      <c r="BY52" s="104"/>
      <c r="BZ52" s="104"/>
      <c r="CA52" s="104"/>
      <c r="CB52" s="104"/>
      <c r="CC52" s="104"/>
      <c r="CD52" s="104"/>
      <c r="CE52" s="104"/>
      <c r="CF52" s="104"/>
      <c r="CG52" s="104"/>
      <c r="CH52" s="104"/>
      <c r="CI52" s="104"/>
      <c r="CJ52" s="104"/>
      <c r="CK52" s="104"/>
      <c r="CL52" s="104"/>
      <c r="CM52" s="104"/>
      <c r="CN52" s="104"/>
      <c r="CO52" s="104"/>
      <c r="CP52" s="104"/>
      <c r="CQ52" s="104"/>
      <c r="CR52" s="104"/>
      <c r="CS52" s="104"/>
      <c r="CT52" s="104"/>
      <c r="CU52" s="104"/>
      <c r="CV52" s="104"/>
      <c r="CW52" s="104"/>
      <c r="CX52" s="104"/>
      <c r="CY52" s="104"/>
      <c r="CZ52" s="104"/>
      <c r="DA52" s="104"/>
      <c r="DB52" s="104"/>
      <c r="DC52" s="104"/>
      <c r="DD52" s="104"/>
      <c r="DE52" s="104"/>
      <c r="DF52" s="104"/>
      <c r="DG52" s="104"/>
      <c r="DH52" s="104"/>
      <c r="DI52" s="104"/>
      <c r="DJ52" s="104"/>
      <c r="DK52" s="104"/>
      <c r="DL52" s="104"/>
      <c r="DM52" s="104"/>
      <c r="DN52" s="104"/>
      <c r="DO52" s="104"/>
      <c r="DP52" s="104"/>
      <c r="DQ52" s="104"/>
      <c r="DR52" s="104"/>
      <c r="DS52" s="104"/>
      <c r="DT52" s="104"/>
      <c r="DU52" s="104"/>
      <c r="DV52" s="104"/>
      <c r="DW52" s="104"/>
      <c r="DX52" s="104"/>
      <c r="DY52" s="104"/>
      <c r="DZ52" s="104"/>
      <c r="EA52" s="104"/>
      <c r="EB52" s="104"/>
      <c r="EC52" s="104"/>
      <c r="ED52" s="104"/>
      <c r="EE52" s="104"/>
      <c r="EF52" s="104"/>
      <c r="EG52" s="104"/>
      <c r="EH52" s="104"/>
      <c r="EI52" s="104"/>
      <c r="EJ52" s="104"/>
      <c r="EK52" s="104"/>
      <c r="EL52" s="104"/>
      <c r="EM52" s="104"/>
      <c r="EN52" s="104"/>
      <c r="EO52" s="104"/>
      <c r="EP52" s="104"/>
      <c r="EQ52" s="104"/>
      <c r="ER52" s="104"/>
      <c r="ES52" s="104"/>
      <c r="ET52" s="104"/>
      <c r="EU52" s="104"/>
      <c r="EV52" s="104"/>
      <c r="EW52" s="104"/>
      <c r="EX52" s="104"/>
      <c r="EY52" s="104"/>
      <c r="EZ52" s="104"/>
      <c r="FA52" s="104"/>
      <c r="FB52" s="104"/>
      <c r="FC52" s="104"/>
      <c r="FD52" s="104"/>
      <c r="FE52" s="104"/>
      <c r="FF52" s="104"/>
      <c r="FG52" s="104"/>
      <c r="FH52" s="104"/>
      <c r="FI52" s="104"/>
      <c r="FJ52" s="104"/>
      <c r="FK52" s="104"/>
      <c r="FL52" s="104"/>
      <c r="FM52" s="104"/>
      <c r="FN52" s="104"/>
      <c r="FO52" s="104"/>
      <c r="FP52" s="104"/>
      <c r="FQ52" s="104"/>
      <c r="FR52" s="104"/>
      <c r="FS52" s="104"/>
      <c r="FT52" s="104"/>
      <c r="FU52" s="104"/>
      <c r="FV52" s="104"/>
      <c r="FW52" s="104"/>
      <c r="FX52" s="104"/>
      <c r="FY52" s="104"/>
      <c r="FZ52" s="104"/>
      <c r="GA52" s="104"/>
      <c r="GB52" s="104"/>
      <c r="GC52" s="104"/>
      <c r="GD52" s="104"/>
      <c r="GE52" s="104"/>
      <c r="GF52" s="104"/>
      <c r="GG52" s="104"/>
      <c r="GH52" s="104"/>
      <c r="GI52" s="104"/>
      <c r="GJ52" s="104"/>
      <c r="GK52" s="104"/>
      <c r="GL52" s="104"/>
      <c r="GM52" s="104"/>
      <c r="GN52" s="104"/>
      <c r="GO52" s="104"/>
      <c r="GP52" s="104"/>
      <c r="GQ52" s="104"/>
      <c r="GR52" s="104"/>
      <c r="GS52" s="104"/>
      <c r="GT52" s="104"/>
      <c r="GU52" s="104"/>
      <c r="GV52" s="104"/>
      <c r="GW52" s="104"/>
      <c r="GX52" s="104"/>
      <c r="GY52" s="104"/>
      <c r="GZ52" s="104"/>
      <c r="HA52" s="104"/>
      <c r="HB52" s="104"/>
      <c r="HC52" s="104"/>
      <c r="HD52" s="104"/>
      <c r="HE52" s="104"/>
      <c r="HF52" s="104"/>
      <c r="HG52" s="104"/>
      <c r="HH52" s="104"/>
      <c r="HI52" s="104"/>
      <c r="HJ52" s="104"/>
      <c r="HK52" s="104"/>
      <c r="HL52" s="104"/>
      <c r="HM52" s="104"/>
      <c r="HN52" s="104"/>
      <c r="HO52" s="104"/>
      <c r="HP52" s="104"/>
      <c r="HQ52" s="104"/>
      <c r="HR52" s="104"/>
      <c r="HS52" s="104"/>
      <c r="HT52" s="104"/>
      <c r="HU52" s="104"/>
      <c r="HV52" s="104"/>
      <c r="HW52" s="104"/>
      <c r="HX52" s="104"/>
      <c r="HY52" s="104"/>
      <c r="HZ52" s="104"/>
      <c r="IA52" s="104"/>
      <c r="IB52" s="104"/>
      <c r="IC52" s="104"/>
      <c r="ID52" s="104"/>
      <c r="IE52" s="104"/>
      <c r="IF52" s="104"/>
      <c r="IG52" s="104"/>
      <c r="IH52" s="104"/>
      <c r="II52" s="104"/>
      <c r="IJ52" s="104"/>
      <c r="IK52" s="104"/>
      <c r="IL52" s="104"/>
      <c r="IM52" s="104"/>
      <c r="IN52" s="104"/>
      <c r="IO52" s="104"/>
      <c r="IP52" s="104"/>
      <c r="IQ52" s="104"/>
      <c r="IR52" s="104"/>
      <c r="IS52" s="104"/>
      <c r="IT52" s="104"/>
      <c r="IU52" s="104"/>
      <c r="IV52" s="104"/>
      <c r="IW52" s="104"/>
      <c r="IX52" s="104"/>
      <c r="IY52" s="104"/>
      <c r="IZ52" s="104"/>
      <c r="JA52" s="104"/>
      <c r="JB52" s="104"/>
      <c r="JC52" s="104"/>
      <c r="JD52" s="104"/>
      <c r="JE52" s="104"/>
    </row>
    <row r="53" spans="1:265" ht="15" customHeight="1" x14ac:dyDescent="0.25">
      <c r="A53" s="9"/>
      <c r="B53" s="9"/>
      <c r="C53" s="9"/>
      <c r="D53" s="224"/>
      <c r="E53" s="224"/>
      <c r="F53" s="224"/>
      <c r="G53" s="224"/>
      <c r="H53" s="224"/>
      <c r="I53" s="224"/>
      <c r="J53" s="182"/>
      <c r="K53" s="182"/>
      <c r="L53" s="182"/>
      <c r="M53" s="182"/>
      <c r="N53" s="182"/>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104"/>
      <c r="AP53" s="172"/>
      <c r="AQ53" s="172"/>
      <c r="AR53" s="172"/>
      <c r="AS53" s="104"/>
      <c r="AT53" s="104"/>
      <c r="AU53" s="172"/>
      <c r="AV53" s="172"/>
      <c r="AW53" s="172"/>
      <c r="AX53" s="104"/>
      <c r="AY53" s="104"/>
      <c r="AZ53" s="104"/>
      <c r="BA53" s="104"/>
      <c r="BB53" s="104"/>
      <c r="BC53" s="104"/>
      <c r="BD53" s="104"/>
      <c r="BE53" s="104"/>
      <c r="BF53" s="104"/>
      <c r="BG53" s="104"/>
      <c r="BH53" s="104"/>
      <c r="BI53" s="104"/>
      <c r="BJ53" s="104"/>
      <c r="BK53" s="104"/>
      <c r="BL53" s="104"/>
      <c r="BM53" s="104"/>
      <c r="BN53" s="104"/>
      <c r="BO53" s="104"/>
      <c r="BP53" s="104"/>
      <c r="BQ53" s="104"/>
      <c r="BR53" s="104"/>
      <c r="BS53" s="104"/>
      <c r="BT53" s="104"/>
      <c r="BU53" s="104"/>
      <c r="BV53" s="104"/>
      <c r="BW53" s="104"/>
      <c r="BX53" s="104"/>
      <c r="BY53" s="104"/>
      <c r="BZ53" s="104"/>
      <c r="CA53" s="104"/>
      <c r="CB53" s="104"/>
      <c r="CC53" s="104"/>
      <c r="CD53" s="104"/>
      <c r="CE53" s="104"/>
      <c r="CF53" s="104"/>
      <c r="CG53" s="104"/>
      <c r="CH53" s="104"/>
      <c r="CI53" s="104"/>
      <c r="CJ53" s="104"/>
      <c r="CK53" s="104"/>
      <c r="CL53" s="104"/>
      <c r="CM53" s="104"/>
      <c r="CN53" s="104"/>
      <c r="CO53" s="104"/>
      <c r="CP53" s="104"/>
      <c r="CQ53" s="104"/>
      <c r="CR53" s="104"/>
      <c r="CS53" s="104"/>
      <c r="CT53" s="104"/>
      <c r="CU53" s="104"/>
      <c r="CV53" s="104"/>
      <c r="CW53" s="104"/>
      <c r="CX53" s="104"/>
      <c r="CY53" s="104"/>
      <c r="CZ53" s="104"/>
      <c r="DA53" s="104"/>
      <c r="DB53" s="104"/>
      <c r="DC53" s="104"/>
      <c r="DD53" s="104"/>
      <c r="DE53" s="104"/>
      <c r="DF53" s="104"/>
      <c r="DG53" s="104"/>
      <c r="DH53" s="104"/>
      <c r="DI53" s="104"/>
      <c r="DJ53" s="104"/>
      <c r="DK53" s="104"/>
      <c r="DL53" s="104"/>
      <c r="DM53" s="104"/>
      <c r="DN53" s="104"/>
      <c r="DO53" s="104"/>
      <c r="DP53" s="104"/>
      <c r="DQ53" s="104"/>
      <c r="DR53" s="104"/>
      <c r="DS53" s="104"/>
      <c r="DT53" s="104"/>
      <c r="DU53" s="104"/>
      <c r="DV53" s="104"/>
      <c r="DW53" s="104"/>
      <c r="DX53" s="104"/>
      <c r="DY53" s="104"/>
      <c r="DZ53" s="104"/>
      <c r="EA53" s="104"/>
      <c r="EB53" s="104"/>
      <c r="EC53" s="104"/>
      <c r="ED53" s="104"/>
      <c r="EE53" s="104"/>
      <c r="EF53" s="104"/>
      <c r="EG53" s="104"/>
      <c r="EH53" s="104"/>
      <c r="EI53" s="104"/>
      <c r="EJ53" s="104"/>
      <c r="EK53" s="104"/>
      <c r="EL53" s="104"/>
      <c r="EM53" s="104"/>
      <c r="EN53" s="104"/>
      <c r="EO53" s="104"/>
      <c r="EP53" s="104"/>
      <c r="EQ53" s="104"/>
      <c r="ER53" s="104"/>
      <c r="ES53" s="104"/>
      <c r="ET53" s="104"/>
      <c r="EU53" s="104"/>
      <c r="EV53" s="104"/>
      <c r="EW53" s="104"/>
      <c r="EX53" s="104"/>
      <c r="EY53" s="104"/>
      <c r="EZ53" s="104"/>
      <c r="FA53" s="104"/>
      <c r="FB53" s="104"/>
      <c r="FC53" s="104"/>
      <c r="FD53" s="104"/>
      <c r="FE53" s="104"/>
      <c r="FF53" s="104"/>
      <c r="FG53" s="104"/>
      <c r="FH53" s="104"/>
      <c r="FI53" s="104"/>
      <c r="FJ53" s="104"/>
      <c r="FK53" s="104"/>
      <c r="FL53" s="104"/>
      <c r="FM53" s="104"/>
      <c r="FN53" s="104"/>
      <c r="FO53" s="104"/>
      <c r="FP53" s="104"/>
      <c r="FQ53" s="104"/>
      <c r="FR53" s="104"/>
      <c r="FS53" s="104"/>
      <c r="FT53" s="104"/>
      <c r="FU53" s="104"/>
      <c r="FV53" s="104"/>
      <c r="FW53" s="104"/>
      <c r="FX53" s="104"/>
      <c r="FY53" s="104"/>
      <c r="FZ53" s="104"/>
      <c r="GA53" s="104"/>
      <c r="GB53" s="104"/>
      <c r="GC53" s="104"/>
      <c r="GD53" s="104"/>
      <c r="GE53" s="104"/>
      <c r="GF53" s="104"/>
      <c r="GG53" s="104"/>
      <c r="GH53" s="104"/>
      <c r="GI53" s="104"/>
      <c r="GJ53" s="104"/>
      <c r="GK53" s="104"/>
      <c r="GL53" s="104"/>
      <c r="GM53" s="104"/>
      <c r="GN53" s="104"/>
      <c r="GO53" s="104"/>
      <c r="GP53" s="104"/>
      <c r="GQ53" s="104"/>
      <c r="GR53" s="104"/>
      <c r="GS53" s="104"/>
      <c r="GT53" s="104"/>
      <c r="GU53" s="104"/>
      <c r="GV53" s="104"/>
      <c r="GW53" s="104"/>
      <c r="GX53" s="104"/>
      <c r="GY53" s="104"/>
      <c r="GZ53" s="104"/>
      <c r="HA53" s="104"/>
      <c r="HB53" s="104"/>
      <c r="HC53" s="104"/>
      <c r="HD53" s="104"/>
      <c r="HE53" s="104"/>
      <c r="HF53" s="104"/>
      <c r="HG53" s="104"/>
      <c r="HH53" s="104"/>
      <c r="HI53" s="104"/>
      <c r="HJ53" s="104"/>
      <c r="HK53" s="104"/>
      <c r="HL53" s="104"/>
      <c r="HM53" s="104"/>
      <c r="HN53" s="104"/>
      <c r="HO53" s="104"/>
      <c r="HP53" s="104"/>
      <c r="HQ53" s="104"/>
      <c r="HR53" s="104"/>
      <c r="HS53" s="104"/>
      <c r="HT53" s="104"/>
      <c r="HU53" s="104"/>
      <c r="HV53" s="104"/>
      <c r="HW53" s="104"/>
      <c r="HX53" s="104"/>
      <c r="HY53" s="104"/>
      <c r="HZ53" s="104"/>
      <c r="IA53" s="104"/>
      <c r="IB53" s="104"/>
      <c r="IC53" s="104"/>
      <c r="ID53" s="104"/>
      <c r="IE53" s="104"/>
      <c r="IF53" s="104"/>
      <c r="IG53" s="104"/>
      <c r="IH53" s="104"/>
      <c r="II53" s="104"/>
      <c r="IJ53" s="104"/>
      <c r="IK53" s="104"/>
      <c r="IL53" s="104"/>
      <c r="IM53" s="104"/>
      <c r="IN53" s="104"/>
      <c r="IO53" s="104"/>
      <c r="IP53" s="104"/>
      <c r="IQ53" s="104"/>
      <c r="IR53" s="104"/>
      <c r="IS53" s="104"/>
      <c r="IT53" s="104"/>
      <c r="IU53" s="104"/>
      <c r="IV53" s="104"/>
      <c r="IW53" s="104"/>
      <c r="IX53" s="104"/>
      <c r="IY53" s="104"/>
      <c r="IZ53" s="104"/>
      <c r="JA53" s="104"/>
      <c r="JB53" s="104"/>
      <c r="JC53" s="104"/>
      <c r="JD53" s="104"/>
      <c r="JE53" s="104"/>
    </row>
    <row r="54" spans="1:265" ht="15" customHeight="1" x14ac:dyDescent="0.25">
      <c r="A54" s="9"/>
      <c r="B54" s="65"/>
      <c r="C54" s="66"/>
      <c r="D54" s="182"/>
      <c r="E54" s="182"/>
      <c r="F54" s="182"/>
      <c r="G54" s="182"/>
      <c r="H54" s="182"/>
      <c r="I54" s="182"/>
      <c r="J54" s="182"/>
      <c r="K54" s="182"/>
      <c r="L54" s="182"/>
      <c r="M54" s="182"/>
      <c r="N54" s="182"/>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c r="AN54" s="104"/>
      <c r="AO54" s="104"/>
      <c r="AP54" s="172"/>
      <c r="AQ54" s="172"/>
      <c r="AR54" s="172"/>
      <c r="AS54" s="104"/>
      <c r="AT54" s="104"/>
      <c r="AU54" s="172"/>
      <c r="AV54" s="172"/>
      <c r="AW54" s="172"/>
      <c r="AX54" s="104"/>
      <c r="AY54" s="104"/>
      <c r="AZ54" s="104"/>
      <c r="BA54" s="104"/>
      <c r="BB54" s="104"/>
      <c r="BC54" s="104"/>
      <c r="BD54" s="104"/>
      <c r="BE54" s="104"/>
      <c r="BF54" s="104"/>
      <c r="BG54" s="104"/>
      <c r="BH54" s="104"/>
      <c r="BI54" s="104"/>
      <c r="BJ54" s="104"/>
      <c r="BK54" s="104"/>
      <c r="BL54" s="104"/>
      <c r="BM54" s="104"/>
      <c r="BN54" s="104"/>
      <c r="BO54" s="104"/>
      <c r="BP54" s="104"/>
      <c r="BQ54" s="104"/>
      <c r="BR54" s="104"/>
      <c r="BS54" s="104"/>
      <c r="BT54" s="104"/>
      <c r="BU54" s="104"/>
      <c r="BV54" s="104"/>
      <c r="BW54" s="104"/>
      <c r="BX54" s="104"/>
      <c r="BY54" s="104"/>
      <c r="BZ54" s="104"/>
      <c r="CA54" s="104"/>
      <c r="CB54" s="104"/>
      <c r="CC54" s="104"/>
      <c r="CD54" s="104"/>
      <c r="CE54" s="104"/>
      <c r="CF54" s="104"/>
      <c r="CG54" s="104"/>
      <c r="CH54" s="104"/>
      <c r="CI54" s="104"/>
      <c r="CJ54" s="104"/>
      <c r="CK54" s="104"/>
      <c r="CL54" s="104"/>
      <c r="CM54" s="104"/>
      <c r="CN54" s="104"/>
      <c r="CO54" s="104"/>
      <c r="CP54" s="104"/>
      <c r="CQ54" s="104"/>
      <c r="CR54" s="104"/>
      <c r="CS54" s="104"/>
      <c r="CT54" s="104"/>
      <c r="CU54" s="104"/>
      <c r="CV54" s="104"/>
      <c r="CW54" s="104"/>
      <c r="CX54" s="104"/>
      <c r="CY54" s="104"/>
      <c r="CZ54" s="104"/>
      <c r="DA54" s="104"/>
      <c r="DB54" s="104"/>
      <c r="DC54" s="104"/>
      <c r="DD54" s="104"/>
      <c r="DE54" s="104"/>
      <c r="DF54" s="104"/>
      <c r="DG54" s="104"/>
      <c r="DH54" s="104"/>
      <c r="DI54" s="104"/>
      <c r="DJ54" s="104"/>
      <c r="DK54" s="104"/>
      <c r="DL54" s="104"/>
      <c r="DM54" s="104"/>
      <c r="DN54" s="104"/>
      <c r="DO54" s="104"/>
      <c r="DP54" s="104"/>
      <c r="DQ54" s="104"/>
      <c r="DR54" s="104"/>
      <c r="DS54" s="104"/>
      <c r="DT54" s="104"/>
      <c r="DU54" s="104"/>
      <c r="DV54" s="104"/>
      <c r="DW54" s="104"/>
      <c r="DX54" s="104"/>
      <c r="DY54" s="104"/>
      <c r="DZ54" s="104"/>
      <c r="EA54" s="104"/>
      <c r="EB54" s="104"/>
      <c r="EC54" s="104"/>
      <c r="ED54" s="104"/>
      <c r="EE54" s="104"/>
      <c r="EF54" s="104"/>
      <c r="EG54" s="104"/>
      <c r="EH54" s="104"/>
      <c r="EI54" s="104"/>
      <c r="EJ54" s="104"/>
      <c r="EK54" s="104"/>
      <c r="EL54" s="104"/>
      <c r="EM54" s="104"/>
      <c r="EN54" s="104"/>
      <c r="EO54" s="104"/>
      <c r="EP54" s="104"/>
      <c r="EQ54" s="104"/>
      <c r="ER54" s="104"/>
      <c r="ES54" s="104"/>
      <c r="ET54" s="104"/>
      <c r="EU54" s="104"/>
      <c r="EV54" s="104"/>
      <c r="EW54" s="104"/>
      <c r="EX54" s="104"/>
      <c r="EY54" s="104"/>
      <c r="EZ54" s="104"/>
      <c r="FA54" s="104"/>
      <c r="FB54" s="104"/>
      <c r="FC54" s="104"/>
      <c r="FD54" s="104"/>
      <c r="FE54" s="104"/>
      <c r="FF54" s="104"/>
      <c r="FG54" s="104"/>
      <c r="FH54" s="104"/>
      <c r="FI54" s="104"/>
      <c r="FJ54" s="104"/>
      <c r="FK54" s="104"/>
      <c r="FL54" s="104"/>
      <c r="FM54" s="104"/>
      <c r="FN54" s="104"/>
      <c r="FO54" s="104"/>
      <c r="FP54" s="104"/>
      <c r="FQ54" s="104"/>
      <c r="FR54" s="104"/>
      <c r="FS54" s="104"/>
      <c r="FT54" s="104"/>
      <c r="FU54" s="104"/>
      <c r="FV54" s="104"/>
      <c r="FW54" s="104"/>
      <c r="FX54" s="104"/>
      <c r="FY54" s="104"/>
      <c r="FZ54" s="104"/>
      <c r="GA54" s="104"/>
      <c r="GB54" s="104"/>
      <c r="GC54" s="104"/>
      <c r="GD54" s="104"/>
      <c r="GE54" s="104"/>
      <c r="GF54" s="104"/>
      <c r="GG54" s="104"/>
      <c r="GH54" s="104"/>
      <c r="GI54" s="104"/>
      <c r="GJ54" s="104"/>
      <c r="GK54" s="104"/>
      <c r="GL54" s="104"/>
      <c r="GM54" s="104"/>
      <c r="GN54" s="104"/>
      <c r="GO54" s="104"/>
      <c r="GP54" s="104"/>
      <c r="GQ54" s="104"/>
      <c r="GR54" s="104"/>
      <c r="GS54" s="104"/>
      <c r="GT54" s="104"/>
      <c r="GU54" s="104"/>
      <c r="GV54" s="104"/>
      <c r="GW54" s="104"/>
      <c r="GX54" s="104"/>
      <c r="GY54" s="104"/>
      <c r="GZ54" s="104"/>
      <c r="HA54" s="104"/>
      <c r="HB54" s="104"/>
      <c r="HC54" s="104"/>
      <c r="HD54" s="104"/>
      <c r="HE54" s="104"/>
      <c r="HF54" s="104"/>
      <c r="HG54" s="104"/>
      <c r="HH54" s="104"/>
      <c r="HI54" s="104"/>
      <c r="HJ54" s="104"/>
      <c r="HK54" s="104"/>
      <c r="HL54" s="104"/>
      <c r="HM54" s="104"/>
      <c r="HN54" s="104"/>
      <c r="HO54" s="104"/>
      <c r="HP54" s="104"/>
      <c r="HQ54" s="104"/>
      <c r="HR54" s="104"/>
      <c r="HS54" s="104"/>
      <c r="HT54" s="104"/>
      <c r="HU54" s="104"/>
      <c r="HV54" s="104"/>
      <c r="HW54" s="104"/>
      <c r="HX54" s="104"/>
      <c r="HY54" s="104"/>
      <c r="HZ54" s="104"/>
      <c r="IA54" s="104"/>
      <c r="IB54" s="104"/>
      <c r="IC54" s="104"/>
      <c r="ID54" s="104"/>
      <c r="IE54" s="104"/>
      <c r="IF54" s="104"/>
      <c r="IG54" s="104"/>
      <c r="IH54" s="104"/>
      <c r="II54" s="104"/>
      <c r="IJ54" s="104"/>
      <c r="IK54" s="104"/>
      <c r="IL54" s="104"/>
      <c r="IM54" s="104"/>
      <c r="IN54" s="104"/>
      <c r="IO54" s="104"/>
      <c r="IP54" s="104"/>
      <c r="IQ54" s="104"/>
      <c r="IR54" s="104"/>
      <c r="IS54" s="104"/>
      <c r="IT54" s="104"/>
      <c r="IU54" s="104"/>
      <c r="IV54" s="104"/>
      <c r="IW54" s="104"/>
      <c r="IX54" s="104"/>
      <c r="IY54" s="104"/>
      <c r="IZ54" s="104"/>
      <c r="JA54" s="104"/>
      <c r="JB54" s="104"/>
      <c r="JC54" s="104"/>
      <c r="JD54" s="104"/>
      <c r="JE54" s="104"/>
    </row>
    <row r="55" spans="1:265" ht="17.25" x14ac:dyDescent="0.25">
      <c r="A55" s="9"/>
      <c r="B55" s="65"/>
      <c r="C55" s="66"/>
      <c r="D55" s="182"/>
      <c r="E55" s="182"/>
      <c r="F55" s="182"/>
      <c r="G55" s="182"/>
      <c r="H55" s="182"/>
      <c r="I55" s="182"/>
      <c r="J55" s="182"/>
      <c r="K55" s="9"/>
      <c r="L55" s="9"/>
      <c r="M55" s="9"/>
      <c r="N55" s="182"/>
      <c r="O55" s="104"/>
      <c r="P55" s="104"/>
      <c r="Q55" s="104"/>
      <c r="R55" s="104"/>
      <c r="S55" s="104"/>
      <c r="T55" s="104"/>
      <c r="U55" s="104"/>
      <c r="V55" s="104"/>
      <c r="W55" s="104"/>
      <c r="X55" s="104"/>
      <c r="Y55" s="104"/>
      <c r="Z55" s="104"/>
      <c r="AA55" s="104"/>
      <c r="AB55" s="104"/>
      <c r="AC55" s="104"/>
      <c r="AD55" s="104"/>
      <c r="AE55" s="104"/>
      <c r="AF55" s="104"/>
      <c r="AG55" s="104"/>
      <c r="AH55" s="104"/>
      <c r="AI55" s="104"/>
      <c r="AJ55" s="104"/>
      <c r="AK55" s="104"/>
      <c r="AL55" s="104"/>
      <c r="AM55" s="104"/>
      <c r="AN55" s="104"/>
      <c r="AO55" s="104"/>
      <c r="AP55" s="172"/>
      <c r="AQ55" s="172"/>
      <c r="AR55" s="172"/>
      <c r="AS55" s="104"/>
      <c r="AT55" s="104"/>
      <c r="AU55" s="172"/>
      <c r="AV55" s="172"/>
      <c r="AW55" s="172"/>
      <c r="AX55" s="104"/>
      <c r="AY55" s="104"/>
      <c r="AZ55" s="104"/>
      <c r="BA55" s="104"/>
      <c r="BB55" s="104"/>
      <c r="BC55" s="104"/>
      <c r="BD55" s="104"/>
      <c r="BE55" s="104"/>
      <c r="BF55" s="104"/>
      <c r="BG55" s="104"/>
      <c r="BH55" s="104"/>
      <c r="BI55" s="104"/>
      <c r="BJ55" s="104"/>
      <c r="BK55" s="104"/>
      <c r="BL55" s="104"/>
      <c r="BM55" s="104"/>
      <c r="BN55" s="104"/>
      <c r="BO55" s="104"/>
      <c r="BP55" s="104"/>
      <c r="BQ55" s="104"/>
      <c r="BR55" s="104"/>
      <c r="BS55" s="104"/>
      <c r="BT55" s="104"/>
      <c r="BU55" s="104"/>
      <c r="BV55" s="104"/>
      <c r="BW55" s="104"/>
      <c r="BX55" s="104"/>
      <c r="BY55" s="104"/>
      <c r="BZ55" s="104"/>
      <c r="CA55" s="104"/>
      <c r="CB55" s="104"/>
      <c r="CC55" s="104"/>
      <c r="CD55" s="104"/>
      <c r="CE55" s="104"/>
      <c r="CF55" s="104"/>
      <c r="CG55" s="104"/>
      <c r="CH55" s="104"/>
      <c r="CI55" s="104"/>
      <c r="CJ55" s="104"/>
      <c r="CK55" s="104"/>
      <c r="CL55" s="104"/>
      <c r="CM55" s="104"/>
      <c r="CN55" s="104"/>
      <c r="CO55" s="104"/>
      <c r="CP55" s="104"/>
      <c r="CQ55" s="104"/>
      <c r="CR55" s="104"/>
      <c r="CS55" s="104"/>
      <c r="CT55" s="104"/>
      <c r="CU55" s="104"/>
      <c r="CV55" s="104"/>
      <c r="CW55" s="104"/>
      <c r="CX55" s="104"/>
      <c r="CY55" s="104"/>
      <c r="CZ55" s="104"/>
      <c r="DA55" s="104"/>
      <c r="DB55" s="104"/>
      <c r="DC55" s="104"/>
      <c r="DD55" s="104"/>
      <c r="DE55" s="104"/>
      <c r="DF55" s="104"/>
      <c r="DG55" s="104"/>
      <c r="DH55" s="104"/>
      <c r="DI55" s="104"/>
      <c r="DJ55" s="104"/>
      <c r="DK55" s="104"/>
      <c r="DL55" s="104"/>
      <c r="DM55" s="104"/>
      <c r="DN55" s="104"/>
      <c r="DO55" s="104"/>
      <c r="DP55" s="104"/>
      <c r="DQ55" s="104"/>
      <c r="DR55" s="104"/>
      <c r="DS55" s="104"/>
      <c r="DT55" s="104"/>
      <c r="DU55" s="104"/>
      <c r="DV55" s="104"/>
      <c r="DW55" s="104"/>
      <c r="DX55" s="104"/>
      <c r="DY55" s="104"/>
      <c r="DZ55" s="104"/>
      <c r="EA55" s="104"/>
      <c r="EB55" s="104"/>
      <c r="EC55" s="104"/>
      <c r="ED55" s="104"/>
      <c r="EE55" s="104"/>
      <c r="EF55" s="104"/>
      <c r="EG55" s="104"/>
      <c r="EH55" s="104"/>
      <c r="EI55" s="104"/>
      <c r="EJ55" s="104"/>
      <c r="EK55" s="104"/>
      <c r="EL55" s="104"/>
      <c r="EM55" s="104"/>
      <c r="EN55" s="104"/>
      <c r="EO55" s="104"/>
      <c r="EP55" s="104"/>
      <c r="EQ55" s="104"/>
      <c r="ER55" s="104"/>
      <c r="ES55" s="104"/>
      <c r="ET55" s="104"/>
      <c r="EU55" s="104"/>
      <c r="EV55" s="104"/>
      <c r="EW55" s="104"/>
      <c r="EX55" s="104"/>
      <c r="EY55" s="104"/>
      <c r="EZ55" s="104"/>
      <c r="FA55" s="104"/>
      <c r="FB55" s="104"/>
      <c r="FC55" s="104"/>
      <c r="FD55" s="104"/>
      <c r="FE55" s="104"/>
      <c r="FF55" s="104"/>
      <c r="FG55" s="104"/>
      <c r="FH55" s="104"/>
      <c r="FI55" s="104"/>
      <c r="FJ55" s="104"/>
      <c r="FK55" s="104"/>
      <c r="FL55" s="104"/>
      <c r="FM55" s="104"/>
      <c r="FN55" s="104"/>
      <c r="FO55" s="104"/>
      <c r="FP55" s="104"/>
      <c r="FQ55" s="104"/>
      <c r="FR55" s="104"/>
      <c r="FS55" s="104"/>
      <c r="FT55" s="104"/>
      <c r="FU55" s="104"/>
      <c r="FV55" s="104"/>
      <c r="FW55" s="104"/>
      <c r="FX55" s="104"/>
      <c r="FY55" s="104"/>
      <c r="FZ55" s="104"/>
      <c r="GA55" s="104"/>
      <c r="GB55" s="104"/>
      <c r="GC55" s="104"/>
      <c r="GD55" s="104"/>
      <c r="GE55" s="104"/>
      <c r="GF55" s="104"/>
      <c r="GG55" s="104"/>
      <c r="GH55" s="104"/>
      <c r="GI55" s="104"/>
      <c r="GJ55" s="104"/>
      <c r="GK55" s="104"/>
      <c r="GL55" s="104"/>
      <c r="GM55" s="104"/>
      <c r="GN55" s="104"/>
      <c r="GO55" s="104"/>
      <c r="GP55" s="104"/>
      <c r="GQ55" s="104"/>
      <c r="GR55" s="104"/>
      <c r="GS55" s="104"/>
      <c r="GT55" s="104"/>
      <c r="GU55" s="104"/>
      <c r="GV55" s="104"/>
      <c r="GW55" s="104"/>
      <c r="GX55" s="104"/>
      <c r="GY55" s="104"/>
      <c r="GZ55" s="104"/>
      <c r="HA55" s="104"/>
      <c r="HB55" s="104"/>
      <c r="HC55" s="104"/>
      <c r="HD55" s="104"/>
      <c r="HE55" s="104"/>
      <c r="HF55" s="104"/>
      <c r="HG55" s="104"/>
      <c r="HH55" s="104"/>
      <c r="HI55" s="104"/>
      <c r="HJ55" s="104"/>
      <c r="HK55" s="104"/>
      <c r="HL55" s="104"/>
      <c r="HM55" s="104"/>
      <c r="HN55" s="104"/>
      <c r="HO55" s="104"/>
      <c r="HP55" s="104"/>
      <c r="HQ55" s="104"/>
      <c r="HR55" s="104"/>
      <c r="HS55" s="104"/>
      <c r="HT55" s="104"/>
      <c r="HU55" s="104"/>
      <c r="HV55" s="104"/>
      <c r="HW55" s="104"/>
      <c r="HX55" s="104"/>
      <c r="HY55" s="104"/>
      <c r="HZ55" s="104"/>
      <c r="IA55" s="104"/>
      <c r="IB55" s="104"/>
      <c r="IC55" s="104"/>
      <c r="ID55" s="104"/>
      <c r="IE55" s="104"/>
      <c r="IF55" s="104"/>
      <c r="IG55" s="104"/>
      <c r="IH55" s="104"/>
      <c r="II55" s="104"/>
      <c r="IJ55" s="104"/>
      <c r="IK55" s="104"/>
      <c r="IL55" s="104"/>
      <c r="IM55" s="104"/>
      <c r="IN55" s="104"/>
      <c r="IO55" s="104"/>
      <c r="IP55" s="104"/>
      <c r="IQ55" s="104"/>
      <c r="IR55" s="104"/>
      <c r="IS55" s="104"/>
      <c r="IT55" s="104"/>
      <c r="IU55" s="104"/>
      <c r="IV55" s="104"/>
      <c r="IW55" s="104"/>
      <c r="IX55" s="104"/>
      <c r="IY55" s="104"/>
      <c r="IZ55" s="104"/>
      <c r="JA55" s="104"/>
      <c r="JB55" s="104"/>
      <c r="JC55" s="104"/>
      <c r="JD55" s="104"/>
      <c r="JE55" s="104"/>
    </row>
    <row r="56" spans="1:265" ht="17.25" x14ac:dyDescent="0.25">
      <c r="A56" s="9"/>
      <c r="B56" s="65"/>
      <c r="C56" s="67"/>
      <c r="D56" s="182"/>
      <c r="E56" s="182"/>
      <c r="F56" s="182"/>
      <c r="G56" s="182"/>
      <c r="H56" s="182"/>
      <c r="I56" s="182"/>
      <c r="J56" s="9"/>
      <c r="K56" s="9"/>
      <c r="L56" s="9"/>
      <c r="M56" s="9"/>
      <c r="N56" s="9"/>
      <c r="O56" s="104"/>
      <c r="P56" s="104"/>
      <c r="Q56" s="104"/>
      <c r="R56" s="104"/>
      <c r="S56" s="104"/>
      <c r="T56" s="104"/>
      <c r="U56" s="104"/>
      <c r="V56" s="104"/>
      <c r="W56" s="104"/>
      <c r="X56" s="104"/>
      <c r="Y56" s="104"/>
      <c r="Z56" s="104"/>
      <c r="AA56" s="104"/>
      <c r="AB56" s="104"/>
      <c r="AC56" s="104"/>
      <c r="AD56" s="104"/>
      <c r="AE56" s="104"/>
      <c r="AF56" s="104"/>
      <c r="AG56" s="104"/>
      <c r="AH56" s="104"/>
      <c r="AI56" s="104"/>
      <c r="AJ56" s="104"/>
      <c r="AK56" s="104"/>
      <c r="AL56" s="104"/>
      <c r="AM56" s="104"/>
      <c r="AN56" s="104"/>
      <c r="AO56" s="104"/>
      <c r="AP56" s="172"/>
      <c r="AQ56" s="172"/>
      <c r="AR56" s="172"/>
      <c r="AS56" s="104"/>
      <c r="AT56" s="104"/>
      <c r="AU56" s="172"/>
      <c r="AV56" s="172"/>
      <c r="AW56" s="172"/>
      <c r="AX56" s="104"/>
      <c r="AY56" s="104"/>
      <c r="AZ56" s="104"/>
      <c r="BA56" s="104"/>
      <c r="BB56" s="104"/>
      <c r="BC56" s="104"/>
      <c r="BD56" s="104"/>
      <c r="BE56" s="104"/>
      <c r="BF56" s="104"/>
      <c r="BG56" s="104"/>
      <c r="BH56" s="104"/>
      <c r="BI56" s="104"/>
      <c r="BJ56" s="104"/>
      <c r="BK56" s="104"/>
      <c r="BL56" s="104"/>
      <c r="BM56" s="104"/>
      <c r="BN56" s="104"/>
      <c r="BO56" s="104"/>
      <c r="BP56" s="104"/>
      <c r="BQ56" s="104"/>
      <c r="BR56" s="104"/>
      <c r="BS56" s="104"/>
      <c r="BT56" s="104"/>
      <c r="BU56" s="104"/>
      <c r="BV56" s="104"/>
      <c r="BW56" s="104"/>
      <c r="BX56" s="104"/>
      <c r="BY56" s="104"/>
      <c r="BZ56" s="104"/>
      <c r="CA56" s="104"/>
      <c r="CB56" s="104"/>
      <c r="CC56" s="104"/>
      <c r="CD56" s="104"/>
      <c r="CE56" s="104"/>
      <c r="CF56" s="104"/>
      <c r="CG56" s="104"/>
      <c r="CH56" s="104"/>
      <c r="CI56" s="104"/>
      <c r="CJ56" s="104"/>
      <c r="CK56" s="104"/>
      <c r="CL56" s="104"/>
      <c r="CM56" s="104"/>
      <c r="CN56" s="104"/>
      <c r="CO56" s="104"/>
      <c r="CP56" s="104"/>
      <c r="CQ56" s="104"/>
      <c r="CR56" s="104"/>
      <c r="CS56" s="104"/>
      <c r="CT56" s="104"/>
      <c r="CU56" s="104"/>
      <c r="CV56" s="104"/>
      <c r="CW56" s="104"/>
      <c r="CX56" s="104"/>
      <c r="CY56" s="104"/>
      <c r="CZ56" s="104"/>
      <c r="DA56" s="104"/>
      <c r="DB56" s="104"/>
      <c r="DC56" s="104"/>
      <c r="DD56" s="104"/>
      <c r="DE56" s="104"/>
      <c r="DF56" s="104"/>
      <c r="DG56" s="104"/>
      <c r="DH56" s="104"/>
      <c r="DI56" s="104"/>
      <c r="DJ56" s="104"/>
      <c r="DK56" s="104"/>
      <c r="DL56" s="104"/>
      <c r="DM56" s="104"/>
      <c r="DN56" s="104"/>
      <c r="DO56" s="104"/>
      <c r="DP56" s="104"/>
      <c r="DQ56" s="104"/>
      <c r="DR56" s="104"/>
      <c r="DS56" s="104"/>
      <c r="DT56" s="104"/>
      <c r="DU56" s="104"/>
      <c r="DV56" s="104"/>
      <c r="DW56" s="104"/>
      <c r="DX56" s="104"/>
      <c r="DY56" s="104"/>
      <c r="DZ56" s="104"/>
      <c r="EA56" s="104"/>
      <c r="EB56" s="104"/>
      <c r="EC56" s="104"/>
      <c r="ED56" s="104"/>
      <c r="EE56" s="104"/>
      <c r="EF56" s="104"/>
      <c r="EG56" s="104"/>
      <c r="EH56" s="104"/>
      <c r="EI56" s="104"/>
      <c r="EJ56" s="104"/>
      <c r="EK56" s="104"/>
      <c r="EL56" s="104"/>
      <c r="EM56" s="104"/>
      <c r="EN56" s="104"/>
      <c r="EO56" s="104"/>
      <c r="EP56" s="104"/>
      <c r="EQ56" s="104"/>
      <c r="ER56" s="104"/>
      <c r="ES56" s="104"/>
      <c r="ET56" s="104"/>
      <c r="EU56" s="104"/>
      <c r="EV56" s="104"/>
      <c r="EW56" s="104"/>
      <c r="EX56" s="104"/>
      <c r="EY56" s="104"/>
      <c r="EZ56" s="104"/>
      <c r="FA56" s="104"/>
      <c r="FB56" s="104"/>
      <c r="FC56" s="104"/>
      <c r="FD56" s="104"/>
      <c r="FE56" s="104"/>
      <c r="FF56" s="104"/>
      <c r="FG56" s="104"/>
      <c r="FH56" s="104"/>
      <c r="FI56" s="104"/>
      <c r="FJ56" s="104"/>
      <c r="FK56" s="104"/>
      <c r="FL56" s="104"/>
      <c r="FM56" s="104"/>
      <c r="FN56" s="104"/>
      <c r="FO56" s="104"/>
      <c r="FP56" s="104"/>
      <c r="FQ56" s="104"/>
      <c r="FR56" s="104"/>
      <c r="FS56" s="104"/>
      <c r="FT56" s="104"/>
      <c r="FU56" s="104"/>
      <c r="FV56" s="104"/>
      <c r="FW56" s="104"/>
      <c r="FX56" s="104"/>
      <c r="FY56" s="104"/>
      <c r="FZ56" s="104"/>
      <c r="GA56" s="104"/>
      <c r="GB56" s="104"/>
      <c r="GC56" s="104"/>
      <c r="GD56" s="104"/>
      <c r="GE56" s="104"/>
      <c r="GF56" s="104"/>
      <c r="GG56" s="104"/>
      <c r="GH56" s="104"/>
      <c r="GI56" s="104"/>
      <c r="GJ56" s="104"/>
      <c r="GK56" s="104"/>
      <c r="GL56" s="104"/>
      <c r="GM56" s="104"/>
      <c r="GN56" s="104"/>
      <c r="GO56" s="104"/>
      <c r="GP56" s="104"/>
      <c r="GQ56" s="104"/>
      <c r="GR56" s="104"/>
      <c r="GS56" s="104"/>
      <c r="GT56" s="104"/>
      <c r="GU56" s="104"/>
      <c r="GV56" s="104"/>
      <c r="GW56" s="104"/>
      <c r="GX56" s="104"/>
      <c r="GY56" s="104"/>
      <c r="GZ56" s="104"/>
      <c r="HA56" s="104"/>
      <c r="HB56" s="104"/>
      <c r="HC56" s="104"/>
      <c r="HD56" s="104"/>
      <c r="HE56" s="104"/>
      <c r="HF56" s="104"/>
      <c r="HG56" s="104"/>
      <c r="HH56" s="104"/>
      <c r="HI56" s="104"/>
      <c r="HJ56" s="104"/>
      <c r="HK56" s="104"/>
      <c r="HL56" s="104"/>
      <c r="HM56" s="104"/>
      <c r="HN56" s="104"/>
      <c r="HO56" s="104"/>
      <c r="HP56" s="104"/>
      <c r="HQ56" s="104"/>
      <c r="HR56" s="104"/>
      <c r="HS56" s="104"/>
      <c r="HT56" s="104"/>
      <c r="HU56" s="104"/>
      <c r="HV56" s="104"/>
      <c r="HW56" s="104"/>
      <c r="HX56" s="104"/>
      <c r="HY56" s="104"/>
      <c r="HZ56" s="104"/>
      <c r="IA56" s="104"/>
      <c r="IB56" s="104"/>
      <c r="IC56" s="104"/>
      <c r="ID56" s="104"/>
      <c r="IE56" s="104"/>
      <c r="IF56" s="104"/>
      <c r="IG56" s="104"/>
      <c r="IH56" s="104"/>
      <c r="II56" s="104"/>
      <c r="IJ56" s="104"/>
      <c r="IK56" s="104"/>
      <c r="IL56" s="104"/>
      <c r="IM56" s="104"/>
      <c r="IN56" s="104"/>
      <c r="IO56" s="104"/>
      <c r="IP56" s="104"/>
      <c r="IQ56" s="104"/>
      <c r="IR56" s="104"/>
      <c r="IS56" s="104"/>
      <c r="IT56" s="104"/>
      <c r="IU56" s="104"/>
      <c r="IV56" s="104"/>
      <c r="IW56" s="104"/>
      <c r="IX56" s="104"/>
      <c r="IY56" s="104"/>
      <c r="IZ56" s="104"/>
      <c r="JA56" s="104"/>
      <c r="JB56" s="104"/>
      <c r="JC56" s="104"/>
      <c r="JD56" s="104"/>
      <c r="JE56" s="104"/>
    </row>
    <row r="57" spans="1:265" ht="17.25" x14ac:dyDescent="0.25">
      <c r="A57" s="9"/>
      <c r="B57" s="68"/>
      <c r="C57" s="69"/>
      <c r="D57" s="182"/>
      <c r="E57" s="182"/>
      <c r="F57" s="182"/>
      <c r="G57" s="182"/>
      <c r="H57" s="182"/>
      <c r="I57" s="182"/>
      <c r="J57" s="9"/>
      <c r="K57" s="9"/>
      <c r="L57" s="9"/>
      <c r="M57" s="9"/>
      <c r="N57" s="9"/>
      <c r="O57" s="104"/>
      <c r="P57" s="104"/>
      <c r="Q57" s="104"/>
      <c r="R57" s="104"/>
      <c r="S57" s="104"/>
      <c r="T57" s="104"/>
      <c r="U57" s="104"/>
      <c r="V57" s="104"/>
      <c r="W57" s="104"/>
      <c r="X57" s="104"/>
      <c r="Y57" s="104"/>
      <c r="Z57" s="104"/>
      <c r="AA57" s="104"/>
      <c r="AB57" s="104"/>
      <c r="AC57" s="104"/>
      <c r="AD57" s="104"/>
      <c r="AE57" s="104"/>
      <c r="AF57" s="104"/>
      <c r="AG57" s="104"/>
      <c r="AH57" s="104"/>
      <c r="AI57" s="104"/>
      <c r="AJ57" s="104"/>
      <c r="AK57" s="104"/>
      <c r="AL57" s="104"/>
      <c r="AM57" s="104"/>
      <c r="AN57" s="104"/>
      <c r="AO57" s="104"/>
      <c r="AP57" s="172"/>
      <c r="AQ57" s="172"/>
      <c r="AR57" s="172"/>
      <c r="AS57" s="104"/>
      <c r="AT57" s="104"/>
      <c r="AU57" s="172"/>
      <c r="AV57" s="172"/>
      <c r="AW57" s="172"/>
      <c r="AX57" s="104"/>
      <c r="AY57" s="104"/>
      <c r="AZ57" s="104"/>
      <c r="BA57" s="104"/>
      <c r="BB57" s="104"/>
      <c r="BC57" s="104"/>
      <c r="BD57" s="104"/>
      <c r="BE57" s="104"/>
      <c r="BF57" s="104"/>
      <c r="BG57" s="104"/>
      <c r="BH57" s="104"/>
      <c r="BI57" s="104"/>
      <c r="BJ57" s="104"/>
      <c r="BK57" s="104"/>
      <c r="BL57" s="104"/>
      <c r="BM57" s="104"/>
      <c r="BN57" s="104"/>
      <c r="BO57" s="104"/>
      <c r="BP57" s="104"/>
      <c r="BQ57" s="104"/>
      <c r="BR57" s="104"/>
      <c r="BS57" s="104"/>
      <c r="BT57" s="104"/>
      <c r="BU57" s="104"/>
      <c r="BV57" s="104"/>
      <c r="BW57" s="104"/>
      <c r="BX57" s="104"/>
      <c r="BY57" s="104"/>
      <c r="BZ57" s="104"/>
      <c r="CA57" s="104"/>
      <c r="CB57" s="104"/>
      <c r="CC57" s="104"/>
      <c r="CD57" s="104"/>
      <c r="CE57" s="104"/>
      <c r="CF57" s="104"/>
      <c r="CG57" s="104"/>
      <c r="CH57" s="104"/>
      <c r="CI57" s="104"/>
      <c r="CJ57" s="104"/>
      <c r="CK57" s="104"/>
      <c r="CL57" s="104"/>
      <c r="CM57" s="104"/>
      <c r="CN57" s="104"/>
      <c r="CO57" s="104"/>
      <c r="CP57" s="104"/>
      <c r="CQ57" s="104"/>
      <c r="CR57" s="104"/>
      <c r="CS57" s="104"/>
      <c r="CT57" s="104"/>
      <c r="CU57" s="104"/>
      <c r="CV57" s="104"/>
      <c r="CW57" s="104"/>
      <c r="CX57" s="104"/>
      <c r="CY57" s="104"/>
      <c r="CZ57" s="104"/>
      <c r="DA57" s="104"/>
      <c r="DB57" s="104"/>
      <c r="DC57" s="104"/>
      <c r="DD57" s="104"/>
      <c r="DE57" s="104"/>
      <c r="DF57" s="104"/>
      <c r="DG57" s="104"/>
      <c r="DH57" s="104"/>
      <c r="DI57" s="104"/>
      <c r="DJ57" s="104"/>
      <c r="DK57" s="104"/>
      <c r="DL57" s="104"/>
      <c r="DM57" s="104"/>
      <c r="DN57" s="104"/>
      <c r="DO57" s="104"/>
      <c r="DP57" s="104"/>
      <c r="DQ57" s="104"/>
      <c r="DR57" s="104"/>
      <c r="DS57" s="104"/>
      <c r="DT57" s="104"/>
      <c r="DU57" s="104"/>
      <c r="DV57" s="104"/>
      <c r="DW57" s="104"/>
      <c r="DX57" s="104"/>
      <c r="DY57" s="104"/>
      <c r="DZ57" s="104"/>
      <c r="EA57" s="104"/>
      <c r="EB57" s="104"/>
      <c r="EC57" s="104"/>
      <c r="ED57" s="104"/>
      <c r="EE57" s="104"/>
      <c r="EF57" s="104"/>
      <c r="EG57" s="104"/>
      <c r="EH57" s="104"/>
      <c r="EI57" s="104"/>
      <c r="EJ57" s="104"/>
      <c r="EK57" s="104"/>
      <c r="EL57" s="104"/>
      <c r="EM57" s="104"/>
      <c r="EN57" s="104"/>
      <c r="EO57" s="104"/>
      <c r="EP57" s="104"/>
      <c r="EQ57" s="104"/>
      <c r="ER57" s="104"/>
      <c r="ES57" s="104"/>
      <c r="ET57" s="104"/>
      <c r="EU57" s="104"/>
      <c r="EV57" s="104"/>
      <c r="EW57" s="104"/>
      <c r="EX57" s="104"/>
      <c r="EY57" s="104"/>
      <c r="EZ57" s="104"/>
      <c r="FA57" s="104"/>
      <c r="FB57" s="104"/>
      <c r="FC57" s="104"/>
      <c r="FD57" s="104"/>
      <c r="FE57" s="104"/>
      <c r="FF57" s="104"/>
      <c r="FG57" s="104"/>
      <c r="FH57" s="104"/>
      <c r="FI57" s="104"/>
      <c r="FJ57" s="104"/>
      <c r="FK57" s="104"/>
      <c r="FL57" s="104"/>
      <c r="FM57" s="104"/>
      <c r="FN57" s="104"/>
      <c r="FO57" s="104"/>
      <c r="FP57" s="104"/>
      <c r="FQ57" s="104"/>
      <c r="FR57" s="104"/>
      <c r="FS57" s="104"/>
      <c r="FT57" s="104"/>
      <c r="FU57" s="104"/>
      <c r="FV57" s="104"/>
      <c r="FW57" s="104"/>
      <c r="FX57" s="104"/>
      <c r="FY57" s="104"/>
      <c r="FZ57" s="104"/>
      <c r="GA57" s="104"/>
      <c r="GB57" s="104"/>
      <c r="GC57" s="104"/>
      <c r="GD57" s="104"/>
      <c r="GE57" s="104"/>
      <c r="GF57" s="104"/>
      <c r="GG57" s="104"/>
      <c r="GH57" s="104"/>
      <c r="GI57" s="104"/>
      <c r="GJ57" s="104"/>
      <c r="GK57" s="104"/>
      <c r="GL57" s="104"/>
      <c r="GM57" s="104"/>
      <c r="GN57" s="104"/>
      <c r="GO57" s="104"/>
      <c r="GP57" s="104"/>
      <c r="GQ57" s="104"/>
      <c r="GR57" s="104"/>
      <c r="GS57" s="104"/>
      <c r="GT57" s="104"/>
      <c r="GU57" s="104"/>
      <c r="GV57" s="104"/>
      <c r="GW57" s="104"/>
      <c r="GX57" s="104"/>
      <c r="GY57" s="104"/>
      <c r="GZ57" s="104"/>
      <c r="HA57" s="104"/>
      <c r="HB57" s="104"/>
      <c r="HC57" s="104"/>
      <c r="HD57" s="104"/>
      <c r="HE57" s="104"/>
      <c r="HF57" s="104"/>
      <c r="HG57" s="104"/>
      <c r="HH57" s="104"/>
      <c r="HI57" s="104"/>
      <c r="HJ57" s="104"/>
      <c r="HK57" s="104"/>
      <c r="HL57" s="104"/>
      <c r="HM57" s="104"/>
      <c r="HN57" s="104"/>
      <c r="HO57" s="104"/>
      <c r="HP57" s="104"/>
      <c r="HQ57" s="104"/>
      <c r="HR57" s="104"/>
      <c r="HS57" s="104"/>
      <c r="HT57" s="104"/>
      <c r="HU57" s="104"/>
      <c r="HV57" s="104"/>
      <c r="HW57" s="104"/>
      <c r="HX57" s="104"/>
      <c r="HY57" s="104"/>
      <c r="HZ57" s="104"/>
      <c r="IA57" s="104"/>
      <c r="IB57" s="104"/>
      <c r="IC57" s="104"/>
      <c r="ID57" s="104"/>
      <c r="IE57" s="104"/>
      <c r="IF57" s="104"/>
      <c r="IG57" s="104"/>
      <c r="IH57" s="104"/>
      <c r="II57" s="104"/>
      <c r="IJ57" s="104"/>
      <c r="IK57" s="104"/>
      <c r="IL57" s="104"/>
      <c r="IM57" s="104"/>
      <c r="IN57" s="104"/>
      <c r="IO57" s="104"/>
      <c r="IP57" s="104"/>
      <c r="IQ57" s="104"/>
      <c r="IR57" s="104"/>
      <c r="IS57" s="104"/>
      <c r="IT57" s="104"/>
      <c r="IU57" s="104"/>
      <c r="IV57" s="104"/>
      <c r="IW57" s="104"/>
      <c r="IX57" s="104"/>
      <c r="IY57" s="104"/>
      <c r="IZ57" s="104"/>
      <c r="JA57" s="104"/>
      <c r="JB57" s="104"/>
      <c r="JC57" s="104"/>
      <c r="JD57" s="104"/>
      <c r="JE57" s="104"/>
    </row>
    <row r="58" spans="1:265" x14ac:dyDescent="0.25">
      <c r="A58" s="9"/>
      <c r="B58" s="4"/>
      <c r="C58" s="7"/>
      <c r="D58" s="182"/>
      <c r="E58" s="182"/>
      <c r="F58" s="182"/>
      <c r="G58" s="182"/>
      <c r="H58" s="182"/>
      <c r="I58" s="182"/>
      <c r="J58" s="9"/>
      <c r="K58" s="9"/>
      <c r="L58" s="9"/>
      <c r="M58" s="9"/>
      <c r="N58" s="9"/>
      <c r="O58" s="104"/>
      <c r="P58" s="104"/>
      <c r="Q58" s="104"/>
      <c r="R58" s="104"/>
      <c r="S58" s="104"/>
      <c r="T58" s="104"/>
      <c r="U58" s="104"/>
      <c r="V58" s="104"/>
      <c r="W58" s="104"/>
      <c r="X58" s="104"/>
      <c r="Y58" s="104"/>
      <c r="Z58" s="104"/>
      <c r="AA58" s="104"/>
      <c r="AB58" s="104"/>
      <c r="AC58" s="104"/>
      <c r="AD58" s="104"/>
      <c r="AE58" s="104"/>
      <c r="AF58" s="104"/>
      <c r="AG58" s="104"/>
      <c r="AH58" s="104"/>
      <c r="AI58" s="104"/>
      <c r="AJ58" s="104"/>
      <c r="AK58" s="104"/>
      <c r="AL58" s="104"/>
      <c r="AM58" s="104"/>
      <c r="AN58" s="104"/>
      <c r="AO58" s="104"/>
      <c r="AP58" s="172"/>
      <c r="AQ58" s="172"/>
      <c r="AR58" s="172"/>
      <c r="AS58" s="104"/>
      <c r="AT58" s="104"/>
      <c r="AU58" s="172"/>
      <c r="AV58" s="172"/>
      <c r="AW58" s="172"/>
      <c r="AX58" s="104"/>
      <c r="AY58" s="104"/>
      <c r="AZ58" s="104"/>
      <c r="BA58" s="104"/>
      <c r="BB58" s="104"/>
      <c r="BC58" s="104"/>
      <c r="BD58" s="104"/>
      <c r="BE58" s="104"/>
      <c r="BF58" s="104"/>
      <c r="BG58" s="104"/>
      <c r="BH58" s="104"/>
      <c r="BI58" s="104"/>
      <c r="BJ58" s="104"/>
      <c r="BK58" s="104"/>
      <c r="BL58" s="104"/>
      <c r="BM58" s="104"/>
      <c r="BN58" s="104"/>
      <c r="BO58" s="104"/>
      <c r="BP58" s="104"/>
      <c r="BQ58" s="104"/>
      <c r="BR58" s="104"/>
      <c r="BS58" s="104"/>
      <c r="BT58" s="104"/>
      <c r="BU58" s="104"/>
      <c r="BV58" s="104"/>
      <c r="BW58" s="104"/>
      <c r="BX58" s="104"/>
      <c r="BY58" s="104"/>
      <c r="BZ58" s="104"/>
      <c r="CA58" s="104"/>
      <c r="CB58" s="104"/>
      <c r="CC58" s="104"/>
      <c r="CD58" s="104"/>
      <c r="CE58" s="104"/>
      <c r="CF58" s="104"/>
      <c r="CG58" s="104"/>
      <c r="CH58" s="104"/>
      <c r="CI58" s="104"/>
      <c r="CJ58" s="104"/>
      <c r="CK58" s="104"/>
      <c r="CL58" s="104"/>
      <c r="CM58" s="104"/>
      <c r="CN58" s="104"/>
      <c r="CO58" s="104"/>
      <c r="CP58" s="104"/>
      <c r="CQ58" s="104"/>
      <c r="CR58" s="104"/>
      <c r="CS58" s="104"/>
      <c r="CT58" s="104"/>
      <c r="CU58" s="104"/>
      <c r="CV58" s="104"/>
      <c r="CW58" s="104"/>
      <c r="CX58" s="104"/>
      <c r="CY58" s="104"/>
      <c r="CZ58" s="104"/>
      <c r="DA58" s="104"/>
      <c r="DB58" s="104"/>
      <c r="DC58" s="104"/>
      <c r="DD58" s="104"/>
      <c r="DE58" s="104"/>
      <c r="DF58" s="104"/>
      <c r="DG58" s="104"/>
      <c r="DH58" s="104"/>
      <c r="DI58" s="104"/>
      <c r="DJ58" s="104"/>
      <c r="DK58" s="104"/>
      <c r="DL58" s="104"/>
      <c r="DM58" s="104"/>
      <c r="DN58" s="104"/>
      <c r="DO58" s="104"/>
      <c r="DP58" s="104"/>
      <c r="DQ58" s="104"/>
      <c r="DR58" s="104"/>
      <c r="DS58" s="104"/>
      <c r="DT58" s="104"/>
      <c r="DU58" s="104"/>
      <c r="DV58" s="104"/>
      <c r="DW58" s="104"/>
      <c r="DX58" s="104"/>
      <c r="DY58" s="104"/>
      <c r="DZ58" s="104"/>
      <c r="EA58" s="104"/>
      <c r="EB58" s="104"/>
      <c r="EC58" s="104"/>
      <c r="ED58" s="104"/>
      <c r="EE58" s="104"/>
      <c r="EF58" s="104"/>
      <c r="EG58" s="104"/>
      <c r="EH58" s="104"/>
      <c r="EI58" s="104"/>
      <c r="EJ58" s="104"/>
      <c r="EK58" s="104"/>
      <c r="EL58" s="104"/>
      <c r="EM58" s="104"/>
      <c r="EN58" s="104"/>
      <c r="EO58" s="104"/>
      <c r="EP58" s="104"/>
      <c r="EQ58" s="104"/>
      <c r="ER58" s="104"/>
      <c r="ES58" s="104"/>
      <c r="ET58" s="104"/>
      <c r="EU58" s="104"/>
      <c r="EV58" s="104"/>
      <c r="EW58" s="104"/>
      <c r="EX58" s="104"/>
      <c r="EY58" s="104"/>
      <c r="EZ58" s="104"/>
      <c r="FA58" s="104"/>
      <c r="FB58" s="104"/>
      <c r="FC58" s="104"/>
      <c r="FD58" s="104"/>
      <c r="FE58" s="104"/>
      <c r="FF58" s="104"/>
      <c r="FG58" s="104"/>
      <c r="FH58" s="104"/>
      <c r="FI58" s="104"/>
      <c r="FJ58" s="104"/>
      <c r="FK58" s="104"/>
      <c r="FL58" s="104"/>
      <c r="FM58" s="104"/>
      <c r="FN58" s="104"/>
      <c r="FO58" s="104"/>
      <c r="FP58" s="104"/>
      <c r="FQ58" s="104"/>
      <c r="FR58" s="104"/>
      <c r="FS58" s="104"/>
      <c r="FT58" s="104"/>
      <c r="FU58" s="104"/>
      <c r="FV58" s="104"/>
      <c r="FW58" s="104"/>
      <c r="FX58" s="104"/>
      <c r="FY58" s="104"/>
      <c r="FZ58" s="104"/>
      <c r="GA58" s="104"/>
      <c r="GB58" s="104"/>
      <c r="GC58" s="104"/>
      <c r="GD58" s="104"/>
      <c r="GE58" s="104"/>
      <c r="GF58" s="104"/>
      <c r="GG58" s="104"/>
      <c r="GH58" s="104"/>
      <c r="GI58" s="104"/>
      <c r="GJ58" s="104"/>
      <c r="GK58" s="104"/>
      <c r="GL58" s="104"/>
      <c r="GM58" s="104"/>
      <c r="GN58" s="104"/>
      <c r="GO58" s="104"/>
      <c r="GP58" s="104"/>
      <c r="GQ58" s="104"/>
      <c r="GR58" s="104"/>
      <c r="GS58" s="104"/>
      <c r="GT58" s="104"/>
      <c r="GU58" s="104"/>
      <c r="GV58" s="104"/>
      <c r="GW58" s="104"/>
      <c r="GX58" s="104"/>
      <c r="GY58" s="104"/>
      <c r="GZ58" s="104"/>
      <c r="HA58" s="104"/>
      <c r="HB58" s="104"/>
      <c r="HC58" s="104"/>
      <c r="HD58" s="104"/>
      <c r="HE58" s="104"/>
      <c r="HF58" s="104"/>
      <c r="HG58" s="104"/>
      <c r="HH58" s="104"/>
      <c r="HI58" s="104"/>
      <c r="HJ58" s="104"/>
      <c r="HK58" s="104"/>
      <c r="HL58" s="104"/>
      <c r="HM58" s="104"/>
      <c r="HN58" s="104"/>
      <c r="HO58" s="104"/>
      <c r="HP58" s="104"/>
      <c r="HQ58" s="104"/>
      <c r="HR58" s="104"/>
      <c r="HS58" s="104"/>
      <c r="HT58" s="104"/>
      <c r="HU58" s="104"/>
      <c r="HV58" s="104"/>
      <c r="HW58" s="104"/>
      <c r="HX58" s="104"/>
      <c r="HY58" s="104"/>
      <c r="HZ58" s="104"/>
      <c r="IA58" s="104"/>
      <c r="IB58" s="104"/>
      <c r="IC58" s="104"/>
      <c r="ID58" s="104"/>
      <c r="IE58" s="104"/>
      <c r="IF58" s="104"/>
      <c r="IG58" s="104"/>
      <c r="IH58" s="104"/>
      <c r="II58" s="104"/>
      <c r="IJ58" s="104"/>
      <c r="IK58" s="104"/>
      <c r="IL58" s="104"/>
      <c r="IM58" s="104"/>
      <c r="IN58" s="104"/>
      <c r="IO58" s="104"/>
      <c r="IP58" s="104"/>
      <c r="IQ58" s="104"/>
      <c r="IR58" s="104"/>
      <c r="IS58" s="104"/>
      <c r="IT58" s="104"/>
      <c r="IU58" s="104"/>
      <c r="IV58" s="104"/>
      <c r="IW58" s="104"/>
      <c r="IX58" s="104"/>
      <c r="IY58" s="104"/>
      <c r="IZ58" s="104"/>
      <c r="JA58" s="104"/>
      <c r="JB58" s="104"/>
      <c r="JC58" s="104"/>
      <c r="JD58" s="104"/>
      <c r="JE58" s="104"/>
    </row>
    <row r="59" spans="1:265" x14ac:dyDescent="0.25">
      <c r="A59" s="9"/>
      <c r="B59" s="4"/>
      <c r="C59" s="7"/>
      <c r="D59" s="182"/>
      <c r="E59" s="182"/>
      <c r="F59" s="182"/>
      <c r="G59" s="182"/>
      <c r="H59" s="182"/>
      <c r="I59" s="182"/>
      <c r="J59" s="9"/>
      <c r="K59" s="9"/>
      <c r="L59" s="9"/>
      <c r="M59" s="9"/>
      <c r="N59" s="9"/>
      <c r="O59" s="104"/>
      <c r="P59" s="104"/>
      <c r="Q59" s="104"/>
      <c r="R59" s="104"/>
      <c r="S59" s="104"/>
      <c r="T59" s="104"/>
      <c r="U59" s="104"/>
      <c r="V59" s="104"/>
      <c r="W59" s="104"/>
      <c r="X59" s="104"/>
      <c r="Y59" s="104"/>
      <c r="Z59" s="104"/>
      <c r="AA59" s="104"/>
      <c r="AB59" s="104"/>
      <c r="AC59" s="104"/>
      <c r="AD59" s="104"/>
      <c r="AE59" s="104"/>
      <c r="AF59" s="104"/>
      <c r="AG59" s="104"/>
      <c r="AH59" s="104"/>
      <c r="AI59" s="104"/>
      <c r="AJ59" s="104"/>
      <c r="AK59" s="104"/>
      <c r="AL59" s="104"/>
      <c r="AM59" s="104"/>
      <c r="AN59" s="104"/>
      <c r="AO59" s="104"/>
      <c r="AP59" s="172"/>
      <c r="AQ59" s="172"/>
      <c r="AR59" s="172"/>
      <c r="AS59" s="104"/>
      <c r="AT59" s="104"/>
      <c r="AU59" s="172"/>
      <c r="AV59" s="172"/>
      <c r="AW59" s="172"/>
      <c r="AX59" s="104"/>
      <c r="AY59" s="104"/>
      <c r="AZ59" s="104"/>
      <c r="BA59" s="104"/>
      <c r="BB59" s="104"/>
      <c r="BC59" s="104"/>
      <c r="BD59" s="104"/>
      <c r="BE59" s="104"/>
      <c r="BF59" s="104"/>
      <c r="BG59" s="104"/>
      <c r="BH59" s="104"/>
      <c r="BI59" s="104"/>
      <c r="BJ59" s="104"/>
      <c r="BK59" s="104"/>
      <c r="BL59" s="104"/>
      <c r="BM59" s="104"/>
      <c r="BN59" s="104"/>
      <c r="BO59" s="104"/>
      <c r="BP59" s="104"/>
      <c r="BQ59" s="104"/>
      <c r="BR59" s="104"/>
      <c r="BS59" s="104"/>
      <c r="BT59" s="104"/>
      <c r="BU59" s="104"/>
      <c r="BV59" s="104"/>
      <c r="BW59" s="104"/>
      <c r="BX59" s="104"/>
      <c r="BY59" s="104"/>
      <c r="BZ59" s="104"/>
      <c r="CA59" s="104"/>
      <c r="CB59" s="104"/>
      <c r="CC59" s="104"/>
      <c r="CD59" s="104"/>
      <c r="CE59" s="104"/>
      <c r="CF59" s="104"/>
      <c r="CG59" s="104"/>
      <c r="CH59" s="104"/>
      <c r="CI59" s="104"/>
      <c r="CJ59" s="104"/>
      <c r="CK59" s="104"/>
      <c r="CL59" s="104"/>
      <c r="CM59" s="104"/>
      <c r="CN59" s="104"/>
      <c r="CO59" s="104"/>
      <c r="CP59" s="104"/>
      <c r="CQ59" s="104"/>
      <c r="CR59" s="104"/>
      <c r="CS59" s="104"/>
      <c r="CT59" s="104"/>
      <c r="CU59" s="104"/>
      <c r="CV59" s="104"/>
      <c r="CW59" s="104"/>
      <c r="CX59" s="104"/>
      <c r="CY59" s="104"/>
      <c r="CZ59" s="104"/>
      <c r="DA59" s="104"/>
      <c r="DB59" s="104"/>
      <c r="DC59" s="104"/>
      <c r="DD59" s="104"/>
      <c r="DE59" s="104"/>
      <c r="DF59" s="104"/>
      <c r="DG59" s="104"/>
      <c r="DH59" s="104"/>
      <c r="DI59" s="104"/>
      <c r="DJ59" s="104"/>
      <c r="DK59" s="104"/>
      <c r="DL59" s="104"/>
      <c r="DM59" s="104"/>
      <c r="DN59" s="104"/>
      <c r="DO59" s="104"/>
      <c r="DP59" s="104"/>
      <c r="DQ59" s="104"/>
      <c r="DR59" s="104"/>
      <c r="DS59" s="104"/>
      <c r="DT59" s="104"/>
      <c r="DU59" s="104"/>
      <c r="DV59" s="104"/>
      <c r="DW59" s="104"/>
      <c r="DX59" s="104"/>
      <c r="DY59" s="104"/>
      <c r="DZ59" s="104"/>
      <c r="EA59" s="104"/>
      <c r="EB59" s="104"/>
      <c r="EC59" s="104"/>
      <c r="ED59" s="104"/>
      <c r="EE59" s="104"/>
      <c r="EF59" s="104"/>
      <c r="EG59" s="104"/>
      <c r="EH59" s="104"/>
      <c r="EI59" s="104"/>
      <c r="EJ59" s="104"/>
      <c r="EK59" s="104"/>
      <c r="EL59" s="104"/>
      <c r="EM59" s="104"/>
      <c r="EN59" s="104"/>
      <c r="EO59" s="104"/>
      <c r="EP59" s="104"/>
      <c r="EQ59" s="104"/>
      <c r="ER59" s="104"/>
      <c r="ES59" s="104"/>
      <c r="ET59" s="104"/>
      <c r="EU59" s="104"/>
      <c r="EV59" s="104"/>
      <c r="EW59" s="104"/>
      <c r="EX59" s="104"/>
      <c r="EY59" s="104"/>
      <c r="EZ59" s="104"/>
      <c r="FA59" s="104"/>
      <c r="FB59" s="104"/>
      <c r="FC59" s="104"/>
      <c r="FD59" s="104"/>
      <c r="FE59" s="104"/>
      <c r="FF59" s="104"/>
      <c r="FG59" s="104"/>
      <c r="FH59" s="104"/>
      <c r="FI59" s="104"/>
      <c r="FJ59" s="104"/>
      <c r="FK59" s="104"/>
      <c r="FL59" s="104"/>
      <c r="FM59" s="104"/>
      <c r="FN59" s="104"/>
      <c r="FO59" s="104"/>
      <c r="FP59" s="104"/>
      <c r="FQ59" s="104"/>
      <c r="FR59" s="104"/>
      <c r="FS59" s="104"/>
      <c r="FT59" s="104"/>
      <c r="FU59" s="104"/>
      <c r="FV59" s="104"/>
      <c r="FW59" s="104"/>
      <c r="FX59" s="104"/>
      <c r="FY59" s="104"/>
      <c r="FZ59" s="104"/>
      <c r="GA59" s="104"/>
      <c r="GB59" s="104"/>
      <c r="GC59" s="104"/>
      <c r="GD59" s="104"/>
      <c r="GE59" s="104"/>
      <c r="GF59" s="104"/>
      <c r="GG59" s="104"/>
      <c r="GH59" s="104"/>
      <c r="GI59" s="104"/>
      <c r="GJ59" s="104"/>
      <c r="GK59" s="104"/>
      <c r="GL59" s="104"/>
      <c r="GM59" s="104"/>
      <c r="GN59" s="104"/>
      <c r="GO59" s="104"/>
      <c r="GP59" s="104"/>
      <c r="GQ59" s="104"/>
      <c r="GR59" s="104"/>
      <c r="GS59" s="104"/>
      <c r="GT59" s="104"/>
      <c r="GU59" s="104"/>
      <c r="GV59" s="104"/>
      <c r="GW59" s="104"/>
      <c r="GX59" s="104"/>
      <c r="GY59" s="104"/>
      <c r="GZ59" s="104"/>
      <c r="HA59" s="104"/>
      <c r="HB59" s="104"/>
      <c r="HC59" s="104"/>
      <c r="HD59" s="104"/>
      <c r="HE59" s="104"/>
      <c r="HF59" s="104"/>
      <c r="HG59" s="104"/>
      <c r="HH59" s="104"/>
      <c r="HI59" s="104"/>
      <c r="HJ59" s="104"/>
      <c r="HK59" s="104"/>
      <c r="HL59" s="104"/>
      <c r="HM59" s="104"/>
      <c r="HN59" s="104"/>
      <c r="HO59" s="104"/>
      <c r="HP59" s="104"/>
      <c r="HQ59" s="104"/>
      <c r="HR59" s="104"/>
      <c r="HS59" s="104"/>
      <c r="HT59" s="104"/>
      <c r="HU59" s="104"/>
      <c r="HV59" s="104"/>
      <c r="HW59" s="104"/>
      <c r="HX59" s="104"/>
      <c r="HY59" s="104"/>
      <c r="HZ59" s="104"/>
      <c r="IA59" s="104"/>
      <c r="IB59" s="104"/>
      <c r="IC59" s="104"/>
      <c r="ID59" s="104"/>
      <c r="IE59" s="104"/>
      <c r="IF59" s="104"/>
      <c r="IG59" s="104"/>
      <c r="IH59" s="104"/>
      <c r="II59" s="104"/>
      <c r="IJ59" s="104"/>
      <c r="IK59" s="104"/>
      <c r="IL59" s="104"/>
      <c r="IM59" s="104"/>
      <c r="IN59" s="104"/>
      <c r="IO59" s="104"/>
      <c r="IP59" s="104"/>
      <c r="IQ59" s="104"/>
      <c r="IR59" s="104"/>
      <c r="IS59" s="104"/>
      <c r="IT59" s="104"/>
      <c r="IU59" s="104"/>
      <c r="IV59" s="104"/>
      <c r="IW59" s="104"/>
      <c r="IX59" s="104"/>
      <c r="IY59" s="104"/>
      <c r="IZ59" s="104"/>
      <c r="JA59" s="104"/>
      <c r="JB59" s="104"/>
      <c r="JC59" s="104"/>
      <c r="JD59" s="104"/>
      <c r="JE59" s="104"/>
    </row>
    <row r="60" spans="1:265" x14ac:dyDescent="0.25">
      <c r="A60" s="9"/>
      <c r="B60" s="4"/>
      <c r="C60" s="7"/>
      <c r="D60" s="182"/>
      <c r="E60" s="182"/>
      <c r="F60" s="182"/>
      <c r="G60" s="182"/>
      <c r="H60" s="182"/>
      <c r="I60" s="182"/>
      <c r="J60" s="9"/>
      <c r="K60" s="9"/>
      <c r="L60" s="9"/>
      <c r="M60" s="9"/>
      <c r="N60" s="9"/>
      <c r="O60" s="104"/>
      <c r="P60" s="104"/>
      <c r="Q60" s="104"/>
      <c r="R60" s="104"/>
      <c r="S60" s="104"/>
      <c r="T60" s="104"/>
      <c r="U60" s="104"/>
      <c r="V60" s="104"/>
      <c r="W60" s="104"/>
      <c r="X60" s="104"/>
      <c r="Y60" s="104"/>
      <c r="Z60" s="104"/>
      <c r="AA60" s="104"/>
      <c r="AB60" s="104"/>
      <c r="AC60" s="104"/>
      <c r="AD60" s="104"/>
      <c r="AE60" s="104"/>
      <c r="AF60" s="104"/>
      <c r="AG60" s="104"/>
      <c r="AH60" s="104"/>
      <c r="AI60" s="104"/>
      <c r="AJ60" s="104"/>
      <c r="AK60" s="104"/>
      <c r="AL60" s="104"/>
      <c r="AM60" s="104"/>
      <c r="AN60" s="104"/>
      <c r="AO60" s="104"/>
      <c r="AP60" s="172"/>
      <c r="AQ60" s="172"/>
      <c r="AR60" s="172"/>
      <c r="AS60" s="104"/>
      <c r="AT60" s="104"/>
      <c r="AU60" s="172"/>
      <c r="AV60" s="174"/>
      <c r="AW60" s="172"/>
      <c r="AX60" s="104"/>
      <c r="AY60" s="174"/>
      <c r="AZ60" s="174"/>
      <c r="BA60" s="104"/>
      <c r="BB60" s="104"/>
      <c r="BC60" s="104"/>
      <c r="BD60" s="104"/>
      <c r="BE60" s="104"/>
      <c r="BF60" s="104"/>
      <c r="BG60" s="104"/>
      <c r="BH60" s="104"/>
      <c r="BI60" s="104"/>
      <c r="BJ60" s="104"/>
      <c r="BK60" s="104"/>
      <c r="BL60" s="104"/>
      <c r="BM60" s="104"/>
      <c r="BN60" s="104"/>
      <c r="BO60" s="104"/>
      <c r="BP60" s="104"/>
      <c r="BQ60" s="104"/>
      <c r="BR60" s="104"/>
      <c r="BS60" s="104"/>
      <c r="BT60" s="104"/>
      <c r="BU60" s="104"/>
      <c r="BV60" s="104"/>
      <c r="BW60" s="104"/>
      <c r="BX60" s="104"/>
      <c r="BY60" s="104"/>
      <c r="BZ60" s="104"/>
      <c r="CA60" s="104"/>
      <c r="CB60" s="104"/>
      <c r="CC60" s="104"/>
      <c r="CD60" s="104"/>
      <c r="CE60" s="104"/>
      <c r="CF60" s="104"/>
      <c r="CG60" s="104"/>
      <c r="CH60" s="104"/>
      <c r="CI60" s="104"/>
      <c r="CJ60" s="104"/>
      <c r="CK60" s="104"/>
      <c r="CL60" s="104"/>
      <c r="CM60" s="104"/>
      <c r="CN60" s="104"/>
      <c r="CO60" s="104"/>
      <c r="CP60" s="104"/>
      <c r="CQ60" s="104"/>
      <c r="CR60" s="104"/>
      <c r="CS60" s="104"/>
      <c r="CT60" s="104"/>
      <c r="CU60" s="104"/>
      <c r="CV60" s="104"/>
      <c r="CW60" s="104"/>
      <c r="CX60" s="104"/>
      <c r="CY60" s="104"/>
      <c r="CZ60" s="104"/>
      <c r="DA60" s="104"/>
      <c r="DB60" s="104"/>
      <c r="DC60" s="104"/>
      <c r="DD60" s="104"/>
      <c r="DE60" s="104"/>
      <c r="DF60" s="104"/>
      <c r="DG60" s="104"/>
      <c r="DH60" s="104"/>
      <c r="DI60" s="104"/>
      <c r="DJ60" s="104"/>
      <c r="DK60" s="104"/>
      <c r="DL60" s="104"/>
      <c r="DM60" s="104"/>
      <c r="DN60" s="104"/>
      <c r="DO60" s="104"/>
      <c r="DP60" s="104"/>
      <c r="DQ60" s="104"/>
      <c r="DR60" s="104"/>
      <c r="DS60" s="104"/>
      <c r="DT60" s="104"/>
      <c r="DU60" s="104"/>
      <c r="DV60" s="104"/>
      <c r="DW60" s="104"/>
      <c r="DX60" s="104"/>
      <c r="DY60" s="104"/>
      <c r="DZ60" s="104"/>
      <c r="EA60" s="104"/>
      <c r="EB60" s="104"/>
      <c r="EC60" s="104"/>
      <c r="ED60" s="104"/>
      <c r="EE60" s="104"/>
      <c r="EF60" s="104"/>
      <c r="EG60" s="104"/>
      <c r="EH60" s="104"/>
      <c r="EI60" s="104"/>
      <c r="EJ60" s="104"/>
      <c r="EK60" s="104"/>
      <c r="EL60" s="104"/>
      <c r="EM60" s="104"/>
      <c r="EN60" s="104"/>
      <c r="EO60" s="104"/>
      <c r="EP60" s="104"/>
      <c r="EQ60" s="104"/>
      <c r="ER60" s="104"/>
      <c r="ES60" s="104"/>
      <c r="ET60" s="104"/>
      <c r="EU60" s="104"/>
      <c r="EV60" s="104"/>
      <c r="EW60" s="104"/>
      <c r="EX60" s="104"/>
      <c r="EY60" s="104"/>
      <c r="EZ60" s="104"/>
      <c r="FA60" s="104"/>
      <c r="FB60" s="104"/>
      <c r="FC60" s="104"/>
      <c r="FD60" s="104"/>
      <c r="FE60" s="104"/>
      <c r="FF60" s="104"/>
      <c r="FG60" s="104"/>
      <c r="FH60" s="104"/>
      <c r="FI60" s="104"/>
      <c r="FJ60" s="104"/>
      <c r="FK60" s="104"/>
      <c r="FL60" s="104"/>
      <c r="FM60" s="104"/>
      <c r="FN60" s="104"/>
      <c r="FO60" s="104"/>
      <c r="FP60" s="104"/>
      <c r="FQ60" s="104"/>
      <c r="FR60" s="104"/>
      <c r="FS60" s="104"/>
      <c r="FT60" s="104"/>
      <c r="FU60" s="104"/>
      <c r="FV60" s="104"/>
      <c r="FW60" s="104"/>
      <c r="FX60" s="104"/>
      <c r="FY60" s="104"/>
      <c r="FZ60" s="104"/>
      <c r="GA60" s="104"/>
      <c r="GB60" s="104"/>
      <c r="GC60" s="104"/>
      <c r="GD60" s="104"/>
      <c r="GE60" s="104"/>
      <c r="GF60" s="104"/>
      <c r="GG60" s="104"/>
      <c r="GH60" s="104"/>
      <c r="GI60" s="104"/>
      <c r="GJ60" s="104"/>
      <c r="GK60" s="104"/>
      <c r="GL60" s="104"/>
      <c r="GM60" s="104"/>
      <c r="GN60" s="104"/>
      <c r="GO60" s="104"/>
      <c r="GP60" s="104"/>
      <c r="GQ60" s="104"/>
      <c r="GR60" s="104"/>
      <c r="GS60" s="104"/>
      <c r="GT60" s="104"/>
      <c r="GU60" s="104"/>
      <c r="GV60" s="104"/>
      <c r="GW60" s="104"/>
      <c r="GX60" s="104"/>
      <c r="GY60" s="104"/>
      <c r="GZ60" s="104"/>
      <c r="HA60" s="104"/>
      <c r="HB60" s="104"/>
      <c r="HC60" s="104"/>
      <c r="HD60" s="104"/>
      <c r="HE60" s="104"/>
      <c r="HF60" s="104"/>
      <c r="HG60" s="104"/>
      <c r="HH60" s="104"/>
      <c r="HI60" s="104"/>
      <c r="HJ60" s="104"/>
      <c r="HK60" s="104"/>
      <c r="HL60" s="104"/>
      <c r="HM60" s="104"/>
      <c r="HN60" s="104"/>
      <c r="HO60" s="104"/>
      <c r="HP60" s="104"/>
      <c r="HQ60" s="104"/>
      <c r="HR60" s="104"/>
      <c r="HS60" s="104"/>
      <c r="HT60" s="104"/>
      <c r="HU60" s="104"/>
      <c r="HV60" s="104"/>
      <c r="HW60" s="104"/>
      <c r="HX60" s="104"/>
      <c r="HY60" s="104"/>
      <c r="HZ60" s="104"/>
      <c r="IA60" s="104"/>
      <c r="IB60" s="104"/>
      <c r="IC60" s="104"/>
      <c r="ID60" s="104"/>
      <c r="IE60" s="104"/>
      <c r="IF60" s="104"/>
      <c r="IG60" s="104"/>
      <c r="IH60" s="104"/>
      <c r="II60" s="104"/>
      <c r="IJ60" s="104"/>
      <c r="IK60" s="104"/>
      <c r="IL60" s="104"/>
      <c r="IM60" s="104"/>
      <c r="IN60" s="104"/>
      <c r="IO60" s="104"/>
      <c r="IP60" s="104"/>
      <c r="IQ60" s="104"/>
      <c r="IR60" s="104"/>
      <c r="IS60" s="104"/>
      <c r="IT60" s="104"/>
      <c r="IU60" s="104"/>
      <c r="IV60" s="104"/>
      <c r="IW60" s="104"/>
      <c r="IX60" s="104"/>
      <c r="IY60" s="104"/>
      <c r="IZ60" s="104"/>
      <c r="JA60" s="104"/>
      <c r="JB60" s="104"/>
      <c r="JC60" s="104"/>
      <c r="JD60" s="104"/>
      <c r="JE60" s="104"/>
    </row>
    <row r="61" spans="1:265" x14ac:dyDescent="0.25">
      <c r="B61" s="4"/>
      <c r="C61" s="7"/>
      <c r="D61" s="9"/>
      <c r="E61" s="9"/>
      <c r="F61" s="9"/>
      <c r="G61" s="9"/>
      <c r="H61" s="9"/>
      <c r="I61" s="9"/>
      <c r="J61" s="9"/>
      <c r="K61" s="9"/>
      <c r="L61" s="9"/>
      <c r="M61" s="9"/>
      <c r="N61" s="9"/>
      <c r="O61" s="104"/>
      <c r="P61" s="104"/>
      <c r="Q61" s="104"/>
      <c r="R61" s="104"/>
      <c r="S61" s="104"/>
      <c r="T61" s="104"/>
      <c r="U61" s="104"/>
      <c r="V61" s="104"/>
      <c r="W61" s="104"/>
      <c r="X61" s="104"/>
      <c r="Y61" s="104"/>
      <c r="Z61" s="104"/>
      <c r="AA61" s="104"/>
      <c r="AB61" s="104"/>
      <c r="AC61" s="104"/>
      <c r="AD61" s="104"/>
      <c r="AE61" s="104"/>
      <c r="AF61" s="104"/>
      <c r="AG61" s="104"/>
      <c r="AH61" s="104"/>
      <c r="AI61" s="104"/>
      <c r="AJ61" s="104"/>
      <c r="AK61" s="104"/>
      <c r="AL61" s="104"/>
      <c r="AM61" s="104"/>
      <c r="AN61" s="104"/>
      <c r="AO61" s="104"/>
      <c r="AP61" s="172"/>
      <c r="AQ61" s="172"/>
      <c r="AR61" s="172"/>
      <c r="AS61" s="104"/>
      <c r="AT61" s="104"/>
      <c r="AU61" s="172"/>
      <c r="AV61" s="174"/>
      <c r="AW61" s="172"/>
      <c r="AX61" s="104"/>
      <c r="AY61" s="174"/>
      <c r="AZ61" s="174"/>
      <c r="BA61" s="104"/>
      <c r="BB61" s="104"/>
      <c r="BC61" s="104"/>
      <c r="BD61" s="104"/>
      <c r="BE61" s="104"/>
      <c r="BF61" s="104"/>
      <c r="BG61" s="104"/>
      <c r="BH61" s="104"/>
      <c r="BI61" s="104"/>
      <c r="BJ61" s="104"/>
      <c r="BK61" s="104"/>
      <c r="BL61" s="104"/>
      <c r="BM61" s="104"/>
      <c r="BN61" s="104"/>
      <c r="BO61" s="104"/>
      <c r="BP61" s="104"/>
      <c r="BQ61" s="104"/>
      <c r="BR61" s="104"/>
      <c r="BS61" s="104"/>
      <c r="BT61" s="104"/>
      <c r="BU61" s="104"/>
      <c r="BV61" s="104"/>
      <c r="BW61" s="104"/>
      <c r="BX61" s="104"/>
      <c r="BY61" s="104"/>
      <c r="BZ61" s="104"/>
      <c r="CA61" s="104"/>
      <c r="CB61" s="104"/>
      <c r="CC61" s="104"/>
      <c r="CD61" s="104"/>
      <c r="CE61" s="104"/>
      <c r="CF61" s="104"/>
      <c r="CG61" s="104"/>
      <c r="CH61" s="104"/>
      <c r="CI61" s="104"/>
      <c r="CJ61" s="104"/>
      <c r="CK61" s="104"/>
      <c r="CL61" s="104"/>
      <c r="CM61" s="104"/>
      <c r="CN61" s="104"/>
      <c r="CO61" s="104"/>
      <c r="CP61" s="104"/>
      <c r="CQ61" s="104"/>
      <c r="CR61" s="104"/>
      <c r="CS61" s="104"/>
      <c r="CT61" s="104"/>
      <c r="CU61" s="104"/>
      <c r="CV61" s="104"/>
      <c r="CW61" s="104"/>
      <c r="CX61" s="104"/>
      <c r="CY61" s="104"/>
      <c r="CZ61" s="104"/>
      <c r="DA61" s="104"/>
      <c r="DB61" s="104"/>
      <c r="DC61" s="104"/>
      <c r="DD61" s="104"/>
      <c r="DE61" s="104"/>
      <c r="DF61" s="104"/>
      <c r="DG61" s="104"/>
      <c r="DH61" s="104"/>
      <c r="DI61" s="104"/>
      <c r="DJ61" s="104"/>
      <c r="DK61" s="104"/>
      <c r="DL61" s="104"/>
      <c r="DM61" s="104"/>
      <c r="DN61" s="104"/>
      <c r="DO61" s="104"/>
      <c r="DP61" s="104"/>
      <c r="DQ61" s="104"/>
      <c r="DR61" s="104"/>
      <c r="DS61" s="104"/>
      <c r="DT61" s="104"/>
      <c r="DU61" s="104"/>
      <c r="DV61" s="104"/>
      <c r="DW61" s="104"/>
      <c r="DX61" s="104"/>
      <c r="DY61" s="104"/>
      <c r="DZ61" s="104"/>
      <c r="EA61" s="104"/>
      <c r="EB61" s="104"/>
      <c r="EC61" s="104"/>
      <c r="ED61" s="104"/>
      <c r="EE61" s="104"/>
      <c r="EF61" s="104"/>
      <c r="EG61" s="104"/>
      <c r="EH61" s="104"/>
      <c r="EI61" s="104"/>
      <c r="EJ61" s="104"/>
      <c r="EK61" s="104"/>
      <c r="EL61" s="104"/>
      <c r="EM61" s="104"/>
      <c r="EN61" s="104"/>
      <c r="EO61" s="104"/>
      <c r="EP61" s="104"/>
      <c r="EQ61" s="104"/>
      <c r="ER61" s="104"/>
      <c r="ES61" s="104"/>
      <c r="ET61" s="104"/>
      <c r="EU61" s="104"/>
      <c r="EV61" s="104"/>
      <c r="EW61" s="104"/>
      <c r="EX61" s="104"/>
      <c r="EY61" s="104"/>
      <c r="EZ61" s="104"/>
      <c r="FA61" s="104"/>
      <c r="FB61" s="104"/>
      <c r="FC61" s="104"/>
      <c r="FD61" s="104"/>
      <c r="FE61" s="104"/>
      <c r="FF61" s="104"/>
      <c r="FG61" s="104"/>
      <c r="FH61" s="104"/>
      <c r="FI61" s="104"/>
      <c r="FJ61" s="104"/>
      <c r="FK61" s="104"/>
      <c r="FL61" s="104"/>
      <c r="FM61" s="104"/>
      <c r="FN61" s="104"/>
      <c r="FO61" s="104"/>
      <c r="FP61" s="104"/>
      <c r="FQ61" s="104"/>
      <c r="FR61" s="104"/>
      <c r="FS61" s="104"/>
      <c r="FT61" s="104"/>
      <c r="FU61" s="104"/>
      <c r="FV61" s="104"/>
      <c r="FW61" s="104"/>
      <c r="FX61" s="104"/>
      <c r="FY61" s="104"/>
      <c r="FZ61" s="104"/>
      <c r="GA61" s="104"/>
      <c r="GB61" s="104"/>
      <c r="GC61" s="104"/>
      <c r="GD61" s="104"/>
      <c r="GE61" s="104"/>
      <c r="GF61" s="104"/>
      <c r="GG61" s="104"/>
      <c r="GH61" s="104"/>
      <c r="GI61" s="104"/>
      <c r="GJ61" s="104"/>
      <c r="GK61" s="104"/>
      <c r="GL61" s="104"/>
      <c r="GM61" s="104"/>
      <c r="GN61" s="104"/>
      <c r="GO61" s="104"/>
      <c r="GP61" s="104"/>
      <c r="GQ61" s="104"/>
      <c r="GR61" s="104"/>
      <c r="GS61" s="104"/>
      <c r="GT61" s="104"/>
      <c r="GU61" s="104"/>
      <c r="GV61" s="104"/>
      <c r="GW61" s="104"/>
      <c r="GX61" s="104"/>
      <c r="GY61" s="104"/>
      <c r="GZ61" s="104"/>
      <c r="HA61" s="104"/>
      <c r="HB61" s="104"/>
      <c r="HC61" s="104"/>
      <c r="HD61" s="104"/>
      <c r="HE61" s="104"/>
      <c r="HF61" s="104"/>
      <c r="HG61" s="104"/>
      <c r="HH61" s="104"/>
      <c r="HI61" s="104"/>
      <c r="HJ61" s="104"/>
      <c r="HK61" s="104"/>
      <c r="HL61" s="104"/>
      <c r="HM61" s="104"/>
      <c r="HN61" s="104"/>
      <c r="HO61" s="104"/>
      <c r="HP61" s="104"/>
      <c r="HQ61" s="104"/>
      <c r="HR61" s="104"/>
      <c r="HS61" s="104"/>
      <c r="HT61" s="104"/>
      <c r="HU61" s="104"/>
      <c r="HV61" s="104"/>
      <c r="HW61" s="104"/>
      <c r="HX61" s="104"/>
      <c r="HY61" s="104"/>
      <c r="HZ61" s="104"/>
      <c r="IA61" s="104"/>
      <c r="IB61" s="104"/>
      <c r="IC61" s="104"/>
      <c r="ID61" s="104"/>
      <c r="IE61" s="104"/>
      <c r="IF61" s="104"/>
      <c r="IG61" s="104"/>
      <c r="IH61" s="104"/>
      <c r="II61" s="104"/>
      <c r="IJ61" s="104"/>
      <c r="IK61" s="104"/>
      <c r="IL61" s="104"/>
      <c r="IM61" s="104"/>
      <c r="IN61" s="104"/>
      <c r="IO61" s="104"/>
      <c r="IP61" s="104"/>
      <c r="IQ61" s="104"/>
      <c r="IR61" s="104"/>
      <c r="IS61" s="104"/>
      <c r="IT61" s="104"/>
      <c r="IU61" s="104"/>
      <c r="IV61" s="104"/>
      <c r="IW61" s="104"/>
      <c r="IX61" s="104"/>
      <c r="IY61" s="104"/>
      <c r="IZ61" s="104"/>
      <c r="JA61" s="104"/>
      <c r="JB61" s="104"/>
      <c r="JC61" s="104"/>
      <c r="JD61" s="104"/>
      <c r="JE61" s="104"/>
    </row>
    <row r="62" spans="1:265" x14ac:dyDescent="0.25">
      <c r="B62" s="4"/>
      <c r="C62" s="7"/>
      <c r="D62" s="9"/>
      <c r="E62" s="9"/>
      <c r="F62" s="9"/>
      <c r="G62" s="9"/>
      <c r="H62" s="9"/>
      <c r="I62" s="9"/>
      <c r="J62" s="9"/>
      <c r="K62" s="9"/>
      <c r="L62" s="9"/>
      <c r="M62" s="9"/>
      <c r="N62" s="9"/>
      <c r="O62" s="104"/>
      <c r="P62" s="104"/>
      <c r="Q62" s="104"/>
      <c r="R62" s="104"/>
      <c r="S62" s="104"/>
      <c r="T62" s="104"/>
      <c r="U62" s="104"/>
      <c r="V62" s="104"/>
      <c r="W62" s="104"/>
      <c r="X62" s="104"/>
      <c r="Y62" s="104"/>
      <c r="Z62" s="104"/>
      <c r="AA62" s="104"/>
      <c r="AB62" s="104"/>
      <c r="AC62" s="104"/>
      <c r="AD62" s="104"/>
      <c r="AE62" s="104"/>
      <c r="AF62" s="104"/>
      <c r="AG62" s="104"/>
      <c r="AH62" s="104"/>
      <c r="AI62" s="104"/>
      <c r="AJ62" s="104"/>
      <c r="AK62" s="104"/>
      <c r="AL62" s="104"/>
      <c r="AM62" s="104"/>
      <c r="AN62" s="104"/>
      <c r="AO62" s="104"/>
      <c r="AP62" s="172"/>
      <c r="AQ62" s="172"/>
      <c r="AR62" s="172"/>
      <c r="AS62" s="104"/>
      <c r="AT62" s="104"/>
      <c r="AU62" s="172"/>
      <c r="AV62" s="174"/>
      <c r="AW62" s="172"/>
      <c r="AX62" s="104"/>
      <c r="AY62" s="174"/>
      <c r="AZ62" s="174"/>
      <c r="BA62" s="104"/>
      <c r="BB62" s="104"/>
      <c r="BC62" s="104"/>
      <c r="BD62" s="104"/>
      <c r="BE62" s="104"/>
      <c r="BF62" s="104"/>
      <c r="BG62" s="104"/>
      <c r="BH62" s="104"/>
      <c r="BI62" s="104"/>
      <c r="BJ62" s="104"/>
      <c r="BK62" s="104"/>
      <c r="BL62" s="104"/>
      <c r="BM62" s="104"/>
      <c r="BN62" s="104"/>
      <c r="BO62" s="104"/>
      <c r="BP62" s="104"/>
      <c r="BQ62" s="104"/>
      <c r="BR62" s="104"/>
      <c r="BS62" s="104"/>
      <c r="BT62" s="104"/>
      <c r="BU62" s="104"/>
      <c r="BV62" s="104"/>
      <c r="BW62" s="104"/>
      <c r="BX62" s="104"/>
      <c r="BY62" s="104"/>
      <c r="BZ62" s="104"/>
      <c r="CA62" s="104"/>
      <c r="CB62" s="104"/>
      <c r="CC62" s="104"/>
      <c r="CD62" s="104"/>
      <c r="CE62" s="104"/>
      <c r="CF62" s="104"/>
      <c r="CG62" s="104"/>
      <c r="CH62" s="104"/>
      <c r="CI62" s="104"/>
      <c r="CJ62" s="104"/>
      <c r="CK62" s="104"/>
      <c r="CL62" s="104"/>
      <c r="CM62" s="104"/>
      <c r="CN62" s="104"/>
      <c r="CO62" s="104"/>
      <c r="CP62" s="104"/>
      <c r="CQ62" s="104"/>
      <c r="CR62" s="104"/>
      <c r="CS62" s="104"/>
      <c r="CT62" s="104"/>
      <c r="CU62" s="104"/>
      <c r="CV62" s="104"/>
      <c r="CW62" s="104"/>
      <c r="CX62" s="104"/>
      <c r="CY62" s="104"/>
      <c r="CZ62" s="104"/>
      <c r="DA62" s="104"/>
      <c r="DB62" s="104"/>
      <c r="DC62" s="104"/>
      <c r="DD62" s="104"/>
      <c r="DE62" s="104"/>
      <c r="DF62" s="104"/>
      <c r="DG62" s="104"/>
      <c r="DH62" s="104"/>
      <c r="DI62" s="104"/>
      <c r="DJ62" s="104"/>
      <c r="DK62" s="104"/>
      <c r="DL62" s="104"/>
      <c r="DM62" s="104"/>
      <c r="DN62" s="104"/>
      <c r="DO62" s="104"/>
      <c r="DP62" s="104"/>
      <c r="DQ62" s="104"/>
      <c r="DR62" s="104"/>
      <c r="DS62" s="104"/>
      <c r="DT62" s="104"/>
      <c r="DU62" s="104"/>
      <c r="DV62" s="104"/>
      <c r="DW62" s="104"/>
      <c r="DX62" s="104"/>
      <c r="DY62" s="104"/>
      <c r="DZ62" s="104"/>
      <c r="EA62" s="104"/>
      <c r="EB62" s="104"/>
      <c r="EC62" s="104"/>
      <c r="ED62" s="104"/>
      <c r="EE62" s="104"/>
      <c r="EF62" s="104"/>
      <c r="EG62" s="104"/>
      <c r="EH62" s="104"/>
      <c r="EI62" s="104"/>
      <c r="EJ62" s="104"/>
      <c r="EK62" s="104"/>
      <c r="EL62" s="104"/>
      <c r="EM62" s="104"/>
      <c r="EN62" s="104"/>
      <c r="EO62" s="104"/>
      <c r="EP62" s="104"/>
      <c r="EQ62" s="104"/>
      <c r="ER62" s="104"/>
      <c r="ES62" s="104"/>
      <c r="ET62" s="104"/>
      <c r="EU62" s="104"/>
      <c r="EV62" s="104"/>
      <c r="EW62" s="104"/>
      <c r="EX62" s="104"/>
      <c r="EY62" s="104"/>
      <c r="EZ62" s="104"/>
      <c r="FA62" s="104"/>
      <c r="FB62" s="104"/>
      <c r="FC62" s="104"/>
      <c r="FD62" s="104"/>
      <c r="FE62" s="104"/>
      <c r="FF62" s="104"/>
      <c r="FG62" s="104"/>
      <c r="FH62" s="104"/>
      <c r="FI62" s="104"/>
      <c r="FJ62" s="104"/>
      <c r="FK62" s="104"/>
      <c r="FL62" s="104"/>
      <c r="FM62" s="104"/>
      <c r="FN62" s="104"/>
      <c r="FO62" s="104"/>
      <c r="FP62" s="104"/>
      <c r="FQ62" s="104"/>
      <c r="FR62" s="104"/>
      <c r="FS62" s="104"/>
      <c r="FT62" s="104"/>
      <c r="FU62" s="104"/>
      <c r="FV62" s="104"/>
      <c r="FW62" s="104"/>
      <c r="FX62" s="104"/>
      <c r="FY62" s="104"/>
      <c r="FZ62" s="104"/>
      <c r="GA62" s="104"/>
      <c r="GB62" s="104"/>
      <c r="GC62" s="104"/>
      <c r="GD62" s="104"/>
      <c r="GE62" s="104"/>
      <c r="GF62" s="104"/>
      <c r="GG62" s="104"/>
      <c r="GH62" s="104"/>
      <c r="GI62" s="104"/>
      <c r="GJ62" s="104"/>
      <c r="GK62" s="104"/>
      <c r="GL62" s="104"/>
      <c r="GM62" s="104"/>
      <c r="GN62" s="104"/>
      <c r="GO62" s="104"/>
      <c r="GP62" s="104"/>
      <c r="GQ62" s="104"/>
      <c r="GR62" s="104"/>
      <c r="GS62" s="104"/>
      <c r="GT62" s="104"/>
      <c r="GU62" s="104"/>
      <c r="GV62" s="104"/>
      <c r="GW62" s="104"/>
      <c r="GX62" s="104"/>
      <c r="GY62" s="104"/>
      <c r="GZ62" s="104"/>
      <c r="HA62" s="104"/>
      <c r="HB62" s="104"/>
      <c r="HC62" s="104"/>
      <c r="HD62" s="104"/>
      <c r="HE62" s="104"/>
      <c r="HF62" s="104"/>
      <c r="HG62" s="104"/>
      <c r="HH62" s="104"/>
      <c r="HI62" s="104"/>
      <c r="HJ62" s="104"/>
      <c r="HK62" s="104"/>
      <c r="HL62" s="104"/>
      <c r="HM62" s="104"/>
      <c r="HN62" s="104"/>
      <c r="HO62" s="104"/>
      <c r="HP62" s="104"/>
      <c r="HQ62" s="104"/>
      <c r="HR62" s="104"/>
      <c r="HS62" s="104"/>
      <c r="HT62" s="104"/>
      <c r="HU62" s="104"/>
      <c r="HV62" s="104"/>
      <c r="HW62" s="104"/>
      <c r="HX62" s="104"/>
      <c r="HY62" s="104"/>
      <c r="HZ62" s="104"/>
      <c r="IA62" s="104"/>
      <c r="IB62" s="104"/>
      <c r="IC62" s="104"/>
      <c r="ID62" s="104"/>
      <c r="IE62" s="104"/>
      <c r="IF62" s="104"/>
      <c r="IG62" s="104"/>
      <c r="IH62" s="104"/>
      <c r="II62" s="104"/>
      <c r="IJ62" s="104"/>
      <c r="IK62" s="104"/>
      <c r="IL62" s="104"/>
      <c r="IM62" s="104"/>
      <c r="IN62" s="104"/>
      <c r="IO62" s="104"/>
      <c r="IP62" s="104"/>
      <c r="IQ62" s="104"/>
      <c r="IR62" s="104"/>
      <c r="IS62" s="104"/>
      <c r="IT62" s="104"/>
      <c r="IU62" s="104"/>
      <c r="IV62" s="104"/>
      <c r="IW62" s="104"/>
      <c r="IX62" s="104"/>
      <c r="IY62" s="104"/>
      <c r="IZ62" s="104"/>
      <c r="JA62" s="104"/>
      <c r="JB62" s="104"/>
      <c r="JC62" s="104"/>
      <c r="JD62" s="104"/>
      <c r="JE62" s="104"/>
    </row>
    <row r="63" spans="1:265" x14ac:dyDescent="0.25">
      <c r="B63" s="1"/>
      <c r="C63" s="1"/>
      <c r="D63" s="9"/>
      <c r="E63" s="9"/>
      <c r="F63" s="9"/>
      <c r="G63" s="9"/>
      <c r="H63" s="9"/>
      <c r="I63" s="9"/>
      <c r="J63" s="9"/>
      <c r="K63" s="9"/>
      <c r="L63" s="9"/>
      <c r="M63" s="9"/>
      <c r="N63" s="9"/>
      <c r="O63" s="104"/>
      <c r="P63" s="104"/>
      <c r="Q63" s="104"/>
      <c r="R63" s="104"/>
      <c r="S63" s="104"/>
      <c r="T63" s="104"/>
      <c r="U63" s="104"/>
      <c r="V63" s="104"/>
      <c r="W63" s="104"/>
      <c r="X63" s="104"/>
      <c r="Y63" s="104"/>
      <c r="Z63" s="104"/>
      <c r="AA63" s="104"/>
      <c r="AB63" s="104"/>
      <c r="AC63" s="104"/>
      <c r="AD63" s="104"/>
      <c r="AE63" s="104"/>
      <c r="AF63" s="104"/>
      <c r="AG63" s="104"/>
      <c r="AH63" s="104"/>
      <c r="AI63" s="104"/>
      <c r="AJ63" s="104"/>
      <c r="AK63" s="104"/>
      <c r="AL63" s="104"/>
      <c r="AM63" s="104"/>
      <c r="AN63" s="104"/>
      <c r="AO63" s="104"/>
      <c r="AP63" s="172"/>
      <c r="AQ63" s="172"/>
      <c r="AR63" s="172"/>
      <c r="AS63" s="104"/>
      <c r="AT63" s="104"/>
      <c r="AU63" s="172"/>
      <c r="AV63" s="174"/>
      <c r="AW63" s="172"/>
      <c r="AX63" s="104"/>
      <c r="AY63" s="104"/>
      <c r="AZ63" s="174"/>
      <c r="BA63" s="104"/>
      <c r="BB63" s="104"/>
      <c r="BC63" s="104"/>
      <c r="BD63" s="104"/>
      <c r="BE63" s="104"/>
      <c r="BF63" s="104"/>
      <c r="BG63" s="104"/>
      <c r="BH63" s="104"/>
      <c r="BI63" s="104"/>
      <c r="BJ63" s="104"/>
      <c r="BK63" s="104"/>
      <c r="BL63" s="104"/>
      <c r="BM63" s="104"/>
      <c r="BN63" s="104"/>
      <c r="BO63" s="104"/>
      <c r="BP63" s="104"/>
      <c r="BQ63" s="104"/>
      <c r="BR63" s="104"/>
      <c r="BS63" s="104"/>
      <c r="BT63" s="104"/>
      <c r="BU63" s="104"/>
      <c r="BV63" s="104"/>
      <c r="BW63" s="104"/>
      <c r="BX63" s="104"/>
      <c r="BY63" s="104"/>
      <c r="BZ63" s="104"/>
      <c r="CA63" s="104"/>
      <c r="CB63" s="104"/>
      <c r="CC63" s="104"/>
      <c r="CD63" s="104"/>
      <c r="CE63" s="104"/>
      <c r="CF63" s="104"/>
      <c r="CG63" s="104"/>
      <c r="CH63" s="104"/>
      <c r="CI63" s="104"/>
      <c r="CJ63" s="104"/>
      <c r="CK63" s="104"/>
      <c r="CL63" s="104"/>
      <c r="CM63" s="104"/>
      <c r="CN63" s="104"/>
      <c r="CO63" s="104"/>
      <c r="CP63" s="104"/>
      <c r="CQ63" s="104"/>
      <c r="CR63" s="104"/>
      <c r="CS63" s="104"/>
      <c r="CT63" s="104"/>
      <c r="CU63" s="104"/>
      <c r="CV63" s="104"/>
      <c r="CW63" s="104"/>
      <c r="CX63" s="104"/>
      <c r="CY63" s="104"/>
      <c r="CZ63" s="104"/>
      <c r="DA63" s="104"/>
      <c r="DB63" s="104"/>
      <c r="DC63" s="104"/>
      <c r="DD63" s="104"/>
      <c r="DE63" s="104"/>
      <c r="DF63" s="104"/>
      <c r="DG63" s="104"/>
      <c r="DH63" s="104"/>
      <c r="DI63" s="104"/>
      <c r="DJ63" s="104"/>
      <c r="DK63" s="104"/>
      <c r="DL63" s="104"/>
      <c r="DM63" s="104"/>
      <c r="DN63" s="104"/>
      <c r="DO63" s="104"/>
      <c r="DP63" s="104"/>
      <c r="DQ63" s="104"/>
      <c r="DR63" s="104"/>
      <c r="DS63" s="104"/>
      <c r="DT63" s="104"/>
      <c r="DU63" s="104"/>
      <c r="DV63" s="104"/>
      <c r="DW63" s="104"/>
      <c r="DX63" s="104"/>
      <c r="DY63" s="104"/>
      <c r="DZ63" s="104"/>
      <c r="EA63" s="104"/>
      <c r="EB63" s="104"/>
      <c r="EC63" s="104"/>
      <c r="ED63" s="104"/>
      <c r="EE63" s="104"/>
      <c r="EF63" s="104"/>
      <c r="EG63" s="104"/>
      <c r="EH63" s="104"/>
      <c r="EI63" s="104"/>
      <c r="EJ63" s="104"/>
      <c r="EK63" s="104"/>
      <c r="EL63" s="104"/>
      <c r="EM63" s="104"/>
      <c r="EN63" s="104"/>
      <c r="EO63" s="104"/>
      <c r="EP63" s="104"/>
      <c r="EQ63" s="104"/>
      <c r="ER63" s="104"/>
      <c r="ES63" s="104"/>
      <c r="ET63" s="104"/>
      <c r="EU63" s="104"/>
      <c r="EV63" s="104"/>
      <c r="EW63" s="104"/>
      <c r="EX63" s="104"/>
      <c r="EY63" s="104"/>
      <c r="EZ63" s="104"/>
      <c r="FA63" s="104"/>
      <c r="FB63" s="104"/>
      <c r="FC63" s="104"/>
      <c r="FD63" s="104"/>
      <c r="FE63" s="104"/>
      <c r="FF63" s="104"/>
      <c r="FG63" s="104"/>
      <c r="FH63" s="104"/>
      <c r="FI63" s="104"/>
      <c r="FJ63" s="104"/>
      <c r="FK63" s="104"/>
      <c r="FL63" s="104"/>
      <c r="FM63" s="104"/>
      <c r="FN63" s="104"/>
      <c r="FO63" s="104"/>
      <c r="FP63" s="104"/>
      <c r="FQ63" s="104"/>
      <c r="FR63" s="104"/>
      <c r="FS63" s="104"/>
      <c r="FT63" s="104"/>
      <c r="FU63" s="104"/>
      <c r="FV63" s="104"/>
      <c r="FW63" s="104"/>
      <c r="FX63" s="104"/>
      <c r="FY63" s="104"/>
      <c r="FZ63" s="104"/>
      <c r="GA63" s="104"/>
      <c r="GB63" s="104"/>
      <c r="GC63" s="104"/>
      <c r="GD63" s="104"/>
      <c r="GE63" s="104"/>
      <c r="GF63" s="104"/>
      <c r="GG63" s="104"/>
      <c r="GH63" s="104"/>
      <c r="GI63" s="104"/>
      <c r="GJ63" s="104"/>
      <c r="GK63" s="104"/>
      <c r="GL63" s="104"/>
      <c r="GM63" s="104"/>
      <c r="GN63" s="104"/>
      <c r="GO63" s="104"/>
      <c r="GP63" s="104"/>
      <c r="GQ63" s="104"/>
      <c r="GR63" s="104"/>
      <c r="GS63" s="104"/>
      <c r="GT63" s="104"/>
      <c r="GU63" s="104"/>
      <c r="GV63" s="104"/>
      <c r="GW63" s="104"/>
      <c r="GX63" s="104"/>
      <c r="GY63" s="104"/>
      <c r="GZ63" s="104"/>
      <c r="HA63" s="104"/>
      <c r="HB63" s="104"/>
      <c r="HC63" s="104"/>
      <c r="HD63" s="104"/>
      <c r="HE63" s="104"/>
      <c r="HF63" s="104"/>
      <c r="HG63" s="104"/>
      <c r="HH63" s="104"/>
      <c r="HI63" s="104"/>
      <c r="HJ63" s="104"/>
      <c r="HK63" s="104"/>
      <c r="HL63" s="104"/>
      <c r="HM63" s="104"/>
      <c r="HN63" s="104"/>
      <c r="HO63" s="104"/>
      <c r="HP63" s="104"/>
      <c r="HQ63" s="104"/>
      <c r="HR63" s="104"/>
      <c r="HS63" s="104"/>
      <c r="HT63" s="104"/>
      <c r="HU63" s="104"/>
      <c r="HV63" s="104"/>
      <c r="HW63" s="104"/>
      <c r="HX63" s="104"/>
      <c r="HY63" s="104"/>
      <c r="HZ63" s="104"/>
      <c r="IA63" s="104"/>
      <c r="IB63" s="104"/>
      <c r="IC63" s="104"/>
      <c r="ID63" s="104"/>
      <c r="IE63" s="104"/>
      <c r="IF63" s="104"/>
      <c r="IG63" s="104"/>
      <c r="IH63" s="104"/>
      <c r="II63" s="104"/>
      <c r="IJ63" s="104"/>
      <c r="IK63" s="104"/>
      <c r="IL63" s="104"/>
      <c r="IM63" s="104"/>
      <c r="IN63" s="104"/>
      <c r="IO63" s="104"/>
      <c r="IP63" s="104"/>
      <c r="IQ63" s="104"/>
      <c r="IR63" s="104"/>
      <c r="IS63" s="104"/>
      <c r="IT63" s="104"/>
      <c r="IU63" s="104"/>
      <c r="IV63" s="104"/>
      <c r="IW63" s="104"/>
      <c r="IX63" s="104"/>
      <c r="IY63" s="104"/>
      <c r="IZ63" s="104"/>
      <c r="JA63" s="104"/>
      <c r="JB63" s="104"/>
      <c r="JC63" s="104"/>
      <c r="JD63" s="104"/>
      <c r="JE63" s="104"/>
    </row>
    <row r="64" spans="1:265" x14ac:dyDescent="0.25">
      <c r="D64" s="9"/>
      <c r="E64" s="9"/>
      <c r="F64" s="9"/>
      <c r="G64" s="9"/>
      <c r="H64" s="9"/>
      <c r="I64" s="9"/>
      <c r="J64" s="9"/>
      <c r="N64" s="9"/>
      <c r="O64" s="104"/>
      <c r="P64" s="104"/>
      <c r="Q64" s="104"/>
      <c r="R64" s="104"/>
      <c r="S64" s="104"/>
      <c r="T64" s="104"/>
      <c r="U64" s="104"/>
      <c r="V64" s="104"/>
      <c r="W64" s="104"/>
      <c r="X64" s="104"/>
      <c r="Y64" s="104"/>
      <c r="Z64" s="104"/>
      <c r="AA64" s="104"/>
      <c r="AB64" s="104"/>
      <c r="AC64" s="104"/>
      <c r="AD64" s="104"/>
      <c r="AE64" s="104"/>
      <c r="AF64" s="104"/>
      <c r="AG64" s="104"/>
      <c r="AH64" s="104"/>
      <c r="AI64" s="104"/>
      <c r="AJ64" s="104"/>
      <c r="AK64" s="104"/>
      <c r="AL64" s="104"/>
      <c r="AM64" s="104"/>
      <c r="AN64" s="104"/>
      <c r="AO64" s="104"/>
      <c r="AP64" s="172"/>
      <c r="AQ64" s="172"/>
      <c r="AR64" s="172"/>
      <c r="AS64" s="104"/>
      <c r="AT64" s="104"/>
      <c r="AU64" s="172"/>
      <c r="AV64" s="172"/>
      <c r="AW64" s="172"/>
      <c r="AX64" s="104"/>
      <c r="AY64" s="104"/>
      <c r="AZ64" s="104"/>
      <c r="BA64" s="104"/>
      <c r="BB64" s="104"/>
      <c r="BC64" s="104"/>
      <c r="BD64" s="104"/>
      <c r="BE64" s="104"/>
      <c r="BF64" s="104"/>
      <c r="BG64" s="104"/>
      <c r="BH64" s="104"/>
      <c r="BI64" s="104"/>
      <c r="BJ64" s="104"/>
      <c r="BK64" s="104"/>
      <c r="BL64" s="104"/>
      <c r="BM64" s="104"/>
      <c r="BN64" s="104"/>
      <c r="BO64" s="104"/>
      <c r="BP64" s="104"/>
      <c r="BQ64" s="104"/>
      <c r="BR64" s="104"/>
      <c r="BS64" s="104"/>
      <c r="BT64" s="104"/>
      <c r="BU64" s="104"/>
      <c r="BV64" s="104"/>
      <c r="BW64" s="104"/>
      <c r="BX64" s="104"/>
      <c r="BY64" s="104"/>
      <c r="BZ64" s="104"/>
      <c r="CA64" s="104"/>
      <c r="CB64" s="104"/>
      <c r="CC64" s="104"/>
      <c r="CD64" s="104"/>
      <c r="CE64" s="104"/>
      <c r="CF64" s="104"/>
      <c r="CG64" s="104"/>
      <c r="CH64" s="104"/>
      <c r="CI64" s="104"/>
      <c r="CJ64" s="104"/>
      <c r="CK64" s="104"/>
      <c r="CL64" s="104"/>
      <c r="CM64" s="104"/>
      <c r="CN64" s="104"/>
      <c r="CO64" s="104"/>
      <c r="CP64" s="104"/>
      <c r="CQ64" s="104"/>
      <c r="CR64" s="104"/>
      <c r="CS64" s="104"/>
      <c r="CT64" s="104"/>
      <c r="CU64" s="104"/>
      <c r="CV64" s="104"/>
      <c r="CW64" s="104"/>
      <c r="CX64" s="104"/>
      <c r="CY64" s="104"/>
      <c r="CZ64" s="104"/>
      <c r="DA64" s="104"/>
      <c r="DB64" s="104"/>
      <c r="DC64" s="104"/>
      <c r="DD64" s="104"/>
      <c r="DE64" s="104"/>
      <c r="DF64" s="104"/>
      <c r="DG64" s="104"/>
      <c r="DH64" s="104"/>
      <c r="DI64" s="104"/>
      <c r="DJ64" s="104"/>
      <c r="DK64" s="104"/>
      <c r="DL64" s="104"/>
      <c r="DM64" s="104"/>
      <c r="DN64" s="104"/>
      <c r="DO64" s="104"/>
      <c r="DP64" s="104"/>
      <c r="DQ64" s="104"/>
      <c r="DR64" s="104"/>
      <c r="DS64" s="104"/>
      <c r="DT64" s="104"/>
      <c r="DU64" s="104"/>
      <c r="DV64" s="104"/>
      <c r="DW64" s="104"/>
      <c r="DX64" s="104"/>
      <c r="DY64" s="104"/>
      <c r="DZ64" s="104"/>
      <c r="EA64" s="104"/>
      <c r="EB64" s="104"/>
      <c r="EC64" s="104"/>
      <c r="ED64" s="104"/>
      <c r="EE64" s="104"/>
      <c r="EF64" s="104"/>
      <c r="EG64" s="104"/>
      <c r="EH64" s="104"/>
      <c r="EI64" s="104"/>
      <c r="EJ64" s="104"/>
      <c r="EK64" s="104"/>
      <c r="EL64" s="104"/>
      <c r="EM64" s="104"/>
      <c r="EN64" s="104"/>
      <c r="EO64" s="104"/>
      <c r="EP64" s="104"/>
      <c r="EQ64" s="104"/>
      <c r="ER64" s="104"/>
      <c r="ES64" s="104"/>
      <c r="ET64" s="104"/>
      <c r="EU64" s="104"/>
      <c r="EV64" s="104"/>
      <c r="EW64" s="104"/>
      <c r="EX64" s="104"/>
      <c r="EY64" s="104"/>
      <c r="EZ64" s="104"/>
      <c r="FA64" s="104"/>
      <c r="FB64" s="104"/>
      <c r="FC64" s="104"/>
      <c r="FD64" s="104"/>
      <c r="FE64" s="104"/>
      <c r="FF64" s="104"/>
      <c r="FG64" s="104"/>
      <c r="FH64" s="104"/>
      <c r="FI64" s="104"/>
      <c r="FJ64" s="104"/>
      <c r="FK64" s="104"/>
      <c r="FL64" s="104"/>
      <c r="FM64" s="104"/>
      <c r="FN64" s="104"/>
      <c r="FO64" s="104"/>
      <c r="FP64" s="104"/>
      <c r="FQ64" s="104"/>
      <c r="FR64" s="104"/>
      <c r="FS64" s="104"/>
      <c r="FT64" s="104"/>
      <c r="FU64" s="104"/>
      <c r="FV64" s="104"/>
      <c r="FW64" s="104"/>
      <c r="FX64" s="104"/>
      <c r="FY64" s="104"/>
      <c r="FZ64" s="104"/>
      <c r="GA64" s="104"/>
      <c r="GB64" s="104"/>
      <c r="GC64" s="104"/>
      <c r="GD64" s="104"/>
      <c r="GE64" s="104"/>
      <c r="GF64" s="104"/>
      <c r="GG64" s="104"/>
      <c r="GH64" s="104"/>
      <c r="GI64" s="104"/>
      <c r="GJ64" s="104"/>
      <c r="GK64" s="104"/>
      <c r="GL64" s="104"/>
      <c r="GM64" s="104"/>
      <c r="GN64" s="104"/>
      <c r="GO64" s="104"/>
      <c r="GP64" s="104"/>
      <c r="GQ64" s="104"/>
      <c r="GR64" s="104"/>
      <c r="GS64" s="104"/>
      <c r="GT64" s="104"/>
      <c r="GU64" s="104"/>
      <c r="GV64" s="104"/>
      <c r="GW64" s="104"/>
      <c r="GX64" s="104"/>
      <c r="GY64" s="104"/>
      <c r="GZ64" s="104"/>
      <c r="HA64" s="104"/>
      <c r="HB64" s="104"/>
      <c r="HC64" s="104"/>
      <c r="HD64" s="104"/>
      <c r="HE64" s="104"/>
      <c r="HF64" s="104"/>
      <c r="HG64" s="104"/>
      <c r="HH64" s="104"/>
      <c r="HI64" s="104"/>
      <c r="HJ64" s="104"/>
      <c r="HK64" s="104"/>
      <c r="HL64" s="104"/>
      <c r="HM64" s="104"/>
      <c r="HN64" s="104"/>
      <c r="HO64" s="104"/>
      <c r="HP64" s="104"/>
      <c r="HQ64" s="104"/>
      <c r="HR64" s="104"/>
      <c r="HS64" s="104"/>
      <c r="HT64" s="104"/>
      <c r="HU64" s="104"/>
      <c r="HV64" s="104"/>
      <c r="HW64" s="104"/>
      <c r="HX64" s="104"/>
      <c r="HY64" s="104"/>
      <c r="HZ64" s="104"/>
      <c r="IA64" s="104"/>
      <c r="IB64" s="104"/>
      <c r="IC64" s="104"/>
      <c r="ID64" s="104"/>
      <c r="IE64" s="104"/>
      <c r="IF64" s="104"/>
      <c r="IG64" s="104"/>
      <c r="IH64" s="104"/>
      <c r="II64" s="104"/>
      <c r="IJ64" s="104"/>
      <c r="IK64" s="104"/>
      <c r="IL64" s="104"/>
      <c r="IM64" s="104"/>
      <c r="IN64" s="104"/>
      <c r="IO64" s="104"/>
      <c r="IP64" s="104"/>
      <c r="IQ64" s="104"/>
      <c r="IR64" s="104"/>
      <c r="IS64" s="104"/>
      <c r="IT64" s="104"/>
      <c r="IU64" s="104"/>
      <c r="IV64" s="104"/>
      <c r="IW64" s="104"/>
      <c r="IX64" s="104"/>
      <c r="IY64" s="104"/>
      <c r="IZ64" s="104"/>
      <c r="JA64" s="104"/>
      <c r="JB64" s="104"/>
      <c r="JC64" s="104"/>
      <c r="JD64" s="104"/>
      <c r="JE64" s="104"/>
    </row>
    <row r="65" spans="4:265" x14ac:dyDescent="0.25">
      <c r="D65" s="1"/>
      <c r="E65" s="1"/>
      <c r="F65" s="1"/>
      <c r="O65" s="104"/>
      <c r="P65" s="104"/>
      <c r="Q65" s="104"/>
      <c r="R65" s="104"/>
      <c r="S65" s="104"/>
      <c r="T65" s="104"/>
      <c r="U65" s="104"/>
      <c r="V65" s="104"/>
      <c r="W65" s="104"/>
      <c r="X65" s="104"/>
      <c r="Y65" s="104"/>
      <c r="Z65" s="104"/>
      <c r="AA65" s="104"/>
      <c r="AB65" s="104"/>
      <c r="AC65" s="104"/>
      <c r="AD65" s="104"/>
      <c r="AE65" s="104"/>
      <c r="AF65" s="104"/>
      <c r="AG65" s="104"/>
      <c r="AH65" s="104"/>
      <c r="AI65" s="104"/>
      <c r="AJ65" s="104"/>
      <c r="AK65" s="104"/>
      <c r="AL65" s="104"/>
      <c r="AM65" s="104"/>
      <c r="AN65" s="104"/>
      <c r="AO65" s="104"/>
      <c r="AP65" s="172"/>
      <c r="AQ65" s="172"/>
      <c r="AR65" s="172"/>
      <c r="AS65" s="104"/>
      <c r="AT65" s="104"/>
      <c r="AU65" s="172"/>
      <c r="AV65" s="172"/>
      <c r="AW65" s="172"/>
      <c r="AX65" s="104"/>
      <c r="AY65" s="104"/>
      <c r="AZ65" s="104"/>
      <c r="BA65" s="104"/>
      <c r="BB65" s="104"/>
      <c r="BC65" s="104"/>
      <c r="BD65" s="104"/>
      <c r="BE65" s="104"/>
      <c r="BF65" s="104"/>
      <c r="BG65" s="104"/>
      <c r="BH65" s="104"/>
      <c r="BI65" s="104"/>
      <c r="BJ65" s="104"/>
      <c r="BK65" s="104"/>
      <c r="BL65" s="104"/>
      <c r="BM65" s="104"/>
      <c r="BN65" s="104"/>
      <c r="BO65" s="104"/>
      <c r="BP65" s="104"/>
      <c r="BQ65" s="104"/>
      <c r="BR65" s="104"/>
      <c r="BS65" s="104"/>
      <c r="BT65" s="104"/>
      <c r="BU65" s="104"/>
      <c r="BV65" s="104"/>
      <c r="BW65" s="104"/>
      <c r="BX65" s="104"/>
      <c r="BY65" s="104"/>
      <c r="BZ65" s="104"/>
      <c r="CA65" s="104"/>
      <c r="CB65" s="104"/>
      <c r="CC65" s="104"/>
      <c r="CD65" s="104"/>
      <c r="CE65" s="104"/>
      <c r="CF65" s="104"/>
      <c r="CG65" s="104"/>
      <c r="CH65" s="104"/>
      <c r="CI65" s="104"/>
      <c r="CJ65" s="104"/>
      <c r="CK65" s="104"/>
      <c r="CL65" s="104"/>
      <c r="CM65" s="104"/>
      <c r="CN65" s="104"/>
      <c r="CO65" s="104"/>
      <c r="CP65" s="104"/>
      <c r="CQ65" s="104"/>
      <c r="CR65" s="104"/>
      <c r="CS65" s="104"/>
      <c r="CT65" s="104"/>
      <c r="CU65" s="104"/>
      <c r="CV65" s="104"/>
      <c r="CW65" s="104"/>
      <c r="CX65" s="104"/>
      <c r="CY65" s="104"/>
      <c r="CZ65" s="104"/>
      <c r="DA65" s="104"/>
      <c r="DB65" s="104"/>
      <c r="DC65" s="104"/>
      <c r="DD65" s="104"/>
      <c r="DE65" s="104"/>
      <c r="DF65" s="104"/>
      <c r="DG65" s="104"/>
      <c r="DH65" s="104"/>
      <c r="DI65" s="104"/>
      <c r="DJ65" s="104"/>
      <c r="DK65" s="104"/>
      <c r="DL65" s="104"/>
      <c r="DM65" s="104"/>
      <c r="DN65" s="104"/>
      <c r="DO65" s="104"/>
      <c r="DP65" s="104"/>
      <c r="DQ65" s="104"/>
      <c r="DR65" s="104"/>
      <c r="DS65" s="104"/>
      <c r="DT65" s="104"/>
      <c r="DU65" s="104"/>
      <c r="DV65" s="104"/>
      <c r="DW65" s="104"/>
      <c r="DX65" s="104"/>
      <c r="DY65" s="104"/>
      <c r="DZ65" s="104"/>
      <c r="EA65" s="104"/>
      <c r="EB65" s="104"/>
      <c r="EC65" s="104"/>
      <c r="ED65" s="104"/>
      <c r="EE65" s="104"/>
      <c r="EF65" s="104"/>
      <c r="EG65" s="104"/>
      <c r="EH65" s="104"/>
      <c r="EI65" s="104"/>
      <c r="EJ65" s="104"/>
      <c r="EK65" s="104"/>
      <c r="EL65" s="104"/>
      <c r="EM65" s="104"/>
      <c r="EN65" s="104"/>
      <c r="EO65" s="104"/>
      <c r="EP65" s="104"/>
      <c r="EQ65" s="104"/>
      <c r="ER65" s="104"/>
      <c r="ES65" s="104"/>
      <c r="ET65" s="104"/>
      <c r="EU65" s="104"/>
      <c r="EV65" s="104"/>
      <c r="EW65" s="104"/>
      <c r="EX65" s="104"/>
      <c r="EY65" s="104"/>
      <c r="EZ65" s="104"/>
      <c r="FA65" s="104"/>
      <c r="FB65" s="104"/>
      <c r="FC65" s="104"/>
      <c r="FD65" s="104"/>
      <c r="FE65" s="104"/>
      <c r="FF65" s="104"/>
      <c r="FG65" s="104"/>
      <c r="FH65" s="104"/>
      <c r="FI65" s="104"/>
      <c r="FJ65" s="104"/>
      <c r="FK65" s="104"/>
      <c r="FL65" s="104"/>
      <c r="FM65" s="104"/>
      <c r="FN65" s="104"/>
      <c r="FO65" s="104"/>
      <c r="FP65" s="104"/>
      <c r="FQ65" s="104"/>
      <c r="FR65" s="104"/>
      <c r="FS65" s="104"/>
      <c r="FT65" s="104"/>
      <c r="FU65" s="104"/>
      <c r="FV65" s="104"/>
      <c r="FW65" s="104"/>
      <c r="FX65" s="104"/>
      <c r="FY65" s="104"/>
      <c r="FZ65" s="104"/>
      <c r="GA65" s="104"/>
      <c r="GB65" s="104"/>
      <c r="GC65" s="104"/>
      <c r="GD65" s="104"/>
      <c r="GE65" s="104"/>
      <c r="GF65" s="104"/>
      <c r="GG65" s="104"/>
      <c r="GH65" s="104"/>
      <c r="GI65" s="104"/>
      <c r="GJ65" s="104"/>
      <c r="GK65" s="104"/>
      <c r="GL65" s="104"/>
      <c r="GM65" s="104"/>
      <c r="GN65" s="104"/>
      <c r="GO65" s="104"/>
      <c r="GP65" s="104"/>
      <c r="GQ65" s="104"/>
      <c r="GR65" s="104"/>
      <c r="GS65" s="104"/>
      <c r="GT65" s="104"/>
      <c r="GU65" s="104"/>
      <c r="GV65" s="104"/>
      <c r="GW65" s="104"/>
      <c r="GX65" s="104"/>
      <c r="GY65" s="104"/>
      <c r="GZ65" s="104"/>
      <c r="HA65" s="104"/>
      <c r="HB65" s="104"/>
      <c r="HC65" s="104"/>
      <c r="HD65" s="104"/>
      <c r="HE65" s="104"/>
      <c r="HF65" s="104"/>
      <c r="HG65" s="104"/>
      <c r="HH65" s="104"/>
      <c r="HI65" s="104"/>
      <c r="HJ65" s="104"/>
      <c r="HK65" s="104"/>
      <c r="HL65" s="104"/>
      <c r="HM65" s="104"/>
      <c r="HN65" s="104"/>
      <c r="HO65" s="104"/>
      <c r="HP65" s="104"/>
      <c r="HQ65" s="104"/>
      <c r="HR65" s="104"/>
      <c r="HS65" s="104"/>
      <c r="HT65" s="104"/>
      <c r="HU65" s="104"/>
      <c r="HV65" s="104"/>
      <c r="HW65" s="104"/>
      <c r="HX65" s="104"/>
      <c r="HY65" s="104"/>
      <c r="HZ65" s="104"/>
      <c r="IA65" s="104"/>
      <c r="IB65" s="104"/>
      <c r="IC65" s="104"/>
      <c r="ID65" s="104"/>
      <c r="IE65" s="104"/>
      <c r="IF65" s="104"/>
      <c r="IG65" s="104"/>
      <c r="IH65" s="104"/>
      <c r="II65" s="104"/>
      <c r="IJ65" s="104"/>
      <c r="IK65" s="104"/>
      <c r="IL65" s="104"/>
      <c r="IM65" s="104"/>
      <c r="IN65" s="104"/>
      <c r="IO65" s="104"/>
      <c r="IP65" s="104"/>
      <c r="IQ65" s="104"/>
      <c r="IR65" s="104"/>
      <c r="IS65" s="104"/>
      <c r="IT65" s="104"/>
      <c r="IU65" s="104"/>
      <c r="IV65" s="104"/>
      <c r="IW65" s="104"/>
      <c r="IX65" s="104"/>
      <c r="IY65" s="104"/>
      <c r="IZ65" s="104"/>
      <c r="JA65" s="104"/>
      <c r="JB65" s="104"/>
      <c r="JC65" s="104"/>
      <c r="JD65" s="104"/>
      <c r="JE65" s="104"/>
    </row>
    <row r="66" spans="4:265" x14ac:dyDescent="0.25">
      <c r="D66" s="1"/>
      <c r="E66" s="1"/>
      <c r="F66" s="1"/>
      <c r="O66" s="104"/>
      <c r="P66" s="104"/>
      <c r="Q66" s="104"/>
      <c r="R66" s="104"/>
      <c r="S66" s="104"/>
      <c r="T66" s="104"/>
      <c r="U66" s="104"/>
      <c r="V66" s="104"/>
      <c r="W66" s="104"/>
      <c r="X66" s="104"/>
      <c r="Y66" s="104"/>
      <c r="Z66" s="104"/>
      <c r="AA66" s="104"/>
      <c r="AB66" s="104"/>
      <c r="AC66" s="104"/>
      <c r="AD66" s="104"/>
      <c r="AE66" s="104"/>
      <c r="AF66" s="104"/>
      <c r="AG66" s="104"/>
      <c r="AH66" s="104"/>
      <c r="AI66" s="104"/>
      <c r="AJ66" s="104"/>
      <c r="AK66" s="104"/>
      <c r="AL66" s="104"/>
      <c r="AM66" s="104"/>
      <c r="AN66" s="104"/>
      <c r="AO66" s="104"/>
      <c r="AP66" s="172"/>
      <c r="AQ66" s="172"/>
      <c r="AR66" s="172"/>
      <c r="AS66" s="104"/>
      <c r="AT66" s="104"/>
      <c r="AU66" s="172"/>
      <c r="AV66" s="104"/>
      <c r="AW66" s="172"/>
      <c r="AX66" s="104"/>
      <c r="AY66" s="104"/>
      <c r="AZ66" s="104"/>
      <c r="BA66" s="104"/>
      <c r="BB66" s="104"/>
      <c r="BC66" s="104"/>
      <c r="BD66" s="104"/>
      <c r="BE66" s="104"/>
      <c r="BF66" s="104"/>
      <c r="BG66" s="104"/>
      <c r="BH66" s="104"/>
      <c r="BI66" s="104"/>
      <c r="BJ66" s="104"/>
      <c r="BK66" s="104"/>
      <c r="BL66" s="104"/>
      <c r="BM66" s="104"/>
      <c r="BN66" s="104"/>
      <c r="BO66" s="104"/>
      <c r="BP66" s="104"/>
      <c r="BQ66" s="104"/>
      <c r="BR66" s="104"/>
      <c r="BS66" s="104"/>
      <c r="BT66" s="104"/>
      <c r="BU66" s="104"/>
      <c r="BV66" s="104"/>
      <c r="BW66" s="104"/>
      <c r="BX66" s="104"/>
      <c r="BY66" s="104"/>
      <c r="BZ66" s="104"/>
      <c r="CA66" s="104"/>
      <c r="CB66" s="104"/>
      <c r="CC66" s="104"/>
      <c r="CD66" s="104"/>
      <c r="CE66" s="104"/>
      <c r="CF66" s="104"/>
      <c r="CG66" s="104"/>
      <c r="CH66" s="104"/>
      <c r="CI66" s="104"/>
      <c r="CJ66" s="104"/>
      <c r="CK66" s="104"/>
      <c r="CL66" s="104"/>
      <c r="CM66" s="104"/>
      <c r="CN66" s="104"/>
      <c r="CO66" s="104"/>
      <c r="CP66" s="104"/>
      <c r="CQ66" s="104"/>
      <c r="CR66" s="104"/>
      <c r="CS66" s="104"/>
      <c r="CT66" s="104"/>
      <c r="CU66" s="104"/>
      <c r="CV66" s="104"/>
      <c r="CW66" s="104"/>
      <c r="CX66" s="104"/>
      <c r="CY66" s="104"/>
      <c r="CZ66" s="104"/>
      <c r="DA66" s="104"/>
      <c r="DB66" s="104"/>
      <c r="DC66" s="104"/>
      <c r="DD66" s="104"/>
      <c r="DE66" s="104"/>
      <c r="DF66" s="104"/>
      <c r="DG66" s="104"/>
      <c r="DH66" s="104"/>
      <c r="DI66" s="104"/>
      <c r="DJ66" s="104"/>
      <c r="DK66" s="104"/>
      <c r="DL66" s="104"/>
      <c r="DM66" s="104"/>
      <c r="DN66" s="104"/>
      <c r="DO66" s="104"/>
      <c r="DP66" s="104"/>
      <c r="DQ66" s="104"/>
      <c r="DR66" s="104"/>
      <c r="DS66" s="104"/>
      <c r="DT66" s="104"/>
      <c r="DU66" s="104"/>
      <c r="DV66" s="104"/>
      <c r="DW66" s="104"/>
      <c r="DX66" s="104"/>
      <c r="DY66" s="104"/>
      <c r="DZ66" s="104"/>
      <c r="EA66" s="104"/>
      <c r="EB66" s="104"/>
      <c r="EC66" s="104"/>
      <c r="ED66" s="104"/>
      <c r="EE66" s="104"/>
      <c r="EF66" s="104"/>
      <c r="EG66" s="104"/>
      <c r="EH66" s="104"/>
      <c r="EI66" s="104"/>
      <c r="EJ66" s="104"/>
      <c r="EK66" s="104"/>
      <c r="EL66" s="104"/>
      <c r="EM66" s="104"/>
      <c r="EN66" s="104"/>
      <c r="EO66" s="104"/>
      <c r="EP66" s="104"/>
      <c r="EQ66" s="104"/>
      <c r="ER66" s="104"/>
      <c r="ES66" s="104"/>
      <c r="ET66" s="104"/>
      <c r="EU66" s="104"/>
      <c r="EV66" s="104"/>
      <c r="EW66" s="104"/>
      <c r="EX66" s="104"/>
      <c r="EY66" s="104"/>
      <c r="EZ66" s="104"/>
      <c r="FA66" s="104"/>
      <c r="FB66" s="104"/>
      <c r="FC66" s="104"/>
      <c r="FD66" s="104"/>
      <c r="FE66" s="104"/>
      <c r="FF66" s="104"/>
      <c r="FG66" s="104"/>
      <c r="FH66" s="104"/>
      <c r="FI66" s="104"/>
      <c r="FJ66" s="104"/>
      <c r="FK66" s="104"/>
      <c r="FL66" s="104"/>
      <c r="FM66" s="104"/>
      <c r="FN66" s="104"/>
      <c r="FO66" s="104"/>
      <c r="FP66" s="104"/>
      <c r="FQ66" s="104"/>
      <c r="FR66" s="104"/>
      <c r="FS66" s="104"/>
      <c r="FT66" s="104"/>
      <c r="FU66" s="104"/>
      <c r="FV66" s="104"/>
      <c r="FW66" s="104"/>
      <c r="FX66" s="104"/>
      <c r="FY66" s="104"/>
      <c r="FZ66" s="104"/>
      <c r="GA66" s="104"/>
      <c r="GB66" s="104"/>
      <c r="GC66" s="104"/>
      <c r="GD66" s="104"/>
      <c r="GE66" s="104"/>
      <c r="GF66" s="104"/>
      <c r="GG66" s="104"/>
      <c r="GH66" s="104"/>
      <c r="GI66" s="104"/>
      <c r="GJ66" s="104"/>
      <c r="GK66" s="104"/>
      <c r="GL66" s="104"/>
      <c r="GM66" s="104"/>
      <c r="GN66" s="104"/>
      <c r="GO66" s="104"/>
      <c r="GP66" s="104"/>
      <c r="GQ66" s="104"/>
      <c r="GR66" s="104"/>
      <c r="GS66" s="104"/>
      <c r="GT66" s="104"/>
      <c r="GU66" s="104"/>
      <c r="GV66" s="104"/>
      <c r="GW66" s="104"/>
      <c r="GX66" s="104"/>
      <c r="GY66" s="104"/>
      <c r="GZ66" s="104"/>
      <c r="HA66" s="104"/>
      <c r="HB66" s="104"/>
      <c r="HC66" s="104"/>
      <c r="HD66" s="104"/>
      <c r="HE66" s="104"/>
      <c r="HF66" s="104"/>
      <c r="HG66" s="104"/>
      <c r="HH66" s="104"/>
      <c r="HI66" s="104"/>
      <c r="HJ66" s="104"/>
      <c r="HK66" s="104"/>
      <c r="HL66" s="104"/>
      <c r="HM66" s="104"/>
      <c r="HN66" s="104"/>
      <c r="HO66" s="104"/>
      <c r="HP66" s="104"/>
      <c r="HQ66" s="104"/>
      <c r="HR66" s="104"/>
      <c r="HS66" s="104"/>
      <c r="HT66" s="104"/>
      <c r="HU66" s="104"/>
      <c r="HV66" s="104"/>
      <c r="HW66" s="104"/>
      <c r="HX66" s="104"/>
      <c r="HY66" s="104"/>
      <c r="HZ66" s="104"/>
      <c r="IA66" s="104"/>
      <c r="IB66" s="104"/>
      <c r="IC66" s="104"/>
      <c r="ID66" s="104"/>
      <c r="IE66" s="104"/>
      <c r="IF66" s="104"/>
      <c r="IG66" s="104"/>
      <c r="IH66" s="104"/>
      <c r="II66" s="104"/>
      <c r="IJ66" s="104"/>
      <c r="IK66" s="104"/>
      <c r="IL66" s="104"/>
      <c r="IM66" s="104"/>
      <c r="IN66" s="104"/>
      <c r="IO66" s="104"/>
      <c r="IP66" s="104"/>
      <c r="IQ66" s="104"/>
      <c r="IR66" s="104"/>
      <c r="IS66" s="104"/>
      <c r="IT66" s="104"/>
      <c r="IU66" s="104"/>
      <c r="IV66" s="104"/>
      <c r="IW66" s="104"/>
      <c r="IX66" s="104"/>
      <c r="IY66" s="104"/>
      <c r="IZ66" s="104"/>
      <c r="JA66" s="104"/>
      <c r="JB66" s="104"/>
      <c r="JC66" s="104"/>
      <c r="JD66" s="104"/>
      <c r="JE66" s="104"/>
    </row>
    <row r="67" spans="4:265" x14ac:dyDescent="0.25">
      <c r="D67" s="1"/>
      <c r="E67" s="1"/>
      <c r="F67" s="1"/>
      <c r="O67" s="104"/>
      <c r="P67" s="104"/>
      <c r="Q67" s="104"/>
      <c r="R67" s="104"/>
      <c r="S67" s="104"/>
      <c r="T67" s="104"/>
      <c r="U67" s="104"/>
      <c r="V67" s="104"/>
      <c r="W67" s="104"/>
      <c r="X67" s="104"/>
      <c r="Y67" s="104"/>
      <c r="Z67" s="104"/>
      <c r="AA67" s="104"/>
      <c r="AB67" s="104"/>
      <c r="AC67" s="104"/>
      <c r="AD67" s="104"/>
      <c r="AE67" s="104"/>
      <c r="AF67" s="104"/>
      <c r="AG67" s="104"/>
      <c r="AH67" s="104"/>
      <c r="AI67" s="104"/>
      <c r="AJ67" s="104"/>
      <c r="AK67" s="104"/>
      <c r="AL67" s="104"/>
      <c r="AM67" s="104"/>
      <c r="AN67" s="104"/>
      <c r="AO67" s="104"/>
      <c r="AP67" s="172"/>
      <c r="AQ67" s="172"/>
      <c r="AR67" s="172"/>
      <c r="AS67" s="104"/>
      <c r="AT67" s="104"/>
      <c r="AU67" s="172"/>
      <c r="AV67" s="172"/>
      <c r="AW67" s="172"/>
      <c r="AX67" s="104"/>
      <c r="AY67" s="104"/>
      <c r="AZ67" s="104"/>
      <c r="BA67" s="104"/>
      <c r="BB67" s="104"/>
      <c r="BC67" s="104"/>
      <c r="BD67" s="104"/>
      <c r="BE67" s="104"/>
      <c r="BF67" s="104"/>
      <c r="BG67" s="104"/>
      <c r="BH67" s="104"/>
      <c r="BI67" s="104"/>
      <c r="BJ67" s="104"/>
      <c r="BK67" s="104"/>
      <c r="BL67" s="104"/>
      <c r="BM67" s="104"/>
      <c r="BN67" s="104"/>
      <c r="BO67" s="104"/>
      <c r="BP67" s="104"/>
      <c r="BQ67" s="104"/>
      <c r="BR67" s="104"/>
      <c r="BS67" s="104"/>
      <c r="BT67" s="104"/>
      <c r="BU67" s="104"/>
      <c r="BV67" s="104"/>
      <c r="BW67" s="104"/>
      <c r="BX67" s="104"/>
      <c r="BY67" s="104"/>
      <c r="BZ67" s="104"/>
      <c r="CA67" s="104"/>
      <c r="CB67" s="104"/>
      <c r="CC67" s="104"/>
      <c r="CD67" s="104"/>
      <c r="CE67" s="104"/>
      <c r="CF67" s="104"/>
      <c r="CG67" s="104"/>
      <c r="CH67" s="104"/>
      <c r="CI67" s="104"/>
      <c r="CJ67" s="104"/>
      <c r="CK67" s="104"/>
      <c r="CL67" s="104"/>
      <c r="CM67" s="104"/>
      <c r="CN67" s="104"/>
      <c r="CO67" s="104"/>
      <c r="CP67" s="104"/>
      <c r="CQ67" s="104"/>
      <c r="CR67" s="104"/>
      <c r="CS67" s="104"/>
      <c r="CT67" s="104"/>
      <c r="CU67" s="104"/>
      <c r="CV67" s="104"/>
      <c r="CW67" s="104"/>
      <c r="CX67" s="104"/>
      <c r="CY67" s="104"/>
      <c r="CZ67" s="104"/>
      <c r="DA67" s="104"/>
      <c r="DB67" s="104"/>
      <c r="DC67" s="104"/>
      <c r="DD67" s="104"/>
      <c r="DE67" s="104"/>
      <c r="DF67" s="104"/>
      <c r="DG67" s="104"/>
      <c r="DH67" s="104"/>
      <c r="DI67" s="104"/>
      <c r="DJ67" s="104"/>
      <c r="DK67" s="104"/>
      <c r="DL67" s="104"/>
      <c r="DM67" s="104"/>
      <c r="DN67" s="104"/>
      <c r="DO67" s="104"/>
      <c r="DP67" s="104"/>
      <c r="DQ67" s="104"/>
      <c r="DR67" s="104"/>
      <c r="DS67" s="104"/>
      <c r="DT67" s="104"/>
      <c r="DU67" s="104"/>
      <c r="DV67" s="104"/>
      <c r="DW67" s="104"/>
      <c r="DX67" s="104"/>
      <c r="DY67" s="104"/>
      <c r="DZ67" s="104"/>
      <c r="EA67" s="104"/>
      <c r="EB67" s="104"/>
      <c r="EC67" s="104"/>
      <c r="ED67" s="104"/>
      <c r="EE67" s="104"/>
      <c r="EF67" s="104"/>
      <c r="EG67" s="104"/>
      <c r="EH67" s="104"/>
      <c r="EI67" s="104"/>
      <c r="EJ67" s="104"/>
      <c r="EK67" s="104"/>
      <c r="EL67" s="104"/>
      <c r="EM67" s="104"/>
      <c r="EN67" s="104"/>
      <c r="EO67" s="104"/>
      <c r="EP67" s="104"/>
      <c r="EQ67" s="104"/>
      <c r="ER67" s="104"/>
      <c r="ES67" s="104"/>
      <c r="ET67" s="104"/>
      <c r="EU67" s="104"/>
      <c r="EV67" s="104"/>
      <c r="EW67" s="104"/>
      <c r="EX67" s="104"/>
      <c r="EY67" s="104"/>
      <c r="EZ67" s="104"/>
      <c r="FA67" s="104"/>
      <c r="FB67" s="104"/>
      <c r="FC67" s="104"/>
      <c r="FD67" s="104"/>
      <c r="FE67" s="104"/>
      <c r="FF67" s="104"/>
      <c r="FG67" s="104"/>
      <c r="FH67" s="104"/>
      <c r="FI67" s="104"/>
      <c r="FJ67" s="104"/>
      <c r="FK67" s="104"/>
      <c r="FL67" s="104"/>
      <c r="FM67" s="104"/>
      <c r="FN67" s="104"/>
      <c r="FO67" s="104"/>
      <c r="FP67" s="104"/>
      <c r="FQ67" s="104"/>
      <c r="FR67" s="104"/>
      <c r="FS67" s="104"/>
      <c r="FT67" s="104"/>
      <c r="FU67" s="104"/>
      <c r="FV67" s="104"/>
      <c r="FW67" s="104"/>
      <c r="FX67" s="104"/>
      <c r="FY67" s="104"/>
      <c r="FZ67" s="104"/>
      <c r="GA67" s="104"/>
      <c r="GB67" s="104"/>
      <c r="GC67" s="104"/>
      <c r="GD67" s="104"/>
      <c r="GE67" s="104"/>
      <c r="GF67" s="104"/>
      <c r="GG67" s="104"/>
      <c r="GH67" s="104"/>
      <c r="GI67" s="104"/>
      <c r="GJ67" s="104"/>
      <c r="GK67" s="104"/>
      <c r="GL67" s="104"/>
      <c r="GM67" s="104"/>
      <c r="GN67" s="104"/>
      <c r="GO67" s="104"/>
      <c r="GP67" s="104"/>
      <c r="GQ67" s="104"/>
      <c r="GR67" s="104"/>
      <c r="GS67" s="104"/>
      <c r="GT67" s="104"/>
      <c r="GU67" s="104"/>
      <c r="GV67" s="104"/>
      <c r="GW67" s="104"/>
      <c r="GX67" s="104"/>
      <c r="GY67" s="104"/>
      <c r="GZ67" s="104"/>
      <c r="HA67" s="104"/>
      <c r="HB67" s="104"/>
      <c r="HC67" s="104"/>
      <c r="HD67" s="104"/>
      <c r="HE67" s="104"/>
      <c r="HF67" s="104"/>
      <c r="HG67" s="104"/>
      <c r="HH67" s="104"/>
      <c r="HI67" s="104"/>
      <c r="HJ67" s="104"/>
      <c r="HK67" s="104"/>
      <c r="HL67" s="104"/>
      <c r="HM67" s="104"/>
      <c r="HN67" s="104"/>
      <c r="HO67" s="104"/>
      <c r="HP67" s="104"/>
      <c r="HQ67" s="104"/>
      <c r="HR67" s="104"/>
      <c r="HS67" s="104"/>
      <c r="HT67" s="104"/>
      <c r="HU67" s="104"/>
      <c r="HV67" s="104"/>
      <c r="HW67" s="104"/>
      <c r="HX67" s="104"/>
      <c r="HY67" s="104"/>
      <c r="HZ67" s="104"/>
      <c r="IA67" s="104"/>
      <c r="IB67" s="104"/>
      <c r="IC67" s="104"/>
      <c r="ID67" s="104"/>
      <c r="IE67" s="104"/>
      <c r="IF67" s="104"/>
      <c r="IG67" s="104"/>
      <c r="IH67" s="104"/>
      <c r="II67" s="104"/>
      <c r="IJ67" s="104"/>
      <c r="IK67" s="104"/>
      <c r="IL67" s="104"/>
      <c r="IM67" s="104"/>
      <c r="IN67" s="104"/>
      <c r="IO67" s="104"/>
      <c r="IP67" s="104"/>
      <c r="IQ67" s="104"/>
      <c r="IR67" s="104"/>
      <c r="IS67" s="104"/>
      <c r="IT67" s="104"/>
      <c r="IU67" s="104"/>
      <c r="IV67" s="104"/>
      <c r="IW67" s="104"/>
      <c r="IX67" s="104"/>
      <c r="IY67" s="104"/>
      <c r="IZ67" s="104"/>
      <c r="JA67" s="104"/>
      <c r="JB67" s="104"/>
      <c r="JC67" s="104"/>
      <c r="JD67" s="104"/>
      <c r="JE67" s="104"/>
    </row>
    <row r="68" spans="4:265" x14ac:dyDescent="0.25">
      <c r="D68" s="1"/>
      <c r="E68" s="1"/>
      <c r="F68" s="1"/>
      <c r="O68" s="104"/>
      <c r="P68" s="104"/>
      <c r="Q68" s="104"/>
      <c r="R68" s="104"/>
      <c r="S68" s="104"/>
      <c r="T68" s="104"/>
      <c r="U68" s="104"/>
      <c r="V68" s="104"/>
      <c r="W68" s="104"/>
      <c r="X68" s="104"/>
      <c r="Y68" s="104"/>
      <c r="Z68" s="104"/>
      <c r="AA68" s="104"/>
      <c r="AB68" s="104"/>
      <c r="AC68" s="104"/>
      <c r="AD68" s="104"/>
      <c r="AE68" s="104"/>
      <c r="AF68" s="104"/>
      <c r="AG68" s="104"/>
      <c r="AH68" s="104"/>
      <c r="AI68" s="104"/>
      <c r="AJ68" s="104"/>
      <c r="AK68" s="104"/>
      <c r="AL68" s="104"/>
      <c r="AM68" s="104"/>
      <c r="AN68" s="104"/>
      <c r="AO68" s="104"/>
      <c r="AP68" s="172"/>
      <c r="AQ68" s="172"/>
      <c r="AR68" s="172"/>
      <c r="AS68" s="104"/>
      <c r="AT68" s="104"/>
      <c r="AU68" s="104"/>
      <c r="AV68" s="104"/>
      <c r="AW68" s="104"/>
      <c r="AX68" s="104"/>
      <c r="AY68" s="104"/>
      <c r="AZ68" s="104"/>
      <c r="BA68" s="104"/>
      <c r="BB68" s="104"/>
      <c r="BC68" s="104"/>
      <c r="BD68" s="104"/>
      <c r="BE68" s="104"/>
      <c r="BF68" s="104"/>
      <c r="BG68" s="104"/>
      <c r="BH68" s="104"/>
      <c r="BI68" s="104"/>
      <c r="BJ68" s="104"/>
      <c r="BK68" s="104"/>
      <c r="BL68" s="104"/>
      <c r="BM68" s="104"/>
      <c r="BN68" s="104"/>
      <c r="BO68" s="104"/>
      <c r="BP68" s="104"/>
      <c r="BQ68" s="104"/>
      <c r="BR68" s="104"/>
      <c r="BS68" s="104"/>
      <c r="BT68" s="104"/>
      <c r="BU68" s="104"/>
      <c r="BV68" s="104"/>
      <c r="BW68" s="104"/>
      <c r="BX68" s="104"/>
      <c r="BY68" s="104"/>
      <c r="BZ68" s="104"/>
      <c r="CA68" s="104"/>
      <c r="CB68" s="104"/>
      <c r="CC68" s="104"/>
      <c r="CD68" s="104"/>
      <c r="CE68" s="104"/>
      <c r="CF68" s="104"/>
      <c r="CG68" s="104"/>
      <c r="CH68" s="104"/>
      <c r="CI68" s="104"/>
      <c r="CJ68" s="104"/>
      <c r="CK68" s="104"/>
      <c r="CL68" s="104"/>
      <c r="CM68" s="104"/>
      <c r="CN68" s="104"/>
      <c r="CO68" s="104"/>
      <c r="CP68" s="104"/>
      <c r="CQ68" s="104"/>
      <c r="CR68" s="104"/>
      <c r="CS68" s="104"/>
      <c r="CT68" s="104"/>
      <c r="CU68" s="104"/>
      <c r="CV68" s="104"/>
      <c r="CW68" s="104"/>
      <c r="CX68" s="104"/>
      <c r="CY68" s="104"/>
      <c r="CZ68" s="104"/>
      <c r="DA68" s="104"/>
      <c r="DB68" s="104"/>
      <c r="DC68" s="104"/>
      <c r="DD68" s="104"/>
      <c r="DE68" s="104"/>
      <c r="DF68" s="104"/>
      <c r="DG68" s="104"/>
      <c r="DH68" s="104"/>
      <c r="DI68" s="104"/>
      <c r="DJ68" s="104"/>
      <c r="DK68" s="104"/>
      <c r="DL68" s="104"/>
      <c r="DM68" s="104"/>
      <c r="DN68" s="104"/>
      <c r="DO68" s="104"/>
      <c r="DP68" s="104"/>
      <c r="DQ68" s="104"/>
      <c r="DR68" s="104"/>
      <c r="DS68" s="104"/>
      <c r="DT68" s="104"/>
      <c r="DU68" s="104"/>
      <c r="DV68" s="104"/>
      <c r="DW68" s="104"/>
      <c r="DX68" s="104"/>
      <c r="DY68" s="104"/>
      <c r="DZ68" s="104"/>
      <c r="EA68" s="104"/>
      <c r="EB68" s="104"/>
      <c r="EC68" s="104"/>
      <c r="ED68" s="104"/>
      <c r="EE68" s="104"/>
      <c r="EF68" s="104"/>
      <c r="EG68" s="104"/>
      <c r="EH68" s="104"/>
      <c r="EI68" s="104"/>
      <c r="EJ68" s="104"/>
      <c r="EK68" s="104"/>
      <c r="EL68" s="104"/>
      <c r="EM68" s="104"/>
      <c r="EN68" s="104"/>
      <c r="EO68" s="104"/>
      <c r="EP68" s="104"/>
      <c r="EQ68" s="104"/>
      <c r="ER68" s="104"/>
      <c r="ES68" s="104"/>
      <c r="ET68" s="104"/>
      <c r="EU68" s="104"/>
      <c r="EV68" s="104"/>
      <c r="EW68" s="104"/>
      <c r="EX68" s="104"/>
      <c r="EY68" s="104"/>
      <c r="EZ68" s="104"/>
      <c r="FA68" s="104"/>
      <c r="FB68" s="104"/>
      <c r="FC68" s="104"/>
      <c r="FD68" s="104"/>
      <c r="FE68" s="104"/>
      <c r="FF68" s="104"/>
      <c r="FG68" s="104"/>
      <c r="FH68" s="104"/>
      <c r="FI68" s="104"/>
      <c r="FJ68" s="104"/>
      <c r="FK68" s="104"/>
      <c r="FL68" s="104"/>
      <c r="FM68" s="104"/>
      <c r="FN68" s="104"/>
      <c r="FO68" s="104"/>
      <c r="FP68" s="104"/>
      <c r="FQ68" s="104"/>
      <c r="FR68" s="104"/>
      <c r="FS68" s="104"/>
      <c r="FT68" s="104"/>
      <c r="FU68" s="104"/>
      <c r="FV68" s="104"/>
      <c r="FW68" s="104"/>
      <c r="FX68" s="104"/>
      <c r="FY68" s="104"/>
      <c r="FZ68" s="104"/>
      <c r="GA68" s="104"/>
      <c r="GB68" s="104"/>
      <c r="GC68" s="104"/>
      <c r="GD68" s="104"/>
      <c r="GE68" s="104"/>
      <c r="GF68" s="104"/>
      <c r="GG68" s="104"/>
      <c r="GH68" s="104"/>
      <c r="GI68" s="104"/>
      <c r="GJ68" s="104"/>
      <c r="GK68" s="104"/>
      <c r="GL68" s="104"/>
      <c r="GM68" s="104"/>
      <c r="GN68" s="104"/>
      <c r="GO68" s="104"/>
      <c r="GP68" s="104"/>
      <c r="GQ68" s="104"/>
      <c r="GR68" s="104"/>
      <c r="GS68" s="104"/>
      <c r="GT68" s="104"/>
      <c r="GU68" s="104"/>
      <c r="GV68" s="104"/>
      <c r="GW68" s="104"/>
      <c r="GX68" s="104"/>
      <c r="GY68" s="104"/>
      <c r="GZ68" s="104"/>
      <c r="HA68" s="104"/>
      <c r="HB68" s="104"/>
      <c r="HC68" s="104"/>
      <c r="HD68" s="104"/>
      <c r="HE68" s="104"/>
      <c r="HF68" s="104"/>
      <c r="HG68" s="104"/>
      <c r="HH68" s="104"/>
      <c r="HI68" s="104"/>
      <c r="HJ68" s="104"/>
      <c r="HK68" s="104"/>
      <c r="HL68" s="104"/>
      <c r="HM68" s="104"/>
      <c r="HN68" s="104"/>
      <c r="HO68" s="104"/>
      <c r="HP68" s="104"/>
      <c r="HQ68" s="104"/>
      <c r="HR68" s="104"/>
      <c r="HS68" s="104"/>
      <c r="HT68" s="104"/>
      <c r="HU68" s="104"/>
      <c r="HV68" s="104"/>
      <c r="HW68" s="104"/>
      <c r="HX68" s="104"/>
      <c r="HY68" s="104"/>
      <c r="HZ68" s="104"/>
      <c r="IA68" s="104"/>
      <c r="IB68" s="104"/>
      <c r="IC68" s="104"/>
      <c r="ID68" s="104"/>
      <c r="IE68" s="104"/>
      <c r="IF68" s="104"/>
      <c r="IG68" s="104"/>
      <c r="IH68" s="104"/>
      <c r="II68" s="104"/>
      <c r="IJ68" s="104"/>
      <c r="IK68" s="104"/>
      <c r="IL68" s="104"/>
      <c r="IM68" s="104"/>
      <c r="IN68" s="104"/>
      <c r="IO68" s="104"/>
      <c r="IP68" s="104"/>
      <c r="IQ68" s="104"/>
      <c r="IR68" s="104"/>
      <c r="IS68" s="104"/>
      <c r="IT68" s="104"/>
      <c r="IU68" s="104"/>
      <c r="IV68" s="104"/>
      <c r="IW68" s="104"/>
      <c r="IX68" s="104"/>
      <c r="IY68" s="104"/>
      <c r="IZ68" s="104"/>
      <c r="JA68" s="104"/>
      <c r="JB68" s="104"/>
      <c r="JC68" s="104"/>
      <c r="JD68" s="104"/>
      <c r="JE68" s="104"/>
    </row>
    <row r="69" spans="4:265" x14ac:dyDescent="0.25">
      <c r="D69" s="1"/>
      <c r="E69" s="1"/>
      <c r="F69" s="1"/>
      <c r="O69" s="104"/>
      <c r="P69" s="104"/>
      <c r="Q69" s="104"/>
      <c r="R69" s="104"/>
      <c r="S69" s="104"/>
      <c r="T69" s="104"/>
      <c r="U69" s="104"/>
      <c r="V69" s="104"/>
      <c r="W69" s="104"/>
      <c r="X69" s="104"/>
      <c r="Y69" s="104"/>
      <c r="Z69" s="104"/>
      <c r="AA69" s="104"/>
      <c r="AB69" s="104"/>
      <c r="AC69" s="104"/>
      <c r="AD69" s="104"/>
      <c r="AE69" s="104"/>
      <c r="AF69" s="104"/>
      <c r="AG69" s="104"/>
      <c r="AH69" s="104"/>
      <c r="AI69" s="104"/>
      <c r="AJ69" s="104"/>
      <c r="AK69" s="104"/>
      <c r="AL69" s="104"/>
      <c r="AM69" s="104"/>
      <c r="AN69" s="104"/>
      <c r="AO69" s="104"/>
      <c r="AP69" s="104"/>
      <c r="AQ69" s="104"/>
      <c r="AR69" s="104"/>
      <c r="AS69" s="104"/>
      <c r="AT69" s="104"/>
      <c r="AU69" s="104"/>
      <c r="AV69" s="104"/>
      <c r="AW69" s="104"/>
      <c r="AX69" s="104"/>
      <c r="AY69" s="104"/>
      <c r="AZ69" s="104"/>
      <c r="BA69" s="104"/>
      <c r="BB69" s="104"/>
      <c r="BC69" s="104"/>
      <c r="BD69" s="104"/>
      <c r="BE69" s="104"/>
      <c r="BF69" s="104"/>
      <c r="BG69" s="104"/>
      <c r="BH69" s="104"/>
      <c r="BI69" s="104"/>
      <c r="BJ69" s="104"/>
      <c r="BK69" s="104"/>
      <c r="BL69" s="104"/>
      <c r="BM69" s="104"/>
      <c r="BN69" s="104"/>
      <c r="BO69" s="104"/>
      <c r="BP69" s="104"/>
      <c r="BQ69" s="104"/>
      <c r="BR69" s="104"/>
      <c r="BS69" s="104"/>
      <c r="BT69" s="104"/>
      <c r="BU69" s="104"/>
      <c r="BV69" s="104"/>
      <c r="BW69" s="104"/>
      <c r="BX69" s="104"/>
      <c r="BY69" s="104"/>
      <c r="BZ69" s="104"/>
      <c r="CA69" s="104"/>
      <c r="CB69" s="104"/>
      <c r="CC69" s="104"/>
      <c r="CD69" s="104"/>
      <c r="CE69" s="104"/>
      <c r="CF69" s="104"/>
      <c r="CG69" s="104"/>
      <c r="CH69" s="104"/>
      <c r="CI69" s="104"/>
      <c r="CJ69" s="104"/>
      <c r="CK69" s="104"/>
      <c r="CL69" s="104"/>
      <c r="CM69" s="104"/>
      <c r="CN69" s="104"/>
      <c r="CO69" s="104"/>
      <c r="CP69" s="104"/>
      <c r="CQ69" s="104"/>
      <c r="CR69" s="104"/>
      <c r="CS69" s="104"/>
      <c r="CT69" s="104"/>
      <c r="CU69" s="104"/>
      <c r="CV69" s="104"/>
      <c r="CW69" s="104"/>
      <c r="CX69" s="104"/>
      <c r="CY69" s="104"/>
      <c r="CZ69" s="104"/>
      <c r="DA69" s="104"/>
      <c r="DB69" s="104"/>
      <c r="DC69" s="104"/>
      <c r="DD69" s="104"/>
      <c r="DE69" s="104"/>
      <c r="DF69" s="104"/>
      <c r="DG69" s="104"/>
      <c r="DH69" s="104"/>
      <c r="DI69" s="104"/>
      <c r="DJ69" s="104"/>
      <c r="DK69" s="104"/>
      <c r="DL69" s="104"/>
      <c r="DM69" s="104"/>
      <c r="DN69" s="104"/>
      <c r="DO69" s="104"/>
      <c r="DP69" s="104"/>
      <c r="DQ69" s="104"/>
      <c r="DR69" s="104"/>
      <c r="DS69" s="104"/>
      <c r="DT69" s="104"/>
      <c r="DU69" s="104"/>
      <c r="DV69" s="104"/>
      <c r="DW69" s="104"/>
      <c r="DX69" s="104"/>
      <c r="DY69" s="104"/>
      <c r="DZ69" s="104"/>
      <c r="EA69" s="104"/>
      <c r="EB69" s="104"/>
      <c r="EC69" s="104"/>
      <c r="ED69" s="104"/>
      <c r="EE69" s="104"/>
      <c r="EF69" s="104"/>
      <c r="EG69" s="104"/>
      <c r="EH69" s="104"/>
      <c r="EI69" s="104"/>
      <c r="EJ69" s="104"/>
      <c r="EK69" s="104"/>
      <c r="EL69" s="104"/>
      <c r="EM69" s="104"/>
      <c r="EN69" s="104"/>
      <c r="EO69" s="104"/>
      <c r="EP69" s="104"/>
      <c r="EQ69" s="104"/>
      <c r="ER69" s="104"/>
      <c r="ES69" s="104"/>
      <c r="ET69" s="104"/>
      <c r="EU69" s="104"/>
      <c r="EV69" s="104"/>
      <c r="EW69" s="104"/>
      <c r="EX69" s="104"/>
      <c r="EY69" s="104"/>
      <c r="EZ69" s="104"/>
      <c r="FA69" s="104"/>
      <c r="FB69" s="104"/>
      <c r="FC69" s="104"/>
      <c r="FD69" s="104"/>
      <c r="FE69" s="104"/>
      <c r="FF69" s="104"/>
      <c r="FG69" s="104"/>
      <c r="FH69" s="104"/>
      <c r="FI69" s="104"/>
      <c r="FJ69" s="104"/>
      <c r="FK69" s="104"/>
      <c r="FL69" s="104"/>
      <c r="FM69" s="104"/>
      <c r="FN69" s="104"/>
      <c r="FO69" s="104"/>
      <c r="FP69" s="104"/>
      <c r="FQ69" s="104"/>
      <c r="FR69" s="104"/>
      <c r="FS69" s="104"/>
      <c r="FT69" s="104"/>
      <c r="FU69" s="104"/>
      <c r="FV69" s="104"/>
      <c r="FW69" s="104"/>
      <c r="FX69" s="104"/>
      <c r="FY69" s="104"/>
      <c r="FZ69" s="104"/>
      <c r="GA69" s="104"/>
      <c r="GB69" s="104"/>
      <c r="GC69" s="104"/>
      <c r="GD69" s="104"/>
      <c r="GE69" s="104"/>
      <c r="GF69" s="104"/>
      <c r="GG69" s="104"/>
      <c r="GH69" s="104"/>
      <c r="GI69" s="104"/>
      <c r="GJ69" s="104"/>
      <c r="GK69" s="104"/>
      <c r="GL69" s="104"/>
      <c r="GM69" s="104"/>
      <c r="GN69" s="104"/>
      <c r="GO69" s="104"/>
      <c r="GP69" s="104"/>
      <c r="GQ69" s="104"/>
      <c r="GR69" s="104"/>
      <c r="GS69" s="104"/>
      <c r="GT69" s="104"/>
      <c r="GU69" s="104"/>
      <c r="GV69" s="104"/>
      <c r="GW69" s="104"/>
      <c r="GX69" s="104"/>
      <c r="GY69" s="104"/>
      <c r="GZ69" s="104"/>
      <c r="HA69" s="104"/>
      <c r="HB69" s="104"/>
      <c r="HC69" s="104"/>
      <c r="HD69" s="104"/>
      <c r="HE69" s="104"/>
      <c r="HF69" s="104"/>
      <c r="HG69" s="104"/>
      <c r="HH69" s="104"/>
      <c r="HI69" s="104"/>
      <c r="HJ69" s="104"/>
      <c r="HK69" s="104"/>
      <c r="HL69" s="104"/>
      <c r="HM69" s="104"/>
      <c r="HN69" s="104"/>
      <c r="HO69" s="104"/>
      <c r="HP69" s="104"/>
      <c r="HQ69" s="104"/>
      <c r="HR69" s="104"/>
      <c r="HS69" s="104"/>
      <c r="HT69" s="104"/>
      <c r="HU69" s="104"/>
      <c r="HV69" s="104"/>
      <c r="HW69" s="104"/>
      <c r="HX69" s="104"/>
      <c r="HY69" s="104"/>
      <c r="HZ69" s="104"/>
      <c r="IA69" s="104"/>
      <c r="IB69" s="104"/>
      <c r="IC69" s="104"/>
      <c r="ID69" s="104"/>
      <c r="IE69" s="104"/>
      <c r="IF69" s="104"/>
      <c r="IG69" s="104"/>
      <c r="IH69" s="104"/>
      <c r="II69" s="104"/>
      <c r="IJ69" s="104"/>
      <c r="IK69" s="104"/>
      <c r="IL69" s="104"/>
      <c r="IM69" s="104"/>
      <c r="IN69" s="104"/>
      <c r="IO69" s="104"/>
      <c r="IP69" s="104"/>
      <c r="IQ69" s="104"/>
      <c r="IR69" s="104"/>
      <c r="IS69" s="104"/>
      <c r="IT69" s="104"/>
      <c r="IU69" s="104"/>
      <c r="IV69" s="104"/>
      <c r="IW69" s="104"/>
      <c r="IX69" s="104"/>
      <c r="IY69" s="104"/>
      <c r="IZ69" s="104"/>
      <c r="JA69" s="104"/>
      <c r="JB69" s="104"/>
      <c r="JC69" s="104"/>
      <c r="JD69" s="104"/>
      <c r="JE69" s="104"/>
    </row>
    <row r="70" spans="4:265" x14ac:dyDescent="0.25">
      <c r="D70" s="1"/>
      <c r="E70" s="1"/>
      <c r="F70" s="1"/>
      <c r="O70" s="104"/>
      <c r="P70" s="104"/>
      <c r="Q70" s="104"/>
      <c r="R70" s="104"/>
      <c r="S70" s="104"/>
      <c r="T70" s="104"/>
      <c r="U70" s="104"/>
      <c r="V70" s="104"/>
      <c r="W70" s="104"/>
      <c r="X70" s="104"/>
      <c r="Y70" s="104"/>
      <c r="Z70" s="104"/>
      <c r="AA70" s="104"/>
      <c r="AB70" s="104"/>
      <c r="AC70" s="104"/>
      <c r="AD70" s="104"/>
      <c r="AE70" s="104"/>
      <c r="AF70" s="104"/>
      <c r="AG70" s="104"/>
      <c r="AH70" s="104"/>
      <c r="AI70" s="104"/>
      <c r="AJ70" s="104"/>
      <c r="AK70" s="104"/>
      <c r="AL70" s="104"/>
      <c r="AM70" s="104"/>
      <c r="AN70" s="104"/>
      <c r="AO70" s="104"/>
      <c r="AP70" s="104"/>
      <c r="AQ70" s="104"/>
      <c r="AR70" s="104"/>
      <c r="AS70" s="104"/>
      <c r="AT70" s="104"/>
      <c r="AU70" s="104"/>
      <c r="AV70" s="104"/>
      <c r="AW70" s="104"/>
      <c r="AX70" s="104"/>
      <c r="AY70" s="104"/>
      <c r="AZ70" s="104"/>
      <c r="BA70" s="104"/>
      <c r="BB70" s="104"/>
      <c r="BC70" s="104"/>
      <c r="BD70" s="104"/>
      <c r="BE70" s="104"/>
      <c r="BF70" s="104"/>
      <c r="BG70" s="104"/>
      <c r="BH70" s="104"/>
      <c r="BI70" s="104"/>
      <c r="BJ70" s="104"/>
      <c r="BK70" s="104"/>
      <c r="BL70" s="104"/>
      <c r="BM70" s="104"/>
      <c r="BN70" s="104"/>
      <c r="BO70" s="104"/>
      <c r="BP70" s="104"/>
      <c r="BQ70" s="104"/>
      <c r="BR70" s="104"/>
      <c r="BS70" s="104"/>
      <c r="BT70" s="104"/>
      <c r="BU70" s="104"/>
      <c r="BV70" s="104"/>
      <c r="BW70" s="104"/>
      <c r="BX70" s="104"/>
      <c r="BY70" s="104"/>
      <c r="BZ70" s="104"/>
      <c r="CA70" s="104"/>
      <c r="CB70" s="104"/>
      <c r="CC70" s="104"/>
      <c r="CD70" s="104"/>
      <c r="CE70" s="104"/>
      <c r="CF70" s="104"/>
      <c r="CG70" s="104"/>
      <c r="CH70" s="104"/>
      <c r="CI70" s="104"/>
      <c r="CJ70" s="104"/>
      <c r="CK70" s="104"/>
      <c r="CL70" s="104"/>
      <c r="CM70" s="104"/>
      <c r="CN70" s="104"/>
      <c r="CO70" s="104"/>
      <c r="CP70" s="104"/>
      <c r="CQ70" s="104"/>
      <c r="CR70" s="104"/>
      <c r="CS70" s="104"/>
      <c r="CT70" s="104"/>
      <c r="CU70" s="104"/>
      <c r="CV70" s="104"/>
      <c r="CW70" s="104"/>
      <c r="CX70" s="104"/>
      <c r="CY70" s="104"/>
      <c r="CZ70" s="104"/>
      <c r="DA70" s="104"/>
      <c r="DB70" s="104"/>
      <c r="DC70" s="104"/>
      <c r="DD70" s="104"/>
      <c r="DE70" s="104"/>
      <c r="DF70" s="104"/>
      <c r="DG70" s="104"/>
      <c r="DH70" s="104"/>
      <c r="DI70" s="104"/>
      <c r="DJ70" s="104"/>
      <c r="DK70" s="104"/>
      <c r="DL70" s="104"/>
      <c r="DM70" s="104"/>
      <c r="DN70" s="104"/>
      <c r="DO70" s="104"/>
      <c r="DP70" s="104"/>
      <c r="DQ70" s="104"/>
      <c r="DR70" s="104"/>
      <c r="DS70" s="104"/>
      <c r="DT70" s="104"/>
      <c r="DU70" s="104"/>
      <c r="DV70" s="104"/>
      <c r="DW70" s="104"/>
      <c r="DX70" s="104"/>
      <c r="DY70" s="104"/>
      <c r="DZ70" s="104"/>
      <c r="EA70" s="104"/>
      <c r="EB70" s="104"/>
      <c r="EC70" s="104"/>
      <c r="ED70" s="104"/>
      <c r="EE70" s="104"/>
      <c r="EF70" s="104"/>
      <c r="EG70" s="104"/>
      <c r="EH70" s="104"/>
      <c r="EI70" s="104"/>
      <c r="EJ70" s="104"/>
      <c r="EK70" s="104"/>
      <c r="EL70" s="104"/>
      <c r="EM70" s="104"/>
      <c r="EN70" s="104"/>
      <c r="EO70" s="104"/>
      <c r="EP70" s="104"/>
      <c r="EQ70" s="104"/>
      <c r="ER70" s="104"/>
      <c r="ES70" s="104"/>
      <c r="ET70" s="104"/>
      <c r="EU70" s="104"/>
      <c r="EV70" s="104"/>
      <c r="EW70" s="104"/>
      <c r="EX70" s="104"/>
      <c r="EY70" s="104"/>
      <c r="EZ70" s="104"/>
      <c r="FA70" s="104"/>
      <c r="FB70" s="104"/>
      <c r="FC70" s="104"/>
      <c r="FD70" s="104"/>
      <c r="FE70" s="104"/>
      <c r="FF70" s="104"/>
      <c r="FG70" s="104"/>
      <c r="FH70" s="104"/>
      <c r="FI70" s="104"/>
      <c r="FJ70" s="104"/>
      <c r="FK70" s="104"/>
      <c r="FL70" s="104"/>
      <c r="FM70" s="104"/>
      <c r="FN70" s="104"/>
      <c r="FO70" s="104"/>
      <c r="FP70" s="104"/>
      <c r="FQ70" s="104"/>
      <c r="FR70" s="104"/>
      <c r="FS70" s="104"/>
      <c r="FT70" s="104"/>
      <c r="FU70" s="104"/>
      <c r="FV70" s="104"/>
      <c r="FW70" s="104"/>
      <c r="FX70" s="104"/>
      <c r="FY70" s="104"/>
      <c r="FZ70" s="104"/>
      <c r="GA70" s="104"/>
      <c r="GB70" s="104"/>
      <c r="GC70" s="104"/>
      <c r="GD70" s="104"/>
      <c r="GE70" s="104"/>
      <c r="GF70" s="104"/>
      <c r="GG70" s="104"/>
      <c r="GH70" s="104"/>
      <c r="GI70" s="104"/>
      <c r="GJ70" s="104"/>
      <c r="GK70" s="104"/>
      <c r="GL70" s="104"/>
      <c r="GM70" s="104"/>
      <c r="GN70" s="104"/>
      <c r="GO70" s="104"/>
      <c r="GP70" s="104"/>
      <c r="GQ70" s="104"/>
      <c r="GR70" s="104"/>
      <c r="GS70" s="104"/>
      <c r="GT70" s="104"/>
      <c r="GU70" s="104"/>
      <c r="GV70" s="104"/>
      <c r="GW70" s="104"/>
      <c r="GX70" s="104"/>
      <c r="GY70" s="104"/>
      <c r="GZ70" s="104"/>
      <c r="HA70" s="104"/>
      <c r="HB70" s="104"/>
      <c r="HC70" s="104"/>
      <c r="HD70" s="104"/>
      <c r="HE70" s="104"/>
      <c r="HF70" s="104"/>
      <c r="HG70" s="104"/>
      <c r="HH70" s="104"/>
      <c r="HI70" s="104"/>
      <c r="HJ70" s="104"/>
      <c r="HK70" s="104"/>
      <c r="HL70" s="104"/>
      <c r="HM70" s="104"/>
      <c r="HN70" s="104"/>
      <c r="HO70" s="104"/>
      <c r="HP70" s="104"/>
      <c r="HQ70" s="104"/>
      <c r="HR70" s="104"/>
      <c r="HS70" s="104"/>
      <c r="HT70" s="104"/>
      <c r="HU70" s="104"/>
      <c r="HV70" s="104"/>
      <c r="HW70" s="104"/>
      <c r="HX70" s="104"/>
      <c r="HY70" s="104"/>
      <c r="HZ70" s="104"/>
      <c r="IA70" s="104"/>
      <c r="IB70" s="104"/>
      <c r="IC70" s="104"/>
      <c r="ID70" s="104"/>
      <c r="IE70" s="104"/>
      <c r="IF70" s="104"/>
      <c r="IG70" s="104"/>
      <c r="IH70" s="104"/>
      <c r="II70" s="104"/>
      <c r="IJ70" s="104"/>
      <c r="IK70" s="104"/>
      <c r="IL70" s="104"/>
      <c r="IM70" s="104"/>
      <c r="IN70" s="104"/>
      <c r="IO70" s="104"/>
      <c r="IP70" s="104"/>
      <c r="IQ70" s="104"/>
      <c r="IR70" s="104"/>
      <c r="IS70" s="104"/>
      <c r="IT70" s="104"/>
      <c r="IU70" s="104"/>
      <c r="IV70" s="104"/>
      <c r="IW70" s="104"/>
      <c r="IX70" s="104"/>
      <c r="IY70" s="104"/>
      <c r="IZ70" s="104"/>
      <c r="JA70" s="104"/>
      <c r="JB70" s="104"/>
      <c r="JC70" s="104"/>
      <c r="JD70" s="104"/>
      <c r="JE70" s="104"/>
    </row>
    <row r="71" spans="4:265" x14ac:dyDescent="0.25">
      <c r="D71" s="1"/>
      <c r="E71" s="1"/>
      <c r="F71" s="1"/>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c r="BS71" s="104"/>
      <c r="BT71" s="104"/>
      <c r="BU71" s="104"/>
      <c r="BV71" s="104"/>
      <c r="BW71" s="104"/>
      <c r="BX71" s="104"/>
      <c r="BY71" s="104"/>
      <c r="BZ71" s="104"/>
      <c r="CA71" s="104"/>
      <c r="CB71" s="104"/>
      <c r="CC71" s="104"/>
      <c r="CD71" s="104"/>
      <c r="CE71" s="104"/>
      <c r="CF71" s="104"/>
      <c r="CG71" s="104"/>
      <c r="CH71" s="104"/>
      <c r="CI71" s="104"/>
      <c r="CJ71" s="104"/>
      <c r="CK71" s="104"/>
      <c r="CL71" s="104"/>
      <c r="CM71" s="104"/>
      <c r="CN71" s="104"/>
      <c r="CO71" s="104"/>
      <c r="CP71" s="104"/>
      <c r="CQ71" s="104"/>
      <c r="CR71" s="104"/>
      <c r="CS71" s="104"/>
      <c r="CT71" s="104"/>
      <c r="CU71" s="104"/>
      <c r="CV71" s="104"/>
      <c r="CW71" s="104"/>
      <c r="CX71" s="104"/>
      <c r="CY71" s="104"/>
      <c r="CZ71" s="104"/>
      <c r="DA71" s="104"/>
      <c r="DB71" s="104"/>
      <c r="DC71" s="104"/>
      <c r="DD71" s="104"/>
      <c r="DE71" s="104"/>
      <c r="DF71" s="104"/>
      <c r="DG71" s="104"/>
      <c r="DH71" s="104"/>
      <c r="DI71" s="104"/>
      <c r="DJ71" s="104"/>
      <c r="DK71" s="104"/>
      <c r="DL71" s="104"/>
      <c r="DM71" s="104"/>
      <c r="DN71" s="104"/>
      <c r="DO71" s="104"/>
      <c r="DP71" s="104"/>
      <c r="DQ71" s="104"/>
      <c r="DR71" s="104"/>
      <c r="DS71" s="104"/>
      <c r="DT71" s="104"/>
      <c r="DU71" s="104"/>
      <c r="DV71" s="104"/>
      <c r="DW71" s="104"/>
      <c r="DX71" s="104"/>
      <c r="DY71" s="104"/>
      <c r="DZ71" s="104"/>
      <c r="EA71" s="104"/>
      <c r="EB71" s="104"/>
      <c r="EC71" s="104"/>
      <c r="ED71" s="104"/>
      <c r="EE71" s="104"/>
      <c r="EF71" s="104"/>
      <c r="EG71" s="104"/>
      <c r="EH71" s="104"/>
      <c r="EI71" s="104"/>
      <c r="EJ71" s="104"/>
      <c r="EK71" s="104"/>
      <c r="EL71" s="104"/>
      <c r="EM71" s="104"/>
      <c r="EN71" s="104"/>
      <c r="EO71" s="104"/>
      <c r="EP71" s="104"/>
      <c r="EQ71" s="104"/>
      <c r="ER71" s="104"/>
      <c r="ES71" s="104"/>
      <c r="ET71" s="104"/>
      <c r="EU71" s="104"/>
      <c r="EV71" s="104"/>
      <c r="EW71" s="104"/>
      <c r="EX71" s="104"/>
      <c r="EY71" s="104"/>
      <c r="EZ71" s="104"/>
      <c r="FA71" s="104"/>
      <c r="FB71" s="104"/>
      <c r="FC71" s="104"/>
      <c r="FD71" s="104"/>
      <c r="FE71" s="104"/>
      <c r="FF71" s="104"/>
      <c r="FG71" s="104"/>
      <c r="FH71" s="104"/>
      <c r="FI71" s="104"/>
      <c r="FJ71" s="104"/>
      <c r="FK71" s="104"/>
      <c r="FL71" s="104"/>
      <c r="FM71" s="104"/>
      <c r="FN71" s="104"/>
      <c r="FO71" s="104"/>
      <c r="FP71" s="104"/>
      <c r="FQ71" s="104"/>
      <c r="FR71" s="104"/>
      <c r="FS71" s="104"/>
      <c r="FT71" s="104"/>
      <c r="FU71" s="104"/>
      <c r="FV71" s="104"/>
      <c r="FW71" s="104"/>
      <c r="FX71" s="104"/>
      <c r="FY71" s="104"/>
      <c r="FZ71" s="104"/>
      <c r="GA71" s="104"/>
      <c r="GB71" s="104"/>
      <c r="GC71" s="104"/>
      <c r="GD71" s="104"/>
      <c r="GE71" s="104"/>
      <c r="GF71" s="104"/>
      <c r="GG71" s="104"/>
      <c r="GH71" s="104"/>
      <c r="GI71" s="104"/>
      <c r="GJ71" s="104"/>
      <c r="GK71" s="104"/>
      <c r="GL71" s="104"/>
      <c r="GM71" s="104"/>
      <c r="GN71" s="104"/>
      <c r="GO71" s="104"/>
      <c r="GP71" s="104"/>
      <c r="GQ71" s="104"/>
      <c r="GR71" s="104"/>
      <c r="GS71" s="104"/>
      <c r="GT71" s="104"/>
      <c r="GU71" s="104"/>
      <c r="GV71" s="104"/>
      <c r="GW71" s="104"/>
      <c r="GX71" s="104"/>
      <c r="GY71" s="104"/>
      <c r="GZ71" s="104"/>
      <c r="HA71" s="104"/>
      <c r="HB71" s="104"/>
      <c r="HC71" s="104"/>
      <c r="HD71" s="104"/>
      <c r="HE71" s="104"/>
      <c r="HF71" s="104"/>
      <c r="HG71" s="104"/>
      <c r="HH71" s="104"/>
      <c r="HI71" s="104"/>
      <c r="HJ71" s="104"/>
      <c r="HK71" s="104"/>
      <c r="HL71" s="104"/>
      <c r="HM71" s="104"/>
      <c r="HN71" s="104"/>
      <c r="HO71" s="104"/>
      <c r="HP71" s="104"/>
      <c r="HQ71" s="104"/>
      <c r="HR71" s="104"/>
      <c r="HS71" s="104"/>
      <c r="HT71" s="104"/>
      <c r="HU71" s="104"/>
      <c r="HV71" s="104"/>
      <c r="HW71" s="104"/>
      <c r="HX71" s="104"/>
      <c r="HY71" s="104"/>
      <c r="HZ71" s="104"/>
      <c r="IA71" s="104"/>
      <c r="IB71" s="104"/>
      <c r="IC71" s="104"/>
      <c r="ID71" s="104"/>
      <c r="IE71" s="104"/>
      <c r="IF71" s="104"/>
      <c r="IG71" s="104"/>
      <c r="IH71" s="104"/>
      <c r="II71" s="104"/>
      <c r="IJ71" s="104"/>
      <c r="IK71" s="104"/>
      <c r="IL71" s="104"/>
      <c r="IM71" s="104"/>
      <c r="IN71" s="104"/>
      <c r="IO71" s="104"/>
      <c r="IP71" s="104"/>
      <c r="IQ71" s="104"/>
      <c r="IR71" s="104"/>
      <c r="IS71" s="104"/>
      <c r="IT71" s="104"/>
      <c r="IU71" s="104"/>
      <c r="IV71" s="104"/>
      <c r="IW71" s="104"/>
      <c r="IX71" s="104"/>
      <c r="IY71" s="104"/>
      <c r="IZ71" s="104"/>
      <c r="JA71" s="104"/>
      <c r="JB71" s="104"/>
      <c r="JC71" s="104"/>
      <c r="JD71" s="104"/>
      <c r="JE71" s="104"/>
    </row>
    <row r="72" spans="4:265" x14ac:dyDescent="0.25">
      <c r="D72" s="1"/>
      <c r="E72" s="1"/>
      <c r="F72" s="1"/>
      <c r="O72" s="104"/>
      <c r="P72" s="104"/>
      <c r="Q72" s="104"/>
      <c r="R72" s="104"/>
      <c r="S72" s="104"/>
      <c r="T72" s="104"/>
      <c r="U72" s="104"/>
      <c r="V72" s="104"/>
      <c r="W72" s="104"/>
      <c r="X72" s="104"/>
      <c r="Y72" s="104"/>
      <c r="Z72" s="104"/>
      <c r="AA72" s="104"/>
      <c r="AB72" s="104"/>
      <c r="AC72" s="104"/>
      <c r="AD72" s="104"/>
      <c r="AE72" s="104"/>
      <c r="AF72" s="104"/>
      <c r="AG72" s="104"/>
      <c r="AH72" s="104"/>
      <c r="AI72" s="104"/>
      <c r="AJ72" s="104"/>
      <c r="AK72" s="104"/>
      <c r="AL72" s="104"/>
      <c r="AM72" s="104"/>
      <c r="AN72" s="104"/>
      <c r="AO72" s="104"/>
      <c r="AP72" s="104"/>
      <c r="AQ72" s="104"/>
      <c r="AR72" s="104"/>
      <c r="AS72" s="104"/>
      <c r="AT72" s="104"/>
      <c r="AU72" s="104"/>
      <c r="AV72" s="104"/>
      <c r="AW72" s="104"/>
      <c r="AX72" s="104"/>
      <c r="AY72" s="104"/>
      <c r="AZ72" s="104"/>
      <c r="BA72" s="104"/>
      <c r="BB72" s="104"/>
      <c r="BC72" s="104"/>
      <c r="BD72" s="104"/>
      <c r="BE72" s="104"/>
      <c r="BF72" s="104"/>
      <c r="BG72" s="104"/>
      <c r="BH72" s="104"/>
      <c r="BI72" s="104"/>
      <c r="BJ72" s="104"/>
      <c r="BK72" s="104"/>
      <c r="BL72" s="104"/>
      <c r="BM72" s="104"/>
      <c r="BN72" s="104"/>
      <c r="BO72" s="104"/>
      <c r="BP72" s="104"/>
      <c r="BQ72" s="104"/>
      <c r="BR72" s="104"/>
      <c r="BS72" s="104"/>
      <c r="BT72" s="104"/>
      <c r="BU72" s="104"/>
      <c r="BV72" s="104"/>
      <c r="BW72" s="104"/>
      <c r="BX72" s="104"/>
      <c r="BY72" s="104"/>
      <c r="BZ72" s="104"/>
      <c r="CA72" s="104"/>
      <c r="CB72" s="104"/>
      <c r="CC72" s="104"/>
      <c r="CD72" s="104"/>
      <c r="CE72" s="104"/>
      <c r="CF72" s="104"/>
      <c r="CG72" s="104"/>
      <c r="CH72" s="104"/>
      <c r="CI72" s="104"/>
      <c r="CJ72" s="104"/>
      <c r="CK72" s="104"/>
      <c r="CL72" s="104"/>
      <c r="CM72" s="104"/>
      <c r="CN72" s="104"/>
      <c r="CO72" s="104"/>
      <c r="CP72" s="104"/>
      <c r="CQ72" s="104"/>
      <c r="CR72" s="104"/>
      <c r="CS72" s="104"/>
      <c r="CT72" s="104"/>
      <c r="CU72" s="104"/>
      <c r="CV72" s="104"/>
      <c r="CW72" s="104"/>
      <c r="CX72" s="104"/>
      <c r="CY72" s="104"/>
      <c r="CZ72" s="104"/>
      <c r="DA72" s="104"/>
      <c r="DB72" s="104"/>
      <c r="DC72" s="104"/>
      <c r="DD72" s="104"/>
      <c r="DE72" s="104"/>
      <c r="DF72" s="104"/>
      <c r="DG72" s="104"/>
      <c r="DH72" s="104"/>
      <c r="DI72" s="104"/>
      <c r="DJ72" s="104"/>
      <c r="DK72" s="104"/>
      <c r="DL72" s="104"/>
      <c r="DM72" s="104"/>
      <c r="DN72" s="104"/>
      <c r="DO72" s="104"/>
      <c r="DP72" s="104"/>
      <c r="DQ72" s="104"/>
      <c r="DR72" s="104"/>
      <c r="DS72" s="104"/>
      <c r="DT72" s="104"/>
      <c r="DU72" s="104"/>
      <c r="DV72" s="104"/>
      <c r="DW72" s="104"/>
      <c r="DX72" s="104"/>
      <c r="DY72" s="104"/>
      <c r="DZ72" s="104"/>
      <c r="EA72" s="104"/>
      <c r="EB72" s="104"/>
      <c r="EC72" s="104"/>
      <c r="ED72" s="104"/>
      <c r="EE72" s="104"/>
      <c r="EF72" s="104"/>
      <c r="EG72" s="104"/>
      <c r="EH72" s="104"/>
      <c r="EI72" s="104"/>
      <c r="EJ72" s="104"/>
      <c r="EK72" s="104"/>
      <c r="EL72" s="104"/>
      <c r="EM72" s="104"/>
      <c r="EN72" s="104"/>
      <c r="EO72" s="104"/>
      <c r="EP72" s="104"/>
      <c r="EQ72" s="104"/>
      <c r="ER72" s="104"/>
      <c r="ES72" s="104"/>
      <c r="ET72" s="104"/>
      <c r="EU72" s="104"/>
      <c r="EV72" s="104"/>
      <c r="EW72" s="104"/>
      <c r="EX72" s="104"/>
      <c r="EY72" s="104"/>
      <c r="EZ72" s="104"/>
      <c r="FA72" s="104"/>
      <c r="FB72" s="104"/>
      <c r="FC72" s="104"/>
      <c r="FD72" s="104"/>
      <c r="FE72" s="104"/>
      <c r="FF72" s="104"/>
      <c r="FG72" s="104"/>
      <c r="FH72" s="104"/>
      <c r="FI72" s="104"/>
      <c r="FJ72" s="104"/>
      <c r="FK72" s="104"/>
      <c r="FL72" s="104"/>
      <c r="FM72" s="104"/>
      <c r="FN72" s="104"/>
      <c r="FO72" s="104"/>
      <c r="FP72" s="104"/>
      <c r="FQ72" s="104"/>
      <c r="FR72" s="104"/>
      <c r="FS72" s="104"/>
      <c r="FT72" s="104"/>
      <c r="FU72" s="104"/>
      <c r="FV72" s="104"/>
      <c r="FW72" s="104"/>
      <c r="FX72" s="104"/>
      <c r="FY72" s="104"/>
      <c r="FZ72" s="104"/>
      <c r="GA72" s="104"/>
      <c r="GB72" s="104"/>
      <c r="GC72" s="104"/>
      <c r="GD72" s="104"/>
      <c r="GE72" s="104"/>
      <c r="GF72" s="104"/>
      <c r="GG72" s="104"/>
      <c r="GH72" s="104"/>
      <c r="GI72" s="104"/>
      <c r="GJ72" s="104"/>
      <c r="GK72" s="104"/>
      <c r="GL72" s="104"/>
      <c r="GM72" s="104"/>
      <c r="GN72" s="104"/>
      <c r="GO72" s="104"/>
      <c r="GP72" s="104"/>
      <c r="GQ72" s="104"/>
      <c r="GR72" s="104"/>
      <c r="GS72" s="104"/>
      <c r="GT72" s="104"/>
      <c r="GU72" s="104"/>
      <c r="GV72" s="104"/>
      <c r="GW72" s="104"/>
      <c r="GX72" s="104"/>
      <c r="GY72" s="104"/>
      <c r="GZ72" s="104"/>
      <c r="HA72" s="104"/>
      <c r="HB72" s="104"/>
      <c r="HC72" s="104"/>
      <c r="HD72" s="104"/>
      <c r="HE72" s="104"/>
      <c r="HF72" s="104"/>
      <c r="HG72" s="104"/>
      <c r="HH72" s="104"/>
      <c r="HI72" s="104"/>
      <c r="HJ72" s="104"/>
      <c r="HK72" s="104"/>
      <c r="HL72" s="104"/>
      <c r="HM72" s="104"/>
      <c r="HN72" s="104"/>
      <c r="HO72" s="104"/>
      <c r="HP72" s="104"/>
      <c r="HQ72" s="104"/>
      <c r="HR72" s="104"/>
      <c r="HS72" s="104"/>
      <c r="HT72" s="104"/>
      <c r="HU72" s="104"/>
      <c r="HV72" s="104"/>
      <c r="HW72" s="104"/>
      <c r="HX72" s="104"/>
      <c r="HY72" s="104"/>
      <c r="HZ72" s="104"/>
      <c r="IA72" s="104"/>
      <c r="IB72" s="104"/>
      <c r="IC72" s="104"/>
      <c r="ID72" s="104"/>
      <c r="IE72" s="104"/>
      <c r="IF72" s="104"/>
      <c r="IG72" s="104"/>
      <c r="IH72" s="104"/>
      <c r="II72" s="104"/>
      <c r="IJ72" s="104"/>
      <c r="IK72" s="104"/>
      <c r="IL72" s="104"/>
      <c r="IM72" s="104"/>
      <c r="IN72" s="104"/>
      <c r="IO72" s="104"/>
      <c r="IP72" s="104"/>
      <c r="IQ72" s="104"/>
      <c r="IR72" s="104"/>
      <c r="IS72" s="104"/>
      <c r="IT72" s="104"/>
      <c r="IU72" s="104"/>
      <c r="IV72" s="104"/>
      <c r="IW72" s="104"/>
      <c r="IX72" s="104"/>
      <c r="IY72" s="104"/>
      <c r="IZ72" s="104"/>
      <c r="JA72" s="104"/>
      <c r="JB72" s="104"/>
      <c r="JC72" s="104"/>
      <c r="JD72" s="104"/>
      <c r="JE72" s="104"/>
    </row>
    <row r="73" spans="4:265" x14ac:dyDescent="0.25">
      <c r="O73" s="104"/>
      <c r="P73" s="104"/>
      <c r="Q73" s="104"/>
      <c r="R73" s="104"/>
      <c r="S73" s="104"/>
      <c r="T73" s="104"/>
      <c r="U73" s="104"/>
      <c r="V73" s="104"/>
      <c r="W73" s="104"/>
      <c r="X73" s="104"/>
      <c r="Y73" s="104"/>
      <c r="Z73" s="104"/>
      <c r="AA73" s="104"/>
      <c r="AB73" s="104"/>
      <c r="AC73" s="104"/>
      <c r="AD73" s="104"/>
      <c r="AE73" s="104"/>
      <c r="AF73" s="104"/>
      <c r="AG73" s="104"/>
      <c r="AH73" s="104"/>
      <c r="AI73" s="104"/>
      <c r="AJ73" s="104"/>
      <c r="AK73" s="104"/>
      <c r="AL73" s="104"/>
      <c r="AM73" s="104"/>
      <c r="AN73" s="104"/>
      <c r="AO73" s="104"/>
      <c r="AP73" s="104"/>
      <c r="AQ73" s="104"/>
      <c r="AR73" s="104"/>
      <c r="AS73" s="104"/>
      <c r="AT73" s="104"/>
      <c r="AU73" s="104"/>
      <c r="AV73" s="104"/>
      <c r="AW73" s="104"/>
      <c r="AX73" s="104"/>
      <c r="AY73" s="104"/>
      <c r="AZ73" s="104"/>
      <c r="BA73" s="104"/>
      <c r="BB73" s="104"/>
      <c r="BC73" s="104"/>
      <c r="BD73" s="104"/>
      <c r="BE73" s="104"/>
      <c r="BF73" s="104"/>
      <c r="BG73" s="104"/>
      <c r="BH73" s="104"/>
      <c r="BI73" s="104"/>
      <c r="BJ73" s="104"/>
      <c r="BK73" s="104"/>
      <c r="BL73" s="104"/>
      <c r="BM73" s="104"/>
      <c r="BN73" s="104"/>
      <c r="BO73" s="104"/>
      <c r="BP73" s="104"/>
      <c r="BQ73" s="104"/>
      <c r="BR73" s="104"/>
      <c r="BS73" s="104"/>
      <c r="BT73" s="104"/>
      <c r="BU73" s="104"/>
      <c r="BV73" s="104"/>
      <c r="BW73" s="104"/>
      <c r="BX73" s="104"/>
      <c r="BY73" s="104"/>
      <c r="BZ73" s="104"/>
      <c r="CA73" s="104"/>
      <c r="CB73" s="104"/>
      <c r="CC73" s="104"/>
      <c r="CD73" s="104"/>
      <c r="CE73" s="104"/>
      <c r="CF73" s="104"/>
      <c r="CG73" s="104"/>
      <c r="CH73" s="104"/>
      <c r="CI73" s="104"/>
      <c r="CJ73" s="104"/>
      <c r="CK73" s="104"/>
      <c r="CL73" s="104"/>
      <c r="CM73" s="104"/>
      <c r="CN73" s="104"/>
      <c r="CO73" s="104"/>
      <c r="CP73" s="104"/>
      <c r="CQ73" s="104"/>
      <c r="CR73" s="104"/>
      <c r="CS73" s="104"/>
      <c r="CT73" s="104"/>
      <c r="CU73" s="104"/>
      <c r="CV73" s="104"/>
      <c r="CW73" s="104"/>
      <c r="CX73" s="104"/>
      <c r="CY73" s="104"/>
      <c r="CZ73" s="104"/>
      <c r="DA73" s="104"/>
      <c r="DB73" s="104"/>
      <c r="DC73" s="104"/>
      <c r="DD73" s="104"/>
      <c r="DE73" s="104"/>
      <c r="DF73" s="104"/>
      <c r="DG73" s="104"/>
      <c r="DH73" s="104"/>
      <c r="DI73" s="104"/>
      <c r="DJ73" s="104"/>
      <c r="DK73" s="104"/>
      <c r="DL73" s="104"/>
      <c r="DM73" s="104"/>
      <c r="DN73" s="104"/>
      <c r="DO73" s="104"/>
      <c r="DP73" s="104"/>
      <c r="DQ73" s="104"/>
      <c r="DR73" s="104"/>
      <c r="DS73" s="104"/>
      <c r="DT73" s="104"/>
      <c r="DU73" s="104"/>
      <c r="DV73" s="104"/>
      <c r="DW73" s="104"/>
      <c r="DX73" s="104"/>
      <c r="DY73" s="104"/>
      <c r="DZ73" s="104"/>
      <c r="EA73" s="104"/>
      <c r="EB73" s="104"/>
      <c r="EC73" s="104"/>
      <c r="ED73" s="104"/>
      <c r="EE73" s="104"/>
      <c r="EF73" s="104"/>
      <c r="EG73" s="104"/>
      <c r="EH73" s="104"/>
      <c r="EI73" s="104"/>
      <c r="EJ73" s="104"/>
      <c r="EK73" s="104"/>
      <c r="EL73" s="104"/>
      <c r="EM73" s="104"/>
      <c r="EN73" s="104"/>
      <c r="EO73" s="104"/>
      <c r="EP73" s="104"/>
      <c r="EQ73" s="104"/>
      <c r="ER73" s="104"/>
      <c r="ES73" s="104"/>
      <c r="ET73" s="104"/>
      <c r="EU73" s="104"/>
      <c r="EV73" s="104"/>
      <c r="EW73" s="104"/>
      <c r="EX73" s="104"/>
      <c r="EY73" s="104"/>
      <c r="EZ73" s="104"/>
      <c r="FA73" s="104"/>
      <c r="FB73" s="104"/>
      <c r="FC73" s="104"/>
      <c r="FD73" s="104"/>
      <c r="FE73" s="104"/>
      <c r="FF73" s="104"/>
      <c r="FG73" s="104"/>
      <c r="FH73" s="104"/>
      <c r="FI73" s="104"/>
      <c r="FJ73" s="104"/>
      <c r="FK73" s="104"/>
      <c r="FL73" s="104"/>
      <c r="FM73" s="104"/>
      <c r="FN73" s="104"/>
      <c r="FO73" s="104"/>
      <c r="FP73" s="104"/>
      <c r="FQ73" s="104"/>
      <c r="FR73" s="104"/>
      <c r="FS73" s="104"/>
      <c r="FT73" s="104"/>
      <c r="FU73" s="104"/>
      <c r="FV73" s="104"/>
      <c r="FW73" s="104"/>
      <c r="FX73" s="104"/>
      <c r="FY73" s="104"/>
      <c r="FZ73" s="104"/>
      <c r="GA73" s="104"/>
      <c r="GB73" s="104"/>
      <c r="GC73" s="104"/>
      <c r="GD73" s="104"/>
      <c r="GE73" s="104"/>
      <c r="GF73" s="104"/>
      <c r="GG73" s="104"/>
      <c r="GH73" s="104"/>
      <c r="GI73" s="104"/>
      <c r="GJ73" s="104"/>
      <c r="GK73" s="104"/>
      <c r="GL73" s="104"/>
      <c r="GM73" s="104"/>
      <c r="GN73" s="104"/>
      <c r="GO73" s="104"/>
      <c r="GP73" s="104"/>
      <c r="GQ73" s="104"/>
      <c r="GR73" s="104"/>
      <c r="GS73" s="104"/>
      <c r="GT73" s="104"/>
      <c r="GU73" s="104"/>
      <c r="GV73" s="104"/>
      <c r="GW73" s="104"/>
      <c r="GX73" s="104"/>
      <c r="GY73" s="104"/>
      <c r="GZ73" s="104"/>
      <c r="HA73" s="104"/>
      <c r="HB73" s="104"/>
      <c r="HC73" s="104"/>
      <c r="HD73" s="104"/>
      <c r="HE73" s="104"/>
      <c r="HF73" s="104"/>
      <c r="HG73" s="104"/>
      <c r="HH73" s="104"/>
      <c r="HI73" s="104"/>
      <c r="HJ73" s="104"/>
      <c r="HK73" s="104"/>
      <c r="HL73" s="104"/>
      <c r="HM73" s="104"/>
      <c r="HN73" s="104"/>
      <c r="HO73" s="104"/>
      <c r="HP73" s="104"/>
      <c r="HQ73" s="104"/>
      <c r="HR73" s="104"/>
      <c r="HS73" s="104"/>
      <c r="HT73" s="104"/>
      <c r="HU73" s="104"/>
      <c r="HV73" s="104"/>
      <c r="HW73" s="104"/>
      <c r="HX73" s="104"/>
      <c r="HY73" s="104"/>
      <c r="HZ73" s="104"/>
      <c r="IA73" s="104"/>
      <c r="IB73" s="104"/>
      <c r="IC73" s="104"/>
      <c r="ID73" s="104"/>
      <c r="IE73" s="104"/>
      <c r="IF73" s="104"/>
      <c r="IG73" s="104"/>
      <c r="IH73" s="104"/>
      <c r="II73" s="104"/>
      <c r="IJ73" s="104"/>
      <c r="IK73" s="104"/>
      <c r="IL73" s="104"/>
      <c r="IM73" s="104"/>
      <c r="IN73" s="104"/>
      <c r="IO73" s="104"/>
      <c r="IP73" s="104"/>
      <c r="IQ73" s="104"/>
      <c r="IR73" s="104"/>
      <c r="IS73" s="104"/>
      <c r="IT73" s="104"/>
      <c r="IU73" s="104"/>
      <c r="IV73" s="104"/>
      <c r="IW73" s="104"/>
      <c r="IX73" s="104"/>
      <c r="IY73" s="104"/>
      <c r="IZ73" s="104"/>
      <c r="JA73" s="104"/>
      <c r="JB73" s="104"/>
      <c r="JC73" s="104"/>
      <c r="JD73" s="104"/>
      <c r="JE73" s="104"/>
    </row>
    <row r="74" spans="4:265" x14ac:dyDescent="0.25">
      <c r="O74" s="104"/>
      <c r="P74" s="104"/>
      <c r="Q74" s="104"/>
      <c r="R74" s="104"/>
      <c r="S74" s="104"/>
      <c r="T74" s="104"/>
      <c r="U74" s="104"/>
      <c r="V74" s="104"/>
      <c r="W74" s="104"/>
      <c r="X74" s="104"/>
      <c r="Y74" s="104"/>
      <c r="Z74" s="104"/>
      <c r="AA74" s="104"/>
      <c r="AB74" s="104"/>
      <c r="AC74" s="104"/>
      <c r="AD74" s="104"/>
      <c r="AE74" s="104"/>
      <c r="AF74" s="104"/>
      <c r="AG74" s="104"/>
      <c r="AH74" s="104"/>
      <c r="AI74" s="104"/>
      <c r="AJ74" s="104"/>
      <c r="AK74" s="104"/>
      <c r="AL74" s="104"/>
      <c r="AM74" s="104"/>
      <c r="AN74" s="104"/>
      <c r="AO74" s="104"/>
      <c r="AP74" s="104"/>
      <c r="AQ74" s="104"/>
      <c r="AR74" s="104"/>
      <c r="AS74" s="104"/>
      <c r="AT74" s="104"/>
      <c r="AU74" s="104"/>
      <c r="AV74" s="104"/>
      <c r="AW74" s="104"/>
      <c r="AX74" s="104"/>
      <c r="AY74" s="104"/>
      <c r="AZ74" s="104"/>
      <c r="BA74" s="104"/>
      <c r="BB74" s="104"/>
      <c r="BC74" s="104"/>
      <c r="BD74" s="104"/>
      <c r="BE74" s="104"/>
      <c r="BF74" s="104"/>
      <c r="BG74" s="104"/>
      <c r="BH74" s="104"/>
      <c r="BI74" s="104"/>
      <c r="BJ74" s="104"/>
      <c r="BK74" s="104"/>
      <c r="BL74" s="104"/>
      <c r="BM74" s="104"/>
      <c r="BN74" s="104"/>
      <c r="BO74" s="104"/>
      <c r="BP74" s="104"/>
      <c r="BQ74" s="104"/>
      <c r="BR74" s="104"/>
      <c r="BS74" s="104"/>
      <c r="BT74" s="104"/>
      <c r="BU74" s="104"/>
      <c r="BV74" s="104"/>
      <c r="BW74" s="104"/>
      <c r="BX74" s="104"/>
      <c r="BY74" s="104"/>
      <c r="BZ74" s="104"/>
      <c r="CA74" s="104"/>
      <c r="CB74" s="104"/>
      <c r="CC74" s="104"/>
      <c r="CD74" s="104"/>
      <c r="CE74" s="104"/>
      <c r="CF74" s="104"/>
      <c r="CG74" s="104"/>
      <c r="CH74" s="104"/>
      <c r="CI74" s="104"/>
      <c r="CJ74" s="104"/>
      <c r="CK74" s="104"/>
      <c r="CL74" s="104"/>
      <c r="CM74" s="104"/>
      <c r="CN74" s="104"/>
      <c r="CO74" s="104"/>
      <c r="CP74" s="104"/>
      <c r="CQ74" s="104"/>
      <c r="CR74" s="104"/>
      <c r="CS74" s="104"/>
      <c r="CT74" s="104"/>
      <c r="CU74" s="104"/>
      <c r="CV74" s="104"/>
      <c r="CW74" s="104"/>
      <c r="CX74" s="104"/>
      <c r="CY74" s="104"/>
      <c r="CZ74" s="104"/>
      <c r="DA74" s="104"/>
      <c r="DB74" s="104"/>
      <c r="DC74" s="104"/>
      <c r="DD74" s="104"/>
      <c r="DE74" s="104"/>
      <c r="DF74" s="104"/>
      <c r="DG74" s="104"/>
      <c r="DH74" s="104"/>
      <c r="DI74" s="104"/>
      <c r="DJ74" s="104"/>
      <c r="DK74" s="104"/>
      <c r="DL74" s="104"/>
      <c r="DM74" s="104"/>
      <c r="DN74" s="104"/>
      <c r="DO74" s="104"/>
      <c r="DP74" s="104"/>
      <c r="DQ74" s="104"/>
      <c r="DR74" s="104"/>
      <c r="DS74" s="104"/>
      <c r="DT74" s="104"/>
      <c r="DU74" s="104"/>
      <c r="DV74" s="104"/>
      <c r="DW74" s="104"/>
      <c r="DX74" s="104"/>
      <c r="DY74" s="104"/>
      <c r="DZ74" s="104"/>
      <c r="EA74" s="104"/>
      <c r="EB74" s="104"/>
      <c r="EC74" s="104"/>
      <c r="ED74" s="104"/>
      <c r="EE74" s="104"/>
      <c r="EF74" s="104"/>
      <c r="EG74" s="104"/>
      <c r="EH74" s="104"/>
      <c r="EI74" s="104"/>
      <c r="EJ74" s="104"/>
      <c r="EK74" s="104"/>
      <c r="EL74" s="104"/>
      <c r="EM74" s="104"/>
      <c r="EN74" s="104"/>
      <c r="EO74" s="104"/>
      <c r="EP74" s="104"/>
      <c r="EQ74" s="104"/>
      <c r="ER74" s="104"/>
      <c r="ES74" s="104"/>
      <c r="ET74" s="104"/>
      <c r="EU74" s="104"/>
      <c r="EV74" s="104"/>
      <c r="EW74" s="104"/>
      <c r="EX74" s="104"/>
      <c r="EY74" s="104"/>
      <c r="EZ74" s="104"/>
      <c r="FA74" s="104"/>
      <c r="FB74" s="104"/>
      <c r="FC74" s="104"/>
      <c r="FD74" s="104"/>
      <c r="FE74" s="104"/>
      <c r="FF74" s="104"/>
      <c r="FG74" s="104"/>
      <c r="FH74" s="104"/>
      <c r="FI74" s="104"/>
      <c r="FJ74" s="104"/>
      <c r="FK74" s="104"/>
      <c r="FL74" s="104"/>
      <c r="FM74" s="104"/>
      <c r="FN74" s="104"/>
      <c r="FO74" s="104"/>
      <c r="FP74" s="104"/>
      <c r="FQ74" s="104"/>
      <c r="FR74" s="104"/>
      <c r="FS74" s="104"/>
      <c r="FT74" s="104"/>
      <c r="FU74" s="104"/>
      <c r="FV74" s="104"/>
      <c r="FW74" s="104"/>
      <c r="FX74" s="104"/>
      <c r="FY74" s="104"/>
      <c r="FZ74" s="104"/>
      <c r="GA74" s="104"/>
      <c r="GB74" s="104"/>
      <c r="GC74" s="104"/>
      <c r="GD74" s="104"/>
      <c r="GE74" s="104"/>
      <c r="GF74" s="104"/>
      <c r="GG74" s="104"/>
      <c r="GH74" s="104"/>
      <c r="GI74" s="104"/>
      <c r="GJ74" s="104"/>
      <c r="GK74" s="104"/>
      <c r="GL74" s="104"/>
      <c r="GM74" s="104"/>
      <c r="GN74" s="104"/>
      <c r="GO74" s="104"/>
      <c r="GP74" s="104"/>
      <c r="GQ74" s="104"/>
      <c r="GR74" s="104"/>
      <c r="GS74" s="104"/>
      <c r="GT74" s="104"/>
      <c r="GU74" s="104"/>
      <c r="GV74" s="104"/>
      <c r="GW74" s="104"/>
      <c r="GX74" s="104"/>
      <c r="GY74" s="104"/>
      <c r="GZ74" s="104"/>
      <c r="HA74" s="104"/>
      <c r="HB74" s="104"/>
      <c r="HC74" s="104"/>
      <c r="HD74" s="104"/>
      <c r="HE74" s="104"/>
      <c r="HF74" s="104"/>
      <c r="HG74" s="104"/>
      <c r="HH74" s="104"/>
      <c r="HI74" s="104"/>
      <c r="HJ74" s="104"/>
      <c r="HK74" s="104"/>
      <c r="HL74" s="104"/>
      <c r="HM74" s="104"/>
      <c r="HN74" s="104"/>
      <c r="HO74" s="104"/>
      <c r="HP74" s="104"/>
      <c r="HQ74" s="104"/>
      <c r="HR74" s="104"/>
      <c r="HS74" s="104"/>
      <c r="HT74" s="104"/>
      <c r="HU74" s="104"/>
      <c r="HV74" s="104"/>
      <c r="HW74" s="104"/>
      <c r="HX74" s="104"/>
      <c r="HY74" s="104"/>
      <c r="HZ74" s="104"/>
      <c r="IA74" s="104"/>
      <c r="IB74" s="104"/>
      <c r="IC74" s="104"/>
      <c r="ID74" s="104"/>
      <c r="IE74" s="104"/>
      <c r="IF74" s="104"/>
      <c r="IG74" s="104"/>
      <c r="IH74" s="104"/>
      <c r="II74" s="104"/>
      <c r="IJ74" s="104"/>
      <c r="IK74" s="104"/>
      <c r="IL74" s="104"/>
      <c r="IM74" s="104"/>
      <c r="IN74" s="104"/>
      <c r="IO74" s="104"/>
      <c r="IP74" s="104"/>
      <c r="IQ74" s="104"/>
      <c r="IR74" s="104"/>
      <c r="IS74" s="104"/>
      <c r="IT74" s="104"/>
      <c r="IU74" s="104"/>
      <c r="IV74" s="104"/>
      <c r="IW74" s="104"/>
      <c r="IX74" s="104"/>
      <c r="IY74" s="104"/>
      <c r="IZ74" s="104"/>
      <c r="JA74" s="104"/>
      <c r="JB74" s="104"/>
      <c r="JC74" s="104"/>
      <c r="JD74" s="104"/>
      <c r="JE74" s="104"/>
    </row>
    <row r="75" spans="4:265" x14ac:dyDescent="0.25">
      <c r="O75" s="104"/>
      <c r="P75" s="104"/>
      <c r="Q75" s="104"/>
      <c r="R75" s="104"/>
      <c r="S75" s="104"/>
      <c r="T75" s="104"/>
      <c r="U75" s="104"/>
      <c r="V75" s="104"/>
      <c r="W75" s="104"/>
      <c r="X75" s="104"/>
      <c r="Y75" s="104"/>
      <c r="Z75" s="104"/>
      <c r="AA75" s="104"/>
      <c r="AB75" s="104"/>
      <c r="AC75" s="104"/>
      <c r="AD75" s="104"/>
      <c r="AE75" s="104"/>
      <c r="AF75" s="104"/>
      <c r="AG75" s="104"/>
      <c r="AH75" s="104"/>
      <c r="AI75" s="104"/>
      <c r="AJ75" s="104"/>
      <c r="AK75" s="104"/>
      <c r="AL75" s="104"/>
      <c r="AM75" s="104"/>
      <c r="AN75" s="104"/>
      <c r="AO75" s="104"/>
      <c r="AP75" s="104"/>
      <c r="AQ75" s="104"/>
      <c r="AR75" s="104"/>
      <c r="AS75" s="104"/>
      <c r="AT75" s="104"/>
      <c r="AU75" s="104"/>
      <c r="AV75" s="104"/>
      <c r="AW75" s="104"/>
      <c r="AX75" s="104"/>
      <c r="AY75" s="104"/>
      <c r="AZ75" s="104"/>
      <c r="BA75" s="104"/>
      <c r="BB75" s="104"/>
      <c r="BC75" s="104"/>
      <c r="BD75" s="104"/>
      <c r="BE75" s="104"/>
      <c r="BF75" s="104"/>
      <c r="BG75" s="104"/>
      <c r="BH75" s="104"/>
      <c r="BI75" s="104"/>
      <c r="BJ75" s="104"/>
      <c r="BK75" s="104"/>
      <c r="BL75" s="104"/>
      <c r="BM75" s="104"/>
      <c r="BN75" s="104"/>
      <c r="BO75" s="104"/>
      <c r="BP75" s="104"/>
      <c r="BQ75" s="104"/>
      <c r="BR75" s="104"/>
      <c r="BS75" s="104"/>
      <c r="BT75" s="104"/>
      <c r="BU75" s="104"/>
      <c r="BV75" s="104"/>
      <c r="BW75" s="104"/>
      <c r="BX75" s="104"/>
      <c r="BY75" s="104"/>
      <c r="BZ75" s="104"/>
      <c r="CA75" s="104"/>
      <c r="CB75" s="104"/>
      <c r="CC75" s="104"/>
      <c r="CD75" s="104"/>
      <c r="CE75" s="104"/>
      <c r="CF75" s="104"/>
      <c r="CG75" s="104"/>
      <c r="CH75" s="104"/>
      <c r="CI75" s="104"/>
      <c r="CJ75" s="104"/>
      <c r="CK75" s="104"/>
      <c r="CL75" s="104"/>
      <c r="CM75" s="104"/>
      <c r="CN75" s="104"/>
      <c r="CO75" s="104"/>
      <c r="CP75" s="104"/>
      <c r="CQ75" s="104"/>
      <c r="CR75" s="104"/>
      <c r="CS75" s="104"/>
      <c r="CT75" s="104"/>
      <c r="CU75" s="104"/>
      <c r="CV75" s="104"/>
      <c r="CW75" s="104"/>
      <c r="CX75" s="104"/>
      <c r="CY75" s="104"/>
      <c r="CZ75" s="104"/>
      <c r="DA75" s="104"/>
      <c r="DB75" s="104"/>
      <c r="DC75" s="104"/>
      <c r="DD75" s="104"/>
      <c r="DE75" s="104"/>
      <c r="DF75" s="104"/>
      <c r="DG75" s="104"/>
      <c r="DH75" s="104"/>
      <c r="DI75" s="104"/>
      <c r="DJ75" s="104"/>
      <c r="DK75" s="104"/>
      <c r="DL75" s="104"/>
      <c r="DM75" s="104"/>
      <c r="DN75" s="104"/>
      <c r="DO75" s="104"/>
      <c r="DP75" s="104"/>
      <c r="DQ75" s="104"/>
      <c r="DR75" s="104"/>
      <c r="DS75" s="104"/>
      <c r="DT75" s="104"/>
      <c r="DU75" s="104"/>
      <c r="DV75" s="104"/>
      <c r="DW75" s="104"/>
      <c r="DX75" s="104"/>
      <c r="DY75" s="104"/>
      <c r="DZ75" s="104"/>
      <c r="EA75" s="104"/>
      <c r="EB75" s="104"/>
      <c r="EC75" s="104"/>
      <c r="ED75" s="104"/>
      <c r="EE75" s="104"/>
      <c r="EF75" s="104"/>
      <c r="EG75" s="104"/>
      <c r="EH75" s="104"/>
      <c r="EI75" s="104"/>
      <c r="EJ75" s="104"/>
      <c r="EK75" s="104"/>
      <c r="EL75" s="104"/>
      <c r="EM75" s="104"/>
      <c r="EN75" s="104"/>
      <c r="EO75" s="104"/>
      <c r="EP75" s="104"/>
      <c r="EQ75" s="104"/>
      <c r="ER75" s="104"/>
      <c r="ES75" s="104"/>
      <c r="ET75" s="104"/>
      <c r="EU75" s="104"/>
      <c r="EV75" s="104"/>
      <c r="EW75" s="104"/>
      <c r="EX75" s="104"/>
      <c r="EY75" s="104"/>
      <c r="EZ75" s="104"/>
      <c r="FA75" s="104"/>
      <c r="FB75" s="104"/>
      <c r="FC75" s="104"/>
      <c r="FD75" s="104"/>
      <c r="FE75" s="104"/>
      <c r="FF75" s="104"/>
      <c r="FG75" s="104"/>
      <c r="FH75" s="104"/>
      <c r="FI75" s="104"/>
      <c r="FJ75" s="104"/>
      <c r="FK75" s="104"/>
      <c r="FL75" s="104"/>
      <c r="FM75" s="104"/>
      <c r="FN75" s="104"/>
      <c r="FO75" s="104"/>
      <c r="FP75" s="104"/>
      <c r="FQ75" s="104"/>
      <c r="FR75" s="104"/>
      <c r="FS75" s="104"/>
      <c r="FT75" s="104"/>
      <c r="FU75" s="104"/>
      <c r="FV75" s="104"/>
      <c r="FW75" s="104"/>
      <c r="FX75" s="104"/>
      <c r="FY75" s="104"/>
      <c r="FZ75" s="104"/>
      <c r="GA75" s="104"/>
      <c r="GB75" s="104"/>
      <c r="GC75" s="104"/>
      <c r="GD75" s="104"/>
      <c r="GE75" s="104"/>
      <c r="GF75" s="104"/>
      <c r="GG75" s="104"/>
      <c r="GH75" s="104"/>
      <c r="GI75" s="104"/>
      <c r="GJ75" s="104"/>
      <c r="GK75" s="104"/>
      <c r="GL75" s="104"/>
      <c r="GM75" s="104"/>
      <c r="GN75" s="104"/>
      <c r="GO75" s="104"/>
      <c r="GP75" s="104"/>
      <c r="GQ75" s="104"/>
      <c r="GR75" s="104"/>
      <c r="GS75" s="104"/>
      <c r="GT75" s="104"/>
      <c r="GU75" s="104"/>
      <c r="GV75" s="104"/>
      <c r="GW75" s="104"/>
      <c r="GX75" s="104"/>
      <c r="GY75" s="104"/>
      <c r="GZ75" s="104"/>
      <c r="HA75" s="104"/>
      <c r="HB75" s="104"/>
      <c r="HC75" s="104"/>
      <c r="HD75" s="104"/>
      <c r="HE75" s="104"/>
      <c r="HF75" s="104"/>
      <c r="HG75" s="104"/>
      <c r="HH75" s="104"/>
      <c r="HI75" s="104"/>
      <c r="HJ75" s="104"/>
      <c r="HK75" s="104"/>
      <c r="HL75" s="104"/>
      <c r="HM75" s="104"/>
      <c r="HN75" s="104"/>
      <c r="HO75" s="104"/>
      <c r="HP75" s="104"/>
      <c r="HQ75" s="104"/>
      <c r="HR75" s="104"/>
      <c r="HS75" s="104"/>
      <c r="HT75" s="104"/>
      <c r="HU75" s="104"/>
      <c r="HV75" s="104"/>
      <c r="HW75" s="104"/>
      <c r="HX75" s="104"/>
      <c r="HY75" s="104"/>
      <c r="HZ75" s="104"/>
      <c r="IA75" s="104"/>
      <c r="IB75" s="104"/>
      <c r="IC75" s="104"/>
      <c r="ID75" s="104"/>
      <c r="IE75" s="104"/>
      <c r="IF75" s="104"/>
      <c r="IG75" s="104"/>
      <c r="IH75" s="104"/>
      <c r="II75" s="104"/>
      <c r="IJ75" s="104"/>
      <c r="IK75" s="104"/>
      <c r="IL75" s="104"/>
      <c r="IM75" s="104"/>
      <c r="IN75" s="104"/>
      <c r="IO75" s="104"/>
      <c r="IP75" s="104"/>
      <c r="IQ75" s="104"/>
      <c r="IR75" s="104"/>
      <c r="IS75" s="104"/>
      <c r="IT75" s="104"/>
      <c r="IU75" s="104"/>
      <c r="IV75" s="104"/>
      <c r="IW75" s="104"/>
      <c r="IX75" s="104"/>
      <c r="IY75" s="104"/>
      <c r="IZ75" s="104"/>
      <c r="JA75" s="104"/>
      <c r="JB75" s="104"/>
      <c r="JC75" s="104"/>
      <c r="JD75" s="104"/>
      <c r="JE75" s="104"/>
    </row>
    <row r="76" spans="4:265" x14ac:dyDescent="0.25">
      <c r="O76" s="104"/>
      <c r="P76" s="104"/>
      <c r="Q76" s="104"/>
      <c r="R76" s="104"/>
      <c r="S76" s="104"/>
      <c r="T76" s="104"/>
      <c r="U76" s="104"/>
      <c r="V76" s="104"/>
      <c r="W76" s="104"/>
      <c r="X76" s="104"/>
      <c r="Y76" s="104"/>
      <c r="Z76" s="104"/>
      <c r="AA76" s="104"/>
      <c r="AB76" s="104"/>
      <c r="AC76" s="104"/>
      <c r="AD76" s="104"/>
      <c r="AE76" s="104"/>
      <c r="AF76" s="104"/>
      <c r="AG76" s="104"/>
      <c r="AH76" s="104"/>
      <c r="AI76" s="104"/>
      <c r="AJ76" s="104"/>
      <c r="AK76" s="104"/>
      <c r="AL76" s="104"/>
      <c r="AM76" s="104"/>
      <c r="AN76" s="104"/>
      <c r="AO76" s="104"/>
      <c r="AP76" s="104"/>
      <c r="AQ76" s="104"/>
      <c r="AR76" s="104"/>
      <c r="AS76" s="104"/>
      <c r="AT76" s="104"/>
      <c r="AU76" s="104"/>
      <c r="AV76" s="104"/>
      <c r="AW76" s="104"/>
      <c r="AX76" s="104"/>
      <c r="AY76" s="104"/>
      <c r="AZ76" s="104"/>
      <c r="BA76" s="104"/>
      <c r="BB76" s="104"/>
      <c r="BC76" s="104"/>
      <c r="BD76" s="104"/>
      <c r="BE76" s="104"/>
      <c r="BF76" s="104"/>
      <c r="BG76" s="104"/>
      <c r="BH76" s="104"/>
      <c r="BI76" s="104"/>
      <c r="BJ76" s="104"/>
      <c r="BK76" s="104"/>
      <c r="BL76" s="104"/>
      <c r="BM76" s="104"/>
      <c r="BN76" s="104"/>
      <c r="BO76" s="104"/>
      <c r="BP76" s="104"/>
      <c r="BQ76" s="104"/>
      <c r="BR76" s="104"/>
      <c r="BS76" s="104"/>
      <c r="BT76" s="104"/>
      <c r="BU76" s="104"/>
      <c r="BV76" s="104"/>
      <c r="BW76" s="104"/>
      <c r="BX76" s="104"/>
      <c r="BY76" s="104"/>
      <c r="BZ76" s="104"/>
      <c r="CA76" s="104"/>
      <c r="CB76" s="104"/>
      <c r="CC76" s="104"/>
      <c r="CD76" s="104"/>
      <c r="CE76" s="104"/>
      <c r="CF76" s="104"/>
      <c r="CG76" s="104"/>
      <c r="CH76" s="104"/>
      <c r="CI76" s="104"/>
      <c r="CJ76" s="104"/>
      <c r="CK76" s="104"/>
      <c r="CL76" s="104"/>
      <c r="CM76" s="104"/>
      <c r="CN76" s="104"/>
      <c r="CO76" s="104"/>
      <c r="CP76" s="104"/>
      <c r="CQ76" s="104"/>
      <c r="CR76" s="104"/>
      <c r="CS76" s="104"/>
      <c r="CT76" s="104"/>
      <c r="CU76" s="104"/>
      <c r="CV76" s="104"/>
      <c r="CW76" s="104"/>
      <c r="CX76" s="104"/>
      <c r="CY76" s="104"/>
      <c r="CZ76" s="104"/>
      <c r="DA76" s="104"/>
      <c r="DB76" s="104"/>
      <c r="DC76" s="104"/>
      <c r="DD76" s="104"/>
      <c r="DE76" s="104"/>
      <c r="DF76" s="104"/>
      <c r="DG76" s="104"/>
      <c r="DH76" s="104"/>
      <c r="DI76" s="104"/>
      <c r="DJ76" s="104"/>
      <c r="DK76" s="104"/>
      <c r="DL76" s="104"/>
      <c r="DM76" s="104"/>
      <c r="DN76" s="104"/>
      <c r="DO76" s="104"/>
      <c r="DP76" s="104"/>
      <c r="DQ76" s="104"/>
      <c r="DR76" s="104"/>
      <c r="DS76" s="104"/>
      <c r="DT76" s="104"/>
      <c r="DU76" s="104"/>
      <c r="DV76" s="104"/>
      <c r="DW76" s="104"/>
      <c r="DX76" s="104"/>
      <c r="DY76" s="104"/>
      <c r="DZ76" s="104"/>
      <c r="EA76" s="104"/>
      <c r="EB76" s="104"/>
      <c r="EC76" s="104"/>
      <c r="ED76" s="104"/>
      <c r="EE76" s="104"/>
      <c r="EF76" s="104"/>
      <c r="EG76" s="104"/>
      <c r="EH76" s="104"/>
      <c r="EI76" s="104"/>
      <c r="EJ76" s="104"/>
      <c r="EK76" s="104"/>
      <c r="EL76" s="104"/>
      <c r="EM76" s="104"/>
      <c r="EN76" s="104"/>
      <c r="EO76" s="104"/>
      <c r="EP76" s="104"/>
      <c r="EQ76" s="104"/>
      <c r="ER76" s="104"/>
      <c r="ES76" s="104"/>
      <c r="ET76" s="104"/>
      <c r="EU76" s="104"/>
      <c r="EV76" s="104"/>
      <c r="EW76" s="104"/>
      <c r="EX76" s="104"/>
      <c r="EY76" s="104"/>
      <c r="EZ76" s="104"/>
      <c r="FA76" s="104"/>
      <c r="FB76" s="104"/>
      <c r="FC76" s="104"/>
      <c r="FD76" s="104"/>
      <c r="FE76" s="104"/>
      <c r="FF76" s="104"/>
      <c r="FG76" s="104"/>
      <c r="FH76" s="104"/>
      <c r="FI76" s="104"/>
      <c r="FJ76" s="104"/>
      <c r="FK76" s="104"/>
      <c r="FL76" s="104"/>
      <c r="FM76" s="104"/>
      <c r="FN76" s="104"/>
      <c r="FO76" s="104"/>
      <c r="FP76" s="104"/>
      <c r="FQ76" s="104"/>
      <c r="FR76" s="104"/>
      <c r="FS76" s="104"/>
      <c r="FT76" s="104"/>
      <c r="FU76" s="104"/>
      <c r="FV76" s="104"/>
      <c r="FW76" s="104"/>
      <c r="FX76" s="104"/>
      <c r="FY76" s="104"/>
      <c r="FZ76" s="104"/>
      <c r="GA76" s="104"/>
      <c r="GB76" s="104"/>
      <c r="GC76" s="104"/>
      <c r="GD76" s="104"/>
      <c r="GE76" s="104"/>
      <c r="GF76" s="104"/>
      <c r="GG76" s="104"/>
      <c r="GH76" s="104"/>
      <c r="GI76" s="104"/>
      <c r="GJ76" s="104"/>
      <c r="GK76" s="104"/>
      <c r="GL76" s="104"/>
      <c r="GM76" s="104"/>
      <c r="GN76" s="104"/>
      <c r="GO76" s="104"/>
      <c r="GP76" s="104"/>
      <c r="GQ76" s="104"/>
      <c r="GR76" s="104"/>
      <c r="GS76" s="104"/>
      <c r="GT76" s="104"/>
      <c r="GU76" s="104"/>
      <c r="GV76" s="104"/>
      <c r="GW76" s="104"/>
      <c r="GX76" s="104"/>
      <c r="GY76" s="104"/>
      <c r="GZ76" s="104"/>
      <c r="HA76" s="104"/>
      <c r="HB76" s="104"/>
      <c r="HC76" s="104"/>
      <c r="HD76" s="104"/>
      <c r="HE76" s="104"/>
      <c r="HF76" s="104"/>
      <c r="HG76" s="104"/>
      <c r="HH76" s="104"/>
      <c r="HI76" s="104"/>
      <c r="HJ76" s="104"/>
      <c r="HK76" s="104"/>
      <c r="HL76" s="104"/>
      <c r="HM76" s="104"/>
      <c r="HN76" s="104"/>
      <c r="HO76" s="104"/>
      <c r="HP76" s="104"/>
      <c r="HQ76" s="104"/>
      <c r="HR76" s="104"/>
      <c r="HS76" s="104"/>
      <c r="HT76" s="104"/>
      <c r="HU76" s="104"/>
      <c r="HV76" s="104"/>
      <c r="HW76" s="104"/>
      <c r="HX76" s="104"/>
      <c r="HY76" s="104"/>
      <c r="HZ76" s="104"/>
      <c r="IA76" s="104"/>
      <c r="IB76" s="104"/>
      <c r="IC76" s="104"/>
      <c r="ID76" s="104"/>
      <c r="IE76" s="104"/>
      <c r="IF76" s="104"/>
      <c r="IG76" s="104"/>
      <c r="IH76" s="104"/>
      <c r="II76" s="104"/>
      <c r="IJ76" s="104"/>
      <c r="IK76" s="104"/>
      <c r="IL76" s="104"/>
      <c r="IM76" s="104"/>
      <c r="IN76" s="104"/>
      <c r="IO76" s="104"/>
      <c r="IP76" s="104"/>
      <c r="IQ76" s="104"/>
      <c r="IR76" s="104"/>
      <c r="IS76" s="104"/>
      <c r="IT76" s="104"/>
      <c r="IU76" s="104"/>
      <c r="IV76" s="104"/>
      <c r="IW76" s="104"/>
      <c r="IX76" s="104"/>
      <c r="IY76" s="104"/>
      <c r="IZ76" s="104"/>
      <c r="JA76" s="104"/>
      <c r="JB76" s="104"/>
      <c r="JC76" s="104"/>
      <c r="JD76" s="104"/>
      <c r="JE76" s="104"/>
    </row>
    <row r="77" spans="4:265" x14ac:dyDescent="0.25">
      <c r="O77" s="104"/>
      <c r="P77" s="104"/>
      <c r="Q77" s="104"/>
      <c r="R77" s="104"/>
      <c r="S77" s="104"/>
      <c r="T77" s="104"/>
      <c r="U77" s="104"/>
      <c r="V77" s="104"/>
      <c r="W77" s="104"/>
      <c r="X77" s="104"/>
      <c r="Y77" s="104"/>
      <c r="Z77" s="104"/>
      <c r="AA77" s="104"/>
      <c r="AB77" s="104"/>
      <c r="AC77" s="104"/>
      <c r="AD77" s="104"/>
      <c r="AE77" s="104"/>
      <c r="AF77" s="104"/>
      <c r="AG77" s="104"/>
      <c r="AH77" s="104"/>
      <c r="AI77" s="104"/>
      <c r="AJ77" s="104"/>
      <c r="AK77" s="104"/>
      <c r="AL77" s="104"/>
      <c r="AM77" s="104"/>
      <c r="AN77" s="104"/>
      <c r="AO77" s="104"/>
      <c r="AP77" s="104"/>
      <c r="AQ77" s="104"/>
      <c r="AR77" s="104"/>
      <c r="AS77" s="104"/>
      <c r="AT77" s="104"/>
      <c r="AU77" s="104"/>
      <c r="AV77" s="104"/>
      <c r="AW77" s="104"/>
      <c r="AX77" s="104"/>
      <c r="AY77" s="104"/>
      <c r="AZ77" s="104"/>
      <c r="BA77" s="104"/>
      <c r="BB77" s="104"/>
      <c r="BC77" s="104"/>
      <c r="BD77" s="104"/>
      <c r="BE77" s="104"/>
      <c r="BF77" s="104"/>
      <c r="BG77" s="104"/>
      <c r="BH77" s="104"/>
      <c r="BI77" s="104"/>
      <c r="BJ77" s="104"/>
      <c r="BK77" s="104"/>
      <c r="BL77" s="104"/>
      <c r="BM77" s="104"/>
      <c r="BN77" s="104"/>
      <c r="BO77" s="104"/>
      <c r="BP77" s="104"/>
      <c r="BQ77" s="104"/>
      <c r="BR77" s="104"/>
      <c r="BS77" s="104"/>
      <c r="BT77" s="104"/>
      <c r="BU77" s="104"/>
      <c r="BV77" s="104"/>
      <c r="BW77" s="104"/>
      <c r="BX77" s="104"/>
      <c r="BY77" s="104"/>
      <c r="BZ77" s="104"/>
      <c r="CA77" s="104"/>
      <c r="CB77" s="104"/>
      <c r="CC77" s="104"/>
      <c r="CD77" s="104"/>
      <c r="CE77" s="104"/>
      <c r="CF77" s="104"/>
      <c r="CG77" s="104"/>
      <c r="CH77" s="104"/>
      <c r="CI77" s="104"/>
      <c r="CJ77" s="104"/>
      <c r="CK77" s="104"/>
      <c r="CL77" s="104"/>
      <c r="CM77" s="104"/>
      <c r="CN77" s="104"/>
      <c r="CO77" s="104"/>
      <c r="CP77" s="104"/>
      <c r="CQ77" s="104"/>
      <c r="CR77" s="104"/>
      <c r="CS77" s="104"/>
      <c r="CT77" s="104"/>
      <c r="CU77" s="104"/>
      <c r="CV77" s="104"/>
      <c r="CW77" s="104"/>
      <c r="CX77" s="104"/>
      <c r="CY77" s="104"/>
      <c r="CZ77" s="104"/>
      <c r="DA77" s="104"/>
      <c r="DB77" s="104"/>
      <c r="DC77" s="104"/>
      <c r="DD77" s="104"/>
      <c r="DE77" s="104"/>
      <c r="DF77" s="104"/>
      <c r="DG77" s="104"/>
      <c r="DH77" s="104"/>
      <c r="DI77" s="104"/>
      <c r="DJ77" s="104"/>
      <c r="DK77" s="104"/>
      <c r="DL77" s="104"/>
      <c r="DM77" s="104"/>
      <c r="DN77" s="104"/>
      <c r="DO77" s="104"/>
      <c r="DP77" s="104"/>
      <c r="DQ77" s="104"/>
      <c r="DR77" s="104"/>
      <c r="DS77" s="104"/>
      <c r="DT77" s="104"/>
      <c r="DU77" s="104"/>
      <c r="DV77" s="104"/>
      <c r="DW77" s="104"/>
      <c r="DX77" s="104"/>
      <c r="DY77" s="104"/>
      <c r="DZ77" s="104"/>
      <c r="EA77" s="104"/>
      <c r="EB77" s="104"/>
      <c r="EC77" s="104"/>
      <c r="ED77" s="104"/>
      <c r="EE77" s="104"/>
      <c r="EF77" s="104"/>
      <c r="EG77" s="104"/>
      <c r="EH77" s="104"/>
      <c r="EI77" s="104"/>
      <c r="EJ77" s="104"/>
      <c r="EK77" s="104"/>
      <c r="EL77" s="104"/>
      <c r="EM77" s="104"/>
      <c r="EN77" s="104"/>
      <c r="EO77" s="104"/>
      <c r="EP77" s="104"/>
      <c r="EQ77" s="104"/>
      <c r="ER77" s="104"/>
      <c r="ES77" s="104"/>
      <c r="ET77" s="104"/>
      <c r="EU77" s="104"/>
      <c r="EV77" s="104"/>
      <c r="EW77" s="104"/>
      <c r="EX77" s="104"/>
      <c r="EY77" s="104"/>
      <c r="EZ77" s="104"/>
      <c r="FA77" s="104"/>
      <c r="FB77" s="104"/>
      <c r="FC77" s="104"/>
      <c r="FD77" s="104"/>
      <c r="FE77" s="104"/>
      <c r="FF77" s="104"/>
      <c r="FG77" s="104"/>
      <c r="FH77" s="104"/>
      <c r="FI77" s="104"/>
      <c r="FJ77" s="104"/>
      <c r="FK77" s="104"/>
      <c r="FL77" s="104"/>
      <c r="FM77" s="104"/>
      <c r="FN77" s="104"/>
      <c r="FO77" s="104"/>
      <c r="FP77" s="104"/>
      <c r="FQ77" s="104"/>
      <c r="FR77" s="104"/>
      <c r="FS77" s="104"/>
      <c r="FT77" s="104"/>
      <c r="FU77" s="104"/>
      <c r="FV77" s="104"/>
      <c r="FW77" s="104"/>
      <c r="FX77" s="104"/>
      <c r="FY77" s="104"/>
      <c r="FZ77" s="104"/>
      <c r="GA77" s="104"/>
      <c r="GB77" s="104"/>
      <c r="GC77" s="104"/>
      <c r="GD77" s="104"/>
      <c r="GE77" s="104"/>
      <c r="GF77" s="104"/>
      <c r="GG77" s="104"/>
      <c r="GH77" s="104"/>
      <c r="GI77" s="104"/>
      <c r="GJ77" s="104"/>
      <c r="GK77" s="104"/>
      <c r="GL77" s="104"/>
      <c r="GM77" s="104"/>
      <c r="GN77" s="104"/>
      <c r="GO77" s="104"/>
      <c r="GP77" s="104"/>
      <c r="GQ77" s="104"/>
      <c r="GR77" s="104"/>
      <c r="GS77" s="104"/>
      <c r="GT77" s="104"/>
      <c r="GU77" s="104"/>
      <c r="GV77" s="104"/>
      <c r="GW77" s="104"/>
      <c r="GX77" s="104"/>
      <c r="GY77" s="104"/>
      <c r="GZ77" s="104"/>
      <c r="HA77" s="104"/>
      <c r="HB77" s="104"/>
      <c r="HC77" s="104"/>
      <c r="HD77" s="104"/>
      <c r="HE77" s="104"/>
      <c r="HF77" s="104"/>
      <c r="HG77" s="104"/>
      <c r="HH77" s="104"/>
      <c r="HI77" s="104"/>
      <c r="HJ77" s="104"/>
      <c r="HK77" s="104"/>
      <c r="HL77" s="104"/>
      <c r="HM77" s="104"/>
      <c r="HN77" s="104"/>
      <c r="HO77" s="104"/>
      <c r="HP77" s="104"/>
      <c r="HQ77" s="104"/>
      <c r="HR77" s="104"/>
      <c r="HS77" s="104"/>
      <c r="HT77" s="104"/>
      <c r="HU77" s="104"/>
      <c r="HV77" s="104"/>
      <c r="HW77" s="104"/>
      <c r="HX77" s="104"/>
      <c r="HY77" s="104"/>
      <c r="HZ77" s="104"/>
      <c r="IA77" s="104"/>
      <c r="IB77" s="104"/>
      <c r="IC77" s="104"/>
      <c r="ID77" s="104"/>
      <c r="IE77" s="104"/>
      <c r="IF77" s="104"/>
      <c r="IG77" s="104"/>
      <c r="IH77" s="104"/>
      <c r="II77" s="104"/>
      <c r="IJ77" s="104"/>
      <c r="IK77" s="104"/>
      <c r="IL77" s="104"/>
      <c r="IM77" s="104"/>
      <c r="IN77" s="104"/>
      <c r="IO77" s="104"/>
      <c r="IP77" s="104"/>
      <c r="IQ77" s="104"/>
      <c r="IR77" s="104"/>
      <c r="IS77" s="104"/>
      <c r="IT77" s="104"/>
      <c r="IU77" s="104"/>
      <c r="IV77" s="104"/>
      <c r="IW77" s="104"/>
      <c r="IX77" s="104"/>
      <c r="IY77" s="104"/>
      <c r="IZ77" s="104"/>
      <c r="JA77" s="104"/>
      <c r="JB77" s="104"/>
      <c r="JC77" s="104"/>
      <c r="JD77" s="104"/>
      <c r="JE77" s="104"/>
    </row>
    <row r="78" spans="4:265" x14ac:dyDescent="0.25">
      <c r="O78" s="104"/>
      <c r="P78" s="104"/>
      <c r="Q78" s="104"/>
      <c r="R78" s="104"/>
      <c r="S78" s="104"/>
      <c r="T78" s="104"/>
      <c r="U78" s="104"/>
      <c r="V78" s="104"/>
      <c r="W78" s="104"/>
      <c r="X78" s="104"/>
      <c r="Y78" s="104"/>
      <c r="Z78" s="104"/>
      <c r="AA78" s="104"/>
      <c r="AB78" s="104"/>
      <c r="AC78" s="104"/>
      <c r="AD78" s="104"/>
      <c r="AE78" s="104"/>
      <c r="AF78" s="104"/>
      <c r="AG78" s="104"/>
      <c r="AH78" s="104"/>
      <c r="AI78" s="104"/>
      <c r="AJ78" s="104"/>
      <c r="AK78" s="104"/>
      <c r="AL78" s="104"/>
      <c r="AM78" s="104"/>
      <c r="AN78" s="104"/>
      <c r="AO78" s="104"/>
      <c r="AP78" s="104"/>
      <c r="AQ78" s="104"/>
      <c r="AR78" s="104"/>
      <c r="AS78" s="104"/>
      <c r="AT78" s="104"/>
      <c r="AU78" s="104"/>
      <c r="AV78" s="104"/>
      <c r="AW78" s="104"/>
      <c r="AX78" s="104"/>
      <c r="AY78" s="104"/>
      <c r="AZ78" s="104"/>
      <c r="BA78" s="104"/>
      <c r="BB78" s="104"/>
      <c r="BC78" s="104"/>
      <c r="BD78" s="104"/>
      <c r="BE78" s="104"/>
      <c r="BF78" s="104"/>
      <c r="BG78" s="104"/>
      <c r="BH78" s="104"/>
      <c r="BI78" s="104"/>
      <c r="BJ78" s="104"/>
      <c r="BK78" s="104"/>
      <c r="BL78" s="104"/>
      <c r="BM78" s="104"/>
      <c r="BN78" s="104"/>
      <c r="BO78" s="104"/>
      <c r="BP78" s="104"/>
      <c r="BQ78" s="104"/>
      <c r="BR78" s="104"/>
      <c r="BS78" s="104"/>
      <c r="BT78" s="104"/>
      <c r="BU78" s="104"/>
      <c r="BV78" s="104"/>
      <c r="BW78" s="104"/>
      <c r="BX78" s="104"/>
      <c r="BY78" s="104"/>
      <c r="BZ78" s="104"/>
      <c r="CA78" s="104"/>
      <c r="CB78" s="104"/>
      <c r="CC78" s="104"/>
      <c r="CD78" s="104"/>
      <c r="CE78" s="104"/>
      <c r="CF78" s="104"/>
      <c r="CG78" s="104"/>
      <c r="CH78" s="104"/>
      <c r="CI78" s="104"/>
      <c r="CJ78" s="104"/>
      <c r="CK78" s="104"/>
      <c r="CL78" s="104"/>
      <c r="CM78" s="104"/>
      <c r="CN78" s="104"/>
      <c r="CO78" s="104"/>
      <c r="CP78" s="104"/>
      <c r="CQ78" s="104"/>
      <c r="CR78" s="104"/>
      <c r="CS78" s="104"/>
      <c r="CT78" s="104"/>
      <c r="CU78" s="104"/>
      <c r="CV78" s="104"/>
      <c r="CW78" s="104"/>
      <c r="CX78" s="104"/>
      <c r="CY78" s="104"/>
      <c r="CZ78" s="104"/>
      <c r="DA78" s="104"/>
      <c r="DB78" s="104"/>
      <c r="DC78" s="104"/>
      <c r="DD78" s="104"/>
      <c r="DE78" s="104"/>
      <c r="DF78" s="104"/>
      <c r="DG78" s="104"/>
      <c r="DH78" s="104"/>
      <c r="DI78" s="104"/>
      <c r="DJ78" s="104"/>
      <c r="DK78" s="104"/>
      <c r="DL78" s="104"/>
      <c r="DM78" s="104"/>
      <c r="DN78" s="104"/>
      <c r="DO78" s="104"/>
      <c r="DP78" s="104"/>
      <c r="DQ78" s="104"/>
      <c r="DR78" s="104"/>
      <c r="DS78" s="104"/>
      <c r="DT78" s="104"/>
      <c r="DU78" s="104"/>
      <c r="DV78" s="104"/>
      <c r="DW78" s="104"/>
      <c r="DX78" s="104"/>
      <c r="DY78" s="104"/>
      <c r="DZ78" s="104"/>
      <c r="EA78" s="104"/>
      <c r="EB78" s="104"/>
      <c r="EC78" s="104"/>
      <c r="ED78" s="104"/>
      <c r="EE78" s="104"/>
      <c r="EF78" s="104"/>
      <c r="EG78" s="104"/>
      <c r="EH78" s="104"/>
      <c r="EI78" s="104"/>
      <c r="EJ78" s="104"/>
      <c r="EK78" s="104"/>
      <c r="EL78" s="104"/>
      <c r="EM78" s="104"/>
      <c r="EN78" s="104"/>
      <c r="EO78" s="104"/>
      <c r="EP78" s="104"/>
      <c r="EQ78" s="104"/>
      <c r="ER78" s="104"/>
      <c r="ES78" s="104"/>
      <c r="ET78" s="104"/>
      <c r="EU78" s="104"/>
      <c r="EV78" s="104"/>
      <c r="EW78" s="104"/>
      <c r="EX78" s="104"/>
      <c r="EY78" s="104"/>
      <c r="EZ78" s="104"/>
      <c r="FA78" s="104"/>
      <c r="FB78" s="104"/>
      <c r="FC78" s="104"/>
      <c r="FD78" s="104"/>
      <c r="FE78" s="104"/>
      <c r="FF78" s="104"/>
      <c r="FG78" s="104"/>
      <c r="FH78" s="104"/>
      <c r="FI78" s="104"/>
      <c r="FJ78" s="104"/>
      <c r="FK78" s="104"/>
      <c r="FL78" s="104"/>
      <c r="FM78" s="104"/>
      <c r="FN78" s="104"/>
      <c r="FO78" s="104"/>
      <c r="FP78" s="104"/>
      <c r="FQ78" s="104"/>
      <c r="FR78" s="104"/>
      <c r="FS78" s="104"/>
      <c r="FT78" s="104"/>
      <c r="FU78" s="104"/>
      <c r="FV78" s="104"/>
      <c r="FW78" s="104"/>
      <c r="FX78" s="104"/>
      <c r="FY78" s="104"/>
      <c r="FZ78" s="104"/>
      <c r="GA78" s="104"/>
      <c r="GB78" s="104"/>
      <c r="GC78" s="104"/>
      <c r="GD78" s="104"/>
      <c r="GE78" s="104"/>
      <c r="GF78" s="104"/>
      <c r="GG78" s="104"/>
      <c r="GH78" s="104"/>
      <c r="GI78" s="104"/>
      <c r="GJ78" s="104"/>
      <c r="GK78" s="104"/>
      <c r="GL78" s="104"/>
      <c r="GM78" s="104"/>
      <c r="GN78" s="104"/>
      <c r="GO78" s="104"/>
      <c r="GP78" s="104"/>
      <c r="GQ78" s="104"/>
      <c r="GR78" s="104"/>
      <c r="GS78" s="104"/>
      <c r="GT78" s="104"/>
      <c r="GU78" s="104"/>
      <c r="GV78" s="104"/>
      <c r="GW78" s="104"/>
      <c r="GX78" s="104"/>
      <c r="GY78" s="104"/>
      <c r="GZ78" s="104"/>
      <c r="HA78" s="104"/>
      <c r="HB78" s="104"/>
      <c r="HC78" s="104"/>
      <c r="HD78" s="104"/>
      <c r="HE78" s="104"/>
      <c r="HF78" s="104"/>
      <c r="HG78" s="104"/>
      <c r="HH78" s="104"/>
      <c r="HI78" s="104"/>
      <c r="HJ78" s="104"/>
      <c r="HK78" s="104"/>
      <c r="HL78" s="104"/>
      <c r="HM78" s="104"/>
      <c r="HN78" s="104"/>
      <c r="HO78" s="104"/>
      <c r="HP78" s="104"/>
      <c r="HQ78" s="104"/>
      <c r="HR78" s="104"/>
      <c r="HS78" s="104"/>
      <c r="HT78" s="104"/>
      <c r="HU78" s="104"/>
      <c r="HV78" s="104"/>
      <c r="HW78" s="104"/>
      <c r="HX78" s="104"/>
      <c r="HY78" s="104"/>
      <c r="HZ78" s="104"/>
      <c r="IA78" s="104"/>
      <c r="IB78" s="104"/>
      <c r="IC78" s="104"/>
      <c r="ID78" s="104"/>
      <c r="IE78" s="104"/>
      <c r="IF78" s="104"/>
      <c r="IG78" s="104"/>
      <c r="IH78" s="104"/>
      <c r="II78" s="104"/>
      <c r="IJ78" s="104"/>
      <c r="IK78" s="104"/>
      <c r="IL78" s="104"/>
      <c r="IM78" s="104"/>
      <c r="IN78" s="104"/>
      <c r="IO78" s="104"/>
      <c r="IP78" s="104"/>
      <c r="IQ78" s="104"/>
      <c r="IR78" s="104"/>
      <c r="IS78" s="104"/>
      <c r="IT78" s="104"/>
      <c r="IU78" s="104"/>
      <c r="IV78" s="104"/>
      <c r="IW78" s="104"/>
      <c r="IX78" s="104"/>
      <c r="IY78" s="104"/>
      <c r="IZ78" s="104"/>
      <c r="JA78" s="104"/>
      <c r="JB78" s="104"/>
      <c r="JC78" s="104"/>
      <c r="JD78" s="104"/>
      <c r="JE78" s="104"/>
    </row>
    <row r="79" spans="4:265" x14ac:dyDescent="0.25">
      <c r="O79" s="104"/>
      <c r="P79" s="104"/>
      <c r="Q79" s="104"/>
      <c r="R79" s="104"/>
      <c r="S79" s="104"/>
      <c r="T79" s="104"/>
      <c r="U79" s="104"/>
      <c r="V79" s="104"/>
      <c r="W79" s="104"/>
      <c r="X79" s="104"/>
      <c r="Y79" s="104"/>
      <c r="Z79" s="104"/>
      <c r="AA79" s="104"/>
      <c r="AB79" s="104"/>
      <c r="AC79" s="104"/>
      <c r="AD79" s="104"/>
      <c r="AE79" s="104"/>
      <c r="AF79" s="104"/>
      <c r="AG79" s="104"/>
      <c r="AH79" s="104"/>
      <c r="AI79" s="104"/>
      <c r="AJ79" s="104"/>
      <c r="AK79" s="104"/>
      <c r="AL79" s="104"/>
      <c r="AM79" s="104"/>
      <c r="AN79" s="104"/>
      <c r="AO79" s="104"/>
      <c r="AP79" s="104"/>
      <c r="AQ79" s="104"/>
      <c r="AR79" s="104"/>
      <c r="AS79" s="104"/>
      <c r="AT79" s="104"/>
      <c r="AU79" s="104"/>
      <c r="AV79" s="104"/>
      <c r="AW79" s="104"/>
      <c r="AX79" s="104"/>
      <c r="AY79" s="104"/>
      <c r="AZ79" s="104"/>
      <c r="BA79" s="104"/>
      <c r="BB79" s="104"/>
      <c r="BC79" s="104"/>
      <c r="BD79" s="104"/>
      <c r="BE79" s="104"/>
      <c r="BF79" s="104"/>
      <c r="BG79" s="104"/>
      <c r="BH79" s="104"/>
      <c r="BI79" s="104"/>
      <c r="BJ79" s="104"/>
      <c r="BK79" s="104"/>
      <c r="BL79" s="104"/>
      <c r="BM79" s="104"/>
      <c r="BN79" s="104"/>
      <c r="BO79" s="104"/>
      <c r="BP79" s="104"/>
      <c r="BQ79" s="104"/>
      <c r="BR79" s="104"/>
      <c r="BS79" s="104"/>
      <c r="BT79" s="104"/>
      <c r="BU79" s="104"/>
      <c r="BV79" s="104"/>
      <c r="BW79" s="104"/>
      <c r="BX79" s="104"/>
      <c r="BY79" s="104"/>
      <c r="BZ79" s="104"/>
      <c r="CA79" s="104"/>
      <c r="CB79" s="104"/>
      <c r="CC79" s="104"/>
      <c r="CD79" s="104"/>
      <c r="CE79" s="104"/>
      <c r="CF79" s="104"/>
      <c r="CG79" s="104"/>
      <c r="CH79" s="104"/>
      <c r="CI79" s="104"/>
      <c r="CJ79" s="104"/>
      <c r="CK79" s="104"/>
      <c r="CL79" s="104"/>
      <c r="CM79" s="104"/>
      <c r="CN79" s="104"/>
      <c r="CO79" s="104"/>
      <c r="CP79" s="104"/>
      <c r="CQ79" s="104"/>
      <c r="CR79" s="104"/>
      <c r="CS79" s="104"/>
      <c r="CT79" s="104"/>
      <c r="CU79" s="104"/>
      <c r="CV79" s="104"/>
      <c r="CW79" s="104"/>
      <c r="CX79" s="104"/>
      <c r="CY79" s="104"/>
      <c r="CZ79" s="104"/>
      <c r="DA79" s="104"/>
      <c r="DB79" s="104"/>
      <c r="DC79" s="104"/>
      <c r="DD79" s="104"/>
      <c r="DE79" s="104"/>
      <c r="DF79" s="104"/>
      <c r="DG79" s="104"/>
      <c r="DH79" s="104"/>
      <c r="DI79" s="104"/>
      <c r="DJ79" s="104"/>
      <c r="DK79" s="104"/>
      <c r="DL79" s="104"/>
      <c r="DM79" s="104"/>
      <c r="DN79" s="104"/>
      <c r="DO79" s="104"/>
      <c r="DP79" s="104"/>
      <c r="DQ79" s="104"/>
      <c r="DR79" s="104"/>
      <c r="DS79" s="104"/>
      <c r="DT79" s="104"/>
      <c r="DU79" s="104"/>
      <c r="DV79" s="104"/>
      <c r="DW79" s="104"/>
      <c r="DX79" s="104"/>
      <c r="DY79" s="104"/>
      <c r="DZ79" s="104"/>
      <c r="EA79" s="104"/>
      <c r="EB79" s="104"/>
      <c r="EC79" s="104"/>
      <c r="ED79" s="104"/>
      <c r="EE79" s="104"/>
      <c r="EF79" s="104"/>
      <c r="EG79" s="104"/>
      <c r="EH79" s="104"/>
      <c r="EI79" s="104"/>
      <c r="EJ79" s="104"/>
      <c r="EK79" s="104"/>
      <c r="EL79" s="104"/>
      <c r="EM79" s="104"/>
      <c r="EN79" s="104"/>
      <c r="EO79" s="104"/>
      <c r="EP79" s="104"/>
      <c r="EQ79" s="104"/>
      <c r="ER79" s="104"/>
      <c r="ES79" s="104"/>
      <c r="ET79" s="104"/>
      <c r="EU79" s="104"/>
      <c r="EV79" s="104"/>
      <c r="EW79" s="104"/>
      <c r="EX79" s="104"/>
      <c r="EY79" s="104"/>
      <c r="EZ79" s="104"/>
      <c r="FA79" s="104"/>
      <c r="FB79" s="104"/>
      <c r="FC79" s="104"/>
      <c r="FD79" s="104"/>
      <c r="FE79" s="104"/>
      <c r="FF79" s="104"/>
      <c r="FG79" s="104"/>
      <c r="FH79" s="104"/>
      <c r="FI79" s="104"/>
      <c r="FJ79" s="104"/>
      <c r="FK79" s="104"/>
      <c r="FL79" s="104"/>
      <c r="FM79" s="104"/>
      <c r="FN79" s="104"/>
      <c r="FO79" s="104"/>
      <c r="FP79" s="104"/>
      <c r="FQ79" s="104"/>
      <c r="FR79" s="104"/>
      <c r="FS79" s="104"/>
      <c r="FT79" s="104"/>
      <c r="FU79" s="104"/>
      <c r="FV79" s="104"/>
      <c r="FW79" s="104"/>
      <c r="FX79" s="104"/>
      <c r="FY79" s="104"/>
      <c r="FZ79" s="104"/>
      <c r="GA79" s="104"/>
      <c r="GB79" s="104"/>
      <c r="GC79" s="104"/>
      <c r="GD79" s="104"/>
      <c r="GE79" s="104"/>
      <c r="GF79" s="104"/>
      <c r="GG79" s="104"/>
      <c r="GH79" s="104"/>
      <c r="GI79" s="104"/>
      <c r="GJ79" s="104"/>
      <c r="GK79" s="104"/>
      <c r="GL79" s="104"/>
      <c r="GM79" s="104"/>
      <c r="GN79" s="104"/>
      <c r="GO79" s="104"/>
      <c r="GP79" s="104"/>
      <c r="GQ79" s="104"/>
      <c r="GR79" s="104"/>
      <c r="GS79" s="104"/>
      <c r="GT79" s="104"/>
      <c r="GU79" s="104"/>
      <c r="GV79" s="104"/>
      <c r="GW79" s="104"/>
      <c r="GX79" s="104"/>
      <c r="GY79" s="104"/>
      <c r="GZ79" s="104"/>
      <c r="HA79" s="104"/>
      <c r="HB79" s="104"/>
      <c r="HC79" s="104"/>
      <c r="HD79" s="104"/>
      <c r="HE79" s="104"/>
      <c r="HF79" s="104"/>
      <c r="HG79" s="104"/>
      <c r="HH79" s="104"/>
      <c r="HI79" s="104"/>
      <c r="HJ79" s="104"/>
      <c r="HK79" s="104"/>
      <c r="HL79" s="104"/>
      <c r="HM79" s="104"/>
      <c r="HN79" s="104"/>
      <c r="HO79" s="104"/>
      <c r="HP79" s="104"/>
      <c r="HQ79" s="104"/>
      <c r="HR79" s="104"/>
      <c r="HS79" s="104"/>
      <c r="HT79" s="104"/>
      <c r="HU79" s="104"/>
      <c r="HV79" s="104"/>
      <c r="HW79" s="104"/>
      <c r="HX79" s="104"/>
      <c r="HY79" s="104"/>
      <c r="HZ79" s="104"/>
      <c r="IA79" s="104"/>
      <c r="IB79" s="104"/>
      <c r="IC79" s="104"/>
      <c r="ID79" s="104"/>
      <c r="IE79" s="104"/>
      <c r="IF79" s="104"/>
      <c r="IG79" s="104"/>
      <c r="IH79" s="104"/>
      <c r="II79" s="104"/>
      <c r="IJ79" s="104"/>
      <c r="IK79" s="104"/>
      <c r="IL79" s="104"/>
      <c r="IM79" s="104"/>
      <c r="IN79" s="104"/>
      <c r="IO79" s="104"/>
      <c r="IP79" s="104"/>
      <c r="IQ79" s="104"/>
      <c r="IR79" s="104"/>
      <c r="IS79" s="104"/>
      <c r="IT79" s="104"/>
      <c r="IU79" s="104"/>
      <c r="IV79" s="104"/>
      <c r="IW79" s="104"/>
      <c r="IX79" s="104"/>
      <c r="IY79" s="104"/>
      <c r="IZ79" s="104"/>
      <c r="JA79" s="104"/>
      <c r="JB79" s="104"/>
      <c r="JC79" s="104"/>
      <c r="JD79" s="104"/>
      <c r="JE79" s="104"/>
    </row>
    <row r="80" spans="4:265" x14ac:dyDescent="0.25">
      <c r="O80" s="104"/>
      <c r="P80" s="104"/>
      <c r="Q80" s="104"/>
      <c r="R80" s="104"/>
      <c r="S80" s="104"/>
      <c r="T80" s="104"/>
      <c r="U80" s="104"/>
      <c r="V80" s="104"/>
      <c r="W80" s="104"/>
      <c r="X80" s="104"/>
      <c r="Y80" s="104"/>
      <c r="Z80" s="104"/>
      <c r="AA80" s="104"/>
      <c r="AB80" s="104"/>
      <c r="AC80" s="104"/>
      <c r="AD80" s="104"/>
      <c r="AE80" s="104"/>
      <c r="AF80" s="104"/>
      <c r="AG80" s="104"/>
      <c r="AH80" s="104"/>
      <c r="AI80" s="104"/>
      <c r="AJ80" s="104"/>
      <c r="AK80" s="104"/>
      <c r="AL80" s="104"/>
      <c r="AM80" s="104"/>
      <c r="AN80" s="104"/>
      <c r="AO80" s="104"/>
      <c r="AP80" s="104"/>
      <c r="AQ80" s="104"/>
      <c r="AR80" s="104"/>
      <c r="AS80" s="104"/>
      <c r="AT80" s="104"/>
      <c r="AU80" s="104"/>
      <c r="AV80" s="104"/>
      <c r="AW80" s="104"/>
      <c r="AX80" s="104"/>
      <c r="AY80" s="104"/>
      <c r="AZ80" s="104"/>
      <c r="BA80" s="104"/>
      <c r="BB80" s="104"/>
      <c r="BC80" s="104"/>
      <c r="BD80" s="104"/>
      <c r="BE80" s="104"/>
      <c r="BF80" s="104"/>
      <c r="BG80" s="104"/>
      <c r="BH80" s="104"/>
      <c r="BI80" s="104"/>
      <c r="BJ80" s="104"/>
      <c r="BK80" s="104"/>
      <c r="BL80" s="104"/>
      <c r="BM80" s="104"/>
      <c r="BN80" s="104"/>
      <c r="BO80" s="104"/>
      <c r="BP80" s="104"/>
      <c r="BQ80" s="104"/>
      <c r="BR80" s="104"/>
      <c r="BS80" s="104"/>
      <c r="BT80" s="104"/>
      <c r="BU80" s="104"/>
      <c r="BV80" s="104"/>
      <c r="BW80" s="104"/>
      <c r="BX80" s="104"/>
      <c r="BY80" s="104"/>
      <c r="BZ80" s="104"/>
      <c r="CA80" s="104"/>
      <c r="CB80" s="104"/>
      <c r="CC80" s="104"/>
      <c r="CD80" s="104"/>
      <c r="CE80" s="104"/>
      <c r="CF80" s="104"/>
      <c r="CG80" s="104"/>
      <c r="CH80" s="104"/>
      <c r="CI80" s="104"/>
      <c r="CJ80" s="104"/>
      <c r="CK80" s="104"/>
      <c r="CL80" s="104"/>
      <c r="CM80" s="104"/>
      <c r="CN80" s="104"/>
      <c r="CO80" s="104"/>
      <c r="CP80" s="104"/>
      <c r="CQ80" s="104"/>
      <c r="CR80" s="104"/>
      <c r="CS80" s="104"/>
      <c r="CT80" s="104"/>
      <c r="CU80" s="104"/>
      <c r="CV80" s="104"/>
      <c r="CW80" s="104"/>
      <c r="CX80" s="104"/>
      <c r="CY80" s="104"/>
      <c r="CZ80" s="104"/>
      <c r="DA80" s="104"/>
      <c r="DB80" s="104"/>
      <c r="DC80" s="104"/>
      <c r="DD80" s="104"/>
      <c r="DE80" s="104"/>
      <c r="DF80" s="104"/>
      <c r="DG80" s="104"/>
      <c r="DH80" s="104"/>
      <c r="DI80" s="104"/>
      <c r="DJ80" s="104"/>
      <c r="DK80" s="104"/>
      <c r="DL80" s="104"/>
      <c r="DM80" s="104"/>
      <c r="DN80" s="104"/>
      <c r="DO80" s="104"/>
      <c r="DP80" s="104"/>
      <c r="DQ80" s="104"/>
      <c r="DR80" s="104"/>
      <c r="DS80" s="104"/>
      <c r="DT80" s="104"/>
      <c r="DU80" s="104"/>
      <c r="DV80" s="104"/>
      <c r="DW80" s="104"/>
      <c r="DX80" s="104"/>
      <c r="DY80" s="104"/>
      <c r="DZ80" s="104"/>
      <c r="EA80" s="104"/>
      <c r="EB80" s="104"/>
      <c r="EC80" s="104"/>
      <c r="ED80" s="104"/>
      <c r="EE80" s="104"/>
      <c r="EF80" s="104"/>
      <c r="EG80" s="104"/>
      <c r="EH80" s="104"/>
      <c r="EI80" s="104"/>
      <c r="EJ80" s="104"/>
      <c r="EK80" s="104"/>
      <c r="EL80" s="104"/>
      <c r="EM80" s="104"/>
      <c r="EN80" s="104"/>
      <c r="EO80" s="104"/>
      <c r="EP80" s="104"/>
      <c r="EQ80" s="104"/>
      <c r="ER80" s="104"/>
      <c r="ES80" s="104"/>
      <c r="ET80" s="104"/>
      <c r="EU80" s="104"/>
      <c r="EV80" s="104"/>
      <c r="EW80" s="104"/>
      <c r="EX80" s="104"/>
      <c r="EY80" s="104"/>
      <c r="EZ80" s="104"/>
      <c r="FA80" s="104"/>
      <c r="FB80" s="104"/>
      <c r="FC80" s="104"/>
      <c r="FD80" s="104"/>
      <c r="FE80" s="104"/>
      <c r="FF80" s="104"/>
      <c r="FG80" s="104"/>
      <c r="FH80" s="104"/>
      <c r="FI80" s="104"/>
      <c r="FJ80" s="104"/>
      <c r="FK80" s="104"/>
      <c r="FL80" s="104"/>
      <c r="FM80" s="104"/>
      <c r="FN80" s="104"/>
      <c r="FO80" s="104"/>
      <c r="FP80" s="104"/>
      <c r="FQ80" s="104"/>
      <c r="FR80" s="104"/>
      <c r="FS80" s="104"/>
      <c r="FT80" s="104"/>
      <c r="FU80" s="104"/>
      <c r="FV80" s="104"/>
      <c r="FW80" s="104"/>
      <c r="FX80" s="104"/>
      <c r="FY80" s="104"/>
      <c r="FZ80" s="104"/>
      <c r="GA80" s="104"/>
      <c r="GB80" s="104"/>
      <c r="GC80" s="104"/>
      <c r="GD80" s="104"/>
      <c r="GE80" s="104"/>
      <c r="GF80" s="104"/>
      <c r="GG80" s="104"/>
      <c r="GH80" s="104"/>
      <c r="GI80" s="104"/>
      <c r="GJ80" s="104"/>
      <c r="GK80" s="104"/>
      <c r="GL80" s="104"/>
      <c r="GM80" s="104"/>
      <c r="GN80" s="104"/>
      <c r="GO80" s="104"/>
      <c r="GP80" s="104"/>
      <c r="GQ80" s="104"/>
      <c r="GR80" s="104"/>
      <c r="GS80" s="104"/>
      <c r="GT80" s="104"/>
      <c r="GU80" s="104"/>
      <c r="GV80" s="104"/>
      <c r="GW80" s="104"/>
      <c r="GX80" s="104"/>
      <c r="GY80" s="104"/>
      <c r="GZ80" s="104"/>
      <c r="HA80" s="104"/>
      <c r="HB80" s="104"/>
      <c r="HC80" s="104"/>
      <c r="HD80" s="104"/>
      <c r="HE80" s="104"/>
      <c r="HF80" s="104"/>
      <c r="HG80" s="104"/>
      <c r="HH80" s="104"/>
      <c r="HI80" s="104"/>
      <c r="HJ80" s="104"/>
      <c r="HK80" s="104"/>
      <c r="HL80" s="104"/>
      <c r="HM80" s="104"/>
      <c r="HN80" s="104"/>
      <c r="HO80" s="104"/>
      <c r="HP80" s="104"/>
      <c r="HQ80" s="104"/>
      <c r="HR80" s="104"/>
      <c r="HS80" s="104"/>
      <c r="HT80" s="104"/>
      <c r="HU80" s="104"/>
      <c r="HV80" s="104"/>
      <c r="HW80" s="104"/>
      <c r="HX80" s="104"/>
      <c r="HY80" s="104"/>
      <c r="HZ80" s="104"/>
      <c r="IA80" s="104"/>
      <c r="IB80" s="104"/>
      <c r="IC80" s="104"/>
      <c r="ID80" s="104"/>
      <c r="IE80" s="104"/>
      <c r="IF80" s="104"/>
      <c r="IG80" s="104"/>
      <c r="IH80" s="104"/>
      <c r="II80" s="104"/>
      <c r="IJ80" s="104"/>
      <c r="IK80" s="104"/>
      <c r="IL80" s="104"/>
      <c r="IM80" s="104"/>
      <c r="IN80" s="104"/>
      <c r="IO80" s="104"/>
      <c r="IP80" s="104"/>
      <c r="IQ80" s="104"/>
      <c r="IR80" s="104"/>
      <c r="IS80" s="104"/>
      <c r="IT80" s="104"/>
      <c r="IU80" s="104"/>
      <c r="IV80" s="104"/>
      <c r="IW80" s="104"/>
      <c r="IX80" s="104"/>
      <c r="IY80" s="104"/>
      <c r="IZ80" s="104"/>
      <c r="JA80" s="104"/>
      <c r="JB80" s="104"/>
      <c r="JC80" s="104"/>
      <c r="JD80" s="104"/>
      <c r="JE80" s="104"/>
    </row>
    <row r="81" spans="4:265" x14ac:dyDescent="0.25">
      <c r="O81" s="104"/>
      <c r="P81" s="104"/>
      <c r="Q81" s="104"/>
      <c r="R81" s="104"/>
      <c r="S81" s="104"/>
      <c r="T81" s="104"/>
      <c r="U81" s="104"/>
      <c r="V81" s="104"/>
      <c r="W81" s="104"/>
      <c r="X81" s="104"/>
      <c r="Y81" s="104"/>
      <c r="Z81" s="104"/>
      <c r="AA81" s="104"/>
      <c r="AB81" s="104"/>
      <c r="AC81" s="104"/>
      <c r="AD81" s="104"/>
      <c r="AE81" s="104"/>
      <c r="AF81" s="104"/>
      <c r="AG81" s="104"/>
      <c r="AH81" s="104"/>
      <c r="AI81" s="104"/>
      <c r="AJ81" s="104"/>
      <c r="AK81" s="104"/>
      <c r="AL81" s="104"/>
      <c r="AM81" s="104"/>
      <c r="AN81" s="104"/>
      <c r="AO81" s="104"/>
      <c r="AP81" s="104"/>
      <c r="AQ81" s="104"/>
      <c r="AR81" s="104"/>
      <c r="AS81" s="104"/>
      <c r="AT81" s="104"/>
      <c r="AU81" s="104"/>
      <c r="AV81" s="104"/>
      <c r="AW81" s="104"/>
      <c r="AX81" s="104"/>
      <c r="AY81" s="104"/>
      <c r="AZ81" s="104"/>
      <c r="BA81" s="104"/>
      <c r="BB81" s="104"/>
      <c r="BC81" s="104"/>
      <c r="BD81" s="104"/>
      <c r="BE81" s="104"/>
      <c r="BF81" s="104"/>
      <c r="BG81" s="104"/>
      <c r="BH81" s="104"/>
      <c r="BI81" s="104"/>
      <c r="BJ81" s="104"/>
      <c r="BK81" s="104"/>
      <c r="BL81" s="104"/>
      <c r="BM81" s="104"/>
      <c r="BN81" s="104"/>
      <c r="BO81" s="104"/>
      <c r="BP81" s="104"/>
      <c r="BQ81" s="104"/>
      <c r="BR81" s="104"/>
      <c r="BS81" s="104"/>
      <c r="BT81" s="104"/>
      <c r="BU81" s="104"/>
      <c r="BV81" s="104"/>
      <c r="BW81" s="104"/>
      <c r="BX81" s="104"/>
      <c r="BY81" s="104"/>
      <c r="BZ81" s="104"/>
      <c r="CA81" s="104"/>
      <c r="CB81" s="104"/>
      <c r="CC81" s="104"/>
      <c r="CD81" s="104"/>
      <c r="CE81" s="104"/>
      <c r="CF81" s="104"/>
      <c r="CG81" s="104"/>
      <c r="CH81" s="104"/>
      <c r="CI81" s="104"/>
      <c r="CJ81" s="104"/>
      <c r="CK81" s="104"/>
      <c r="CL81" s="104"/>
      <c r="CM81" s="104"/>
      <c r="CN81" s="104"/>
      <c r="CO81" s="104"/>
      <c r="CP81" s="104"/>
      <c r="CQ81" s="104"/>
      <c r="CR81" s="104"/>
      <c r="CS81" s="104"/>
      <c r="CT81" s="104"/>
      <c r="CU81" s="104"/>
      <c r="CV81" s="104"/>
      <c r="CW81" s="104"/>
      <c r="CX81" s="104"/>
      <c r="CY81" s="104"/>
      <c r="CZ81" s="104"/>
      <c r="DA81" s="104"/>
      <c r="DB81" s="104"/>
      <c r="DC81" s="104"/>
      <c r="DD81" s="104"/>
      <c r="DE81" s="104"/>
      <c r="DF81" s="104"/>
      <c r="DG81" s="104"/>
      <c r="DH81" s="104"/>
      <c r="DI81" s="104"/>
      <c r="DJ81" s="104"/>
      <c r="DK81" s="104"/>
      <c r="DL81" s="104"/>
      <c r="DM81" s="104"/>
      <c r="DN81" s="104"/>
      <c r="DO81" s="104"/>
      <c r="DP81" s="104"/>
      <c r="DQ81" s="104"/>
      <c r="DR81" s="104"/>
      <c r="DS81" s="104"/>
      <c r="DT81" s="104"/>
      <c r="DU81" s="104"/>
      <c r="DV81" s="104"/>
      <c r="DW81" s="104"/>
      <c r="DX81" s="104"/>
      <c r="DY81" s="104"/>
      <c r="DZ81" s="104"/>
      <c r="EA81" s="104"/>
      <c r="EB81" s="104"/>
      <c r="EC81" s="104"/>
      <c r="ED81" s="104"/>
      <c r="EE81" s="104"/>
      <c r="EF81" s="104"/>
      <c r="EG81" s="104"/>
      <c r="EH81" s="104"/>
      <c r="EI81" s="104"/>
      <c r="EJ81" s="104"/>
      <c r="EK81" s="104"/>
      <c r="EL81" s="104"/>
      <c r="EM81" s="104"/>
      <c r="EN81" s="104"/>
      <c r="EO81" s="104"/>
      <c r="EP81" s="104"/>
      <c r="EQ81" s="104"/>
      <c r="ER81" s="104"/>
      <c r="ES81" s="104"/>
      <c r="ET81" s="104"/>
      <c r="EU81" s="104"/>
      <c r="EV81" s="104"/>
      <c r="EW81" s="104"/>
      <c r="EX81" s="104"/>
      <c r="EY81" s="104"/>
      <c r="EZ81" s="104"/>
      <c r="FA81" s="104"/>
      <c r="FB81" s="104"/>
      <c r="FC81" s="104"/>
      <c r="FD81" s="104"/>
      <c r="FE81" s="104"/>
      <c r="FF81" s="104"/>
      <c r="FG81" s="104"/>
      <c r="FH81" s="104"/>
      <c r="FI81" s="104"/>
      <c r="FJ81" s="104"/>
      <c r="FK81" s="104"/>
      <c r="FL81" s="104"/>
      <c r="FM81" s="104"/>
      <c r="FN81" s="104"/>
      <c r="FO81" s="104"/>
      <c r="FP81" s="104"/>
      <c r="FQ81" s="104"/>
      <c r="FR81" s="104"/>
      <c r="FS81" s="104"/>
      <c r="FT81" s="104"/>
      <c r="FU81" s="104"/>
      <c r="FV81" s="104"/>
      <c r="FW81" s="104"/>
      <c r="FX81" s="104"/>
      <c r="FY81" s="104"/>
      <c r="FZ81" s="104"/>
      <c r="GA81" s="104"/>
      <c r="GB81" s="104"/>
      <c r="GC81" s="104"/>
      <c r="GD81" s="104"/>
      <c r="GE81" s="104"/>
      <c r="GF81" s="104"/>
      <c r="GG81" s="104"/>
      <c r="GH81" s="104"/>
      <c r="GI81" s="104"/>
      <c r="GJ81" s="104"/>
      <c r="GK81" s="104"/>
      <c r="GL81" s="104"/>
      <c r="GM81" s="104"/>
      <c r="GN81" s="104"/>
      <c r="GO81" s="104"/>
      <c r="GP81" s="104"/>
      <c r="GQ81" s="104"/>
      <c r="GR81" s="104"/>
      <c r="GS81" s="104"/>
      <c r="GT81" s="104"/>
      <c r="GU81" s="104"/>
      <c r="GV81" s="104"/>
      <c r="GW81" s="104"/>
      <c r="GX81" s="104"/>
      <c r="GY81" s="104"/>
      <c r="GZ81" s="104"/>
      <c r="HA81" s="104"/>
      <c r="HB81" s="104"/>
      <c r="HC81" s="104"/>
      <c r="HD81" s="104"/>
      <c r="HE81" s="104"/>
      <c r="HF81" s="104"/>
      <c r="HG81" s="104"/>
      <c r="HH81" s="104"/>
      <c r="HI81" s="104"/>
      <c r="HJ81" s="104"/>
      <c r="HK81" s="104"/>
      <c r="HL81" s="104"/>
      <c r="HM81" s="104"/>
      <c r="HN81" s="104"/>
      <c r="HO81" s="104"/>
      <c r="HP81" s="104"/>
      <c r="HQ81" s="104"/>
      <c r="HR81" s="104"/>
      <c r="HS81" s="104"/>
      <c r="HT81" s="104"/>
      <c r="HU81" s="104"/>
      <c r="HV81" s="104"/>
      <c r="HW81" s="104"/>
      <c r="HX81" s="104"/>
      <c r="HY81" s="104"/>
      <c r="HZ81" s="104"/>
      <c r="IA81" s="104"/>
      <c r="IB81" s="104"/>
      <c r="IC81" s="104"/>
      <c r="ID81" s="104"/>
      <c r="IE81" s="104"/>
      <c r="IF81" s="104"/>
      <c r="IG81" s="104"/>
      <c r="IH81" s="104"/>
      <c r="II81" s="104"/>
      <c r="IJ81" s="104"/>
      <c r="IK81" s="104"/>
      <c r="IL81" s="104"/>
      <c r="IM81" s="104"/>
      <c r="IN81" s="104"/>
      <c r="IO81" s="104"/>
      <c r="IP81" s="104"/>
      <c r="IQ81" s="104"/>
      <c r="IR81" s="104"/>
      <c r="IS81" s="104"/>
      <c r="IT81" s="104"/>
      <c r="IU81" s="104"/>
      <c r="IV81" s="104"/>
      <c r="IW81" s="104"/>
      <c r="IX81" s="104"/>
      <c r="IY81" s="104"/>
      <c r="IZ81" s="104"/>
      <c r="JA81" s="104"/>
      <c r="JB81" s="104"/>
      <c r="JC81" s="104"/>
      <c r="JD81" s="104"/>
      <c r="JE81" s="104"/>
    </row>
    <row r="82" spans="4:265" x14ac:dyDescent="0.25">
      <c r="O82" s="104"/>
      <c r="P82" s="104"/>
      <c r="Q82" s="104"/>
      <c r="R82" s="104"/>
      <c r="S82" s="104"/>
      <c r="T82" s="104"/>
      <c r="U82" s="104"/>
      <c r="V82" s="104"/>
      <c r="W82" s="104"/>
      <c r="X82" s="104"/>
      <c r="Y82" s="104"/>
      <c r="Z82" s="104"/>
      <c r="AA82" s="104"/>
      <c r="AB82" s="104"/>
      <c r="AC82" s="104"/>
      <c r="AD82" s="104"/>
      <c r="AE82" s="104"/>
      <c r="AF82" s="104"/>
      <c r="AG82" s="104"/>
      <c r="AH82" s="104"/>
      <c r="AI82" s="104"/>
      <c r="AJ82" s="104"/>
      <c r="AK82" s="104"/>
      <c r="AL82" s="104"/>
      <c r="AM82" s="104"/>
      <c r="AN82" s="104"/>
      <c r="AO82" s="104"/>
      <c r="AP82" s="104"/>
      <c r="AQ82" s="104"/>
      <c r="AR82" s="104"/>
      <c r="AS82" s="104"/>
      <c r="AT82" s="104"/>
      <c r="AU82" s="104"/>
      <c r="AV82" s="104"/>
      <c r="AW82" s="104"/>
      <c r="AX82" s="104"/>
      <c r="AY82" s="104"/>
      <c r="AZ82" s="104"/>
      <c r="BA82" s="104"/>
      <c r="BB82" s="104"/>
      <c r="BC82" s="104"/>
      <c r="BD82" s="104"/>
      <c r="BE82" s="104"/>
      <c r="BF82" s="104"/>
      <c r="BG82" s="104"/>
      <c r="BH82" s="104"/>
      <c r="BI82" s="104"/>
      <c r="BJ82" s="104"/>
      <c r="BK82" s="104"/>
      <c r="BL82" s="104"/>
      <c r="BM82" s="104"/>
      <c r="BN82" s="104"/>
      <c r="BO82" s="104"/>
      <c r="BP82" s="104"/>
      <c r="BQ82" s="104"/>
      <c r="BR82" s="104"/>
      <c r="BS82" s="104"/>
      <c r="BT82" s="104"/>
      <c r="BU82" s="104"/>
      <c r="BV82" s="104"/>
      <c r="BW82" s="104"/>
      <c r="BX82" s="104"/>
      <c r="BY82" s="104"/>
      <c r="BZ82" s="104"/>
      <c r="CA82" s="104"/>
      <c r="CB82" s="104"/>
      <c r="CC82" s="104"/>
      <c r="CD82" s="104"/>
      <c r="CE82" s="104"/>
      <c r="CF82" s="104"/>
      <c r="CG82" s="104"/>
      <c r="CH82" s="104"/>
      <c r="CI82" s="104"/>
      <c r="CJ82" s="104"/>
      <c r="CK82" s="104"/>
      <c r="CL82" s="104"/>
      <c r="CM82" s="104"/>
      <c r="CN82" s="104"/>
      <c r="CO82" s="104"/>
      <c r="CP82" s="104"/>
      <c r="CQ82" s="104"/>
      <c r="CR82" s="104"/>
      <c r="CS82" s="104"/>
      <c r="CT82" s="104"/>
      <c r="CU82" s="104"/>
      <c r="CV82" s="104"/>
      <c r="CW82" s="104"/>
      <c r="CX82" s="104"/>
      <c r="CY82" s="104"/>
      <c r="CZ82" s="104"/>
      <c r="DA82" s="104"/>
      <c r="DB82" s="104"/>
      <c r="DC82" s="104"/>
      <c r="DD82" s="104"/>
      <c r="DE82" s="104"/>
      <c r="DF82" s="104"/>
      <c r="DG82" s="104"/>
      <c r="DH82" s="104"/>
      <c r="DI82" s="104"/>
      <c r="DJ82" s="104"/>
      <c r="DK82" s="104"/>
      <c r="DL82" s="104"/>
      <c r="DM82" s="104"/>
      <c r="DN82" s="104"/>
      <c r="DO82" s="104"/>
      <c r="DP82" s="104"/>
      <c r="DQ82" s="104"/>
      <c r="DR82" s="104"/>
      <c r="DS82" s="104"/>
      <c r="DT82" s="104"/>
      <c r="DU82" s="104"/>
      <c r="DV82" s="104"/>
      <c r="DW82" s="104"/>
      <c r="DX82" s="104"/>
      <c r="DY82" s="104"/>
      <c r="DZ82" s="104"/>
      <c r="EA82" s="104"/>
      <c r="EB82" s="104"/>
      <c r="EC82" s="104"/>
      <c r="ED82" s="104"/>
      <c r="EE82" s="104"/>
      <c r="EF82" s="104"/>
      <c r="EG82" s="104"/>
      <c r="EH82" s="104"/>
      <c r="EI82" s="104"/>
      <c r="EJ82" s="104"/>
      <c r="EK82" s="104"/>
      <c r="EL82" s="104"/>
      <c r="EM82" s="104"/>
      <c r="EN82" s="104"/>
      <c r="EO82" s="104"/>
      <c r="EP82" s="104"/>
      <c r="EQ82" s="104"/>
      <c r="ER82" s="104"/>
      <c r="ES82" s="104"/>
      <c r="ET82" s="104"/>
      <c r="EU82" s="104"/>
      <c r="EV82" s="104"/>
      <c r="EW82" s="104"/>
      <c r="EX82" s="104"/>
      <c r="EY82" s="104"/>
      <c r="EZ82" s="104"/>
      <c r="FA82" s="104"/>
      <c r="FB82" s="104"/>
      <c r="FC82" s="104"/>
      <c r="FD82" s="104"/>
      <c r="FE82" s="104"/>
      <c r="FF82" s="104"/>
      <c r="FG82" s="104"/>
      <c r="FH82" s="104"/>
      <c r="FI82" s="104"/>
      <c r="FJ82" s="104"/>
      <c r="FK82" s="104"/>
      <c r="FL82" s="104"/>
      <c r="FM82" s="104"/>
      <c r="FN82" s="104"/>
      <c r="FO82" s="104"/>
      <c r="FP82" s="104"/>
      <c r="FQ82" s="104"/>
      <c r="FR82" s="104"/>
      <c r="FS82" s="104"/>
      <c r="FT82" s="104"/>
      <c r="FU82" s="104"/>
      <c r="FV82" s="104"/>
      <c r="FW82" s="104"/>
      <c r="FX82" s="104"/>
      <c r="FY82" s="104"/>
      <c r="FZ82" s="104"/>
      <c r="GA82" s="104"/>
      <c r="GB82" s="104"/>
      <c r="GC82" s="104"/>
      <c r="GD82" s="104"/>
      <c r="GE82" s="104"/>
      <c r="GF82" s="104"/>
      <c r="GG82" s="104"/>
      <c r="GH82" s="104"/>
      <c r="GI82" s="104"/>
      <c r="GJ82" s="104"/>
      <c r="GK82" s="104"/>
      <c r="GL82" s="104"/>
      <c r="GM82" s="104"/>
      <c r="GN82" s="104"/>
      <c r="GO82" s="104"/>
      <c r="GP82" s="104"/>
      <c r="GQ82" s="104"/>
      <c r="GR82" s="104"/>
      <c r="GS82" s="104"/>
      <c r="GT82" s="104"/>
      <c r="GU82" s="104"/>
      <c r="GV82" s="104"/>
      <c r="GW82" s="104"/>
      <c r="GX82" s="104"/>
      <c r="GY82" s="104"/>
      <c r="GZ82" s="104"/>
      <c r="HA82" s="104"/>
      <c r="HB82" s="104"/>
      <c r="HC82" s="104"/>
      <c r="HD82" s="104"/>
      <c r="HE82" s="104"/>
      <c r="HF82" s="104"/>
      <c r="HG82" s="104"/>
      <c r="HH82" s="104"/>
      <c r="HI82" s="104"/>
      <c r="HJ82" s="104"/>
      <c r="HK82" s="104"/>
      <c r="HL82" s="104"/>
      <c r="HM82" s="104"/>
      <c r="HN82" s="104"/>
      <c r="HO82" s="104"/>
      <c r="HP82" s="104"/>
      <c r="HQ82" s="104"/>
      <c r="HR82" s="104"/>
      <c r="HS82" s="104"/>
      <c r="HT82" s="104"/>
      <c r="HU82" s="104"/>
      <c r="HV82" s="104"/>
      <c r="HW82" s="104"/>
      <c r="HX82" s="104"/>
      <c r="HY82" s="104"/>
      <c r="HZ82" s="104"/>
      <c r="IA82" s="104"/>
      <c r="IB82" s="104"/>
      <c r="IC82" s="104"/>
      <c r="ID82" s="104"/>
      <c r="IE82" s="104"/>
      <c r="IF82" s="104"/>
      <c r="IG82" s="104"/>
      <c r="IH82" s="104"/>
      <c r="II82" s="104"/>
      <c r="IJ82" s="104"/>
      <c r="IK82" s="104"/>
      <c r="IL82" s="104"/>
      <c r="IM82" s="104"/>
      <c r="IN82" s="104"/>
      <c r="IO82" s="104"/>
      <c r="IP82" s="104"/>
      <c r="IQ82" s="104"/>
      <c r="IR82" s="104"/>
      <c r="IS82" s="104"/>
      <c r="IT82" s="104"/>
      <c r="IU82" s="104"/>
      <c r="IV82" s="104"/>
      <c r="IW82" s="104"/>
      <c r="IX82" s="104"/>
      <c r="IY82" s="104"/>
      <c r="IZ82" s="104"/>
      <c r="JA82" s="104"/>
      <c r="JB82" s="104"/>
      <c r="JC82" s="104"/>
      <c r="JD82" s="104"/>
      <c r="JE82" s="104"/>
    </row>
    <row r="83" spans="4:265" x14ac:dyDescent="0.25">
      <c r="O83" s="104"/>
      <c r="P83" s="104"/>
      <c r="Q83" s="104"/>
      <c r="R83" s="104"/>
      <c r="S83" s="104"/>
      <c r="T83" s="104"/>
      <c r="U83" s="104"/>
      <c r="V83" s="104"/>
      <c r="W83" s="104"/>
      <c r="X83" s="104"/>
      <c r="Y83" s="104"/>
      <c r="Z83" s="104"/>
      <c r="AA83" s="104"/>
      <c r="AB83" s="104"/>
      <c r="AC83" s="104"/>
      <c r="AD83" s="104"/>
      <c r="AE83" s="104"/>
      <c r="AF83" s="104"/>
      <c r="AG83" s="104"/>
      <c r="AH83" s="104"/>
      <c r="AI83" s="104"/>
      <c r="AJ83" s="104"/>
      <c r="AK83" s="104"/>
      <c r="AL83" s="104"/>
      <c r="AM83" s="104"/>
      <c r="AN83" s="104"/>
      <c r="AO83" s="104"/>
      <c r="AP83" s="104"/>
      <c r="AQ83" s="104"/>
      <c r="AR83" s="104"/>
      <c r="AS83" s="104"/>
      <c r="AT83" s="104"/>
      <c r="AU83" s="104"/>
      <c r="AV83" s="104"/>
      <c r="AW83" s="104"/>
      <c r="AX83" s="104"/>
      <c r="AY83" s="104"/>
      <c r="AZ83" s="104"/>
      <c r="BA83" s="104"/>
      <c r="BB83" s="104"/>
      <c r="BC83" s="104"/>
      <c r="BD83" s="104"/>
      <c r="BE83" s="104"/>
      <c r="BF83" s="104"/>
      <c r="BG83" s="104"/>
      <c r="BH83" s="104"/>
      <c r="BI83" s="104"/>
      <c r="BJ83" s="104"/>
      <c r="BK83" s="104"/>
      <c r="BL83" s="104"/>
      <c r="BM83" s="104"/>
      <c r="BN83" s="104"/>
      <c r="BO83" s="104"/>
      <c r="BP83" s="104"/>
      <c r="BQ83" s="104"/>
      <c r="BR83" s="104"/>
      <c r="BS83" s="104"/>
      <c r="BT83" s="104"/>
      <c r="BU83" s="104"/>
      <c r="BV83" s="104"/>
      <c r="BW83" s="104"/>
      <c r="BX83" s="104"/>
      <c r="BY83" s="104"/>
      <c r="BZ83" s="104"/>
      <c r="CA83" s="104"/>
      <c r="CB83" s="104"/>
      <c r="CC83" s="104"/>
      <c r="CD83" s="104"/>
      <c r="CE83" s="104"/>
      <c r="CF83" s="104"/>
      <c r="CG83" s="104"/>
      <c r="CH83" s="104"/>
      <c r="CI83" s="104"/>
      <c r="CJ83" s="104"/>
      <c r="CK83" s="104"/>
      <c r="CL83" s="104"/>
      <c r="CM83" s="104"/>
      <c r="CN83" s="104"/>
      <c r="CO83" s="104"/>
      <c r="CP83" s="104"/>
      <c r="CQ83" s="104"/>
      <c r="CR83" s="104"/>
      <c r="CS83" s="104"/>
      <c r="CT83" s="104"/>
      <c r="CU83" s="104"/>
      <c r="CV83" s="104"/>
      <c r="CW83" s="104"/>
      <c r="CX83" s="104"/>
      <c r="CY83" s="104"/>
      <c r="CZ83" s="104"/>
      <c r="DA83" s="104"/>
      <c r="DB83" s="104"/>
      <c r="DC83" s="104"/>
      <c r="DD83" s="104"/>
      <c r="DE83" s="104"/>
      <c r="DF83" s="104"/>
      <c r="DG83" s="104"/>
      <c r="DH83" s="104"/>
      <c r="DI83" s="104"/>
      <c r="DJ83" s="104"/>
      <c r="DK83" s="104"/>
      <c r="DL83" s="104"/>
      <c r="DM83" s="104"/>
      <c r="DN83" s="104"/>
      <c r="DO83" s="104"/>
      <c r="DP83" s="104"/>
      <c r="DQ83" s="104"/>
      <c r="DR83" s="104"/>
      <c r="DS83" s="104"/>
      <c r="DT83" s="104"/>
      <c r="DU83" s="104"/>
      <c r="DV83" s="104"/>
      <c r="DW83" s="104"/>
      <c r="DX83" s="104"/>
      <c r="DY83" s="104"/>
      <c r="DZ83" s="104"/>
      <c r="EA83" s="104"/>
      <c r="EB83" s="104"/>
      <c r="EC83" s="104"/>
      <c r="ED83" s="104"/>
      <c r="EE83" s="104"/>
      <c r="EF83" s="104"/>
      <c r="EG83" s="104"/>
      <c r="EH83" s="104"/>
      <c r="EI83" s="104"/>
      <c r="EJ83" s="104"/>
      <c r="EK83" s="104"/>
      <c r="EL83" s="104"/>
      <c r="EM83" s="104"/>
      <c r="EN83" s="104"/>
      <c r="EO83" s="104"/>
      <c r="EP83" s="104"/>
      <c r="EQ83" s="104"/>
      <c r="ER83" s="104"/>
      <c r="ES83" s="104"/>
      <c r="ET83" s="104"/>
      <c r="EU83" s="104"/>
      <c r="EV83" s="104"/>
      <c r="EW83" s="104"/>
      <c r="EX83" s="104"/>
      <c r="EY83" s="104"/>
      <c r="EZ83" s="104"/>
      <c r="FA83" s="104"/>
      <c r="FB83" s="104"/>
      <c r="FC83" s="104"/>
      <c r="FD83" s="104"/>
      <c r="FE83" s="104"/>
      <c r="FF83" s="104"/>
      <c r="FG83" s="104"/>
      <c r="FH83" s="104"/>
      <c r="FI83" s="104"/>
      <c r="FJ83" s="104"/>
      <c r="FK83" s="104"/>
      <c r="FL83" s="104"/>
      <c r="FM83" s="104"/>
      <c r="FN83" s="104"/>
      <c r="FO83" s="104"/>
      <c r="FP83" s="104"/>
      <c r="FQ83" s="104"/>
      <c r="FR83" s="104"/>
      <c r="FS83" s="104"/>
      <c r="FT83" s="104"/>
      <c r="FU83" s="104"/>
      <c r="FV83" s="104"/>
      <c r="FW83" s="104"/>
      <c r="FX83" s="104"/>
      <c r="FY83" s="104"/>
      <c r="FZ83" s="104"/>
      <c r="GA83" s="104"/>
      <c r="GB83" s="104"/>
      <c r="GC83" s="104"/>
      <c r="GD83" s="104"/>
      <c r="GE83" s="104"/>
      <c r="GF83" s="104"/>
      <c r="GG83" s="104"/>
      <c r="GH83" s="104"/>
      <c r="GI83" s="104"/>
      <c r="GJ83" s="104"/>
      <c r="GK83" s="104"/>
      <c r="GL83" s="104"/>
      <c r="GM83" s="104"/>
      <c r="GN83" s="104"/>
      <c r="GO83" s="104"/>
      <c r="GP83" s="104"/>
      <c r="GQ83" s="104"/>
      <c r="GR83" s="104"/>
      <c r="GS83" s="104"/>
      <c r="GT83" s="104"/>
      <c r="GU83" s="104"/>
      <c r="GV83" s="104"/>
      <c r="GW83" s="104"/>
      <c r="GX83" s="104"/>
      <c r="GY83" s="104"/>
      <c r="GZ83" s="104"/>
      <c r="HA83" s="104"/>
      <c r="HB83" s="104"/>
      <c r="HC83" s="104"/>
      <c r="HD83" s="104"/>
      <c r="HE83" s="104"/>
      <c r="HF83" s="104"/>
      <c r="HG83" s="104"/>
      <c r="HH83" s="104"/>
      <c r="HI83" s="104"/>
      <c r="HJ83" s="104"/>
      <c r="HK83" s="104"/>
      <c r="HL83" s="104"/>
      <c r="HM83" s="104"/>
      <c r="HN83" s="104"/>
      <c r="HO83" s="104"/>
      <c r="HP83" s="104"/>
      <c r="HQ83" s="104"/>
      <c r="HR83" s="104"/>
      <c r="HS83" s="104"/>
      <c r="HT83" s="104"/>
      <c r="HU83" s="104"/>
      <c r="HV83" s="104"/>
      <c r="HW83" s="104"/>
      <c r="HX83" s="104"/>
      <c r="HY83" s="104"/>
      <c r="HZ83" s="104"/>
      <c r="IA83" s="104"/>
      <c r="IB83" s="104"/>
      <c r="IC83" s="104"/>
      <c r="ID83" s="104"/>
      <c r="IE83" s="104"/>
      <c r="IF83" s="104"/>
      <c r="IG83" s="104"/>
      <c r="IH83" s="104"/>
      <c r="II83" s="104"/>
      <c r="IJ83" s="104"/>
      <c r="IK83" s="104"/>
      <c r="IL83" s="104"/>
      <c r="IM83" s="104"/>
      <c r="IN83" s="104"/>
      <c r="IO83" s="104"/>
      <c r="IP83" s="104"/>
      <c r="IQ83" s="104"/>
      <c r="IR83" s="104"/>
      <c r="IS83" s="104"/>
      <c r="IT83" s="104"/>
      <c r="IU83" s="104"/>
      <c r="IV83" s="104"/>
      <c r="IW83" s="104"/>
      <c r="IX83" s="104"/>
      <c r="IY83" s="104"/>
      <c r="IZ83" s="104"/>
      <c r="JA83" s="104"/>
      <c r="JB83" s="104"/>
      <c r="JC83" s="104"/>
      <c r="JD83" s="104"/>
      <c r="JE83" s="104"/>
    </row>
    <row r="84" spans="4:265" x14ac:dyDescent="0.25">
      <c r="O84" s="104"/>
      <c r="P84" s="104"/>
      <c r="Q84" s="104"/>
      <c r="R84" s="104"/>
      <c r="S84" s="104"/>
      <c r="T84" s="104"/>
      <c r="U84" s="104"/>
      <c r="V84" s="104"/>
      <c r="W84" s="104"/>
      <c r="X84" s="104"/>
      <c r="Y84" s="104"/>
      <c r="Z84" s="104"/>
      <c r="AA84" s="104"/>
      <c r="AB84" s="104"/>
      <c r="AC84" s="104"/>
      <c r="AD84" s="104"/>
      <c r="AE84" s="104"/>
      <c r="AF84" s="104"/>
      <c r="AG84" s="104"/>
      <c r="AH84" s="104"/>
      <c r="AI84" s="104"/>
      <c r="AJ84" s="104"/>
      <c r="AK84" s="104"/>
      <c r="AL84" s="104"/>
      <c r="AM84" s="104"/>
      <c r="AN84" s="104"/>
      <c r="AO84" s="104"/>
      <c r="AP84" s="104"/>
      <c r="AQ84" s="104"/>
      <c r="AR84" s="104"/>
      <c r="AS84" s="104"/>
      <c r="AT84" s="104"/>
      <c r="AU84" s="104"/>
      <c r="AV84" s="104"/>
      <c r="AW84" s="104"/>
      <c r="AX84" s="104"/>
      <c r="AY84" s="104"/>
      <c r="AZ84" s="104"/>
      <c r="BA84" s="104"/>
      <c r="BB84" s="104"/>
      <c r="BC84" s="104"/>
      <c r="BD84" s="104"/>
      <c r="BE84" s="104"/>
      <c r="BF84" s="104"/>
      <c r="BG84" s="104"/>
      <c r="BH84" s="104"/>
      <c r="BI84" s="104"/>
      <c r="BJ84" s="104"/>
      <c r="BK84" s="104"/>
      <c r="BL84" s="104"/>
      <c r="BM84" s="104"/>
      <c r="BN84" s="104"/>
      <c r="BO84" s="104"/>
      <c r="BP84" s="104"/>
      <c r="BQ84" s="104"/>
      <c r="BR84" s="104"/>
      <c r="BS84" s="104"/>
      <c r="BT84" s="104"/>
      <c r="BU84" s="104"/>
      <c r="BV84" s="104"/>
      <c r="BW84" s="104"/>
      <c r="BX84" s="104"/>
      <c r="BY84" s="104"/>
      <c r="BZ84" s="104"/>
      <c r="CA84" s="104"/>
      <c r="CB84" s="104"/>
      <c r="CC84" s="104"/>
      <c r="CD84" s="104"/>
      <c r="CE84" s="104"/>
      <c r="CF84" s="104"/>
      <c r="CG84" s="104"/>
      <c r="CH84" s="104"/>
      <c r="CI84" s="104"/>
      <c r="CJ84" s="104"/>
      <c r="CK84" s="104"/>
      <c r="CL84" s="104"/>
      <c r="CM84" s="104"/>
      <c r="CN84" s="104"/>
      <c r="CO84" s="104"/>
      <c r="CP84" s="104"/>
      <c r="CQ84" s="104"/>
      <c r="CR84" s="104"/>
      <c r="CS84" s="104"/>
      <c r="CT84" s="104"/>
      <c r="CU84" s="104"/>
      <c r="CV84" s="104"/>
      <c r="CW84" s="104"/>
      <c r="CX84" s="104"/>
      <c r="CY84" s="104"/>
      <c r="CZ84" s="104"/>
      <c r="DA84" s="104"/>
      <c r="DB84" s="104"/>
      <c r="DC84" s="104"/>
      <c r="DD84" s="104"/>
      <c r="DE84" s="104"/>
      <c r="DF84" s="104"/>
      <c r="DG84" s="104"/>
      <c r="DH84" s="104"/>
      <c r="DI84" s="104"/>
      <c r="DJ84" s="104"/>
      <c r="DK84" s="104"/>
      <c r="DL84" s="104"/>
      <c r="DM84" s="104"/>
      <c r="DN84" s="104"/>
      <c r="DO84" s="104"/>
      <c r="DP84" s="104"/>
      <c r="DQ84" s="104"/>
      <c r="DR84" s="104"/>
      <c r="DS84" s="104"/>
      <c r="DT84" s="104"/>
      <c r="DU84" s="104"/>
      <c r="DV84" s="104"/>
      <c r="DW84" s="104"/>
      <c r="DX84" s="104"/>
      <c r="DY84" s="104"/>
      <c r="DZ84" s="104"/>
      <c r="EA84" s="104"/>
      <c r="EB84" s="104"/>
      <c r="EC84" s="104"/>
      <c r="ED84" s="104"/>
      <c r="EE84" s="104"/>
      <c r="EF84" s="104"/>
      <c r="EG84" s="104"/>
      <c r="EH84" s="104"/>
      <c r="EI84" s="104"/>
      <c r="EJ84" s="104"/>
      <c r="EK84" s="104"/>
      <c r="EL84" s="104"/>
      <c r="EM84" s="104"/>
      <c r="EN84" s="104"/>
      <c r="EO84" s="104"/>
      <c r="EP84" s="104"/>
      <c r="EQ84" s="104"/>
      <c r="ER84" s="104"/>
      <c r="ES84" s="104"/>
      <c r="ET84" s="104"/>
      <c r="EU84" s="104"/>
      <c r="EV84" s="104"/>
      <c r="EW84" s="104"/>
      <c r="EX84" s="104"/>
      <c r="EY84" s="104"/>
      <c r="EZ84" s="104"/>
      <c r="FA84" s="104"/>
      <c r="FB84" s="104"/>
      <c r="FC84" s="104"/>
      <c r="FD84" s="104"/>
      <c r="FE84" s="104"/>
      <c r="FF84" s="104"/>
      <c r="FG84" s="104"/>
      <c r="FH84" s="104"/>
      <c r="FI84" s="104"/>
      <c r="FJ84" s="104"/>
      <c r="FK84" s="104"/>
      <c r="FL84" s="104"/>
      <c r="FM84" s="104"/>
      <c r="FN84" s="104"/>
      <c r="FO84" s="104"/>
      <c r="FP84" s="104"/>
      <c r="FQ84" s="104"/>
      <c r="FR84" s="104"/>
      <c r="FS84" s="104"/>
      <c r="FT84" s="104"/>
      <c r="FU84" s="104"/>
      <c r="FV84" s="104"/>
      <c r="FW84" s="104"/>
      <c r="FX84" s="104"/>
      <c r="FY84" s="104"/>
      <c r="FZ84" s="104"/>
      <c r="GA84" s="104"/>
      <c r="GB84" s="104"/>
      <c r="GC84" s="104"/>
      <c r="GD84" s="104"/>
      <c r="GE84" s="104"/>
      <c r="GF84" s="104"/>
      <c r="GG84" s="104"/>
      <c r="GH84" s="104"/>
      <c r="GI84" s="104"/>
      <c r="GJ84" s="104"/>
      <c r="GK84" s="104"/>
      <c r="GL84" s="104"/>
      <c r="GM84" s="104"/>
      <c r="GN84" s="104"/>
      <c r="GO84" s="104"/>
      <c r="GP84" s="104"/>
      <c r="GQ84" s="104"/>
      <c r="GR84" s="104"/>
      <c r="GS84" s="104"/>
      <c r="GT84" s="104"/>
      <c r="GU84" s="104"/>
      <c r="GV84" s="104"/>
      <c r="GW84" s="104"/>
      <c r="GX84" s="104"/>
      <c r="GY84" s="104"/>
      <c r="GZ84" s="104"/>
      <c r="HA84" s="104"/>
      <c r="HB84" s="104"/>
      <c r="HC84" s="104"/>
      <c r="HD84" s="104"/>
      <c r="HE84" s="104"/>
      <c r="HF84" s="104"/>
      <c r="HG84" s="104"/>
      <c r="HH84" s="104"/>
      <c r="HI84" s="104"/>
      <c r="HJ84" s="104"/>
      <c r="HK84" s="104"/>
      <c r="HL84" s="104"/>
      <c r="HM84" s="104"/>
      <c r="HN84" s="104"/>
      <c r="HO84" s="104"/>
      <c r="HP84" s="104"/>
      <c r="HQ84" s="104"/>
      <c r="HR84" s="104"/>
      <c r="HS84" s="104"/>
      <c r="HT84" s="104"/>
      <c r="HU84" s="104"/>
      <c r="HV84" s="104"/>
      <c r="HW84" s="104"/>
      <c r="HX84" s="104"/>
      <c r="HY84" s="104"/>
      <c r="HZ84" s="104"/>
      <c r="IA84" s="104"/>
      <c r="IB84" s="104"/>
      <c r="IC84" s="104"/>
      <c r="ID84" s="104"/>
      <c r="IE84" s="104"/>
      <c r="IF84" s="104"/>
      <c r="IG84" s="104"/>
      <c r="IH84" s="104"/>
      <c r="II84" s="104"/>
      <c r="IJ84" s="104"/>
      <c r="IK84" s="104"/>
      <c r="IL84" s="104"/>
      <c r="IM84" s="104"/>
      <c r="IN84" s="104"/>
      <c r="IO84" s="104"/>
      <c r="IP84" s="104"/>
      <c r="IQ84" s="104"/>
      <c r="IR84" s="104"/>
      <c r="IS84" s="104"/>
      <c r="IT84" s="104"/>
      <c r="IU84" s="104"/>
      <c r="IV84" s="104"/>
      <c r="IW84" s="104"/>
      <c r="IX84" s="104"/>
      <c r="IY84" s="104"/>
      <c r="IZ84" s="104"/>
      <c r="JA84" s="104"/>
      <c r="JB84" s="104"/>
      <c r="JC84" s="104"/>
      <c r="JD84" s="104"/>
      <c r="JE84" s="104"/>
    </row>
    <row r="85" spans="4:265" x14ac:dyDescent="0.25">
      <c r="O85" s="104"/>
      <c r="P85" s="104"/>
      <c r="Q85" s="104"/>
      <c r="R85" s="104"/>
      <c r="S85" s="104"/>
      <c r="T85" s="104"/>
      <c r="U85" s="104"/>
      <c r="V85" s="104"/>
      <c r="W85" s="104"/>
      <c r="X85" s="104"/>
      <c r="Y85" s="104"/>
      <c r="Z85" s="104"/>
      <c r="AA85" s="104"/>
      <c r="AB85" s="104"/>
      <c r="AC85" s="104"/>
      <c r="AD85" s="104"/>
      <c r="AE85" s="104"/>
      <c r="AF85" s="104"/>
      <c r="AG85" s="104"/>
      <c r="AH85" s="104"/>
      <c r="AI85" s="104"/>
      <c r="AJ85" s="104"/>
      <c r="AK85" s="104"/>
      <c r="AL85" s="104"/>
      <c r="AM85" s="104"/>
      <c r="AN85" s="104"/>
      <c r="AO85" s="104"/>
      <c r="AP85" s="104"/>
      <c r="AQ85" s="104"/>
      <c r="AR85" s="104"/>
      <c r="AS85" s="104"/>
      <c r="AT85" s="104"/>
      <c r="AU85" s="104"/>
      <c r="AV85" s="104"/>
      <c r="AW85" s="104"/>
      <c r="AX85" s="104"/>
      <c r="AY85" s="104"/>
      <c r="AZ85" s="104"/>
      <c r="BA85" s="104"/>
      <c r="BB85" s="104"/>
      <c r="BC85" s="104"/>
      <c r="BD85" s="104"/>
      <c r="BE85" s="104"/>
      <c r="BF85" s="104"/>
      <c r="BG85" s="104"/>
      <c r="BH85" s="104"/>
      <c r="BI85" s="104"/>
      <c r="BJ85" s="104"/>
      <c r="BK85" s="104"/>
      <c r="BL85" s="104"/>
      <c r="BM85" s="104"/>
      <c r="BN85" s="104"/>
      <c r="BO85" s="104"/>
      <c r="BP85" s="104"/>
      <c r="BQ85" s="104"/>
      <c r="BR85" s="104"/>
      <c r="BS85" s="104"/>
      <c r="BT85" s="104"/>
      <c r="BU85" s="104"/>
      <c r="BV85" s="104"/>
      <c r="BW85" s="104"/>
      <c r="BX85" s="104"/>
      <c r="BY85" s="104"/>
      <c r="BZ85" s="104"/>
      <c r="CA85" s="104"/>
      <c r="CB85" s="104"/>
      <c r="CC85" s="104"/>
      <c r="CD85" s="104"/>
      <c r="CE85" s="104"/>
      <c r="CF85" s="104"/>
      <c r="CG85" s="104"/>
      <c r="CH85" s="104"/>
      <c r="CI85" s="104"/>
      <c r="CJ85" s="104"/>
      <c r="CK85" s="104"/>
      <c r="CL85" s="104"/>
      <c r="CM85" s="104"/>
      <c r="CN85" s="104"/>
      <c r="CO85" s="104"/>
      <c r="CP85" s="104"/>
      <c r="CQ85" s="104"/>
      <c r="CR85" s="104"/>
      <c r="CS85" s="104"/>
      <c r="CT85" s="104"/>
      <c r="CU85" s="104"/>
      <c r="CV85" s="104"/>
      <c r="CW85" s="104"/>
      <c r="CX85" s="104"/>
      <c r="CY85" s="104"/>
      <c r="CZ85" s="104"/>
      <c r="DA85" s="104"/>
      <c r="DB85" s="104"/>
      <c r="DC85" s="104"/>
      <c r="DD85" s="104"/>
      <c r="DE85" s="104"/>
      <c r="DF85" s="104"/>
      <c r="DG85" s="104"/>
      <c r="DH85" s="104"/>
      <c r="DI85" s="104"/>
      <c r="DJ85" s="104"/>
      <c r="DK85" s="104"/>
      <c r="DL85" s="104"/>
      <c r="DM85" s="104"/>
      <c r="DN85" s="104"/>
      <c r="DO85" s="104"/>
      <c r="DP85" s="104"/>
      <c r="DQ85" s="104"/>
      <c r="DR85" s="104"/>
      <c r="DS85" s="104"/>
      <c r="DT85" s="104"/>
      <c r="DU85" s="104"/>
      <c r="DV85" s="104"/>
      <c r="DW85" s="104"/>
      <c r="DX85" s="104"/>
      <c r="DY85" s="104"/>
      <c r="DZ85" s="104"/>
      <c r="EA85" s="104"/>
      <c r="EB85" s="104"/>
      <c r="EC85" s="104"/>
      <c r="ED85" s="104"/>
      <c r="EE85" s="104"/>
      <c r="EF85" s="104"/>
      <c r="EG85" s="104"/>
      <c r="EH85" s="104"/>
      <c r="EI85" s="104"/>
      <c r="EJ85" s="104"/>
      <c r="EK85" s="104"/>
      <c r="EL85" s="104"/>
      <c r="EM85" s="104"/>
      <c r="EN85" s="104"/>
      <c r="EO85" s="104"/>
      <c r="EP85" s="104"/>
      <c r="EQ85" s="104"/>
      <c r="ER85" s="104"/>
      <c r="ES85" s="104"/>
      <c r="ET85" s="104"/>
      <c r="EU85" s="104"/>
      <c r="EV85" s="104"/>
      <c r="EW85" s="104"/>
      <c r="EX85" s="104"/>
      <c r="EY85" s="104"/>
      <c r="EZ85" s="104"/>
      <c r="FA85" s="104"/>
      <c r="FB85" s="104"/>
      <c r="FC85" s="104"/>
      <c r="FD85" s="104"/>
      <c r="FE85" s="104"/>
      <c r="FF85" s="104"/>
      <c r="FG85" s="104"/>
      <c r="FH85" s="104"/>
      <c r="FI85" s="104"/>
      <c r="FJ85" s="104"/>
      <c r="FK85" s="104"/>
      <c r="FL85" s="104"/>
      <c r="FM85" s="104"/>
      <c r="FN85" s="104"/>
      <c r="FO85" s="104"/>
      <c r="FP85" s="104"/>
      <c r="FQ85" s="104"/>
      <c r="FR85" s="104"/>
      <c r="FS85" s="104"/>
      <c r="FT85" s="104"/>
      <c r="FU85" s="104"/>
      <c r="FV85" s="104"/>
      <c r="FW85" s="104"/>
      <c r="FX85" s="104"/>
      <c r="FY85" s="104"/>
      <c r="FZ85" s="104"/>
      <c r="GA85" s="104"/>
      <c r="GB85" s="104"/>
      <c r="GC85" s="104"/>
      <c r="GD85" s="104"/>
      <c r="GE85" s="104"/>
      <c r="GF85" s="104"/>
      <c r="GG85" s="104"/>
      <c r="GH85" s="104"/>
      <c r="GI85" s="104"/>
      <c r="GJ85" s="104"/>
      <c r="GK85" s="104"/>
      <c r="GL85" s="104"/>
      <c r="GM85" s="104"/>
      <c r="GN85" s="104"/>
      <c r="GO85" s="104"/>
      <c r="GP85" s="104"/>
      <c r="GQ85" s="104"/>
      <c r="GR85" s="104"/>
      <c r="GS85" s="104"/>
      <c r="GT85" s="104"/>
      <c r="GU85" s="104"/>
      <c r="GV85" s="104"/>
      <c r="GW85" s="104"/>
      <c r="GX85" s="104"/>
      <c r="GY85" s="104"/>
      <c r="GZ85" s="104"/>
      <c r="HA85" s="104"/>
      <c r="HB85" s="104"/>
      <c r="HC85" s="104"/>
      <c r="HD85" s="104"/>
      <c r="HE85" s="104"/>
      <c r="HF85" s="104"/>
      <c r="HG85" s="104"/>
      <c r="HH85" s="104"/>
      <c r="HI85" s="104"/>
      <c r="HJ85" s="104"/>
      <c r="HK85" s="104"/>
      <c r="HL85" s="104"/>
      <c r="HM85" s="104"/>
      <c r="HN85" s="104"/>
      <c r="HO85" s="104"/>
      <c r="HP85" s="104"/>
      <c r="HQ85" s="104"/>
      <c r="HR85" s="104"/>
      <c r="HS85" s="104"/>
      <c r="HT85" s="104"/>
      <c r="HU85" s="104"/>
      <c r="HV85" s="104"/>
      <c r="HW85" s="104"/>
      <c r="HX85" s="104"/>
      <c r="HY85" s="104"/>
      <c r="HZ85" s="104"/>
      <c r="IA85" s="104"/>
      <c r="IB85" s="104"/>
      <c r="IC85" s="104"/>
      <c r="ID85" s="104"/>
      <c r="IE85" s="104"/>
      <c r="IF85" s="104"/>
      <c r="IG85" s="104"/>
      <c r="IH85" s="104"/>
      <c r="II85" s="104"/>
      <c r="IJ85" s="104"/>
      <c r="IK85" s="104"/>
      <c r="IL85" s="104"/>
      <c r="IM85" s="104"/>
      <c r="IN85" s="104"/>
      <c r="IO85" s="104"/>
      <c r="IP85" s="104"/>
      <c r="IQ85" s="104"/>
      <c r="IR85" s="104"/>
      <c r="IS85" s="104"/>
      <c r="IT85" s="104"/>
      <c r="IU85" s="104"/>
      <c r="IV85" s="104"/>
      <c r="IW85" s="104"/>
      <c r="IX85" s="104"/>
      <c r="IY85" s="104"/>
      <c r="IZ85" s="104"/>
      <c r="JA85" s="104"/>
      <c r="JB85" s="104"/>
      <c r="JC85" s="104"/>
      <c r="JD85" s="104"/>
      <c r="JE85" s="104"/>
    </row>
    <row r="86" spans="4:265" x14ac:dyDescent="0.25">
      <c r="O86" s="104"/>
      <c r="P86" s="104"/>
      <c r="Q86" s="104"/>
      <c r="R86" s="104"/>
      <c r="S86" s="104"/>
      <c r="T86" s="104"/>
      <c r="U86" s="104"/>
      <c r="V86" s="104"/>
      <c r="W86" s="104"/>
      <c r="X86" s="104"/>
      <c r="Y86" s="104"/>
      <c r="Z86" s="104"/>
      <c r="AA86" s="104"/>
      <c r="AB86" s="104"/>
      <c r="AC86" s="104"/>
      <c r="AD86" s="104"/>
      <c r="AE86" s="104"/>
      <c r="AF86" s="104"/>
      <c r="AG86" s="104"/>
      <c r="AH86" s="104"/>
      <c r="AI86" s="104"/>
      <c r="AJ86" s="104"/>
      <c r="AK86" s="104"/>
      <c r="AL86" s="104"/>
      <c r="AM86" s="104"/>
      <c r="AN86" s="104"/>
      <c r="AO86" s="104"/>
      <c r="AP86" s="104"/>
      <c r="AQ86" s="104"/>
      <c r="AR86" s="104"/>
      <c r="AS86" s="104"/>
      <c r="AT86" s="104"/>
      <c r="AU86" s="104"/>
      <c r="AV86" s="104"/>
      <c r="AW86" s="104"/>
      <c r="AX86" s="104"/>
      <c r="AY86" s="104"/>
      <c r="AZ86" s="104"/>
      <c r="BA86" s="104"/>
      <c r="BB86" s="104"/>
      <c r="BC86" s="104"/>
      <c r="BD86" s="104"/>
      <c r="BE86" s="104"/>
      <c r="BF86" s="104"/>
      <c r="BG86" s="104"/>
      <c r="BH86" s="104"/>
      <c r="BI86" s="104"/>
      <c r="BJ86" s="104"/>
      <c r="BK86" s="104"/>
      <c r="BL86" s="104"/>
      <c r="BM86" s="104"/>
      <c r="BN86" s="104"/>
      <c r="BO86" s="104"/>
      <c r="BP86" s="104"/>
      <c r="BQ86" s="104"/>
      <c r="BR86" s="104"/>
      <c r="BS86" s="104"/>
      <c r="BT86" s="104"/>
      <c r="BU86" s="104"/>
      <c r="BV86" s="104"/>
      <c r="BW86" s="104"/>
      <c r="BX86" s="104"/>
      <c r="BY86" s="104"/>
      <c r="BZ86" s="104"/>
      <c r="CA86" s="104"/>
      <c r="CB86" s="104"/>
      <c r="CC86" s="104"/>
      <c r="CD86" s="104"/>
      <c r="CE86" s="104"/>
      <c r="CF86" s="104"/>
      <c r="CG86" s="104"/>
      <c r="CH86" s="104"/>
      <c r="CI86" s="104"/>
      <c r="CJ86" s="104"/>
      <c r="CK86" s="104"/>
      <c r="CL86" s="104"/>
      <c r="CM86" s="104"/>
      <c r="CN86" s="104"/>
      <c r="CO86" s="104"/>
      <c r="CP86" s="104"/>
      <c r="CQ86" s="104"/>
      <c r="CR86" s="104"/>
      <c r="CS86" s="104"/>
      <c r="CT86" s="104"/>
      <c r="CU86" s="104"/>
      <c r="CV86" s="104"/>
      <c r="CW86" s="104"/>
      <c r="CX86" s="104"/>
      <c r="CY86" s="104"/>
      <c r="CZ86" s="104"/>
      <c r="DA86" s="104"/>
      <c r="DB86" s="104"/>
      <c r="DC86" s="104"/>
      <c r="DD86" s="104"/>
      <c r="DE86" s="104"/>
      <c r="DF86" s="104"/>
      <c r="DG86" s="104"/>
      <c r="DH86" s="104"/>
      <c r="DI86" s="104"/>
      <c r="DJ86" s="104"/>
      <c r="DK86" s="104"/>
      <c r="DL86" s="104"/>
      <c r="DM86" s="104"/>
      <c r="DN86" s="104"/>
      <c r="DO86" s="104"/>
      <c r="DP86" s="104"/>
      <c r="DQ86" s="104"/>
      <c r="DR86" s="104"/>
      <c r="DS86" s="104"/>
      <c r="DT86" s="104"/>
      <c r="DU86" s="104"/>
      <c r="DV86" s="104"/>
      <c r="DW86" s="104"/>
      <c r="DX86" s="104"/>
      <c r="DY86" s="104"/>
      <c r="DZ86" s="104"/>
      <c r="EA86" s="104"/>
      <c r="EB86" s="104"/>
      <c r="EC86" s="104"/>
      <c r="ED86" s="104"/>
      <c r="EE86" s="104"/>
      <c r="EF86" s="104"/>
      <c r="EG86" s="104"/>
      <c r="EH86" s="104"/>
      <c r="EI86" s="104"/>
      <c r="EJ86" s="104"/>
      <c r="EK86" s="104"/>
      <c r="EL86" s="104"/>
      <c r="EM86" s="104"/>
      <c r="EN86" s="104"/>
      <c r="EO86" s="104"/>
      <c r="EP86" s="104"/>
      <c r="EQ86" s="104"/>
      <c r="ER86" s="104"/>
      <c r="ES86" s="104"/>
      <c r="ET86" s="104"/>
      <c r="EU86" s="104"/>
      <c r="EV86" s="104"/>
      <c r="EW86" s="104"/>
      <c r="EX86" s="104"/>
      <c r="EY86" s="104"/>
      <c r="EZ86" s="104"/>
      <c r="FA86" s="104"/>
      <c r="FB86" s="104"/>
      <c r="FC86" s="104"/>
      <c r="FD86" s="104"/>
      <c r="FE86" s="104"/>
      <c r="FF86" s="104"/>
      <c r="FG86" s="104"/>
      <c r="FH86" s="104"/>
      <c r="FI86" s="104"/>
      <c r="FJ86" s="104"/>
      <c r="FK86" s="104"/>
      <c r="FL86" s="104"/>
      <c r="FM86" s="104"/>
      <c r="FN86" s="104"/>
      <c r="FO86" s="104"/>
      <c r="FP86" s="104"/>
      <c r="FQ86" s="104"/>
      <c r="FR86" s="104"/>
      <c r="FS86" s="104"/>
      <c r="FT86" s="104"/>
      <c r="FU86" s="104"/>
      <c r="FV86" s="104"/>
      <c r="FW86" s="104"/>
      <c r="FX86" s="104"/>
      <c r="FY86" s="104"/>
      <c r="FZ86" s="104"/>
      <c r="GA86" s="104"/>
      <c r="GB86" s="104"/>
      <c r="GC86" s="104"/>
      <c r="GD86" s="104"/>
      <c r="GE86" s="104"/>
      <c r="GF86" s="104"/>
      <c r="GG86" s="104"/>
      <c r="GH86" s="104"/>
      <c r="GI86" s="104"/>
      <c r="GJ86" s="104"/>
      <c r="GK86" s="104"/>
      <c r="GL86" s="104"/>
      <c r="GM86" s="104"/>
      <c r="GN86" s="104"/>
      <c r="GO86" s="104"/>
      <c r="GP86" s="104"/>
      <c r="GQ86" s="104"/>
      <c r="GR86" s="104"/>
      <c r="GS86" s="104"/>
      <c r="GT86" s="104"/>
      <c r="GU86" s="104"/>
      <c r="GV86" s="104"/>
      <c r="GW86" s="104"/>
      <c r="GX86" s="104"/>
      <c r="GY86" s="104"/>
      <c r="GZ86" s="104"/>
      <c r="HA86" s="104"/>
      <c r="HB86" s="104"/>
      <c r="HC86" s="104"/>
      <c r="HD86" s="104"/>
      <c r="HE86" s="104"/>
      <c r="HF86" s="104"/>
      <c r="HG86" s="104"/>
      <c r="HH86" s="104"/>
      <c r="HI86" s="104"/>
      <c r="HJ86" s="104"/>
      <c r="HK86" s="104"/>
      <c r="HL86" s="104"/>
      <c r="HM86" s="104"/>
      <c r="HN86" s="104"/>
      <c r="HO86" s="104"/>
      <c r="HP86" s="104"/>
      <c r="HQ86" s="104"/>
      <c r="HR86" s="104"/>
      <c r="HS86" s="104"/>
      <c r="HT86" s="104"/>
      <c r="HU86" s="104"/>
      <c r="HV86" s="104"/>
      <c r="HW86" s="104"/>
      <c r="HX86" s="104"/>
      <c r="HY86" s="104"/>
      <c r="HZ86" s="104"/>
      <c r="IA86" s="104"/>
      <c r="IB86" s="104"/>
      <c r="IC86" s="104"/>
      <c r="ID86" s="104"/>
      <c r="IE86" s="104"/>
      <c r="IF86" s="104"/>
      <c r="IG86" s="104"/>
      <c r="IH86" s="104"/>
      <c r="II86" s="104"/>
      <c r="IJ86" s="104"/>
      <c r="IK86" s="104"/>
      <c r="IL86" s="104"/>
      <c r="IM86" s="104"/>
      <c r="IN86" s="104"/>
      <c r="IO86" s="104"/>
      <c r="IP86" s="104"/>
      <c r="IQ86" s="104"/>
      <c r="IR86" s="104"/>
      <c r="IS86" s="104"/>
      <c r="IT86" s="104"/>
      <c r="IU86" s="104"/>
      <c r="IV86" s="104"/>
      <c r="IW86" s="104"/>
      <c r="IX86" s="104"/>
      <c r="IY86" s="104"/>
      <c r="IZ86" s="104"/>
      <c r="JA86" s="104"/>
      <c r="JB86" s="104"/>
      <c r="JC86" s="104"/>
      <c r="JD86" s="104"/>
      <c r="JE86" s="104"/>
    </row>
    <row r="87" spans="4:265" x14ac:dyDescent="0.25">
      <c r="O87" s="104"/>
      <c r="P87" s="104"/>
      <c r="Q87" s="104"/>
      <c r="R87" s="104"/>
      <c r="S87" s="104"/>
      <c r="T87" s="104"/>
      <c r="U87" s="104"/>
      <c r="V87" s="104"/>
      <c r="W87" s="104"/>
      <c r="X87" s="104"/>
      <c r="Y87" s="104"/>
      <c r="Z87" s="104"/>
      <c r="AA87" s="104"/>
      <c r="AB87" s="104"/>
      <c r="AC87" s="104"/>
      <c r="AD87" s="104"/>
      <c r="AE87" s="104"/>
      <c r="AF87" s="104"/>
      <c r="AG87" s="104"/>
      <c r="AH87" s="104"/>
      <c r="AI87" s="104"/>
      <c r="AJ87" s="104"/>
      <c r="AK87" s="104"/>
      <c r="AL87" s="104"/>
      <c r="AM87" s="104"/>
      <c r="AN87" s="104"/>
      <c r="AO87" s="104"/>
      <c r="AP87" s="104"/>
      <c r="AQ87" s="104"/>
      <c r="AR87" s="104"/>
      <c r="AS87" s="104"/>
      <c r="AT87" s="104"/>
      <c r="AU87" s="104"/>
      <c r="AV87" s="104"/>
      <c r="AW87" s="104"/>
      <c r="AX87" s="104"/>
      <c r="AY87" s="104"/>
      <c r="AZ87" s="104"/>
      <c r="BA87" s="104"/>
      <c r="BB87" s="104"/>
      <c r="BC87" s="104"/>
      <c r="BD87" s="104"/>
      <c r="BE87" s="104"/>
      <c r="BF87" s="104"/>
      <c r="BG87" s="104"/>
      <c r="BH87" s="104"/>
      <c r="BI87" s="104"/>
      <c r="BJ87" s="104"/>
      <c r="BK87" s="104"/>
      <c r="BL87" s="104"/>
      <c r="BM87" s="104"/>
      <c r="BN87" s="104"/>
      <c r="BO87" s="104"/>
      <c r="BP87" s="104"/>
      <c r="BQ87" s="104"/>
      <c r="BR87" s="104"/>
      <c r="BS87" s="104"/>
      <c r="BT87" s="104"/>
      <c r="BU87" s="104"/>
      <c r="BV87" s="104"/>
      <c r="BW87" s="104"/>
      <c r="BX87" s="104"/>
      <c r="BY87" s="104"/>
      <c r="BZ87" s="104"/>
      <c r="CA87" s="104"/>
      <c r="CB87" s="104"/>
      <c r="CC87" s="104"/>
      <c r="CD87" s="104"/>
      <c r="CE87" s="104"/>
      <c r="CF87" s="104"/>
      <c r="CG87" s="104"/>
      <c r="CH87" s="104"/>
      <c r="CI87" s="104"/>
      <c r="CJ87" s="104"/>
      <c r="CK87" s="104"/>
      <c r="CL87" s="104"/>
      <c r="CM87" s="104"/>
      <c r="CN87" s="104"/>
      <c r="CO87" s="104"/>
      <c r="CP87" s="104"/>
      <c r="CQ87" s="104"/>
      <c r="CR87" s="104"/>
      <c r="CS87" s="104"/>
      <c r="CT87" s="104"/>
      <c r="CU87" s="104"/>
      <c r="CV87" s="104"/>
      <c r="CW87" s="104"/>
      <c r="CX87" s="104"/>
      <c r="CY87" s="104"/>
      <c r="CZ87" s="104"/>
      <c r="DA87" s="104"/>
      <c r="DB87" s="104"/>
      <c r="DC87" s="104"/>
      <c r="DD87" s="104"/>
      <c r="DE87" s="104"/>
      <c r="DF87" s="104"/>
      <c r="DG87" s="104"/>
      <c r="DH87" s="104"/>
      <c r="DI87" s="104"/>
      <c r="DJ87" s="104"/>
      <c r="DK87" s="104"/>
      <c r="DL87" s="104"/>
      <c r="DM87" s="104"/>
      <c r="DN87" s="104"/>
      <c r="DO87" s="104"/>
      <c r="DP87" s="104"/>
      <c r="DQ87" s="104"/>
      <c r="DR87" s="104"/>
      <c r="DS87" s="104"/>
      <c r="DT87" s="104"/>
      <c r="DU87" s="104"/>
      <c r="DV87" s="104"/>
      <c r="DW87" s="104"/>
      <c r="DX87" s="104"/>
      <c r="DY87" s="104"/>
      <c r="DZ87" s="104"/>
      <c r="EA87" s="104"/>
      <c r="EB87" s="104"/>
      <c r="EC87" s="104"/>
      <c r="ED87" s="104"/>
      <c r="EE87" s="104"/>
      <c r="EF87" s="104"/>
      <c r="EG87" s="104"/>
      <c r="EH87" s="104"/>
      <c r="EI87" s="104"/>
      <c r="EJ87" s="104"/>
      <c r="EK87" s="104"/>
      <c r="EL87" s="104"/>
      <c r="EM87" s="104"/>
      <c r="EN87" s="104"/>
      <c r="EO87" s="104"/>
      <c r="EP87" s="104"/>
      <c r="EQ87" s="104"/>
      <c r="ER87" s="104"/>
      <c r="ES87" s="104"/>
      <c r="ET87" s="104"/>
      <c r="EU87" s="104"/>
      <c r="EV87" s="104"/>
      <c r="EW87" s="104"/>
      <c r="EX87" s="104"/>
      <c r="EY87" s="104"/>
      <c r="EZ87" s="104"/>
      <c r="FA87" s="104"/>
      <c r="FB87" s="104"/>
      <c r="FC87" s="104"/>
      <c r="FD87" s="104"/>
      <c r="FE87" s="104"/>
      <c r="FF87" s="104"/>
      <c r="FG87" s="104"/>
      <c r="FH87" s="104"/>
      <c r="FI87" s="104"/>
      <c r="FJ87" s="104"/>
      <c r="FK87" s="104"/>
      <c r="FL87" s="104"/>
      <c r="FM87" s="104"/>
      <c r="FN87" s="104"/>
      <c r="FO87" s="104"/>
      <c r="FP87" s="104"/>
      <c r="FQ87" s="104"/>
      <c r="FR87" s="104"/>
      <c r="FS87" s="104"/>
      <c r="FT87" s="104"/>
      <c r="FU87" s="104"/>
      <c r="FV87" s="104"/>
      <c r="FW87" s="104"/>
      <c r="FX87" s="104"/>
      <c r="FY87" s="104"/>
      <c r="FZ87" s="104"/>
      <c r="GA87" s="104"/>
      <c r="GB87" s="104"/>
      <c r="GC87" s="104"/>
      <c r="GD87" s="104"/>
      <c r="GE87" s="104"/>
      <c r="GF87" s="104"/>
      <c r="GG87" s="104"/>
      <c r="GH87" s="104"/>
      <c r="GI87" s="104"/>
      <c r="GJ87" s="104"/>
      <c r="GK87" s="104"/>
      <c r="GL87" s="104"/>
      <c r="GM87" s="104"/>
      <c r="GN87" s="104"/>
      <c r="GO87" s="104"/>
      <c r="GP87" s="104"/>
      <c r="GQ87" s="104"/>
      <c r="GR87" s="104"/>
      <c r="GS87" s="104"/>
      <c r="GT87" s="104"/>
      <c r="GU87" s="104"/>
      <c r="GV87" s="104"/>
      <c r="GW87" s="104"/>
      <c r="GX87" s="104"/>
      <c r="GY87" s="104"/>
      <c r="GZ87" s="104"/>
      <c r="HA87" s="104"/>
      <c r="HB87" s="104"/>
      <c r="HC87" s="104"/>
      <c r="HD87" s="104"/>
      <c r="HE87" s="104"/>
      <c r="HF87" s="104"/>
      <c r="HG87" s="104"/>
      <c r="HH87" s="104"/>
      <c r="HI87" s="104"/>
      <c r="HJ87" s="104"/>
      <c r="HK87" s="104"/>
      <c r="HL87" s="104"/>
      <c r="HM87" s="104"/>
      <c r="HN87" s="104"/>
      <c r="HO87" s="104"/>
      <c r="HP87" s="104"/>
      <c r="HQ87" s="104"/>
      <c r="HR87" s="104"/>
      <c r="HS87" s="104"/>
      <c r="HT87" s="104"/>
      <c r="HU87" s="104"/>
      <c r="HV87" s="104"/>
      <c r="HW87" s="104"/>
      <c r="HX87" s="104"/>
      <c r="HY87" s="104"/>
      <c r="HZ87" s="104"/>
      <c r="IA87" s="104"/>
      <c r="IB87" s="104"/>
      <c r="IC87" s="104"/>
      <c r="ID87" s="104"/>
      <c r="IE87" s="104"/>
      <c r="IF87" s="104"/>
      <c r="IG87" s="104"/>
      <c r="IH87" s="104"/>
      <c r="II87" s="104"/>
      <c r="IJ87" s="104"/>
      <c r="IK87" s="104"/>
      <c r="IL87" s="104"/>
      <c r="IM87" s="104"/>
      <c r="IN87" s="104"/>
      <c r="IO87" s="104"/>
      <c r="IP87" s="104"/>
      <c r="IQ87" s="104"/>
      <c r="IR87" s="104"/>
      <c r="IS87" s="104"/>
      <c r="IT87" s="104"/>
      <c r="IU87" s="104"/>
      <c r="IV87" s="104"/>
      <c r="IW87" s="104"/>
      <c r="IX87" s="104"/>
      <c r="IY87" s="104"/>
      <c r="IZ87" s="104"/>
      <c r="JA87" s="104"/>
      <c r="JB87" s="104"/>
      <c r="JC87" s="104"/>
      <c r="JD87" s="104"/>
      <c r="JE87" s="104"/>
    </row>
    <row r="88" spans="4:265" x14ac:dyDescent="0.25">
      <c r="O88" s="104"/>
      <c r="P88" s="104"/>
      <c r="Q88" s="104"/>
      <c r="R88" s="104"/>
      <c r="S88" s="104"/>
      <c r="T88" s="104"/>
      <c r="U88" s="104"/>
      <c r="V88" s="104"/>
      <c r="W88" s="104"/>
      <c r="X88" s="104"/>
      <c r="Y88" s="104"/>
      <c r="Z88" s="104"/>
      <c r="AA88" s="104"/>
      <c r="AB88" s="104"/>
      <c r="AC88" s="104"/>
      <c r="AD88" s="104"/>
      <c r="AE88" s="104"/>
      <c r="AF88" s="104"/>
      <c r="AG88" s="104"/>
      <c r="AH88" s="104"/>
      <c r="AI88" s="104"/>
      <c r="AJ88" s="104"/>
      <c r="AK88" s="104"/>
      <c r="AL88" s="104"/>
      <c r="AM88" s="104"/>
      <c r="AN88" s="104"/>
      <c r="AO88" s="104"/>
      <c r="AP88" s="104"/>
      <c r="AQ88" s="104"/>
      <c r="AR88" s="104"/>
      <c r="AS88" s="104"/>
      <c r="AT88" s="104"/>
      <c r="AU88" s="104"/>
      <c r="AV88" s="104"/>
      <c r="AW88" s="104"/>
      <c r="AX88" s="104"/>
      <c r="AY88" s="104"/>
      <c r="AZ88" s="104"/>
      <c r="BA88" s="104"/>
      <c r="BB88" s="104"/>
      <c r="BC88" s="104"/>
      <c r="BD88" s="104"/>
      <c r="BE88" s="104"/>
      <c r="BF88" s="104"/>
      <c r="BG88" s="104"/>
      <c r="BH88" s="104"/>
      <c r="BI88" s="104"/>
      <c r="BJ88" s="104"/>
      <c r="BK88" s="104"/>
      <c r="BL88" s="104"/>
      <c r="BM88" s="104"/>
      <c r="BN88" s="104"/>
      <c r="BO88" s="104"/>
      <c r="BP88" s="104"/>
      <c r="BQ88" s="104"/>
      <c r="BR88" s="104"/>
      <c r="BS88" s="104"/>
      <c r="BT88" s="104"/>
      <c r="BU88" s="104"/>
      <c r="BV88" s="104"/>
      <c r="BW88" s="104"/>
      <c r="BX88" s="104"/>
      <c r="BY88" s="104"/>
      <c r="BZ88" s="104"/>
      <c r="CA88" s="104"/>
      <c r="CB88" s="104"/>
      <c r="CC88" s="104"/>
      <c r="CD88" s="104"/>
      <c r="CE88" s="104"/>
      <c r="CF88" s="104"/>
      <c r="CG88" s="104"/>
      <c r="CH88" s="104"/>
      <c r="CI88" s="104"/>
      <c r="CJ88" s="104"/>
      <c r="CK88" s="104"/>
      <c r="CL88" s="104"/>
      <c r="CM88" s="104"/>
      <c r="CN88" s="104"/>
      <c r="CO88" s="104"/>
      <c r="CP88" s="104"/>
      <c r="CQ88" s="104"/>
      <c r="CR88" s="104"/>
      <c r="CS88" s="104"/>
      <c r="CT88" s="104"/>
      <c r="CU88" s="104"/>
      <c r="CV88" s="104"/>
      <c r="CW88" s="104"/>
      <c r="CX88" s="104"/>
      <c r="CY88" s="104"/>
      <c r="CZ88" s="104"/>
      <c r="DA88" s="104"/>
      <c r="DB88" s="104"/>
      <c r="DC88" s="104"/>
      <c r="DD88" s="104"/>
      <c r="DE88" s="104"/>
      <c r="DF88" s="104"/>
      <c r="DG88" s="104"/>
      <c r="DH88" s="104"/>
      <c r="DI88" s="104"/>
      <c r="DJ88" s="104"/>
      <c r="DK88" s="104"/>
      <c r="DL88" s="104"/>
      <c r="DM88" s="104"/>
      <c r="DN88" s="104"/>
      <c r="DO88" s="104"/>
      <c r="DP88" s="104"/>
      <c r="DQ88" s="104"/>
      <c r="DR88" s="104"/>
      <c r="DS88" s="104"/>
      <c r="DT88" s="104"/>
      <c r="DU88" s="104"/>
      <c r="DV88" s="104"/>
      <c r="DW88" s="104"/>
      <c r="DX88" s="104"/>
      <c r="DY88" s="104"/>
      <c r="DZ88" s="104"/>
      <c r="EA88" s="104"/>
      <c r="EB88" s="104"/>
      <c r="EC88" s="104"/>
      <c r="ED88" s="104"/>
      <c r="EE88" s="104"/>
      <c r="EF88" s="104"/>
      <c r="EG88" s="104"/>
      <c r="EH88" s="104"/>
      <c r="EI88" s="104"/>
      <c r="EJ88" s="104"/>
      <c r="EK88" s="104"/>
      <c r="EL88" s="104"/>
      <c r="EM88" s="104"/>
      <c r="EN88" s="104"/>
      <c r="EO88" s="104"/>
      <c r="EP88" s="104"/>
      <c r="EQ88" s="104"/>
      <c r="ER88" s="104"/>
      <c r="ES88" s="104"/>
      <c r="ET88" s="104"/>
      <c r="EU88" s="104"/>
      <c r="EV88" s="104"/>
      <c r="EW88" s="104"/>
      <c r="EX88" s="104"/>
      <c r="EY88" s="104"/>
      <c r="EZ88" s="104"/>
      <c r="FA88" s="104"/>
      <c r="FB88" s="104"/>
      <c r="FC88" s="104"/>
      <c r="FD88" s="104"/>
      <c r="FE88" s="104"/>
      <c r="FF88" s="104"/>
      <c r="FG88" s="104"/>
      <c r="FH88" s="104"/>
      <c r="FI88" s="104"/>
      <c r="FJ88" s="104"/>
      <c r="FK88" s="104"/>
      <c r="FL88" s="104"/>
      <c r="FM88" s="104"/>
      <c r="FN88" s="104"/>
      <c r="FO88" s="104"/>
      <c r="FP88" s="104"/>
      <c r="FQ88" s="104"/>
      <c r="FR88" s="104"/>
      <c r="FS88" s="104"/>
      <c r="FT88" s="104"/>
      <c r="FU88" s="104"/>
      <c r="FV88" s="104"/>
      <c r="FW88" s="104"/>
      <c r="FX88" s="104"/>
      <c r="FY88" s="104"/>
      <c r="FZ88" s="104"/>
      <c r="GA88" s="104"/>
      <c r="GB88" s="104"/>
      <c r="GC88" s="104"/>
      <c r="GD88" s="104"/>
      <c r="GE88" s="104"/>
      <c r="GF88" s="104"/>
      <c r="GG88" s="104"/>
      <c r="GH88" s="104"/>
      <c r="GI88" s="104"/>
      <c r="GJ88" s="104"/>
      <c r="GK88" s="104"/>
      <c r="GL88" s="104"/>
      <c r="GM88" s="104"/>
      <c r="GN88" s="104"/>
      <c r="GO88" s="104"/>
      <c r="GP88" s="104"/>
      <c r="GQ88" s="104"/>
      <c r="GR88" s="104"/>
      <c r="GS88" s="104"/>
      <c r="GT88" s="104"/>
      <c r="GU88" s="104"/>
      <c r="GV88" s="104"/>
      <c r="GW88" s="104"/>
      <c r="GX88" s="104"/>
      <c r="GY88" s="104"/>
      <c r="GZ88" s="104"/>
      <c r="HA88" s="104"/>
      <c r="HB88" s="104"/>
      <c r="HC88" s="104"/>
      <c r="HD88" s="104"/>
      <c r="HE88" s="104"/>
      <c r="HF88" s="104"/>
      <c r="HG88" s="104"/>
      <c r="HH88" s="104"/>
      <c r="HI88" s="104"/>
      <c r="HJ88" s="104"/>
      <c r="HK88" s="104"/>
      <c r="HL88" s="104"/>
      <c r="HM88" s="104"/>
      <c r="HN88" s="104"/>
      <c r="HO88" s="104"/>
      <c r="HP88" s="104"/>
      <c r="HQ88" s="104"/>
      <c r="HR88" s="104"/>
      <c r="HS88" s="104"/>
      <c r="HT88" s="104"/>
      <c r="HU88" s="104"/>
      <c r="HV88" s="104"/>
      <c r="HW88" s="104"/>
      <c r="HX88" s="104"/>
      <c r="HY88" s="104"/>
      <c r="HZ88" s="104"/>
      <c r="IA88" s="104"/>
      <c r="IB88" s="104"/>
      <c r="IC88" s="104"/>
      <c r="ID88" s="104"/>
      <c r="IE88" s="104"/>
      <c r="IF88" s="104"/>
      <c r="IG88" s="104"/>
      <c r="IH88" s="104"/>
      <c r="II88" s="104"/>
      <c r="IJ88" s="104"/>
      <c r="IK88" s="104"/>
      <c r="IL88" s="104"/>
      <c r="IM88" s="104"/>
      <c r="IN88" s="104"/>
      <c r="IO88" s="104"/>
      <c r="IP88" s="104"/>
      <c r="IQ88" s="104"/>
      <c r="IR88" s="104"/>
      <c r="IS88" s="104"/>
      <c r="IT88" s="104"/>
      <c r="IU88" s="104"/>
      <c r="IV88" s="104"/>
      <c r="IW88" s="104"/>
      <c r="IX88" s="104"/>
      <c r="IY88" s="104"/>
      <c r="IZ88" s="104"/>
      <c r="JA88" s="104"/>
      <c r="JB88" s="104"/>
      <c r="JC88" s="104"/>
      <c r="JD88" s="104"/>
      <c r="JE88" s="104"/>
    </row>
    <row r="89" spans="4:265" x14ac:dyDescent="0.25">
      <c r="O89" s="104"/>
      <c r="P89" s="104"/>
      <c r="Q89" s="104"/>
      <c r="R89" s="104"/>
      <c r="S89" s="104"/>
      <c r="T89" s="104"/>
      <c r="U89" s="104"/>
      <c r="V89" s="104"/>
      <c r="W89" s="104"/>
      <c r="X89" s="104"/>
      <c r="Y89" s="104"/>
      <c r="Z89" s="104"/>
      <c r="AA89" s="104"/>
      <c r="AB89" s="104"/>
      <c r="AC89" s="104"/>
      <c r="AD89" s="104"/>
      <c r="AE89" s="104"/>
      <c r="AF89" s="104"/>
      <c r="AG89" s="104"/>
      <c r="AH89" s="104"/>
      <c r="AI89" s="104"/>
      <c r="AJ89" s="104"/>
      <c r="AK89" s="104"/>
      <c r="AL89" s="104"/>
      <c r="AM89" s="104"/>
      <c r="AN89" s="104"/>
      <c r="AO89" s="104"/>
      <c r="AP89" s="104"/>
      <c r="AQ89" s="104"/>
      <c r="AR89" s="104"/>
      <c r="AS89" s="104"/>
      <c r="AT89" s="104"/>
      <c r="AU89" s="104"/>
      <c r="AV89" s="104"/>
      <c r="AW89" s="104"/>
      <c r="AX89" s="104"/>
      <c r="AY89" s="104"/>
      <c r="AZ89" s="104"/>
      <c r="BA89" s="104"/>
      <c r="BB89" s="104"/>
      <c r="BC89" s="104"/>
      <c r="BD89" s="104"/>
      <c r="BE89" s="104"/>
      <c r="BF89" s="104"/>
      <c r="BG89" s="104"/>
      <c r="BH89" s="104"/>
      <c r="BI89" s="104"/>
      <c r="BJ89" s="104"/>
      <c r="BK89" s="104"/>
      <c r="BL89" s="104"/>
      <c r="BM89" s="104"/>
      <c r="BN89" s="104"/>
      <c r="BO89" s="104"/>
      <c r="BP89" s="104"/>
      <c r="BQ89" s="104"/>
      <c r="BR89" s="104"/>
      <c r="BS89" s="104"/>
      <c r="BT89" s="104"/>
      <c r="BU89" s="104"/>
      <c r="BV89" s="104"/>
      <c r="BW89" s="104"/>
      <c r="BX89" s="104"/>
      <c r="BY89" s="104"/>
      <c r="BZ89" s="104"/>
      <c r="CA89" s="104"/>
      <c r="CB89" s="104"/>
      <c r="CC89" s="104"/>
      <c r="CD89" s="104"/>
      <c r="CE89" s="104"/>
      <c r="CF89" s="104"/>
      <c r="CG89" s="104"/>
      <c r="CH89" s="104"/>
      <c r="CI89" s="104"/>
      <c r="CJ89" s="104"/>
      <c r="CK89" s="104"/>
      <c r="CL89" s="104"/>
      <c r="CM89" s="104"/>
      <c r="CN89" s="104"/>
      <c r="CO89" s="104"/>
      <c r="CP89" s="104"/>
      <c r="CQ89" s="104"/>
      <c r="CR89" s="104"/>
      <c r="CS89" s="104"/>
      <c r="CT89" s="104"/>
      <c r="CU89" s="104"/>
      <c r="CV89" s="104"/>
      <c r="CW89" s="104"/>
      <c r="CX89" s="104"/>
      <c r="CY89" s="104"/>
      <c r="CZ89" s="104"/>
      <c r="DA89" s="104"/>
      <c r="DB89" s="104"/>
      <c r="DC89" s="104"/>
      <c r="DD89" s="104"/>
      <c r="DE89" s="104"/>
      <c r="DF89" s="104"/>
      <c r="DG89" s="104"/>
      <c r="DH89" s="104"/>
      <c r="DI89" s="104"/>
      <c r="DJ89" s="104"/>
      <c r="DK89" s="104"/>
      <c r="DL89" s="104"/>
      <c r="DM89" s="104"/>
      <c r="DN89" s="104"/>
      <c r="DO89" s="104"/>
      <c r="DP89" s="104"/>
      <c r="DQ89" s="104"/>
      <c r="DR89" s="104"/>
      <c r="DS89" s="104"/>
      <c r="DT89" s="104"/>
      <c r="DU89" s="104"/>
      <c r="DV89" s="104"/>
      <c r="DW89" s="104"/>
      <c r="DX89" s="104"/>
      <c r="DY89" s="104"/>
      <c r="DZ89" s="104"/>
      <c r="EA89" s="104"/>
      <c r="EB89" s="104"/>
      <c r="EC89" s="104"/>
      <c r="ED89" s="104"/>
      <c r="EE89" s="104"/>
      <c r="EF89" s="104"/>
      <c r="EG89" s="104"/>
      <c r="EH89" s="104"/>
      <c r="EI89" s="104"/>
      <c r="EJ89" s="104"/>
      <c r="EK89" s="104"/>
      <c r="EL89" s="104"/>
      <c r="EM89" s="104"/>
      <c r="EN89" s="104"/>
      <c r="EO89" s="104"/>
      <c r="EP89" s="104"/>
      <c r="EQ89" s="104"/>
      <c r="ER89" s="104"/>
      <c r="ES89" s="104"/>
      <c r="ET89" s="104"/>
      <c r="EU89" s="104"/>
      <c r="EV89" s="104"/>
      <c r="EW89" s="104"/>
      <c r="EX89" s="104"/>
      <c r="EY89" s="104"/>
      <c r="EZ89" s="104"/>
      <c r="FA89" s="104"/>
      <c r="FB89" s="104"/>
      <c r="FC89" s="104"/>
      <c r="FD89" s="104"/>
      <c r="FE89" s="104"/>
      <c r="FF89" s="104"/>
      <c r="FG89" s="104"/>
      <c r="FH89" s="104"/>
      <c r="FI89" s="104"/>
      <c r="FJ89" s="104"/>
      <c r="FK89" s="104"/>
      <c r="FL89" s="104"/>
      <c r="FM89" s="104"/>
      <c r="FN89" s="104"/>
      <c r="FO89" s="104"/>
      <c r="FP89" s="104"/>
      <c r="FQ89" s="104"/>
      <c r="FR89" s="104"/>
      <c r="FS89" s="104"/>
      <c r="FT89" s="104"/>
      <c r="FU89" s="104"/>
      <c r="FV89" s="104"/>
      <c r="FW89" s="104"/>
      <c r="FX89" s="104"/>
      <c r="FY89" s="104"/>
      <c r="FZ89" s="104"/>
      <c r="GA89" s="104"/>
      <c r="GB89" s="104"/>
      <c r="GC89" s="104"/>
      <c r="GD89" s="104"/>
      <c r="GE89" s="104"/>
      <c r="GF89" s="104"/>
      <c r="GG89" s="104"/>
      <c r="GH89" s="104"/>
      <c r="GI89" s="104"/>
      <c r="GJ89" s="104"/>
      <c r="GK89" s="104"/>
      <c r="GL89" s="104"/>
      <c r="GM89" s="104"/>
      <c r="GN89" s="104"/>
      <c r="GO89" s="104"/>
      <c r="GP89" s="104"/>
      <c r="GQ89" s="104"/>
      <c r="GR89" s="104"/>
      <c r="GS89" s="104"/>
      <c r="GT89" s="104"/>
      <c r="GU89" s="104"/>
      <c r="GV89" s="104"/>
      <c r="GW89" s="104"/>
      <c r="GX89" s="104"/>
      <c r="GY89" s="104"/>
      <c r="GZ89" s="104"/>
      <c r="HA89" s="104"/>
      <c r="HB89" s="104"/>
      <c r="HC89" s="104"/>
      <c r="HD89" s="104"/>
      <c r="HE89" s="104"/>
      <c r="HF89" s="104"/>
      <c r="HG89" s="104"/>
      <c r="HH89" s="104"/>
      <c r="HI89" s="104"/>
      <c r="HJ89" s="104"/>
      <c r="HK89" s="104"/>
      <c r="HL89" s="104"/>
      <c r="HM89" s="104"/>
      <c r="HN89" s="104"/>
      <c r="HO89" s="104"/>
      <c r="HP89" s="104"/>
      <c r="HQ89" s="104"/>
      <c r="HR89" s="104"/>
      <c r="HS89" s="104"/>
      <c r="HT89" s="104"/>
      <c r="HU89" s="104"/>
      <c r="HV89" s="104"/>
      <c r="HW89" s="104"/>
      <c r="HX89" s="104"/>
      <c r="HY89" s="104"/>
      <c r="HZ89" s="104"/>
      <c r="IA89" s="104"/>
      <c r="IB89" s="104"/>
      <c r="IC89" s="104"/>
      <c r="ID89" s="104"/>
      <c r="IE89" s="104"/>
      <c r="IF89" s="104"/>
      <c r="IG89" s="104"/>
      <c r="IH89" s="104"/>
      <c r="II89" s="104"/>
      <c r="IJ89" s="104"/>
      <c r="IK89" s="104"/>
      <c r="IL89" s="104"/>
      <c r="IM89" s="104"/>
      <c r="IN89" s="104"/>
      <c r="IO89" s="104"/>
      <c r="IP89" s="104"/>
      <c r="IQ89" s="104"/>
      <c r="IR89" s="104"/>
      <c r="IS89" s="104"/>
      <c r="IT89" s="104"/>
      <c r="IU89" s="104"/>
      <c r="IV89" s="104"/>
      <c r="IW89" s="104"/>
      <c r="IX89" s="104"/>
      <c r="IY89" s="104"/>
      <c r="IZ89" s="104"/>
      <c r="JA89" s="104"/>
      <c r="JB89" s="104"/>
      <c r="JC89" s="104"/>
      <c r="JD89" s="104"/>
      <c r="JE89" s="104"/>
    </row>
    <row r="90" spans="4:265" x14ac:dyDescent="0.25">
      <c r="D90" s="3"/>
      <c r="E90" s="3"/>
      <c r="F90" s="3"/>
      <c r="G90" s="3"/>
      <c r="H90" s="3"/>
      <c r="O90" s="104"/>
      <c r="P90" s="104"/>
      <c r="Q90" s="104"/>
      <c r="R90" s="104"/>
      <c r="S90" s="104"/>
      <c r="T90" s="104"/>
      <c r="U90" s="104"/>
      <c r="V90" s="104"/>
      <c r="W90" s="104"/>
      <c r="X90" s="104"/>
      <c r="Y90" s="104"/>
      <c r="Z90" s="104"/>
      <c r="AA90" s="104"/>
      <c r="AB90" s="104"/>
      <c r="AC90" s="104"/>
      <c r="AD90" s="104"/>
      <c r="AE90" s="104"/>
      <c r="AF90" s="104"/>
      <c r="AG90" s="104"/>
      <c r="AH90" s="104"/>
      <c r="AI90" s="104"/>
      <c r="AJ90" s="104"/>
      <c r="AK90" s="104"/>
      <c r="AL90" s="104"/>
      <c r="AM90" s="104"/>
      <c r="AN90" s="104"/>
      <c r="AO90" s="104"/>
      <c r="AP90" s="104"/>
      <c r="AQ90" s="104"/>
      <c r="AR90" s="104"/>
      <c r="AS90" s="104"/>
      <c r="AT90" s="104"/>
      <c r="AU90" s="104"/>
      <c r="AV90" s="104"/>
      <c r="AW90" s="104"/>
      <c r="AX90" s="104"/>
      <c r="AY90" s="104"/>
      <c r="AZ90" s="104"/>
      <c r="BA90" s="104"/>
      <c r="BB90" s="104"/>
      <c r="BC90" s="104"/>
      <c r="BD90" s="104"/>
      <c r="BE90" s="104"/>
      <c r="BF90" s="104"/>
      <c r="BG90" s="104"/>
      <c r="BH90" s="104"/>
      <c r="BI90" s="104"/>
      <c r="BJ90" s="104"/>
      <c r="BK90" s="104"/>
      <c r="BL90" s="104"/>
      <c r="BM90" s="104"/>
      <c r="BN90" s="104"/>
      <c r="BO90" s="104"/>
      <c r="BP90" s="104"/>
      <c r="BQ90" s="104"/>
      <c r="BR90" s="104"/>
      <c r="BS90" s="104"/>
      <c r="BT90" s="104"/>
      <c r="BU90" s="104"/>
      <c r="BV90" s="104"/>
      <c r="BW90" s="104"/>
      <c r="BX90" s="104"/>
      <c r="BY90" s="104"/>
      <c r="BZ90" s="104"/>
      <c r="CA90" s="104"/>
      <c r="CB90" s="104"/>
      <c r="CC90" s="104"/>
      <c r="CD90" s="104"/>
      <c r="CE90" s="104"/>
      <c r="CF90" s="104"/>
      <c r="CG90" s="104"/>
      <c r="CH90" s="104"/>
      <c r="CI90" s="104"/>
      <c r="CJ90" s="104"/>
      <c r="CK90" s="104"/>
      <c r="CL90" s="104"/>
      <c r="CM90" s="104"/>
      <c r="CN90" s="104"/>
      <c r="CO90" s="104"/>
      <c r="CP90" s="104"/>
      <c r="CQ90" s="104"/>
      <c r="CR90" s="104"/>
      <c r="CS90" s="104"/>
      <c r="CT90" s="104"/>
      <c r="CU90" s="104"/>
      <c r="CV90" s="104"/>
      <c r="CW90" s="104"/>
      <c r="CX90" s="104"/>
      <c r="CY90" s="104"/>
      <c r="CZ90" s="104"/>
      <c r="DA90" s="104"/>
      <c r="DB90" s="104"/>
      <c r="DC90" s="104"/>
      <c r="DD90" s="104"/>
      <c r="DE90" s="104"/>
      <c r="DF90" s="104"/>
      <c r="DG90" s="104"/>
      <c r="DH90" s="104"/>
      <c r="DI90" s="104"/>
      <c r="DJ90" s="104"/>
      <c r="DK90" s="104"/>
      <c r="DL90" s="104"/>
      <c r="DM90" s="104"/>
      <c r="DN90" s="104"/>
      <c r="DO90" s="104"/>
      <c r="DP90" s="104"/>
      <c r="DQ90" s="104"/>
      <c r="DR90" s="104"/>
      <c r="DS90" s="104"/>
      <c r="DT90" s="104"/>
      <c r="DU90" s="104"/>
      <c r="DV90" s="104"/>
      <c r="DW90" s="104"/>
      <c r="DX90" s="104"/>
      <c r="DY90" s="104"/>
      <c r="DZ90" s="104"/>
      <c r="EA90" s="104"/>
      <c r="EB90" s="104"/>
      <c r="EC90" s="104"/>
      <c r="ED90" s="104"/>
      <c r="EE90" s="104"/>
      <c r="EF90" s="104"/>
      <c r="EG90" s="104"/>
      <c r="EH90" s="104"/>
      <c r="EI90" s="104"/>
      <c r="EJ90" s="104"/>
      <c r="EK90" s="104"/>
      <c r="EL90" s="104"/>
      <c r="EM90" s="104"/>
      <c r="EN90" s="104"/>
      <c r="EO90" s="104"/>
      <c r="EP90" s="104"/>
      <c r="EQ90" s="104"/>
      <c r="ER90" s="104"/>
      <c r="ES90" s="104"/>
      <c r="ET90" s="104"/>
      <c r="EU90" s="104"/>
      <c r="EV90" s="104"/>
      <c r="EW90" s="104"/>
      <c r="EX90" s="104"/>
      <c r="EY90" s="104"/>
      <c r="EZ90" s="104"/>
      <c r="FA90" s="104"/>
      <c r="FB90" s="104"/>
      <c r="FC90" s="104"/>
      <c r="FD90" s="104"/>
      <c r="FE90" s="104"/>
      <c r="FF90" s="104"/>
      <c r="FG90" s="104"/>
      <c r="FH90" s="104"/>
      <c r="FI90" s="104"/>
      <c r="FJ90" s="104"/>
      <c r="FK90" s="104"/>
      <c r="FL90" s="104"/>
      <c r="FM90" s="104"/>
      <c r="FN90" s="104"/>
      <c r="FO90" s="104"/>
      <c r="FP90" s="104"/>
      <c r="FQ90" s="104"/>
      <c r="FR90" s="104"/>
      <c r="FS90" s="104"/>
      <c r="FT90" s="104"/>
      <c r="FU90" s="104"/>
      <c r="FV90" s="104"/>
      <c r="FW90" s="104"/>
      <c r="FX90" s="104"/>
      <c r="FY90" s="104"/>
      <c r="FZ90" s="104"/>
      <c r="GA90" s="104"/>
      <c r="GB90" s="104"/>
      <c r="GC90" s="104"/>
      <c r="GD90" s="104"/>
      <c r="GE90" s="104"/>
      <c r="GF90" s="104"/>
      <c r="GG90" s="104"/>
      <c r="GH90" s="104"/>
      <c r="GI90" s="104"/>
      <c r="GJ90" s="104"/>
      <c r="GK90" s="104"/>
      <c r="GL90" s="104"/>
      <c r="GM90" s="104"/>
      <c r="GN90" s="104"/>
      <c r="GO90" s="104"/>
      <c r="GP90" s="104"/>
      <c r="GQ90" s="104"/>
      <c r="GR90" s="104"/>
      <c r="GS90" s="104"/>
      <c r="GT90" s="104"/>
      <c r="GU90" s="104"/>
      <c r="GV90" s="104"/>
      <c r="GW90" s="104"/>
      <c r="GX90" s="104"/>
      <c r="GY90" s="104"/>
      <c r="GZ90" s="104"/>
      <c r="HA90" s="104"/>
      <c r="HB90" s="104"/>
      <c r="HC90" s="104"/>
      <c r="HD90" s="104"/>
      <c r="HE90" s="104"/>
      <c r="HF90" s="104"/>
      <c r="HG90" s="104"/>
      <c r="HH90" s="104"/>
      <c r="HI90" s="104"/>
      <c r="HJ90" s="104"/>
      <c r="HK90" s="104"/>
      <c r="HL90" s="104"/>
      <c r="HM90" s="104"/>
      <c r="HN90" s="104"/>
      <c r="HO90" s="104"/>
      <c r="HP90" s="104"/>
      <c r="HQ90" s="104"/>
      <c r="HR90" s="104"/>
      <c r="HS90" s="104"/>
      <c r="HT90" s="104"/>
      <c r="HU90" s="104"/>
      <c r="HV90" s="104"/>
      <c r="HW90" s="104"/>
      <c r="HX90" s="104"/>
      <c r="HY90" s="104"/>
      <c r="HZ90" s="104"/>
      <c r="IA90" s="104"/>
      <c r="IB90" s="104"/>
      <c r="IC90" s="104"/>
      <c r="ID90" s="104"/>
      <c r="IE90" s="104"/>
      <c r="IF90" s="104"/>
      <c r="IG90" s="104"/>
      <c r="IH90" s="104"/>
      <c r="II90" s="104"/>
      <c r="IJ90" s="104"/>
      <c r="IK90" s="104"/>
      <c r="IL90" s="104"/>
      <c r="IM90" s="104"/>
      <c r="IN90" s="104"/>
      <c r="IO90" s="104"/>
      <c r="IP90" s="104"/>
      <c r="IQ90" s="104"/>
      <c r="IR90" s="104"/>
      <c r="IS90" s="104"/>
      <c r="IT90" s="104"/>
      <c r="IU90" s="104"/>
      <c r="IV90" s="104"/>
      <c r="IW90" s="104"/>
      <c r="IX90" s="104"/>
      <c r="IY90" s="104"/>
      <c r="IZ90" s="104"/>
      <c r="JA90" s="104"/>
      <c r="JB90" s="104"/>
      <c r="JC90" s="104"/>
      <c r="JD90" s="104"/>
      <c r="JE90" s="104"/>
    </row>
    <row r="91" spans="4:265" x14ac:dyDescent="0.25">
      <c r="O91" s="104"/>
      <c r="P91" s="104"/>
      <c r="Q91" s="104"/>
      <c r="R91" s="104"/>
      <c r="S91" s="104"/>
      <c r="T91" s="104"/>
      <c r="U91" s="104"/>
      <c r="V91" s="104"/>
      <c r="W91" s="104"/>
      <c r="X91" s="104"/>
      <c r="Y91" s="104"/>
      <c r="Z91" s="104"/>
      <c r="AA91" s="104"/>
      <c r="AB91" s="104"/>
      <c r="AC91" s="104"/>
      <c r="AD91" s="104"/>
      <c r="AE91" s="104"/>
      <c r="AF91" s="104"/>
      <c r="AG91" s="104"/>
      <c r="AH91" s="104"/>
      <c r="AI91" s="104"/>
      <c r="AJ91" s="104"/>
      <c r="AK91" s="104"/>
      <c r="AL91" s="104"/>
      <c r="AM91" s="104"/>
      <c r="AN91" s="104"/>
      <c r="AO91" s="104"/>
      <c r="AP91" s="104"/>
      <c r="AQ91" s="104"/>
      <c r="AR91" s="104"/>
      <c r="AS91" s="104"/>
      <c r="AT91" s="104"/>
      <c r="AU91" s="104"/>
      <c r="AV91" s="104"/>
      <c r="AW91" s="104"/>
      <c r="AX91" s="104"/>
      <c r="AY91" s="104"/>
      <c r="AZ91" s="104"/>
      <c r="BA91" s="104"/>
      <c r="BB91" s="104"/>
      <c r="BC91" s="104"/>
      <c r="BD91" s="104"/>
      <c r="BE91" s="104"/>
      <c r="BF91" s="104"/>
      <c r="BG91" s="104"/>
      <c r="BH91" s="104"/>
      <c r="BI91" s="104"/>
      <c r="BJ91" s="104"/>
      <c r="BK91" s="104"/>
      <c r="BL91" s="104"/>
      <c r="BM91" s="104"/>
      <c r="BN91" s="104"/>
      <c r="BO91" s="104"/>
      <c r="BP91" s="104"/>
      <c r="BQ91" s="104"/>
      <c r="BR91" s="104"/>
      <c r="BS91" s="104"/>
      <c r="BT91" s="104"/>
      <c r="BU91" s="104"/>
      <c r="BV91" s="104"/>
      <c r="BW91" s="104"/>
      <c r="BX91" s="104"/>
      <c r="BY91" s="104"/>
      <c r="BZ91" s="104"/>
      <c r="CA91" s="104"/>
      <c r="CB91" s="104"/>
      <c r="CC91" s="104"/>
      <c r="CD91" s="104"/>
      <c r="CE91" s="104"/>
      <c r="CF91" s="104"/>
      <c r="CG91" s="104"/>
      <c r="CH91" s="104"/>
      <c r="CI91" s="104"/>
      <c r="CJ91" s="104"/>
      <c r="CK91" s="104"/>
      <c r="CL91" s="104"/>
      <c r="CM91" s="104"/>
      <c r="CN91" s="104"/>
      <c r="CO91" s="104"/>
      <c r="CP91" s="104"/>
      <c r="CQ91" s="104"/>
      <c r="CR91" s="104"/>
      <c r="CS91" s="104"/>
      <c r="CT91" s="104"/>
      <c r="CU91" s="104"/>
      <c r="CV91" s="104"/>
      <c r="CW91" s="104"/>
      <c r="CX91" s="104"/>
      <c r="CY91" s="104"/>
      <c r="CZ91" s="104"/>
      <c r="DA91" s="104"/>
      <c r="DB91" s="104"/>
      <c r="DC91" s="104"/>
      <c r="DD91" s="104"/>
      <c r="DE91" s="104"/>
      <c r="DF91" s="104"/>
      <c r="DG91" s="104"/>
      <c r="DH91" s="104"/>
      <c r="DI91" s="104"/>
      <c r="DJ91" s="104"/>
      <c r="DK91" s="104"/>
      <c r="DL91" s="104"/>
      <c r="DM91" s="104"/>
      <c r="DN91" s="104"/>
      <c r="DO91" s="104"/>
      <c r="DP91" s="104"/>
      <c r="DQ91" s="104"/>
      <c r="DR91" s="104"/>
      <c r="DS91" s="104"/>
      <c r="DT91" s="104"/>
      <c r="DU91" s="104"/>
      <c r="DV91" s="104"/>
      <c r="DW91" s="104"/>
      <c r="DX91" s="104"/>
      <c r="DY91" s="104"/>
      <c r="DZ91" s="104"/>
      <c r="EA91" s="104"/>
      <c r="EB91" s="104"/>
      <c r="EC91" s="104"/>
      <c r="ED91" s="104"/>
      <c r="EE91" s="104"/>
      <c r="EF91" s="104"/>
      <c r="EG91" s="104"/>
      <c r="EH91" s="104"/>
      <c r="EI91" s="104"/>
      <c r="EJ91" s="104"/>
      <c r="EK91" s="104"/>
      <c r="EL91" s="104"/>
      <c r="EM91" s="104"/>
      <c r="EN91" s="104"/>
      <c r="EO91" s="104"/>
      <c r="EP91" s="104"/>
      <c r="EQ91" s="104"/>
      <c r="ER91" s="104"/>
      <c r="ES91" s="104"/>
      <c r="ET91" s="104"/>
      <c r="EU91" s="104"/>
      <c r="EV91" s="104"/>
      <c r="EW91" s="104"/>
      <c r="EX91" s="104"/>
      <c r="EY91" s="104"/>
      <c r="EZ91" s="104"/>
      <c r="FA91" s="104"/>
      <c r="FB91" s="104"/>
      <c r="FC91" s="104"/>
      <c r="FD91" s="104"/>
      <c r="FE91" s="104"/>
      <c r="FF91" s="104"/>
      <c r="FG91" s="104"/>
      <c r="FH91" s="104"/>
      <c r="FI91" s="104"/>
      <c r="FJ91" s="104"/>
      <c r="FK91" s="104"/>
      <c r="FL91" s="104"/>
      <c r="FM91" s="104"/>
      <c r="FN91" s="104"/>
      <c r="FO91" s="104"/>
      <c r="FP91" s="104"/>
      <c r="FQ91" s="104"/>
      <c r="FR91" s="104"/>
      <c r="FS91" s="104"/>
      <c r="FT91" s="104"/>
      <c r="FU91" s="104"/>
      <c r="FV91" s="104"/>
      <c r="FW91" s="104"/>
      <c r="FX91" s="104"/>
      <c r="FY91" s="104"/>
      <c r="FZ91" s="104"/>
      <c r="GA91" s="104"/>
      <c r="GB91" s="104"/>
      <c r="GC91" s="104"/>
      <c r="GD91" s="104"/>
      <c r="GE91" s="104"/>
      <c r="GF91" s="104"/>
      <c r="GG91" s="104"/>
      <c r="GH91" s="104"/>
      <c r="GI91" s="104"/>
      <c r="GJ91" s="104"/>
      <c r="GK91" s="104"/>
      <c r="GL91" s="104"/>
      <c r="GM91" s="104"/>
      <c r="GN91" s="104"/>
      <c r="GO91" s="104"/>
      <c r="GP91" s="104"/>
      <c r="GQ91" s="104"/>
      <c r="GR91" s="104"/>
      <c r="GS91" s="104"/>
      <c r="GT91" s="104"/>
      <c r="GU91" s="104"/>
      <c r="GV91" s="104"/>
      <c r="GW91" s="104"/>
      <c r="GX91" s="104"/>
      <c r="GY91" s="104"/>
      <c r="GZ91" s="104"/>
      <c r="HA91" s="104"/>
      <c r="HB91" s="104"/>
      <c r="HC91" s="104"/>
      <c r="HD91" s="104"/>
      <c r="HE91" s="104"/>
      <c r="HF91" s="104"/>
      <c r="HG91" s="104"/>
      <c r="HH91" s="104"/>
      <c r="HI91" s="104"/>
      <c r="HJ91" s="104"/>
      <c r="HK91" s="104"/>
      <c r="HL91" s="104"/>
      <c r="HM91" s="104"/>
      <c r="HN91" s="104"/>
      <c r="HO91" s="104"/>
      <c r="HP91" s="104"/>
      <c r="HQ91" s="104"/>
      <c r="HR91" s="104"/>
      <c r="HS91" s="104"/>
      <c r="HT91" s="104"/>
      <c r="HU91" s="104"/>
      <c r="HV91" s="104"/>
      <c r="HW91" s="104"/>
      <c r="HX91" s="104"/>
      <c r="HY91" s="104"/>
      <c r="HZ91" s="104"/>
      <c r="IA91" s="104"/>
      <c r="IB91" s="104"/>
      <c r="IC91" s="104"/>
      <c r="ID91" s="104"/>
      <c r="IE91" s="104"/>
      <c r="IF91" s="104"/>
      <c r="IG91" s="104"/>
      <c r="IH91" s="104"/>
      <c r="II91" s="104"/>
      <c r="IJ91" s="104"/>
      <c r="IK91" s="104"/>
      <c r="IL91" s="104"/>
      <c r="IM91" s="104"/>
      <c r="IN91" s="104"/>
      <c r="IO91" s="104"/>
      <c r="IP91" s="104"/>
      <c r="IQ91" s="104"/>
      <c r="IR91" s="104"/>
      <c r="IS91" s="104"/>
      <c r="IT91" s="104"/>
      <c r="IU91" s="104"/>
      <c r="IV91" s="104"/>
      <c r="IW91" s="104"/>
      <c r="IX91" s="104"/>
      <c r="IY91" s="104"/>
      <c r="IZ91" s="104"/>
      <c r="JA91" s="104"/>
      <c r="JB91" s="104"/>
      <c r="JC91" s="104"/>
      <c r="JD91" s="104"/>
      <c r="JE91" s="104"/>
    </row>
    <row r="92" spans="4:265" x14ac:dyDescent="0.25">
      <c r="O92" s="104"/>
      <c r="P92" s="104"/>
      <c r="Q92" s="104"/>
      <c r="R92" s="104"/>
      <c r="S92" s="104"/>
      <c r="T92" s="104"/>
      <c r="U92" s="104"/>
      <c r="V92" s="104"/>
      <c r="W92" s="104"/>
      <c r="X92" s="104"/>
      <c r="Y92" s="104"/>
      <c r="Z92" s="104"/>
      <c r="AA92" s="104"/>
      <c r="AB92" s="104"/>
      <c r="AC92" s="104"/>
      <c r="AD92" s="104"/>
      <c r="AE92" s="104"/>
      <c r="AF92" s="104"/>
      <c r="AG92" s="104"/>
      <c r="AH92" s="104"/>
      <c r="AI92" s="104"/>
      <c r="AJ92" s="104"/>
      <c r="AK92" s="104"/>
      <c r="AL92" s="104"/>
      <c r="AM92" s="104"/>
      <c r="AN92" s="104"/>
      <c r="AO92" s="104"/>
      <c r="AP92" s="104"/>
      <c r="AQ92" s="104"/>
      <c r="AR92" s="104"/>
      <c r="AS92" s="104"/>
      <c r="AT92" s="104"/>
      <c r="AU92" s="104"/>
      <c r="AV92" s="104"/>
      <c r="AW92" s="104"/>
      <c r="AX92" s="104"/>
      <c r="AY92" s="104"/>
      <c r="AZ92" s="104"/>
      <c r="BA92" s="104"/>
      <c r="BB92" s="104"/>
      <c r="BC92" s="104"/>
      <c r="BD92" s="104"/>
      <c r="BE92" s="104"/>
      <c r="BF92" s="104"/>
      <c r="BG92" s="104"/>
      <c r="BH92" s="104"/>
      <c r="BI92" s="104"/>
      <c r="BJ92" s="104"/>
      <c r="BK92" s="104"/>
      <c r="BL92" s="104"/>
      <c r="BM92" s="104"/>
      <c r="BN92" s="104"/>
      <c r="BO92" s="104"/>
      <c r="BP92" s="104"/>
      <c r="BQ92" s="104"/>
      <c r="BR92" s="104"/>
      <c r="BS92" s="104"/>
      <c r="BT92" s="104"/>
      <c r="BU92" s="104"/>
      <c r="BV92" s="104"/>
      <c r="BW92" s="104"/>
      <c r="BX92" s="104"/>
      <c r="BY92" s="104"/>
      <c r="BZ92" s="104"/>
      <c r="CA92" s="104"/>
      <c r="CB92" s="104"/>
      <c r="CC92" s="104"/>
      <c r="CD92" s="104"/>
      <c r="CE92" s="104"/>
      <c r="CF92" s="104"/>
      <c r="CG92" s="104"/>
      <c r="CH92" s="104"/>
      <c r="CI92" s="104"/>
      <c r="CJ92" s="104"/>
      <c r="CK92" s="104"/>
      <c r="CL92" s="104"/>
      <c r="CM92" s="104"/>
      <c r="CN92" s="104"/>
      <c r="CO92" s="104"/>
      <c r="CP92" s="104"/>
      <c r="CQ92" s="104"/>
      <c r="CR92" s="104"/>
      <c r="CS92" s="104"/>
      <c r="CT92" s="104"/>
      <c r="CU92" s="104"/>
      <c r="CV92" s="104"/>
      <c r="CW92" s="104"/>
      <c r="CX92" s="104"/>
      <c r="CY92" s="104"/>
      <c r="CZ92" s="104"/>
      <c r="DA92" s="104"/>
      <c r="DB92" s="104"/>
      <c r="DC92" s="104"/>
      <c r="DD92" s="104"/>
      <c r="DE92" s="104"/>
      <c r="DF92" s="104"/>
      <c r="DG92" s="104"/>
      <c r="DH92" s="104"/>
      <c r="DI92" s="104"/>
      <c r="DJ92" s="104"/>
      <c r="DK92" s="104"/>
      <c r="DL92" s="104"/>
      <c r="DM92" s="104"/>
      <c r="DN92" s="104"/>
      <c r="DO92" s="104"/>
      <c r="DP92" s="104"/>
      <c r="DQ92" s="104"/>
      <c r="DR92" s="104"/>
      <c r="DS92" s="104"/>
      <c r="DT92" s="104"/>
      <c r="DU92" s="104"/>
      <c r="DV92" s="104"/>
      <c r="DW92" s="104"/>
      <c r="DX92" s="104"/>
      <c r="DY92" s="104"/>
      <c r="DZ92" s="104"/>
      <c r="EA92" s="104"/>
      <c r="EB92" s="104"/>
      <c r="EC92" s="104"/>
      <c r="ED92" s="104"/>
      <c r="EE92" s="104"/>
      <c r="EF92" s="104"/>
      <c r="EG92" s="104"/>
      <c r="EH92" s="104"/>
      <c r="EI92" s="104"/>
      <c r="EJ92" s="104"/>
      <c r="EK92" s="104"/>
      <c r="EL92" s="104"/>
      <c r="EM92" s="104"/>
      <c r="EN92" s="104"/>
      <c r="EO92" s="104"/>
      <c r="EP92" s="104"/>
      <c r="EQ92" s="104"/>
      <c r="ER92" s="104"/>
      <c r="ES92" s="104"/>
      <c r="ET92" s="104"/>
      <c r="EU92" s="104"/>
      <c r="EV92" s="104"/>
      <c r="EW92" s="104"/>
      <c r="EX92" s="104"/>
      <c r="EY92" s="104"/>
      <c r="EZ92" s="104"/>
      <c r="FA92" s="104"/>
      <c r="FB92" s="104"/>
      <c r="FC92" s="104"/>
      <c r="FD92" s="104"/>
      <c r="FE92" s="104"/>
      <c r="FF92" s="104"/>
      <c r="FG92" s="104"/>
      <c r="FH92" s="104"/>
      <c r="FI92" s="104"/>
      <c r="FJ92" s="104"/>
      <c r="FK92" s="104"/>
      <c r="FL92" s="104"/>
      <c r="FM92" s="104"/>
      <c r="FN92" s="104"/>
      <c r="FO92" s="104"/>
      <c r="FP92" s="104"/>
      <c r="FQ92" s="104"/>
      <c r="FR92" s="104"/>
      <c r="FS92" s="104"/>
      <c r="FT92" s="104"/>
      <c r="FU92" s="104"/>
      <c r="FV92" s="104"/>
      <c r="FW92" s="104"/>
      <c r="FX92" s="104"/>
      <c r="FY92" s="104"/>
      <c r="FZ92" s="104"/>
      <c r="GA92" s="104"/>
      <c r="GB92" s="104"/>
      <c r="GC92" s="104"/>
      <c r="GD92" s="104"/>
      <c r="GE92" s="104"/>
      <c r="GF92" s="104"/>
      <c r="GG92" s="104"/>
      <c r="GH92" s="104"/>
      <c r="GI92" s="104"/>
      <c r="GJ92" s="104"/>
      <c r="GK92" s="104"/>
      <c r="GL92" s="104"/>
      <c r="GM92" s="104"/>
      <c r="GN92" s="104"/>
      <c r="GO92" s="104"/>
      <c r="GP92" s="104"/>
      <c r="GQ92" s="104"/>
      <c r="GR92" s="104"/>
      <c r="GS92" s="104"/>
      <c r="GT92" s="104"/>
      <c r="GU92" s="104"/>
      <c r="GV92" s="104"/>
      <c r="GW92" s="104"/>
      <c r="GX92" s="104"/>
      <c r="GY92" s="104"/>
      <c r="GZ92" s="104"/>
      <c r="HA92" s="104"/>
      <c r="HB92" s="104"/>
      <c r="HC92" s="104"/>
      <c r="HD92" s="104"/>
      <c r="HE92" s="104"/>
      <c r="HF92" s="104"/>
      <c r="HG92" s="104"/>
      <c r="HH92" s="104"/>
      <c r="HI92" s="104"/>
      <c r="HJ92" s="104"/>
      <c r="HK92" s="104"/>
      <c r="HL92" s="104"/>
      <c r="HM92" s="104"/>
      <c r="HN92" s="104"/>
      <c r="HO92" s="104"/>
      <c r="HP92" s="104"/>
      <c r="HQ92" s="104"/>
      <c r="HR92" s="104"/>
      <c r="HS92" s="104"/>
      <c r="HT92" s="104"/>
      <c r="HU92" s="104"/>
      <c r="HV92" s="104"/>
      <c r="HW92" s="104"/>
      <c r="HX92" s="104"/>
      <c r="HY92" s="104"/>
      <c r="HZ92" s="104"/>
      <c r="IA92" s="104"/>
      <c r="IB92" s="104"/>
      <c r="IC92" s="104"/>
      <c r="ID92" s="104"/>
      <c r="IE92" s="104"/>
      <c r="IF92" s="104"/>
      <c r="IG92" s="104"/>
      <c r="IH92" s="104"/>
      <c r="II92" s="104"/>
      <c r="IJ92" s="104"/>
      <c r="IK92" s="104"/>
      <c r="IL92" s="104"/>
      <c r="IM92" s="104"/>
      <c r="IN92" s="104"/>
      <c r="IO92" s="104"/>
      <c r="IP92" s="104"/>
      <c r="IQ92" s="104"/>
      <c r="IR92" s="104"/>
      <c r="IS92" s="104"/>
      <c r="IT92" s="104"/>
      <c r="IU92" s="104"/>
      <c r="IV92" s="104"/>
      <c r="IW92" s="104"/>
      <c r="IX92" s="104"/>
      <c r="IY92" s="104"/>
      <c r="IZ92" s="104"/>
      <c r="JA92" s="104"/>
      <c r="JB92" s="104"/>
      <c r="JC92" s="104"/>
      <c r="JD92" s="104"/>
      <c r="JE92" s="104"/>
    </row>
    <row r="93" spans="4:265" x14ac:dyDescent="0.25">
      <c r="O93" s="104"/>
      <c r="P93" s="104"/>
      <c r="Q93" s="104"/>
      <c r="R93" s="104"/>
      <c r="S93" s="104"/>
      <c r="T93" s="104"/>
      <c r="U93" s="104"/>
      <c r="V93" s="104"/>
      <c r="W93" s="104"/>
      <c r="X93" s="104"/>
      <c r="Y93" s="104"/>
      <c r="Z93" s="104"/>
      <c r="AA93" s="104"/>
      <c r="AB93" s="104"/>
      <c r="AC93" s="104"/>
      <c r="AD93" s="104"/>
      <c r="AE93" s="104"/>
      <c r="AF93" s="104"/>
      <c r="AG93" s="104"/>
      <c r="AH93" s="104"/>
      <c r="AI93" s="104"/>
      <c r="AJ93" s="104"/>
      <c r="AK93" s="104"/>
      <c r="AL93" s="104"/>
      <c r="AM93" s="104"/>
      <c r="AN93" s="104"/>
      <c r="AO93" s="104"/>
      <c r="AP93" s="104"/>
      <c r="AQ93" s="104"/>
      <c r="AR93" s="104"/>
      <c r="AS93" s="104"/>
      <c r="AT93" s="104"/>
      <c r="AU93" s="104"/>
      <c r="AV93" s="104"/>
      <c r="AW93" s="104"/>
      <c r="AX93" s="104"/>
      <c r="AY93" s="104"/>
      <c r="AZ93" s="104"/>
      <c r="BA93" s="104"/>
      <c r="BB93" s="104"/>
      <c r="BC93" s="104"/>
      <c r="BD93" s="104"/>
      <c r="BE93" s="104"/>
      <c r="BF93" s="104"/>
      <c r="BG93" s="104"/>
      <c r="BH93" s="104"/>
      <c r="BI93" s="104"/>
      <c r="BJ93" s="104"/>
      <c r="BK93" s="104"/>
      <c r="BL93" s="104"/>
      <c r="BM93" s="104"/>
      <c r="BN93" s="104"/>
      <c r="BO93" s="104"/>
      <c r="BP93" s="104"/>
      <c r="BQ93" s="104"/>
      <c r="BR93" s="104"/>
      <c r="BS93" s="104"/>
      <c r="BT93" s="104"/>
      <c r="BU93" s="104"/>
      <c r="BV93" s="104"/>
      <c r="BW93" s="104"/>
      <c r="BX93" s="104"/>
      <c r="BY93" s="104"/>
      <c r="BZ93" s="104"/>
      <c r="CA93" s="104"/>
      <c r="CB93" s="104"/>
      <c r="CC93" s="104"/>
      <c r="CD93" s="104"/>
      <c r="CE93" s="104"/>
      <c r="CF93" s="104"/>
      <c r="CG93" s="104"/>
      <c r="CH93" s="104"/>
      <c r="CI93" s="104"/>
      <c r="CJ93" s="104"/>
      <c r="CK93" s="104"/>
      <c r="CL93" s="104"/>
      <c r="CM93" s="104"/>
      <c r="CN93" s="104"/>
      <c r="CO93" s="104"/>
      <c r="CP93" s="104"/>
      <c r="CQ93" s="104"/>
      <c r="CR93" s="104"/>
      <c r="CS93" s="104"/>
      <c r="CT93" s="104"/>
      <c r="CU93" s="104"/>
      <c r="CV93" s="104"/>
      <c r="CW93" s="104"/>
      <c r="CX93" s="104"/>
      <c r="CY93" s="104"/>
      <c r="CZ93" s="104"/>
      <c r="DA93" s="104"/>
      <c r="DB93" s="104"/>
      <c r="DC93" s="104"/>
      <c r="DD93" s="104"/>
      <c r="DE93" s="104"/>
      <c r="DF93" s="104"/>
      <c r="DG93" s="104"/>
      <c r="DH93" s="104"/>
      <c r="DI93" s="104"/>
      <c r="DJ93" s="104"/>
      <c r="DK93" s="104"/>
      <c r="DL93" s="104"/>
      <c r="DM93" s="104"/>
      <c r="DN93" s="104"/>
      <c r="DO93" s="104"/>
      <c r="DP93" s="104"/>
      <c r="DQ93" s="104"/>
      <c r="DR93" s="104"/>
      <c r="DS93" s="104"/>
      <c r="DT93" s="104"/>
      <c r="DU93" s="104"/>
      <c r="DV93" s="104"/>
      <c r="DW93" s="104"/>
      <c r="DX93" s="104"/>
      <c r="DY93" s="104"/>
      <c r="DZ93" s="104"/>
      <c r="EA93" s="104"/>
      <c r="EB93" s="104"/>
      <c r="EC93" s="104"/>
      <c r="ED93" s="104"/>
      <c r="EE93" s="104"/>
      <c r="EF93" s="104"/>
      <c r="EG93" s="104"/>
      <c r="EH93" s="104"/>
      <c r="EI93" s="104"/>
      <c r="EJ93" s="104"/>
      <c r="EK93" s="104"/>
      <c r="EL93" s="104"/>
      <c r="EM93" s="104"/>
      <c r="EN93" s="104"/>
      <c r="EO93" s="104"/>
      <c r="EP93" s="104"/>
      <c r="EQ93" s="104"/>
      <c r="ER93" s="104"/>
      <c r="ES93" s="104"/>
      <c r="ET93" s="104"/>
      <c r="EU93" s="104"/>
      <c r="EV93" s="104"/>
      <c r="EW93" s="104"/>
      <c r="EX93" s="104"/>
      <c r="EY93" s="104"/>
      <c r="EZ93" s="104"/>
      <c r="FA93" s="104"/>
      <c r="FB93" s="104"/>
      <c r="FC93" s="104"/>
      <c r="FD93" s="104"/>
      <c r="FE93" s="104"/>
      <c r="FF93" s="104"/>
      <c r="FG93" s="104"/>
      <c r="FH93" s="104"/>
      <c r="FI93" s="104"/>
      <c r="FJ93" s="104"/>
      <c r="FK93" s="104"/>
      <c r="FL93" s="104"/>
      <c r="FM93" s="104"/>
      <c r="FN93" s="104"/>
      <c r="FO93" s="104"/>
      <c r="FP93" s="104"/>
      <c r="FQ93" s="104"/>
      <c r="FR93" s="104"/>
      <c r="FS93" s="104"/>
      <c r="FT93" s="104"/>
      <c r="FU93" s="104"/>
      <c r="FV93" s="104"/>
      <c r="FW93" s="104"/>
      <c r="FX93" s="104"/>
      <c r="FY93" s="104"/>
      <c r="FZ93" s="104"/>
      <c r="GA93" s="104"/>
      <c r="GB93" s="104"/>
      <c r="GC93" s="104"/>
      <c r="GD93" s="104"/>
      <c r="GE93" s="104"/>
      <c r="GF93" s="104"/>
      <c r="GG93" s="104"/>
      <c r="GH93" s="104"/>
      <c r="GI93" s="104"/>
      <c r="GJ93" s="104"/>
      <c r="GK93" s="104"/>
      <c r="GL93" s="104"/>
      <c r="GM93" s="104"/>
      <c r="GN93" s="104"/>
      <c r="GO93" s="104"/>
      <c r="GP93" s="104"/>
      <c r="GQ93" s="104"/>
      <c r="GR93" s="104"/>
      <c r="GS93" s="104"/>
      <c r="GT93" s="104"/>
      <c r="GU93" s="104"/>
      <c r="GV93" s="104"/>
      <c r="GW93" s="104"/>
      <c r="GX93" s="104"/>
      <c r="GY93" s="104"/>
      <c r="GZ93" s="104"/>
      <c r="HA93" s="104"/>
      <c r="HB93" s="104"/>
      <c r="HC93" s="104"/>
      <c r="HD93" s="104"/>
      <c r="HE93" s="104"/>
      <c r="HF93" s="104"/>
      <c r="HG93" s="104"/>
      <c r="HH93" s="104"/>
      <c r="HI93" s="104"/>
      <c r="HJ93" s="104"/>
      <c r="HK93" s="104"/>
      <c r="HL93" s="104"/>
      <c r="HM93" s="104"/>
      <c r="HN93" s="104"/>
      <c r="HO93" s="104"/>
      <c r="HP93" s="104"/>
      <c r="HQ93" s="104"/>
      <c r="HR93" s="104"/>
      <c r="HS93" s="104"/>
      <c r="HT93" s="104"/>
      <c r="HU93" s="104"/>
      <c r="HV93" s="104"/>
      <c r="HW93" s="104"/>
      <c r="HX93" s="104"/>
      <c r="HY93" s="104"/>
      <c r="HZ93" s="104"/>
      <c r="IA93" s="104"/>
      <c r="IB93" s="104"/>
      <c r="IC93" s="104"/>
      <c r="ID93" s="104"/>
      <c r="IE93" s="104"/>
      <c r="IF93" s="104"/>
      <c r="IG93" s="104"/>
      <c r="IH93" s="104"/>
      <c r="II93" s="104"/>
      <c r="IJ93" s="104"/>
      <c r="IK93" s="104"/>
      <c r="IL93" s="104"/>
      <c r="IM93" s="104"/>
      <c r="IN93" s="104"/>
      <c r="IO93" s="104"/>
      <c r="IP93" s="104"/>
      <c r="IQ93" s="104"/>
      <c r="IR93" s="104"/>
      <c r="IS93" s="104"/>
      <c r="IT93" s="104"/>
      <c r="IU93" s="104"/>
      <c r="IV93" s="104"/>
      <c r="IW93" s="104"/>
      <c r="IX93" s="104"/>
      <c r="IY93" s="104"/>
      <c r="IZ93" s="104"/>
      <c r="JA93" s="104"/>
      <c r="JB93" s="104"/>
      <c r="JC93" s="104"/>
      <c r="JD93" s="104"/>
      <c r="JE93" s="104"/>
    </row>
    <row r="94" spans="4:265" x14ac:dyDescent="0.25">
      <c r="O94" s="104"/>
      <c r="P94" s="104"/>
      <c r="Q94" s="104"/>
      <c r="R94" s="104"/>
      <c r="S94" s="104"/>
      <c r="T94" s="104"/>
      <c r="U94" s="104"/>
      <c r="V94" s="104"/>
      <c r="W94" s="104"/>
      <c r="X94" s="104"/>
      <c r="Y94" s="104"/>
      <c r="Z94" s="104"/>
      <c r="AA94" s="104"/>
      <c r="AB94" s="104"/>
      <c r="AC94" s="104"/>
      <c r="AD94" s="104"/>
      <c r="AE94" s="104"/>
      <c r="AF94" s="104"/>
      <c r="AG94" s="104"/>
      <c r="AH94" s="104"/>
      <c r="AI94" s="104"/>
      <c r="AJ94" s="104"/>
      <c r="AK94" s="104"/>
      <c r="AL94" s="104"/>
      <c r="AM94" s="104"/>
      <c r="AN94" s="104"/>
      <c r="AO94" s="104"/>
      <c r="AP94" s="104"/>
      <c r="AQ94" s="104"/>
      <c r="AR94" s="104"/>
      <c r="AS94" s="104"/>
      <c r="AT94" s="104"/>
      <c r="AU94" s="104"/>
      <c r="AV94" s="104"/>
      <c r="AW94" s="104"/>
      <c r="AX94" s="104"/>
      <c r="AY94" s="104"/>
      <c r="AZ94" s="104"/>
      <c r="BA94" s="104"/>
      <c r="BB94" s="104"/>
      <c r="BC94" s="104"/>
      <c r="BD94" s="104"/>
      <c r="BE94" s="104"/>
      <c r="BF94" s="104"/>
      <c r="BG94" s="104"/>
      <c r="BH94" s="104"/>
      <c r="BI94" s="104"/>
      <c r="BJ94" s="104"/>
      <c r="BK94" s="104"/>
      <c r="BL94" s="104"/>
      <c r="BM94" s="104"/>
      <c r="BN94" s="104"/>
      <c r="BO94" s="104"/>
      <c r="BP94" s="104"/>
      <c r="BQ94" s="104"/>
      <c r="BR94" s="104"/>
      <c r="BS94" s="104"/>
      <c r="BT94" s="104"/>
      <c r="BU94" s="104"/>
      <c r="BV94" s="104"/>
      <c r="BW94" s="104"/>
      <c r="BX94" s="104"/>
      <c r="BY94" s="104"/>
      <c r="BZ94" s="104"/>
      <c r="CA94" s="104"/>
      <c r="CB94" s="104"/>
      <c r="CC94" s="104"/>
      <c r="CD94" s="104"/>
      <c r="CE94" s="104"/>
      <c r="CF94" s="104"/>
      <c r="CG94" s="104"/>
      <c r="CH94" s="104"/>
      <c r="CI94" s="104"/>
      <c r="CJ94" s="104"/>
      <c r="CK94" s="104"/>
      <c r="CL94" s="104"/>
      <c r="CM94" s="104"/>
      <c r="CN94" s="104"/>
      <c r="CO94" s="104"/>
      <c r="CP94" s="104"/>
      <c r="CQ94" s="104"/>
      <c r="CR94" s="104"/>
      <c r="CS94" s="104"/>
      <c r="CT94" s="104"/>
      <c r="CU94" s="104"/>
      <c r="CV94" s="104"/>
      <c r="CW94" s="104"/>
      <c r="CX94" s="104"/>
      <c r="CY94" s="104"/>
      <c r="CZ94" s="104"/>
      <c r="DA94" s="104"/>
      <c r="DB94" s="104"/>
      <c r="DC94" s="104"/>
      <c r="DD94" s="104"/>
      <c r="DE94" s="104"/>
      <c r="DF94" s="104"/>
      <c r="DG94" s="104"/>
      <c r="DH94" s="104"/>
      <c r="DI94" s="104"/>
      <c r="DJ94" s="104"/>
      <c r="DK94" s="104"/>
      <c r="DL94" s="104"/>
      <c r="DM94" s="104"/>
      <c r="DN94" s="104"/>
      <c r="DO94" s="104"/>
      <c r="DP94" s="104"/>
      <c r="DQ94" s="104"/>
      <c r="DR94" s="104"/>
      <c r="DS94" s="104"/>
      <c r="DT94" s="104"/>
      <c r="DU94" s="104"/>
      <c r="DV94" s="104"/>
      <c r="DW94" s="104"/>
      <c r="DX94" s="104"/>
      <c r="DY94" s="104"/>
      <c r="DZ94" s="104"/>
      <c r="EA94" s="104"/>
      <c r="EB94" s="104"/>
      <c r="EC94" s="104"/>
      <c r="ED94" s="104"/>
      <c r="EE94" s="104"/>
      <c r="EF94" s="104"/>
      <c r="EG94" s="104"/>
      <c r="EH94" s="104"/>
      <c r="EI94" s="104"/>
      <c r="EJ94" s="104"/>
      <c r="EK94" s="104"/>
      <c r="EL94" s="104"/>
      <c r="EM94" s="104"/>
      <c r="EN94" s="104"/>
      <c r="EO94" s="104"/>
      <c r="EP94" s="104"/>
      <c r="EQ94" s="104"/>
      <c r="ER94" s="104"/>
      <c r="ES94" s="104"/>
      <c r="ET94" s="104"/>
      <c r="EU94" s="104"/>
      <c r="EV94" s="104"/>
      <c r="EW94" s="104"/>
      <c r="EX94" s="104"/>
      <c r="EY94" s="104"/>
      <c r="EZ94" s="104"/>
      <c r="FA94" s="104"/>
      <c r="FB94" s="104"/>
      <c r="FC94" s="104"/>
      <c r="FD94" s="104"/>
      <c r="FE94" s="104"/>
      <c r="FF94" s="104"/>
      <c r="FG94" s="104"/>
      <c r="FH94" s="104"/>
      <c r="FI94" s="104"/>
      <c r="FJ94" s="104"/>
      <c r="FK94" s="104"/>
      <c r="FL94" s="104"/>
      <c r="FM94" s="104"/>
      <c r="FN94" s="104"/>
      <c r="FO94" s="104"/>
      <c r="FP94" s="104"/>
      <c r="FQ94" s="104"/>
      <c r="FR94" s="104"/>
      <c r="FS94" s="104"/>
      <c r="FT94" s="104"/>
      <c r="FU94" s="104"/>
      <c r="FV94" s="104"/>
      <c r="FW94" s="104"/>
      <c r="FX94" s="104"/>
      <c r="FY94" s="104"/>
      <c r="FZ94" s="104"/>
      <c r="GA94" s="104"/>
      <c r="GB94" s="104"/>
      <c r="GC94" s="104"/>
      <c r="GD94" s="104"/>
      <c r="GE94" s="104"/>
      <c r="GF94" s="104"/>
      <c r="GG94" s="104"/>
      <c r="GH94" s="104"/>
      <c r="GI94" s="104"/>
      <c r="GJ94" s="104"/>
      <c r="GK94" s="104"/>
      <c r="GL94" s="104"/>
      <c r="GM94" s="104"/>
      <c r="GN94" s="104"/>
      <c r="GO94" s="104"/>
      <c r="GP94" s="104"/>
      <c r="GQ94" s="104"/>
      <c r="GR94" s="104"/>
      <c r="GS94" s="104"/>
      <c r="GT94" s="104"/>
      <c r="GU94" s="104"/>
      <c r="GV94" s="104"/>
      <c r="GW94" s="104"/>
      <c r="GX94" s="104"/>
      <c r="GY94" s="104"/>
      <c r="GZ94" s="104"/>
      <c r="HA94" s="104"/>
      <c r="HB94" s="104"/>
      <c r="HC94" s="104"/>
      <c r="HD94" s="104"/>
      <c r="HE94" s="104"/>
      <c r="HF94" s="104"/>
      <c r="HG94" s="104"/>
      <c r="HH94" s="104"/>
      <c r="HI94" s="104"/>
      <c r="HJ94" s="104"/>
      <c r="HK94" s="104"/>
      <c r="HL94" s="104"/>
      <c r="HM94" s="104"/>
      <c r="HN94" s="104"/>
      <c r="HO94" s="104"/>
      <c r="HP94" s="104"/>
      <c r="HQ94" s="104"/>
      <c r="HR94" s="104"/>
      <c r="HS94" s="104"/>
      <c r="HT94" s="104"/>
      <c r="HU94" s="104"/>
      <c r="HV94" s="104"/>
      <c r="HW94" s="104"/>
      <c r="HX94" s="104"/>
      <c r="HY94" s="104"/>
      <c r="HZ94" s="104"/>
      <c r="IA94" s="104"/>
      <c r="IB94" s="104"/>
      <c r="IC94" s="104"/>
      <c r="ID94" s="104"/>
      <c r="IE94" s="104"/>
      <c r="IF94" s="104"/>
      <c r="IG94" s="104"/>
      <c r="IH94" s="104"/>
      <c r="II94" s="104"/>
      <c r="IJ94" s="104"/>
      <c r="IK94" s="104"/>
      <c r="IL94" s="104"/>
      <c r="IM94" s="104"/>
      <c r="IN94" s="104"/>
      <c r="IO94" s="104"/>
      <c r="IP94" s="104"/>
      <c r="IQ94" s="104"/>
      <c r="IR94" s="104"/>
      <c r="IS94" s="104"/>
      <c r="IT94" s="104"/>
      <c r="IU94" s="104"/>
      <c r="IV94" s="104"/>
      <c r="IW94" s="104"/>
      <c r="IX94" s="104"/>
      <c r="IY94" s="104"/>
      <c r="IZ94" s="104"/>
      <c r="JA94" s="104"/>
      <c r="JB94" s="104"/>
      <c r="JC94" s="104"/>
      <c r="JD94" s="104"/>
      <c r="JE94" s="104"/>
    </row>
    <row r="95" spans="4:265" x14ac:dyDescent="0.25">
      <c r="O95" s="104"/>
      <c r="P95" s="104"/>
      <c r="Q95" s="104"/>
      <c r="R95" s="104"/>
      <c r="S95" s="104"/>
      <c r="T95" s="104"/>
      <c r="U95" s="104"/>
      <c r="V95" s="104"/>
      <c r="W95" s="104"/>
      <c r="X95" s="104"/>
      <c r="Y95" s="104"/>
      <c r="Z95" s="104"/>
      <c r="AA95" s="104"/>
      <c r="AB95" s="104"/>
      <c r="AC95" s="104"/>
      <c r="AD95" s="104"/>
      <c r="AE95" s="104"/>
      <c r="AF95" s="104"/>
      <c r="AG95" s="104"/>
      <c r="AH95" s="104"/>
      <c r="AI95" s="104"/>
      <c r="AJ95" s="104"/>
      <c r="AK95" s="104"/>
      <c r="AL95" s="104"/>
      <c r="AM95" s="104"/>
      <c r="AN95" s="104"/>
      <c r="AO95" s="104"/>
      <c r="AP95" s="104"/>
      <c r="AQ95" s="104"/>
      <c r="AR95" s="104"/>
      <c r="AS95" s="104"/>
      <c r="AT95" s="104"/>
      <c r="AU95" s="104"/>
      <c r="AV95" s="104"/>
      <c r="AW95" s="104"/>
      <c r="AX95" s="104"/>
      <c r="AY95" s="104"/>
      <c r="AZ95" s="104"/>
      <c r="BA95" s="104"/>
      <c r="BB95" s="104"/>
      <c r="BC95" s="104"/>
      <c r="BD95" s="104"/>
      <c r="BE95" s="104"/>
      <c r="BF95" s="104"/>
      <c r="BG95" s="104"/>
      <c r="BH95" s="104"/>
      <c r="BI95" s="104"/>
      <c r="BJ95" s="104"/>
      <c r="BK95" s="104"/>
      <c r="BL95" s="104"/>
      <c r="BM95" s="104"/>
      <c r="BN95" s="104"/>
      <c r="BO95" s="104"/>
      <c r="BP95" s="104"/>
      <c r="BQ95" s="104"/>
      <c r="BR95" s="104"/>
      <c r="BS95" s="104"/>
      <c r="BT95" s="104"/>
      <c r="BU95" s="104"/>
      <c r="BV95" s="104"/>
      <c r="BW95" s="104"/>
      <c r="BX95" s="104"/>
      <c r="BY95" s="104"/>
      <c r="BZ95" s="104"/>
      <c r="CA95" s="104"/>
      <c r="CB95" s="104"/>
      <c r="CC95" s="104"/>
      <c r="CD95" s="104"/>
      <c r="CE95" s="104"/>
      <c r="CF95" s="104"/>
      <c r="CG95" s="104"/>
      <c r="CH95" s="104"/>
      <c r="CI95" s="104"/>
      <c r="CJ95" s="104"/>
      <c r="CK95" s="104"/>
      <c r="CL95" s="104"/>
      <c r="CM95" s="104"/>
      <c r="CN95" s="104"/>
      <c r="CO95" s="104"/>
      <c r="CP95" s="104"/>
      <c r="CQ95" s="104"/>
      <c r="CR95" s="104"/>
      <c r="CS95" s="104"/>
      <c r="CT95" s="104"/>
      <c r="CU95" s="104"/>
      <c r="CV95" s="104"/>
      <c r="CW95" s="104"/>
      <c r="CX95" s="104"/>
      <c r="CY95" s="104"/>
      <c r="CZ95" s="104"/>
      <c r="DA95" s="104"/>
      <c r="DB95" s="104"/>
      <c r="DC95" s="104"/>
      <c r="DD95" s="104"/>
      <c r="DE95" s="104"/>
      <c r="DF95" s="104"/>
      <c r="DG95" s="104"/>
      <c r="DH95" s="104"/>
      <c r="DI95" s="104"/>
      <c r="DJ95" s="104"/>
      <c r="DK95" s="104"/>
      <c r="DL95" s="104"/>
      <c r="DM95" s="104"/>
      <c r="DN95" s="104"/>
      <c r="DO95" s="104"/>
      <c r="DP95" s="104"/>
      <c r="DQ95" s="104"/>
      <c r="DR95" s="104"/>
      <c r="DS95" s="104"/>
      <c r="DT95" s="104"/>
      <c r="DU95" s="104"/>
      <c r="DV95" s="104"/>
      <c r="DW95" s="104"/>
      <c r="DX95" s="104"/>
      <c r="DY95" s="104"/>
      <c r="DZ95" s="104"/>
      <c r="EA95" s="104"/>
      <c r="EB95" s="104"/>
      <c r="EC95" s="104"/>
      <c r="ED95" s="104"/>
      <c r="EE95" s="104"/>
      <c r="EF95" s="104"/>
      <c r="EG95" s="104"/>
      <c r="EH95" s="104"/>
      <c r="EI95" s="104"/>
      <c r="EJ95" s="104"/>
      <c r="EK95" s="104"/>
      <c r="EL95" s="104"/>
      <c r="EM95" s="104"/>
      <c r="EN95" s="104"/>
      <c r="EO95" s="104"/>
      <c r="EP95" s="104"/>
      <c r="EQ95" s="104"/>
      <c r="ER95" s="104"/>
      <c r="ES95" s="104"/>
      <c r="ET95" s="104"/>
      <c r="EU95" s="104"/>
      <c r="EV95" s="104"/>
      <c r="EW95" s="104"/>
      <c r="EX95" s="104"/>
      <c r="EY95" s="104"/>
      <c r="EZ95" s="104"/>
      <c r="FA95" s="104"/>
      <c r="FB95" s="104"/>
      <c r="FC95" s="104"/>
      <c r="FD95" s="104"/>
      <c r="FE95" s="104"/>
      <c r="FF95" s="104"/>
      <c r="FG95" s="104"/>
      <c r="FH95" s="104"/>
      <c r="FI95" s="104"/>
      <c r="FJ95" s="104"/>
      <c r="FK95" s="104"/>
      <c r="FL95" s="104"/>
      <c r="FM95" s="104"/>
      <c r="FN95" s="104"/>
      <c r="FO95" s="104"/>
      <c r="FP95" s="104"/>
      <c r="FQ95" s="104"/>
      <c r="FR95" s="104"/>
      <c r="FS95" s="104"/>
      <c r="FT95" s="104"/>
      <c r="FU95" s="104"/>
      <c r="FV95" s="104"/>
      <c r="FW95" s="104"/>
      <c r="FX95" s="104"/>
      <c r="FY95" s="104"/>
      <c r="FZ95" s="104"/>
      <c r="GA95" s="104"/>
      <c r="GB95" s="104"/>
      <c r="GC95" s="104"/>
      <c r="GD95" s="104"/>
      <c r="GE95" s="104"/>
      <c r="GF95" s="104"/>
      <c r="GG95" s="104"/>
      <c r="GH95" s="104"/>
      <c r="GI95" s="104"/>
      <c r="GJ95" s="104"/>
      <c r="GK95" s="104"/>
      <c r="GL95" s="104"/>
      <c r="GM95" s="104"/>
      <c r="GN95" s="104"/>
      <c r="GO95" s="104"/>
      <c r="GP95" s="104"/>
      <c r="GQ95" s="104"/>
      <c r="GR95" s="104"/>
      <c r="GS95" s="104"/>
      <c r="GT95" s="104"/>
      <c r="GU95" s="104"/>
      <c r="GV95" s="104"/>
      <c r="GW95" s="104"/>
      <c r="GX95" s="104"/>
      <c r="GY95" s="104"/>
      <c r="GZ95" s="104"/>
      <c r="HA95" s="104"/>
      <c r="HB95" s="104"/>
      <c r="HC95" s="104"/>
      <c r="HD95" s="104"/>
      <c r="HE95" s="104"/>
      <c r="HF95" s="104"/>
      <c r="HG95" s="104"/>
      <c r="HH95" s="104"/>
      <c r="HI95" s="104"/>
      <c r="HJ95" s="104"/>
      <c r="HK95" s="104"/>
      <c r="HL95" s="104"/>
      <c r="HM95" s="104"/>
      <c r="HN95" s="104"/>
      <c r="HO95" s="104"/>
      <c r="HP95" s="104"/>
      <c r="HQ95" s="104"/>
      <c r="HR95" s="104"/>
      <c r="HS95" s="104"/>
      <c r="HT95" s="104"/>
      <c r="HU95" s="104"/>
      <c r="HV95" s="104"/>
      <c r="HW95" s="104"/>
      <c r="HX95" s="104"/>
      <c r="HY95" s="104"/>
      <c r="HZ95" s="104"/>
      <c r="IA95" s="104"/>
      <c r="IB95" s="104"/>
      <c r="IC95" s="104"/>
      <c r="ID95" s="104"/>
      <c r="IE95" s="104"/>
      <c r="IF95" s="104"/>
      <c r="IG95" s="104"/>
      <c r="IH95" s="104"/>
      <c r="II95" s="104"/>
      <c r="IJ95" s="104"/>
      <c r="IK95" s="104"/>
      <c r="IL95" s="104"/>
      <c r="IM95" s="104"/>
      <c r="IN95" s="104"/>
      <c r="IO95" s="104"/>
      <c r="IP95" s="104"/>
      <c r="IQ95" s="104"/>
      <c r="IR95" s="104"/>
      <c r="IS95" s="104"/>
      <c r="IT95" s="104"/>
      <c r="IU95" s="104"/>
      <c r="IV95" s="104"/>
      <c r="IW95" s="104"/>
      <c r="IX95" s="104"/>
      <c r="IY95" s="104"/>
      <c r="IZ95" s="104"/>
      <c r="JA95" s="104"/>
      <c r="JB95" s="104"/>
      <c r="JC95" s="104"/>
      <c r="JD95" s="104"/>
      <c r="JE95" s="104"/>
    </row>
    <row r="96" spans="4:265" x14ac:dyDescent="0.25">
      <c r="O96" s="104"/>
      <c r="P96" s="104"/>
      <c r="Q96" s="104"/>
      <c r="R96" s="104"/>
      <c r="S96" s="104"/>
      <c r="T96" s="104"/>
      <c r="U96" s="104"/>
      <c r="V96" s="104"/>
      <c r="W96" s="104"/>
      <c r="X96" s="104"/>
      <c r="Y96" s="104"/>
      <c r="Z96" s="104"/>
      <c r="AA96" s="104"/>
      <c r="AB96" s="104"/>
      <c r="AC96" s="104"/>
      <c r="AD96" s="104"/>
      <c r="AE96" s="104"/>
      <c r="AF96" s="104"/>
      <c r="AG96" s="104"/>
      <c r="AH96" s="104"/>
      <c r="AI96" s="104"/>
      <c r="AJ96" s="104"/>
      <c r="AK96" s="104"/>
      <c r="AL96" s="104"/>
      <c r="AM96" s="104"/>
      <c r="AN96" s="104"/>
      <c r="AO96" s="104"/>
      <c r="AP96" s="104"/>
      <c r="AQ96" s="104"/>
      <c r="AR96" s="104"/>
      <c r="AS96" s="104"/>
      <c r="AT96" s="104"/>
      <c r="AU96" s="104"/>
      <c r="AV96" s="104"/>
      <c r="AW96" s="104"/>
      <c r="AX96" s="104"/>
      <c r="AY96" s="104"/>
      <c r="AZ96" s="104"/>
      <c r="BA96" s="104"/>
      <c r="BB96" s="104"/>
      <c r="BC96" s="104"/>
      <c r="BD96" s="104"/>
      <c r="BE96" s="104"/>
      <c r="BF96" s="104"/>
      <c r="BG96" s="104"/>
      <c r="BH96" s="104"/>
      <c r="BI96" s="104"/>
      <c r="BJ96" s="104"/>
      <c r="BK96" s="104"/>
      <c r="BL96" s="104"/>
      <c r="BM96" s="104"/>
      <c r="BN96" s="104"/>
      <c r="BO96" s="104"/>
      <c r="BP96" s="104"/>
      <c r="BQ96" s="104"/>
      <c r="BR96" s="104"/>
      <c r="BS96" s="104"/>
      <c r="BT96" s="104"/>
      <c r="BU96" s="104"/>
      <c r="BV96" s="104"/>
      <c r="BW96" s="104"/>
      <c r="BX96" s="104"/>
      <c r="BY96" s="104"/>
      <c r="BZ96" s="104"/>
      <c r="CA96" s="104"/>
      <c r="CB96" s="104"/>
      <c r="CC96" s="104"/>
      <c r="CD96" s="104"/>
      <c r="CE96" s="104"/>
      <c r="CF96" s="104"/>
      <c r="CG96" s="104"/>
      <c r="CH96" s="104"/>
      <c r="CI96" s="104"/>
      <c r="CJ96" s="104"/>
      <c r="CK96" s="104"/>
      <c r="CL96" s="104"/>
      <c r="CM96" s="104"/>
      <c r="CN96" s="104"/>
      <c r="CO96" s="104"/>
      <c r="CP96" s="104"/>
      <c r="CQ96" s="104"/>
      <c r="CR96" s="104"/>
      <c r="CS96" s="104"/>
      <c r="CT96" s="104"/>
      <c r="CU96" s="104"/>
      <c r="CV96" s="104"/>
      <c r="CW96" s="104"/>
      <c r="CX96" s="104"/>
      <c r="CY96" s="104"/>
      <c r="CZ96" s="104"/>
      <c r="DA96" s="104"/>
      <c r="DB96" s="104"/>
      <c r="DC96" s="104"/>
      <c r="DD96" s="104"/>
      <c r="DE96" s="104"/>
      <c r="DF96" s="104"/>
      <c r="DG96" s="104"/>
      <c r="DH96" s="104"/>
      <c r="DI96" s="104"/>
      <c r="DJ96" s="104"/>
      <c r="DK96" s="104"/>
      <c r="DL96" s="104"/>
      <c r="DM96" s="104"/>
      <c r="DN96" s="104"/>
      <c r="DO96" s="104"/>
      <c r="DP96" s="104"/>
      <c r="DQ96" s="104"/>
      <c r="DR96" s="104"/>
      <c r="DS96" s="104"/>
      <c r="DT96" s="104"/>
      <c r="DU96" s="104"/>
      <c r="DV96" s="104"/>
      <c r="DW96" s="104"/>
      <c r="DX96" s="104"/>
      <c r="DY96" s="104"/>
      <c r="DZ96" s="104"/>
      <c r="EA96" s="104"/>
      <c r="EB96" s="104"/>
      <c r="EC96" s="104"/>
      <c r="ED96" s="104"/>
      <c r="EE96" s="104"/>
      <c r="EF96" s="104"/>
      <c r="EG96" s="104"/>
      <c r="EH96" s="104"/>
      <c r="EI96" s="104"/>
      <c r="EJ96" s="104"/>
      <c r="EK96" s="104"/>
      <c r="EL96" s="104"/>
      <c r="EM96" s="104"/>
      <c r="EN96" s="104"/>
      <c r="EO96" s="104"/>
      <c r="EP96" s="104"/>
      <c r="EQ96" s="104"/>
      <c r="ER96" s="104"/>
      <c r="ES96" s="104"/>
      <c r="ET96" s="104"/>
      <c r="EU96" s="104"/>
      <c r="EV96" s="104"/>
      <c r="EW96" s="104"/>
      <c r="EX96" s="104"/>
      <c r="EY96" s="104"/>
      <c r="EZ96" s="104"/>
      <c r="FA96" s="104"/>
      <c r="FB96" s="104"/>
      <c r="FC96" s="104"/>
      <c r="FD96" s="104"/>
      <c r="FE96" s="104"/>
      <c r="FF96" s="104"/>
      <c r="FG96" s="104"/>
      <c r="FH96" s="104"/>
      <c r="FI96" s="104"/>
      <c r="FJ96" s="104"/>
      <c r="FK96" s="104"/>
      <c r="FL96" s="104"/>
      <c r="FM96" s="104"/>
      <c r="FN96" s="104"/>
      <c r="FO96" s="104"/>
      <c r="FP96" s="104"/>
      <c r="FQ96" s="104"/>
      <c r="FR96" s="104"/>
      <c r="FS96" s="104"/>
      <c r="FT96" s="104"/>
      <c r="FU96" s="104"/>
      <c r="FV96" s="104"/>
      <c r="FW96" s="104"/>
      <c r="FX96" s="104"/>
      <c r="FY96" s="104"/>
      <c r="FZ96" s="104"/>
      <c r="GA96" s="104"/>
      <c r="GB96" s="104"/>
      <c r="GC96" s="104"/>
      <c r="GD96" s="104"/>
      <c r="GE96" s="104"/>
      <c r="GF96" s="104"/>
      <c r="GG96" s="104"/>
      <c r="GH96" s="104"/>
      <c r="GI96" s="104"/>
      <c r="GJ96" s="104"/>
      <c r="GK96" s="104"/>
      <c r="GL96" s="104"/>
      <c r="GM96" s="104"/>
      <c r="GN96" s="104"/>
      <c r="GO96" s="104"/>
      <c r="GP96" s="104"/>
      <c r="GQ96" s="104"/>
      <c r="GR96" s="104"/>
      <c r="GS96" s="104"/>
      <c r="GT96" s="104"/>
      <c r="GU96" s="104"/>
      <c r="GV96" s="104"/>
      <c r="GW96" s="104"/>
      <c r="GX96" s="104"/>
      <c r="GY96" s="104"/>
      <c r="GZ96" s="104"/>
      <c r="HA96" s="104"/>
      <c r="HB96" s="104"/>
      <c r="HC96" s="104"/>
      <c r="HD96" s="104"/>
      <c r="HE96" s="104"/>
      <c r="HF96" s="104"/>
      <c r="HG96" s="104"/>
      <c r="HH96" s="104"/>
      <c r="HI96" s="104"/>
      <c r="HJ96" s="104"/>
      <c r="HK96" s="104"/>
      <c r="HL96" s="104"/>
      <c r="HM96" s="104"/>
      <c r="HN96" s="104"/>
      <c r="HO96" s="104"/>
      <c r="HP96" s="104"/>
      <c r="HQ96" s="104"/>
      <c r="HR96" s="104"/>
      <c r="HS96" s="104"/>
      <c r="HT96" s="104"/>
      <c r="HU96" s="104"/>
      <c r="HV96" s="104"/>
      <c r="HW96" s="104"/>
      <c r="HX96" s="104"/>
      <c r="HY96" s="104"/>
      <c r="HZ96" s="104"/>
      <c r="IA96" s="104"/>
      <c r="IB96" s="104"/>
      <c r="IC96" s="104"/>
      <c r="ID96" s="104"/>
      <c r="IE96" s="104"/>
      <c r="IF96" s="104"/>
      <c r="IG96" s="104"/>
      <c r="IH96" s="104"/>
      <c r="II96" s="104"/>
      <c r="IJ96" s="104"/>
      <c r="IK96" s="104"/>
      <c r="IL96" s="104"/>
      <c r="IM96" s="104"/>
      <c r="IN96" s="104"/>
      <c r="IO96" s="104"/>
      <c r="IP96" s="104"/>
      <c r="IQ96" s="104"/>
      <c r="IR96" s="104"/>
      <c r="IS96" s="104"/>
      <c r="IT96" s="104"/>
      <c r="IU96" s="104"/>
      <c r="IV96" s="104"/>
      <c r="IW96" s="104"/>
      <c r="IX96" s="104"/>
      <c r="IY96" s="104"/>
      <c r="IZ96" s="104"/>
      <c r="JA96" s="104"/>
      <c r="JB96" s="104"/>
      <c r="JC96" s="104"/>
      <c r="JD96" s="104"/>
      <c r="JE96" s="104"/>
    </row>
    <row r="97" spans="15:265" x14ac:dyDescent="0.25">
      <c r="O97" s="104"/>
      <c r="P97" s="104"/>
      <c r="Q97" s="104"/>
      <c r="R97" s="104"/>
      <c r="S97" s="104"/>
      <c r="T97" s="104"/>
      <c r="U97" s="104"/>
      <c r="V97" s="104"/>
      <c r="W97" s="104"/>
      <c r="X97" s="104"/>
      <c r="Y97" s="104"/>
      <c r="Z97" s="104"/>
      <c r="AA97" s="104"/>
      <c r="AB97" s="104"/>
      <c r="AC97" s="104"/>
      <c r="AD97" s="104"/>
      <c r="AE97" s="104"/>
      <c r="AF97" s="104"/>
      <c r="AG97" s="104"/>
      <c r="AH97" s="104"/>
      <c r="AI97" s="104"/>
      <c r="AJ97" s="104"/>
      <c r="AK97" s="104"/>
      <c r="AL97" s="104"/>
      <c r="AM97" s="104"/>
      <c r="AN97" s="104"/>
      <c r="AO97" s="104"/>
      <c r="AP97" s="104"/>
      <c r="AQ97" s="104"/>
      <c r="AR97" s="104"/>
      <c r="AS97" s="104"/>
      <c r="AT97" s="104"/>
      <c r="AU97" s="104"/>
      <c r="AV97" s="104"/>
      <c r="AW97" s="104"/>
      <c r="AX97" s="104"/>
      <c r="AY97" s="104"/>
      <c r="AZ97" s="104"/>
      <c r="BA97" s="104"/>
      <c r="BB97" s="104"/>
      <c r="BC97" s="104"/>
      <c r="BD97" s="104"/>
      <c r="BE97" s="104"/>
      <c r="BF97" s="104"/>
      <c r="BG97" s="104"/>
      <c r="BH97" s="104"/>
      <c r="BI97" s="104"/>
      <c r="BJ97" s="104"/>
      <c r="BK97" s="104"/>
      <c r="BL97" s="104"/>
      <c r="BM97" s="104"/>
      <c r="BN97" s="104"/>
      <c r="BO97" s="104"/>
      <c r="BP97" s="104"/>
      <c r="BQ97" s="104"/>
      <c r="BR97" s="104"/>
      <c r="BS97" s="104"/>
      <c r="BT97" s="104"/>
      <c r="BU97" s="104"/>
      <c r="BV97" s="104"/>
      <c r="BW97" s="104"/>
      <c r="BX97" s="104"/>
      <c r="BY97" s="104"/>
      <c r="BZ97" s="104"/>
      <c r="CA97" s="104"/>
      <c r="CB97" s="104"/>
      <c r="CC97" s="104"/>
      <c r="CD97" s="104"/>
      <c r="CE97" s="104"/>
      <c r="CF97" s="104"/>
      <c r="CG97" s="104"/>
      <c r="CH97" s="104"/>
      <c r="CI97" s="104"/>
      <c r="CJ97" s="104"/>
      <c r="CK97" s="104"/>
      <c r="CL97" s="104"/>
      <c r="CM97" s="104"/>
      <c r="CN97" s="104"/>
      <c r="CO97" s="104"/>
      <c r="CP97" s="104"/>
      <c r="CQ97" s="104"/>
      <c r="CR97" s="104"/>
      <c r="CS97" s="104"/>
      <c r="CT97" s="104"/>
      <c r="CU97" s="104"/>
      <c r="CV97" s="104"/>
      <c r="CW97" s="104"/>
      <c r="CX97" s="104"/>
      <c r="CY97" s="104"/>
      <c r="CZ97" s="104"/>
      <c r="DA97" s="104"/>
      <c r="DB97" s="104"/>
      <c r="DC97" s="104"/>
      <c r="DD97" s="104"/>
      <c r="DE97" s="104"/>
      <c r="DF97" s="104"/>
      <c r="DG97" s="104"/>
      <c r="DH97" s="104"/>
      <c r="DI97" s="104"/>
      <c r="DJ97" s="104"/>
      <c r="DK97" s="104"/>
      <c r="DL97" s="104"/>
      <c r="DM97" s="104"/>
      <c r="DN97" s="104"/>
      <c r="DO97" s="104"/>
      <c r="DP97" s="104"/>
      <c r="DQ97" s="104"/>
      <c r="DR97" s="104"/>
      <c r="DS97" s="104"/>
      <c r="DT97" s="104"/>
      <c r="DU97" s="104"/>
      <c r="DV97" s="104"/>
      <c r="DW97" s="104"/>
      <c r="DX97" s="104"/>
      <c r="DY97" s="104"/>
      <c r="DZ97" s="104"/>
      <c r="EA97" s="104"/>
      <c r="EB97" s="104"/>
      <c r="EC97" s="104"/>
      <c r="ED97" s="104"/>
      <c r="EE97" s="104"/>
      <c r="EF97" s="104"/>
      <c r="EG97" s="104"/>
      <c r="EH97" s="104"/>
      <c r="EI97" s="104"/>
      <c r="EJ97" s="104"/>
      <c r="EK97" s="104"/>
      <c r="EL97" s="104"/>
      <c r="EM97" s="104"/>
      <c r="EN97" s="104"/>
      <c r="EO97" s="104"/>
      <c r="EP97" s="104"/>
      <c r="EQ97" s="104"/>
      <c r="ER97" s="104"/>
      <c r="ES97" s="104"/>
      <c r="ET97" s="104"/>
      <c r="EU97" s="104"/>
      <c r="EV97" s="104"/>
      <c r="EW97" s="104"/>
      <c r="EX97" s="104"/>
      <c r="EY97" s="104"/>
      <c r="EZ97" s="104"/>
      <c r="FA97" s="104"/>
      <c r="FB97" s="104"/>
      <c r="FC97" s="104"/>
      <c r="FD97" s="104"/>
      <c r="FE97" s="104"/>
      <c r="FF97" s="104"/>
      <c r="FG97" s="104"/>
      <c r="FH97" s="104"/>
      <c r="FI97" s="104"/>
      <c r="FJ97" s="104"/>
      <c r="FK97" s="104"/>
      <c r="FL97" s="104"/>
      <c r="FM97" s="104"/>
      <c r="FN97" s="104"/>
      <c r="FO97" s="104"/>
      <c r="FP97" s="104"/>
      <c r="FQ97" s="104"/>
      <c r="FR97" s="104"/>
      <c r="FS97" s="104"/>
      <c r="FT97" s="104"/>
      <c r="FU97" s="104"/>
      <c r="FV97" s="104"/>
      <c r="FW97" s="104"/>
      <c r="FX97" s="104"/>
      <c r="FY97" s="104"/>
      <c r="FZ97" s="104"/>
      <c r="GA97" s="104"/>
      <c r="GB97" s="104"/>
      <c r="GC97" s="104"/>
      <c r="GD97" s="104"/>
      <c r="GE97" s="104"/>
      <c r="GF97" s="104"/>
      <c r="GG97" s="104"/>
      <c r="GH97" s="104"/>
      <c r="GI97" s="104"/>
      <c r="GJ97" s="104"/>
      <c r="GK97" s="104"/>
      <c r="GL97" s="104"/>
      <c r="GM97" s="104"/>
      <c r="GN97" s="104"/>
      <c r="GO97" s="104"/>
      <c r="GP97" s="104"/>
      <c r="GQ97" s="104"/>
      <c r="GR97" s="104"/>
      <c r="GS97" s="104"/>
      <c r="GT97" s="104"/>
      <c r="GU97" s="104"/>
      <c r="GV97" s="104"/>
      <c r="GW97" s="104"/>
      <c r="GX97" s="104"/>
      <c r="GY97" s="104"/>
      <c r="GZ97" s="104"/>
      <c r="HA97" s="104"/>
      <c r="HB97" s="104"/>
      <c r="HC97" s="104"/>
      <c r="HD97" s="104"/>
      <c r="HE97" s="104"/>
      <c r="HF97" s="104"/>
      <c r="HG97" s="104"/>
      <c r="HH97" s="104"/>
      <c r="HI97" s="104"/>
      <c r="HJ97" s="104"/>
      <c r="HK97" s="104"/>
      <c r="HL97" s="104"/>
      <c r="HM97" s="104"/>
      <c r="HN97" s="104"/>
      <c r="HO97" s="104"/>
      <c r="HP97" s="104"/>
      <c r="HQ97" s="104"/>
      <c r="HR97" s="104"/>
      <c r="HS97" s="104"/>
      <c r="HT97" s="104"/>
      <c r="HU97" s="104"/>
      <c r="HV97" s="104"/>
      <c r="HW97" s="104"/>
      <c r="HX97" s="104"/>
      <c r="HY97" s="104"/>
      <c r="HZ97" s="104"/>
      <c r="IA97" s="104"/>
      <c r="IB97" s="104"/>
      <c r="IC97" s="104"/>
      <c r="ID97" s="104"/>
      <c r="IE97" s="104"/>
      <c r="IF97" s="104"/>
      <c r="IG97" s="104"/>
      <c r="IH97" s="104"/>
      <c r="II97" s="104"/>
      <c r="IJ97" s="104"/>
      <c r="IK97" s="104"/>
      <c r="IL97" s="104"/>
      <c r="IM97" s="104"/>
      <c r="IN97" s="104"/>
      <c r="IO97" s="104"/>
      <c r="IP97" s="104"/>
      <c r="IQ97" s="104"/>
      <c r="IR97" s="104"/>
      <c r="IS97" s="104"/>
      <c r="IT97" s="104"/>
      <c r="IU97" s="104"/>
      <c r="IV97" s="104"/>
      <c r="IW97" s="104"/>
      <c r="IX97" s="104"/>
      <c r="IY97" s="104"/>
      <c r="IZ97" s="104"/>
      <c r="JA97" s="104"/>
      <c r="JB97" s="104"/>
      <c r="JC97" s="104"/>
      <c r="JD97" s="104"/>
      <c r="JE97" s="104"/>
    </row>
    <row r="98" spans="15:265" x14ac:dyDescent="0.25">
      <c r="O98" s="104"/>
      <c r="P98" s="104"/>
      <c r="Q98" s="104"/>
      <c r="R98" s="104"/>
      <c r="S98" s="104"/>
      <c r="T98" s="104"/>
      <c r="U98" s="104"/>
      <c r="V98" s="104"/>
      <c r="W98" s="104"/>
      <c r="X98" s="104"/>
      <c r="Y98" s="104"/>
      <c r="Z98" s="104"/>
      <c r="AA98" s="104"/>
      <c r="AB98" s="104"/>
      <c r="AC98" s="104"/>
      <c r="AD98" s="104"/>
      <c r="AE98" s="104"/>
      <c r="AF98" s="104"/>
      <c r="AG98" s="104"/>
      <c r="AH98" s="104"/>
      <c r="AI98" s="104"/>
      <c r="AJ98" s="104"/>
      <c r="AK98" s="104"/>
      <c r="AL98" s="104"/>
      <c r="AM98" s="104"/>
      <c r="AN98" s="104"/>
      <c r="AO98" s="104"/>
      <c r="AP98" s="104"/>
      <c r="AQ98" s="104"/>
      <c r="AR98" s="104"/>
      <c r="AS98" s="104"/>
      <c r="AT98" s="104"/>
      <c r="AU98" s="104"/>
      <c r="AV98" s="104"/>
      <c r="AW98" s="104"/>
      <c r="AX98" s="104"/>
      <c r="AY98" s="104"/>
      <c r="AZ98" s="104"/>
      <c r="BA98" s="104"/>
      <c r="BB98" s="104"/>
      <c r="BC98" s="104"/>
      <c r="BD98" s="104"/>
      <c r="BE98" s="104"/>
      <c r="BF98" s="104"/>
      <c r="BG98" s="104"/>
      <c r="BH98" s="104"/>
      <c r="BI98" s="104"/>
      <c r="BJ98" s="104"/>
      <c r="BK98" s="104"/>
      <c r="BL98" s="104"/>
      <c r="BM98" s="104"/>
      <c r="BN98" s="104"/>
      <c r="BO98" s="104"/>
      <c r="BP98" s="104"/>
      <c r="BQ98" s="104"/>
      <c r="BR98" s="104"/>
      <c r="BS98" s="104"/>
      <c r="BT98" s="104"/>
      <c r="BU98" s="104"/>
      <c r="BV98" s="104"/>
      <c r="BW98" s="104"/>
      <c r="BX98" s="104"/>
      <c r="BY98" s="104"/>
      <c r="BZ98" s="104"/>
      <c r="CA98" s="104"/>
      <c r="CB98" s="104"/>
      <c r="CC98" s="104"/>
      <c r="CD98" s="104"/>
      <c r="CE98" s="104"/>
      <c r="CF98" s="104"/>
      <c r="CG98" s="104"/>
      <c r="CH98" s="104"/>
      <c r="CI98" s="104"/>
      <c r="CJ98" s="104"/>
      <c r="CK98" s="104"/>
      <c r="CL98" s="104"/>
      <c r="CM98" s="104"/>
      <c r="CN98" s="104"/>
      <c r="CO98" s="104"/>
      <c r="CP98" s="104"/>
      <c r="CQ98" s="104"/>
      <c r="CR98" s="104"/>
      <c r="CS98" s="104"/>
      <c r="CT98" s="104"/>
      <c r="CU98" s="104"/>
      <c r="CV98" s="104"/>
      <c r="CW98" s="104"/>
      <c r="CX98" s="104"/>
      <c r="CY98" s="104"/>
      <c r="CZ98" s="104"/>
      <c r="DA98" s="104"/>
      <c r="DB98" s="104"/>
      <c r="DC98" s="104"/>
      <c r="DD98" s="104"/>
      <c r="DE98" s="104"/>
      <c r="DF98" s="104"/>
      <c r="DG98" s="104"/>
      <c r="DH98" s="104"/>
      <c r="DI98" s="104"/>
      <c r="DJ98" s="104"/>
      <c r="DK98" s="104"/>
      <c r="DL98" s="104"/>
      <c r="DM98" s="104"/>
      <c r="DN98" s="104"/>
      <c r="DO98" s="104"/>
      <c r="DP98" s="104"/>
      <c r="DQ98" s="104"/>
      <c r="DR98" s="104"/>
      <c r="DS98" s="104"/>
      <c r="DT98" s="104"/>
      <c r="DU98" s="104"/>
      <c r="DV98" s="104"/>
      <c r="DW98" s="104"/>
      <c r="DX98" s="104"/>
      <c r="DY98" s="104"/>
      <c r="DZ98" s="104"/>
      <c r="EA98" s="104"/>
      <c r="EB98" s="104"/>
      <c r="EC98" s="104"/>
      <c r="ED98" s="104"/>
      <c r="EE98" s="104"/>
      <c r="EF98" s="104"/>
      <c r="EG98" s="104"/>
      <c r="EH98" s="104"/>
      <c r="EI98" s="104"/>
      <c r="EJ98" s="104"/>
      <c r="EK98" s="104"/>
      <c r="EL98" s="104"/>
      <c r="EM98" s="104"/>
      <c r="EN98" s="104"/>
      <c r="EO98" s="104"/>
      <c r="EP98" s="104"/>
      <c r="EQ98" s="104"/>
      <c r="ER98" s="104"/>
      <c r="ES98" s="104"/>
      <c r="ET98" s="104"/>
      <c r="EU98" s="104"/>
      <c r="EV98" s="104"/>
      <c r="EW98" s="104"/>
      <c r="EX98" s="104"/>
      <c r="EY98" s="104"/>
      <c r="EZ98" s="104"/>
      <c r="FA98" s="104"/>
      <c r="FB98" s="104"/>
      <c r="FC98" s="104"/>
      <c r="FD98" s="104"/>
      <c r="FE98" s="104"/>
      <c r="FF98" s="104"/>
      <c r="FG98" s="104"/>
      <c r="FH98" s="104"/>
      <c r="FI98" s="104"/>
      <c r="FJ98" s="104"/>
      <c r="FK98" s="104"/>
      <c r="FL98" s="104"/>
      <c r="FM98" s="104"/>
      <c r="FN98" s="104"/>
      <c r="FO98" s="104"/>
      <c r="FP98" s="104"/>
      <c r="FQ98" s="104"/>
      <c r="FR98" s="104"/>
      <c r="FS98" s="104"/>
      <c r="FT98" s="104"/>
      <c r="FU98" s="104"/>
      <c r="FV98" s="104"/>
      <c r="FW98" s="104"/>
      <c r="FX98" s="104"/>
      <c r="FY98" s="104"/>
      <c r="FZ98" s="104"/>
      <c r="GA98" s="104"/>
      <c r="GB98" s="104"/>
      <c r="GC98" s="104"/>
      <c r="GD98" s="104"/>
      <c r="GE98" s="104"/>
      <c r="GF98" s="104"/>
      <c r="GG98" s="104"/>
      <c r="GH98" s="104"/>
      <c r="GI98" s="104"/>
      <c r="GJ98" s="104"/>
      <c r="GK98" s="104"/>
      <c r="GL98" s="104"/>
      <c r="GM98" s="104"/>
      <c r="GN98" s="104"/>
      <c r="GO98" s="104"/>
      <c r="GP98" s="104"/>
      <c r="GQ98" s="104"/>
      <c r="GR98" s="104"/>
      <c r="GS98" s="104"/>
      <c r="GT98" s="104"/>
      <c r="GU98" s="104"/>
      <c r="GV98" s="104"/>
      <c r="GW98" s="104"/>
      <c r="GX98" s="104"/>
      <c r="GY98" s="104"/>
      <c r="GZ98" s="104"/>
      <c r="HA98" s="104"/>
      <c r="HB98" s="104"/>
      <c r="HC98" s="104"/>
      <c r="HD98" s="104"/>
      <c r="HE98" s="104"/>
      <c r="HF98" s="104"/>
      <c r="HG98" s="104"/>
      <c r="HH98" s="104"/>
      <c r="HI98" s="104"/>
      <c r="HJ98" s="104"/>
      <c r="HK98" s="104"/>
      <c r="HL98" s="104"/>
      <c r="HM98" s="104"/>
      <c r="HN98" s="104"/>
      <c r="HO98" s="104"/>
      <c r="HP98" s="104"/>
      <c r="HQ98" s="104"/>
      <c r="HR98" s="104"/>
      <c r="HS98" s="104"/>
      <c r="HT98" s="104"/>
      <c r="HU98" s="104"/>
      <c r="HV98" s="104"/>
      <c r="HW98" s="104"/>
      <c r="HX98" s="104"/>
      <c r="HY98" s="104"/>
      <c r="HZ98" s="104"/>
      <c r="IA98" s="104"/>
      <c r="IB98" s="104"/>
      <c r="IC98" s="104"/>
      <c r="ID98" s="104"/>
      <c r="IE98" s="104"/>
      <c r="IF98" s="104"/>
      <c r="IG98" s="104"/>
      <c r="IH98" s="104"/>
      <c r="II98" s="104"/>
      <c r="IJ98" s="104"/>
      <c r="IK98" s="104"/>
      <c r="IL98" s="104"/>
      <c r="IM98" s="104"/>
      <c r="IN98" s="104"/>
      <c r="IO98" s="104"/>
      <c r="IP98" s="104"/>
      <c r="IQ98" s="104"/>
      <c r="IR98" s="104"/>
      <c r="IS98" s="104"/>
      <c r="IT98" s="104"/>
      <c r="IU98" s="104"/>
      <c r="IV98" s="104"/>
      <c r="IW98" s="104"/>
      <c r="IX98" s="104"/>
      <c r="IY98" s="104"/>
      <c r="IZ98" s="104"/>
      <c r="JA98" s="104"/>
      <c r="JB98" s="104"/>
      <c r="JC98" s="104"/>
      <c r="JD98" s="104"/>
      <c r="JE98" s="104"/>
    </row>
    <row r="99" spans="15:265" x14ac:dyDescent="0.25">
      <c r="O99" s="104"/>
      <c r="P99" s="104"/>
      <c r="Q99" s="104"/>
      <c r="R99" s="104"/>
      <c r="S99" s="104"/>
      <c r="T99" s="104"/>
      <c r="U99" s="104"/>
      <c r="V99" s="104"/>
      <c r="W99" s="104"/>
      <c r="X99" s="104"/>
      <c r="Y99" s="104"/>
      <c r="Z99" s="104"/>
      <c r="AA99" s="104"/>
      <c r="AB99" s="104"/>
      <c r="AC99" s="104"/>
      <c r="AD99" s="104"/>
      <c r="AE99" s="104"/>
      <c r="AF99" s="104"/>
      <c r="AG99" s="104"/>
      <c r="AH99" s="104"/>
      <c r="AI99" s="104"/>
      <c r="AJ99" s="104"/>
      <c r="AK99" s="104"/>
      <c r="AL99" s="104"/>
      <c r="AM99" s="104"/>
      <c r="AN99" s="104"/>
      <c r="AO99" s="104"/>
      <c r="AP99" s="104"/>
      <c r="AQ99" s="104"/>
      <c r="AR99" s="104"/>
      <c r="AS99" s="104"/>
      <c r="AT99" s="104"/>
      <c r="AU99" s="104"/>
      <c r="AV99" s="104"/>
      <c r="AW99" s="104"/>
      <c r="AX99" s="104"/>
      <c r="AY99" s="104"/>
      <c r="AZ99" s="104"/>
      <c r="BA99" s="104"/>
      <c r="BB99" s="104"/>
      <c r="BC99" s="104"/>
      <c r="BD99" s="104"/>
      <c r="BE99" s="104"/>
      <c r="BF99" s="104"/>
      <c r="BG99" s="104"/>
      <c r="BH99" s="104"/>
      <c r="BI99" s="104"/>
      <c r="BJ99" s="104"/>
      <c r="BK99" s="104"/>
      <c r="BL99" s="104"/>
      <c r="BM99" s="104"/>
      <c r="BN99" s="104"/>
      <c r="BO99" s="104"/>
      <c r="BP99" s="104"/>
      <c r="BQ99" s="104"/>
      <c r="BR99" s="104"/>
      <c r="BS99" s="104"/>
      <c r="BT99" s="104"/>
      <c r="BU99" s="104"/>
      <c r="BV99" s="104"/>
      <c r="BW99" s="104"/>
      <c r="BX99" s="104"/>
      <c r="BY99" s="104"/>
      <c r="BZ99" s="104"/>
      <c r="CA99" s="104"/>
      <c r="CB99" s="104"/>
      <c r="CC99" s="104"/>
      <c r="CD99" s="104"/>
      <c r="CE99" s="104"/>
      <c r="CF99" s="104"/>
      <c r="CG99" s="104"/>
      <c r="CH99" s="104"/>
      <c r="CI99" s="104"/>
      <c r="CJ99" s="104"/>
      <c r="CK99" s="104"/>
      <c r="CL99" s="104"/>
      <c r="CM99" s="104"/>
      <c r="CN99" s="104"/>
      <c r="CO99" s="104"/>
      <c r="CP99" s="104"/>
      <c r="CQ99" s="104"/>
      <c r="CR99" s="104"/>
      <c r="CS99" s="104"/>
      <c r="CT99" s="104"/>
      <c r="CU99" s="104"/>
      <c r="CV99" s="104"/>
      <c r="CW99" s="104"/>
      <c r="CX99" s="104"/>
      <c r="CY99" s="104"/>
      <c r="CZ99" s="104"/>
      <c r="DA99" s="104"/>
      <c r="DB99" s="104"/>
      <c r="DC99" s="104"/>
      <c r="DD99" s="104"/>
      <c r="DE99" s="104"/>
      <c r="DF99" s="104"/>
      <c r="DG99" s="104"/>
      <c r="DH99" s="104"/>
      <c r="DI99" s="104"/>
      <c r="DJ99" s="104"/>
      <c r="DK99" s="104"/>
      <c r="DL99" s="104"/>
      <c r="DM99" s="104"/>
      <c r="DN99" s="104"/>
      <c r="DO99" s="104"/>
      <c r="DP99" s="104"/>
      <c r="DQ99" s="104"/>
      <c r="DR99" s="104"/>
      <c r="DS99" s="104"/>
      <c r="DT99" s="104"/>
      <c r="DU99" s="104"/>
      <c r="DV99" s="104"/>
      <c r="DW99" s="104"/>
      <c r="DX99" s="104"/>
      <c r="DY99" s="104"/>
      <c r="DZ99" s="104"/>
      <c r="EA99" s="104"/>
      <c r="EB99" s="104"/>
      <c r="EC99" s="104"/>
      <c r="ED99" s="104"/>
      <c r="EE99" s="104"/>
      <c r="EF99" s="104"/>
      <c r="EG99" s="104"/>
      <c r="EH99" s="104"/>
      <c r="EI99" s="104"/>
      <c r="EJ99" s="104"/>
      <c r="EK99" s="104"/>
      <c r="EL99" s="104"/>
      <c r="EM99" s="104"/>
      <c r="EN99" s="104"/>
      <c r="EO99" s="104"/>
      <c r="EP99" s="104"/>
      <c r="EQ99" s="104"/>
      <c r="ER99" s="104"/>
      <c r="ES99" s="104"/>
      <c r="ET99" s="104"/>
      <c r="EU99" s="104"/>
      <c r="EV99" s="104"/>
      <c r="EW99" s="104"/>
      <c r="EX99" s="104"/>
      <c r="EY99" s="104"/>
      <c r="EZ99" s="104"/>
      <c r="FA99" s="104"/>
      <c r="FB99" s="104"/>
      <c r="FC99" s="104"/>
      <c r="FD99" s="104"/>
      <c r="FE99" s="104"/>
      <c r="FF99" s="104"/>
      <c r="FG99" s="104"/>
      <c r="FH99" s="104"/>
      <c r="FI99" s="104"/>
      <c r="FJ99" s="104"/>
      <c r="FK99" s="104"/>
      <c r="FL99" s="104"/>
      <c r="FM99" s="104"/>
      <c r="FN99" s="104"/>
      <c r="FO99" s="104"/>
      <c r="FP99" s="104"/>
      <c r="FQ99" s="104"/>
      <c r="FR99" s="104"/>
      <c r="FS99" s="104"/>
      <c r="FT99" s="104"/>
      <c r="FU99" s="104"/>
      <c r="FV99" s="104"/>
      <c r="FW99" s="104"/>
      <c r="FX99" s="104"/>
      <c r="FY99" s="104"/>
      <c r="FZ99" s="104"/>
      <c r="GA99" s="104"/>
      <c r="GB99" s="104"/>
      <c r="GC99" s="104"/>
      <c r="GD99" s="104"/>
      <c r="GE99" s="104"/>
      <c r="GF99" s="104"/>
      <c r="GG99" s="104"/>
      <c r="GH99" s="104"/>
      <c r="GI99" s="104"/>
      <c r="GJ99" s="104"/>
      <c r="GK99" s="104"/>
      <c r="GL99" s="104"/>
      <c r="GM99" s="104"/>
      <c r="GN99" s="104"/>
      <c r="GO99" s="104"/>
      <c r="GP99" s="104"/>
      <c r="GQ99" s="104"/>
      <c r="GR99" s="104"/>
      <c r="GS99" s="104"/>
      <c r="GT99" s="104"/>
      <c r="GU99" s="104"/>
      <c r="GV99" s="104"/>
      <c r="GW99" s="104"/>
      <c r="GX99" s="104"/>
      <c r="GY99" s="104"/>
      <c r="GZ99" s="104"/>
      <c r="HA99" s="104"/>
      <c r="HB99" s="104"/>
      <c r="HC99" s="104"/>
      <c r="HD99" s="104"/>
      <c r="HE99" s="104"/>
      <c r="HF99" s="104"/>
      <c r="HG99" s="104"/>
      <c r="HH99" s="104"/>
      <c r="HI99" s="104"/>
      <c r="HJ99" s="104"/>
      <c r="HK99" s="104"/>
      <c r="HL99" s="104"/>
      <c r="HM99" s="104"/>
      <c r="HN99" s="104"/>
      <c r="HO99" s="104"/>
      <c r="HP99" s="104"/>
      <c r="HQ99" s="104"/>
      <c r="HR99" s="104"/>
      <c r="HS99" s="104"/>
      <c r="HT99" s="104"/>
      <c r="HU99" s="104"/>
      <c r="HV99" s="104"/>
      <c r="HW99" s="104"/>
      <c r="HX99" s="104"/>
      <c r="HY99" s="104"/>
      <c r="HZ99" s="104"/>
      <c r="IA99" s="104"/>
      <c r="IB99" s="104"/>
      <c r="IC99" s="104"/>
      <c r="ID99" s="104"/>
      <c r="IE99" s="104"/>
      <c r="IF99" s="104"/>
      <c r="IG99" s="104"/>
      <c r="IH99" s="104"/>
      <c r="II99" s="104"/>
      <c r="IJ99" s="104"/>
      <c r="IK99" s="104"/>
      <c r="IL99" s="104"/>
      <c r="IM99" s="104"/>
      <c r="IN99" s="104"/>
      <c r="IO99" s="104"/>
      <c r="IP99" s="104"/>
      <c r="IQ99" s="104"/>
      <c r="IR99" s="104"/>
      <c r="IS99" s="104"/>
      <c r="IT99" s="104"/>
      <c r="IU99" s="104"/>
      <c r="IV99" s="104"/>
      <c r="IW99" s="104"/>
      <c r="IX99" s="104"/>
      <c r="IY99" s="104"/>
      <c r="IZ99" s="104"/>
      <c r="JA99" s="104"/>
      <c r="JB99" s="104"/>
      <c r="JC99" s="104"/>
      <c r="JD99" s="104"/>
      <c r="JE99" s="104"/>
    </row>
    <row r="100" spans="15:265" x14ac:dyDescent="0.25">
      <c r="O100" s="104"/>
      <c r="P100" s="104"/>
      <c r="Q100" s="104"/>
      <c r="R100" s="104"/>
      <c r="S100" s="104"/>
      <c r="T100" s="104"/>
      <c r="U100" s="104"/>
      <c r="V100" s="104"/>
      <c r="W100" s="104"/>
      <c r="X100" s="104"/>
      <c r="Y100" s="104"/>
      <c r="Z100" s="104"/>
      <c r="AA100" s="104"/>
      <c r="AB100" s="104"/>
      <c r="AC100" s="104"/>
      <c r="AD100" s="104"/>
      <c r="AE100" s="104"/>
      <c r="AF100" s="104"/>
      <c r="AG100" s="104"/>
      <c r="AH100" s="104"/>
      <c r="AI100" s="104"/>
      <c r="AJ100" s="104"/>
      <c r="AK100" s="104"/>
      <c r="AL100" s="104"/>
      <c r="AM100" s="104"/>
      <c r="AN100" s="104"/>
      <c r="AO100" s="104"/>
      <c r="AP100" s="104"/>
      <c r="AQ100" s="104"/>
      <c r="AR100" s="104"/>
      <c r="AS100" s="104"/>
      <c r="AT100" s="104"/>
      <c r="AU100" s="104"/>
      <c r="AV100" s="104"/>
      <c r="AW100" s="104"/>
      <c r="AX100" s="104"/>
      <c r="AY100" s="104"/>
      <c r="AZ100" s="104"/>
      <c r="BA100" s="104"/>
      <c r="BB100" s="104"/>
      <c r="BC100" s="104"/>
      <c r="BD100" s="104"/>
      <c r="BE100" s="104"/>
      <c r="BF100" s="104"/>
      <c r="BG100" s="104"/>
      <c r="BH100" s="104"/>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104"/>
      <c r="CD100" s="104"/>
      <c r="CE100" s="104"/>
      <c r="CF100" s="104"/>
      <c r="CG100" s="104"/>
      <c r="CH100" s="104"/>
      <c r="CI100" s="104"/>
      <c r="CJ100" s="104"/>
      <c r="CK100" s="104"/>
      <c r="CL100" s="104"/>
      <c r="CM100" s="104"/>
      <c r="CN100" s="104"/>
      <c r="CO100" s="104"/>
      <c r="CP100" s="104"/>
      <c r="CQ100" s="104"/>
      <c r="CR100" s="104"/>
      <c r="CS100" s="104"/>
      <c r="CT100" s="104"/>
      <c r="CU100" s="104"/>
      <c r="CV100" s="104"/>
      <c r="CW100" s="104"/>
      <c r="CX100" s="104"/>
      <c r="CY100" s="104"/>
      <c r="CZ100" s="104"/>
      <c r="DA100" s="104"/>
      <c r="DB100" s="104"/>
      <c r="DC100" s="104"/>
      <c r="DD100" s="104"/>
      <c r="DE100" s="104"/>
      <c r="DF100" s="104"/>
      <c r="DG100" s="104"/>
      <c r="DH100" s="104"/>
      <c r="DI100" s="104"/>
      <c r="DJ100" s="104"/>
      <c r="DK100" s="104"/>
      <c r="DL100" s="104"/>
      <c r="DM100" s="104"/>
      <c r="DN100" s="104"/>
      <c r="DO100" s="104"/>
      <c r="DP100" s="104"/>
      <c r="DQ100" s="104"/>
      <c r="DR100" s="104"/>
      <c r="DS100" s="104"/>
      <c r="DT100" s="104"/>
      <c r="DU100" s="104"/>
      <c r="DV100" s="104"/>
      <c r="DW100" s="104"/>
      <c r="DX100" s="104"/>
      <c r="DY100" s="104"/>
      <c r="DZ100" s="104"/>
      <c r="EA100" s="104"/>
      <c r="EB100" s="104"/>
      <c r="EC100" s="104"/>
      <c r="ED100" s="104"/>
      <c r="EE100" s="104"/>
      <c r="EF100" s="104"/>
      <c r="EG100" s="104"/>
      <c r="EH100" s="104"/>
      <c r="EI100" s="104"/>
      <c r="EJ100" s="104"/>
      <c r="EK100" s="104"/>
      <c r="EL100" s="104"/>
      <c r="EM100" s="104"/>
      <c r="EN100" s="104"/>
      <c r="EO100" s="104"/>
      <c r="EP100" s="104"/>
      <c r="EQ100" s="104"/>
      <c r="ER100" s="104"/>
      <c r="ES100" s="104"/>
      <c r="ET100" s="104"/>
      <c r="EU100" s="104"/>
      <c r="EV100" s="104"/>
      <c r="EW100" s="104"/>
      <c r="EX100" s="104"/>
      <c r="EY100" s="104"/>
      <c r="EZ100" s="104"/>
      <c r="FA100" s="104"/>
      <c r="FB100" s="104"/>
      <c r="FC100" s="104"/>
      <c r="FD100" s="104"/>
      <c r="FE100" s="104"/>
      <c r="FF100" s="104"/>
      <c r="FG100" s="104"/>
      <c r="FH100" s="104"/>
      <c r="FI100" s="104"/>
      <c r="FJ100" s="104"/>
      <c r="FK100" s="104"/>
      <c r="FL100" s="104"/>
      <c r="FM100" s="104"/>
      <c r="FN100" s="104"/>
      <c r="FO100" s="104"/>
      <c r="FP100" s="104"/>
      <c r="FQ100" s="104"/>
      <c r="FR100" s="104"/>
      <c r="FS100" s="104"/>
      <c r="FT100" s="104"/>
      <c r="FU100" s="104"/>
      <c r="FV100" s="104"/>
      <c r="FW100" s="104"/>
      <c r="FX100" s="104"/>
      <c r="FY100" s="104"/>
      <c r="FZ100" s="104"/>
      <c r="GA100" s="104"/>
      <c r="GB100" s="104"/>
      <c r="GC100" s="104"/>
      <c r="GD100" s="104"/>
      <c r="GE100" s="104"/>
      <c r="GF100" s="104"/>
      <c r="GG100" s="104"/>
      <c r="GH100" s="104"/>
      <c r="GI100" s="104"/>
      <c r="GJ100" s="104"/>
      <c r="GK100" s="104"/>
      <c r="GL100" s="104"/>
      <c r="GM100" s="104"/>
      <c r="GN100" s="104"/>
      <c r="GO100" s="104"/>
      <c r="GP100" s="104"/>
      <c r="GQ100" s="104"/>
      <c r="GR100" s="104"/>
      <c r="GS100" s="104"/>
      <c r="GT100" s="104"/>
      <c r="GU100" s="104"/>
      <c r="GV100" s="104"/>
      <c r="GW100" s="104"/>
      <c r="GX100" s="104"/>
      <c r="GY100" s="104"/>
      <c r="GZ100" s="104"/>
      <c r="HA100" s="104"/>
      <c r="HB100" s="104"/>
      <c r="HC100" s="104"/>
      <c r="HD100" s="104"/>
      <c r="HE100" s="104"/>
      <c r="HF100" s="104"/>
      <c r="HG100" s="104"/>
      <c r="HH100" s="104"/>
      <c r="HI100" s="104"/>
      <c r="HJ100" s="104"/>
      <c r="HK100" s="104"/>
      <c r="HL100" s="104"/>
      <c r="HM100" s="104"/>
      <c r="HN100" s="104"/>
      <c r="HO100" s="104"/>
      <c r="HP100" s="104"/>
      <c r="HQ100" s="104"/>
      <c r="HR100" s="104"/>
      <c r="HS100" s="104"/>
      <c r="HT100" s="104"/>
      <c r="HU100" s="104"/>
      <c r="HV100" s="104"/>
      <c r="HW100" s="104"/>
      <c r="HX100" s="104"/>
      <c r="HY100" s="104"/>
      <c r="HZ100" s="104"/>
      <c r="IA100" s="104"/>
      <c r="IB100" s="104"/>
      <c r="IC100" s="104"/>
      <c r="ID100" s="104"/>
      <c r="IE100" s="104"/>
      <c r="IF100" s="104"/>
      <c r="IG100" s="104"/>
      <c r="IH100" s="104"/>
      <c r="II100" s="104"/>
      <c r="IJ100" s="104"/>
      <c r="IK100" s="104"/>
      <c r="IL100" s="104"/>
      <c r="IM100" s="104"/>
      <c r="IN100" s="104"/>
      <c r="IO100" s="104"/>
      <c r="IP100" s="104"/>
      <c r="IQ100" s="104"/>
      <c r="IR100" s="104"/>
      <c r="IS100" s="104"/>
      <c r="IT100" s="104"/>
      <c r="IU100" s="104"/>
      <c r="IV100" s="104"/>
      <c r="IW100" s="104"/>
      <c r="IX100" s="104"/>
      <c r="IY100" s="104"/>
      <c r="IZ100" s="104"/>
      <c r="JA100" s="104"/>
      <c r="JB100" s="104"/>
      <c r="JC100" s="104"/>
      <c r="JD100" s="104"/>
      <c r="JE100" s="104"/>
    </row>
    <row r="101" spans="15:265" x14ac:dyDescent="0.25">
      <c r="O101" s="104"/>
      <c r="P101" s="104"/>
      <c r="Q101" s="104"/>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4"/>
      <c r="AM101" s="104"/>
      <c r="AN101" s="104"/>
      <c r="AO101" s="104"/>
      <c r="AP101" s="104"/>
      <c r="AQ101" s="104"/>
      <c r="AR101" s="104"/>
      <c r="AS101" s="104"/>
      <c r="AT101" s="104"/>
      <c r="AU101" s="104"/>
      <c r="AV101" s="104"/>
      <c r="AW101" s="104"/>
      <c r="AX101" s="104"/>
      <c r="AY101" s="104"/>
      <c r="AZ101" s="104"/>
      <c r="BA101" s="104"/>
      <c r="BB101" s="104"/>
      <c r="BC101" s="104"/>
      <c r="BD101" s="104"/>
      <c r="BE101" s="104"/>
      <c r="BF101" s="104"/>
      <c r="BG101" s="104"/>
      <c r="BH101" s="104"/>
      <c r="BI101" s="104"/>
      <c r="BJ101" s="104"/>
      <c r="BK101" s="104"/>
      <c r="BL101" s="104"/>
      <c r="BM101" s="104"/>
      <c r="BN101" s="104"/>
      <c r="BO101" s="104"/>
      <c r="BP101" s="104"/>
      <c r="BQ101" s="104"/>
      <c r="BR101" s="104"/>
      <c r="BS101" s="104"/>
      <c r="BT101" s="104"/>
      <c r="BU101" s="104"/>
      <c r="BV101" s="104"/>
      <c r="BW101" s="104"/>
      <c r="BX101" s="104"/>
      <c r="BY101" s="104"/>
      <c r="BZ101" s="104"/>
      <c r="CA101" s="104"/>
      <c r="CB101" s="104"/>
      <c r="CC101" s="104"/>
      <c r="CD101" s="104"/>
      <c r="CE101" s="104"/>
      <c r="CF101" s="104"/>
      <c r="CG101" s="104"/>
      <c r="CH101" s="104"/>
      <c r="CI101" s="104"/>
      <c r="CJ101" s="104"/>
      <c r="CK101" s="104"/>
      <c r="CL101" s="104"/>
      <c r="CM101" s="104"/>
      <c r="CN101" s="104"/>
      <c r="CO101" s="104"/>
      <c r="CP101" s="104"/>
      <c r="CQ101" s="104"/>
      <c r="CR101" s="104"/>
      <c r="CS101" s="104"/>
      <c r="CT101" s="104"/>
      <c r="CU101" s="104"/>
      <c r="CV101" s="104"/>
      <c r="CW101" s="104"/>
      <c r="CX101" s="104"/>
      <c r="CY101" s="104"/>
      <c r="CZ101" s="104"/>
      <c r="DA101" s="104"/>
      <c r="DB101" s="104"/>
      <c r="DC101" s="104"/>
      <c r="DD101" s="104"/>
      <c r="DE101" s="104"/>
      <c r="DF101" s="104"/>
      <c r="DG101" s="104"/>
      <c r="DH101" s="104"/>
      <c r="DI101" s="104"/>
      <c r="DJ101" s="104"/>
      <c r="DK101" s="104"/>
      <c r="DL101" s="104"/>
      <c r="DM101" s="104"/>
      <c r="DN101" s="104"/>
      <c r="DO101" s="104"/>
      <c r="DP101" s="104"/>
      <c r="DQ101" s="104"/>
      <c r="DR101" s="104"/>
      <c r="DS101" s="104"/>
      <c r="DT101" s="104"/>
      <c r="DU101" s="104"/>
      <c r="DV101" s="104"/>
      <c r="DW101" s="104"/>
      <c r="DX101" s="104"/>
      <c r="DY101" s="104"/>
      <c r="DZ101" s="104"/>
      <c r="EA101" s="104"/>
      <c r="EB101" s="104"/>
      <c r="EC101" s="104"/>
      <c r="ED101" s="104"/>
      <c r="EE101" s="104"/>
      <c r="EF101" s="104"/>
      <c r="EG101" s="104"/>
      <c r="EH101" s="104"/>
      <c r="EI101" s="104"/>
      <c r="EJ101" s="104"/>
      <c r="EK101" s="104"/>
      <c r="EL101" s="104"/>
      <c r="EM101" s="104"/>
      <c r="EN101" s="104"/>
      <c r="EO101" s="104"/>
      <c r="EP101" s="104"/>
      <c r="EQ101" s="104"/>
      <c r="ER101" s="104"/>
      <c r="ES101" s="104"/>
      <c r="ET101" s="104"/>
      <c r="EU101" s="104"/>
      <c r="EV101" s="104"/>
      <c r="EW101" s="104"/>
      <c r="EX101" s="104"/>
      <c r="EY101" s="104"/>
      <c r="EZ101" s="104"/>
      <c r="FA101" s="104"/>
      <c r="FB101" s="104"/>
      <c r="FC101" s="104"/>
      <c r="FD101" s="104"/>
      <c r="FE101" s="104"/>
      <c r="FF101" s="104"/>
      <c r="FG101" s="104"/>
      <c r="FH101" s="104"/>
      <c r="FI101" s="104"/>
      <c r="FJ101" s="104"/>
      <c r="FK101" s="104"/>
      <c r="FL101" s="104"/>
      <c r="FM101" s="104"/>
      <c r="FN101" s="104"/>
      <c r="FO101" s="104"/>
      <c r="FP101" s="104"/>
      <c r="FQ101" s="104"/>
      <c r="FR101" s="104"/>
      <c r="FS101" s="104"/>
      <c r="FT101" s="104"/>
      <c r="FU101" s="104"/>
      <c r="FV101" s="104"/>
      <c r="FW101" s="104"/>
      <c r="FX101" s="104"/>
      <c r="FY101" s="104"/>
      <c r="FZ101" s="104"/>
      <c r="GA101" s="104"/>
      <c r="GB101" s="104"/>
      <c r="GC101" s="104"/>
      <c r="GD101" s="104"/>
      <c r="GE101" s="104"/>
      <c r="GF101" s="104"/>
      <c r="GG101" s="104"/>
      <c r="GH101" s="104"/>
      <c r="GI101" s="104"/>
      <c r="GJ101" s="104"/>
      <c r="GK101" s="104"/>
      <c r="GL101" s="104"/>
      <c r="GM101" s="104"/>
      <c r="GN101" s="104"/>
      <c r="GO101" s="104"/>
      <c r="GP101" s="104"/>
      <c r="GQ101" s="104"/>
      <c r="GR101" s="104"/>
      <c r="GS101" s="104"/>
      <c r="GT101" s="104"/>
      <c r="GU101" s="104"/>
      <c r="GV101" s="104"/>
      <c r="GW101" s="104"/>
      <c r="GX101" s="104"/>
      <c r="GY101" s="104"/>
      <c r="GZ101" s="104"/>
      <c r="HA101" s="104"/>
      <c r="HB101" s="104"/>
      <c r="HC101" s="104"/>
      <c r="HD101" s="104"/>
      <c r="HE101" s="104"/>
      <c r="HF101" s="104"/>
      <c r="HG101" s="104"/>
      <c r="HH101" s="104"/>
      <c r="HI101" s="104"/>
      <c r="HJ101" s="104"/>
      <c r="HK101" s="104"/>
      <c r="HL101" s="104"/>
      <c r="HM101" s="104"/>
      <c r="HN101" s="104"/>
      <c r="HO101" s="104"/>
      <c r="HP101" s="104"/>
      <c r="HQ101" s="104"/>
      <c r="HR101" s="104"/>
      <c r="HS101" s="104"/>
      <c r="HT101" s="104"/>
      <c r="HU101" s="104"/>
      <c r="HV101" s="104"/>
      <c r="HW101" s="104"/>
      <c r="HX101" s="104"/>
      <c r="HY101" s="104"/>
      <c r="HZ101" s="104"/>
      <c r="IA101" s="104"/>
      <c r="IB101" s="104"/>
      <c r="IC101" s="104"/>
      <c r="ID101" s="104"/>
      <c r="IE101" s="104"/>
      <c r="IF101" s="104"/>
      <c r="IG101" s="104"/>
      <c r="IH101" s="104"/>
      <c r="II101" s="104"/>
      <c r="IJ101" s="104"/>
      <c r="IK101" s="104"/>
      <c r="IL101" s="104"/>
      <c r="IM101" s="104"/>
      <c r="IN101" s="104"/>
      <c r="IO101" s="104"/>
      <c r="IP101" s="104"/>
      <c r="IQ101" s="104"/>
      <c r="IR101" s="104"/>
      <c r="IS101" s="104"/>
      <c r="IT101" s="104"/>
      <c r="IU101" s="104"/>
      <c r="IV101" s="104"/>
      <c r="IW101" s="104"/>
      <c r="IX101" s="104"/>
      <c r="IY101" s="104"/>
      <c r="IZ101" s="104"/>
      <c r="JA101" s="104"/>
      <c r="JB101" s="104"/>
      <c r="JC101" s="104"/>
      <c r="JD101" s="104"/>
      <c r="JE101" s="104"/>
    </row>
    <row r="102" spans="15:265" x14ac:dyDescent="0.25">
      <c r="O102" s="104"/>
      <c r="P102" s="104"/>
      <c r="Q102" s="104"/>
      <c r="R102" s="104"/>
      <c r="S102" s="104"/>
      <c r="T102" s="104"/>
      <c r="U102" s="104"/>
      <c r="V102" s="104"/>
      <c r="W102" s="104"/>
      <c r="X102" s="104"/>
      <c r="Y102" s="104"/>
      <c r="Z102" s="104"/>
      <c r="AA102" s="104"/>
      <c r="AB102" s="104"/>
      <c r="AC102" s="104"/>
      <c r="AD102" s="104"/>
      <c r="AE102" s="104"/>
      <c r="AF102" s="104"/>
      <c r="AG102" s="104"/>
      <c r="AH102" s="104"/>
      <c r="AI102" s="104"/>
      <c r="AJ102" s="104"/>
      <c r="AK102" s="104"/>
      <c r="AL102" s="104"/>
      <c r="AM102" s="104"/>
      <c r="AN102" s="104"/>
      <c r="AO102" s="104"/>
      <c r="AP102" s="104"/>
      <c r="AQ102" s="104"/>
      <c r="AR102" s="104"/>
      <c r="AS102" s="104"/>
      <c r="AT102" s="104"/>
      <c r="AU102" s="104"/>
      <c r="AV102" s="104"/>
      <c r="AW102" s="104"/>
      <c r="AX102" s="104"/>
      <c r="AY102" s="104"/>
      <c r="AZ102" s="104"/>
      <c r="BA102" s="104"/>
      <c r="BB102" s="104"/>
      <c r="BC102" s="104"/>
      <c r="BD102" s="104"/>
      <c r="BE102" s="104"/>
      <c r="BF102" s="104"/>
      <c r="BG102" s="104"/>
      <c r="BH102" s="104"/>
      <c r="BI102" s="104"/>
      <c r="BJ102" s="104"/>
      <c r="BK102" s="104"/>
      <c r="BL102" s="104"/>
      <c r="BM102" s="104"/>
      <c r="BN102" s="104"/>
      <c r="BO102" s="104"/>
      <c r="BP102" s="104"/>
      <c r="BQ102" s="104"/>
      <c r="BR102" s="104"/>
      <c r="BS102" s="104"/>
      <c r="BT102" s="104"/>
      <c r="BU102" s="104"/>
      <c r="BV102" s="104"/>
      <c r="BW102" s="104"/>
      <c r="BX102" s="104"/>
      <c r="BY102" s="104"/>
      <c r="BZ102" s="104"/>
      <c r="CA102" s="104"/>
      <c r="CB102" s="104"/>
      <c r="CC102" s="104"/>
      <c r="CD102" s="104"/>
      <c r="CE102" s="104"/>
      <c r="CF102" s="104"/>
      <c r="CG102" s="104"/>
      <c r="CH102" s="104"/>
      <c r="CI102" s="104"/>
      <c r="CJ102" s="104"/>
      <c r="CK102" s="104"/>
      <c r="CL102" s="104"/>
      <c r="CM102" s="104"/>
      <c r="CN102" s="104"/>
      <c r="CO102" s="104"/>
      <c r="CP102" s="104"/>
      <c r="CQ102" s="104"/>
      <c r="CR102" s="104"/>
      <c r="CS102" s="104"/>
      <c r="CT102" s="104"/>
      <c r="CU102" s="104"/>
      <c r="CV102" s="104"/>
      <c r="CW102" s="104"/>
      <c r="CX102" s="104"/>
      <c r="CY102" s="104"/>
      <c r="CZ102" s="104"/>
      <c r="DA102" s="104"/>
      <c r="DB102" s="104"/>
      <c r="DC102" s="104"/>
      <c r="DD102" s="104"/>
      <c r="DE102" s="104"/>
      <c r="DF102" s="104"/>
      <c r="DG102" s="104"/>
      <c r="DH102" s="104"/>
      <c r="DI102" s="104"/>
      <c r="DJ102" s="104"/>
      <c r="DK102" s="104"/>
      <c r="DL102" s="104"/>
      <c r="DM102" s="104"/>
      <c r="DN102" s="104"/>
      <c r="DO102" s="104"/>
      <c r="DP102" s="104"/>
      <c r="DQ102" s="104"/>
      <c r="DR102" s="104"/>
      <c r="DS102" s="104"/>
      <c r="DT102" s="104"/>
      <c r="DU102" s="104"/>
      <c r="DV102" s="104"/>
      <c r="DW102" s="104"/>
      <c r="DX102" s="104"/>
      <c r="DY102" s="104"/>
      <c r="DZ102" s="104"/>
      <c r="EA102" s="104"/>
      <c r="EB102" s="104"/>
      <c r="EC102" s="104"/>
      <c r="ED102" s="104"/>
      <c r="EE102" s="104"/>
      <c r="EF102" s="104"/>
      <c r="EG102" s="104"/>
      <c r="EH102" s="104"/>
      <c r="EI102" s="104"/>
      <c r="EJ102" s="104"/>
      <c r="EK102" s="104"/>
      <c r="EL102" s="104"/>
      <c r="EM102" s="104"/>
      <c r="EN102" s="104"/>
      <c r="EO102" s="104"/>
      <c r="EP102" s="104"/>
      <c r="EQ102" s="104"/>
      <c r="ER102" s="104"/>
      <c r="ES102" s="104"/>
      <c r="ET102" s="104"/>
      <c r="EU102" s="104"/>
      <c r="EV102" s="104"/>
      <c r="EW102" s="104"/>
      <c r="EX102" s="104"/>
      <c r="EY102" s="104"/>
      <c r="EZ102" s="104"/>
      <c r="FA102" s="104"/>
      <c r="FB102" s="104"/>
      <c r="FC102" s="104"/>
      <c r="FD102" s="104"/>
      <c r="FE102" s="104"/>
      <c r="FF102" s="104"/>
      <c r="FG102" s="104"/>
      <c r="FH102" s="104"/>
      <c r="FI102" s="104"/>
      <c r="FJ102" s="104"/>
      <c r="FK102" s="104"/>
      <c r="FL102" s="104"/>
      <c r="FM102" s="104"/>
      <c r="FN102" s="104"/>
      <c r="FO102" s="104"/>
      <c r="FP102" s="104"/>
      <c r="FQ102" s="104"/>
      <c r="FR102" s="104"/>
      <c r="FS102" s="104"/>
      <c r="FT102" s="104"/>
      <c r="FU102" s="104"/>
      <c r="FV102" s="104"/>
      <c r="FW102" s="104"/>
      <c r="FX102" s="104"/>
      <c r="FY102" s="104"/>
      <c r="FZ102" s="104"/>
      <c r="GA102" s="104"/>
      <c r="GB102" s="104"/>
      <c r="GC102" s="104"/>
      <c r="GD102" s="104"/>
      <c r="GE102" s="104"/>
      <c r="GF102" s="104"/>
      <c r="GG102" s="104"/>
      <c r="GH102" s="104"/>
      <c r="GI102" s="104"/>
      <c r="GJ102" s="104"/>
      <c r="GK102" s="104"/>
      <c r="GL102" s="104"/>
      <c r="GM102" s="104"/>
      <c r="GN102" s="104"/>
      <c r="GO102" s="104"/>
      <c r="GP102" s="104"/>
      <c r="GQ102" s="104"/>
      <c r="GR102" s="104"/>
      <c r="GS102" s="104"/>
      <c r="GT102" s="104"/>
      <c r="GU102" s="104"/>
      <c r="GV102" s="104"/>
      <c r="GW102" s="104"/>
      <c r="GX102" s="104"/>
      <c r="GY102" s="104"/>
      <c r="GZ102" s="104"/>
      <c r="HA102" s="104"/>
      <c r="HB102" s="104"/>
      <c r="HC102" s="104"/>
      <c r="HD102" s="104"/>
      <c r="HE102" s="104"/>
      <c r="HF102" s="104"/>
      <c r="HG102" s="104"/>
      <c r="HH102" s="104"/>
      <c r="HI102" s="104"/>
      <c r="HJ102" s="104"/>
      <c r="HK102" s="104"/>
      <c r="HL102" s="104"/>
      <c r="HM102" s="104"/>
      <c r="HN102" s="104"/>
      <c r="HO102" s="104"/>
      <c r="HP102" s="104"/>
      <c r="HQ102" s="104"/>
      <c r="HR102" s="104"/>
      <c r="HS102" s="104"/>
      <c r="HT102" s="104"/>
      <c r="HU102" s="104"/>
      <c r="HV102" s="104"/>
      <c r="HW102" s="104"/>
      <c r="HX102" s="104"/>
      <c r="HY102" s="104"/>
      <c r="HZ102" s="104"/>
      <c r="IA102" s="104"/>
      <c r="IB102" s="104"/>
      <c r="IC102" s="104"/>
      <c r="ID102" s="104"/>
      <c r="IE102" s="104"/>
      <c r="IF102" s="104"/>
      <c r="IG102" s="104"/>
      <c r="IH102" s="104"/>
      <c r="II102" s="104"/>
      <c r="IJ102" s="104"/>
      <c r="IK102" s="104"/>
      <c r="IL102" s="104"/>
      <c r="IM102" s="104"/>
      <c r="IN102" s="104"/>
      <c r="IO102" s="104"/>
      <c r="IP102" s="104"/>
      <c r="IQ102" s="104"/>
      <c r="IR102" s="104"/>
      <c r="IS102" s="104"/>
      <c r="IT102" s="104"/>
      <c r="IU102" s="104"/>
      <c r="IV102" s="104"/>
      <c r="IW102" s="104"/>
      <c r="IX102" s="104"/>
      <c r="IY102" s="104"/>
      <c r="IZ102" s="104"/>
      <c r="JA102" s="104"/>
      <c r="JB102" s="104"/>
      <c r="JC102" s="104"/>
      <c r="JD102" s="104"/>
      <c r="JE102" s="104"/>
    </row>
    <row r="103" spans="15:265" x14ac:dyDescent="0.25">
      <c r="O103" s="104"/>
      <c r="P103" s="104"/>
      <c r="Q103" s="104"/>
      <c r="R103" s="104"/>
      <c r="S103" s="104"/>
      <c r="T103" s="104"/>
      <c r="U103" s="104"/>
      <c r="V103" s="104"/>
      <c r="W103" s="104"/>
      <c r="X103" s="104"/>
      <c r="Y103" s="104"/>
      <c r="Z103" s="104"/>
      <c r="AA103" s="104"/>
      <c r="AB103" s="104"/>
      <c r="AC103" s="104"/>
      <c r="AD103" s="104"/>
      <c r="AE103" s="104"/>
      <c r="AF103" s="104"/>
      <c r="AG103" s="104"/>
      <c r="AH103" s="104"/>
      <c r="AI103" s="104"/>
      <c r="AJ103" s="104"/>
      <c r="AK103" s="104"/>
      <c r="AL103" s="104"/>
      <c r="AM103" s="104"/>
      <c r="AN103" s="104"/>
      <c r="AO103" s="104"/>
      <c r="AP103" s="104"/>
      <c r="AQ103" s="104"/>
      <c r="AR103" s="104"/>
      <c r="AS103" s="104"/>
      <c r="AT103" s="104"/>
      <c r="AU103" s="104"/>
      <c r="AV103" s="104"/>
      <c r="AW103" s="104"/>
      <c r="AX103" s="104"/>
      <c r="AY103" s="104"/>
      <c r="AZ103" s="104"/>
      <c r="BA103" s="104"/>
      <c r="BB103" s="104"/>
      <c r="BC103" s="104"/>
      <c r="BD103" s="104"/>
      <c r="BE103" s="104"/>
      <c r="BF103" s="104"/>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c r="DA103" s="104"/>
      <c r="DB103" s="104"/>
      <c r="DC103" s="104"/>
      <c r="DD103" s="104"/>
      <c r="DE103" s="104"/>
      <c r="DF103" s="104"/>
      <c r="DG103" s="104"/>
      <c r="DH103" s="104"/>
      <c r="DI103" s="104"/>
      <c r="DJ103" s="104"/>
      <c r="DK103" s="104"/>
      <c r="DL103" s="104"/>
      <c r="DM103" s="104"/>
      <c r="DN103" s="104"/>
      <c r="DO103" s="104"/>
      <c r="DP103" s="104"/>
      <c r="DQ103" s="104"/>
      <c r="DR103" s="104"/>
      <c r="DS103" s="104"/>
      <c r="DT103" s="104"/>
      <c r="DU103" s="104"/>
      <c r="DV103" s="104"/>
      <c r="DW103" s="104"/>
      <c r="DX103" s="104"/>
      <c r="DY103" s="104"/>
      <c r="DZ103" s="104"/>
      <c r="EA103" s="104"/>
      <c r="EB103" s="104"/>
      <c r="EC103" s="104"/>
      <c r="ED103" s="104"/>
      <c r="EE103" s="104"/>
      <c r="EF103" s="104"/>
      <c r="EG103" s="104"/>
      <c r="EH103" s="104"/>
      <c r="EI103" s="104"/>
      <c r="EJ103" s="104"/>
      <c r="EK103" s="104"/>
      <c r="EL103" s="104"/>
      <c r="EM103" s="104"/>
      <c r="EN103" s="104"/>
      <c r="EO103" s="104"/>
      <c r="EP103" s="104"/>
      <c r="EQ103" s="104"/>
      <c r="ER103" s="104"/>
      <c r="ES103" s="104"/>
      <c r="ET103" s="104"/>
      <c r="EU103" s="104"/>
      <c r="EV103" s="104"/>
      <c r="EW103" s="104"/>
      <c r="EX103" s="104"/>
      <c r="EY103" s="104"/>
      <c r="EZ103" s="104"/>
      <c r="FA103" s="104"/>
      <c r="FB103" s="104"/>
      <c r="FC103" s="104"/>
      <c r="FD103" s="104"/>
      <c r="FE103" s="104"/>
      <c r="FF103" s="104"/>
      <c r="FG103" s="104"/>
      <c r="FH103" s="104"/>
      <c r="FI103" s="104"/>
      <c r="FJ103" s="104"/>
      <c r="FK103" s="104"/>
      <c r="FL103" s="104"/>
      <c r="FM103" s="104"/>
      <c r="FN103" s="104"/>
      <c r="FO103" s="104"/>
      <c r="FP103" s="104"/>
      <c r="FQ103" s="104"/>
      <c r="FR103" s="104"/>
      <c r="FS103" s="104"/>
      <c r="FT103" s="104"/>
      <c r="FU103" s="104"/>
      <c r="FV103" s="104"/>
      <c r="FW103" s="104"/>
      <c r="FX103" s="104"/>
      <c r="FY103" s="104"/>
      <c r="FZ103" s="104"/>
      <c r="GA103" s="104"/>
      <c r="GB103" s="104"/>
      <c r="GC103" s="104"/>
      <c r="GD103" s="104"/>
      <c r="GE103" s="104"/>
      <c r="GF103" s="104"/>
      <c r="GG103" s="104"/>
      <c r="GH103" s="104"/>
      <c r="GI103" s="104"/>
      <c r="GJ103" s="104"/>
      <c r="GK103" s="104"/>
      <c r="GL103" s="104"/>
      <c r="GM103" s="104"/>
      <c r="GN103" s="104"/>
      <c r="GO103" s="104"/>
      <c r="GP103" s="104"/>
      <c r="GQ103" s="104"/>
      <c r="GR103" s="104"/>
      <c r="GS103" s="104"/>
      <c r="GT103" s="104"/>
      <c r="GU103" s="104"/>
      <c r="GV103" s="104"/>
      <c r="GW103" s="104"/>
      <c r="GX103" s="104"/>
      <c r="GY103" s="104"/>
      <c r="GZ103" s="104"/>
      <c r="HA103" s="104"/>
      <c r="HB103" s="104"/>
      <c r="HC103" s="104"/>
      <c r="HD103" s="104"/>
      <c r="HE103" s="104"/>
      <c r="HF103" s="104"/>
      <c r="HG103" s="104"/>
      <c r="HH103" s="104"/>
      <c r="HI103" s="104"/>
      <c r="HJ103" s="104"/>
      <c r="HK103" s="104"/>
      <c r="HL103" s="104"/>
      <c r="HM103" s="104"/>
      <c r="HN103" s="104"/>
      <c r="HO103" s="104"/>
      <c r="HP103" s="104"/>
      <c r="HQ103" s="104"/>
      <c r="HR103" s="104"/>
      <c r="HS103" s="104"/>
      <c r="HT103" s="104"/>
      <c r="HU103" s="104"/>
      <c r="HV103" s="104"/>
      <c r="HW103" s="104"/>
      <c r="HX103" s="104"/>
      <c r="HY103" s="104"/>
      <c r="HZ103" s="104"/>
      <c r="IA103" s="104"/>
      <c r="IB103" s="104"/>
      <c r="IC103" s="104"/>
      <c r="ID103" s="104"/>
      <c r="IE103" s="104"/>
      <c r="IF103" s="104"/>
      <c r="IG103" s="104"/>
      <c r="IH103" s="104"/>
      <c r="II103" s="104"/>
      <c r="IJ103" s="104"/>
      <c r="IK103" s="104"/>
      <c r="IL103" s="104"/>
      <c r="IM103" s="104"/>
      <c r="IN103" s="104"/>
      <c r="IO103" s="104"/>
      <c r="IP103" s="104"/>
      <c r="IQ103" s="104"/>
      <c r="IR103" s="104"/>
      <c r="IS103" s="104"/>
      <c r="IT103" s="104"/>
      <c r="IU103" s="104"/>
      <c r="IV103" s="104"/>
      <c r="IW103" s="104"/>
      <c r="IX103" s="104"/>
      <c r="IY103" s="104"/>
      <c r="IZ103" s="104"/>
      <c r="JA103" s="104"/>
      <c r="JB103" s="104"/>
      <c r="JC103" s="104"/>
      <c r="JD103" s="104"/>
      <c r="JE103" s="104"/>
    </row>
    <row r="104" spans="15:265" x14ac:dyDescent="0.25">
      <c r="O104" s="104"/>
      <c r="P104" s="104"/>
      <c r="Q104" s="104"/>
      <c r="R104" s="104"/>
      <c r="S104" s="104"/>
      <c r="T104" s="104"/>
      <c r="U104" s="104"/>
      <c r="V104" s="104"/>
      <c r="W104" s="104"/>
      <c r="X104" s="104"/>
      <c r="Y104" s="104"/>
      <c r="Z104" s="104"/>
      <c r="AA104" s="104"/>
      <c r="AB104" s="104"/>
      <c r="AC104" s="104"/>
      <c r="AD104" s="104"/>
      <c r="AE104" s="104"/>
      <c r="AF104" s="104"/>
      <c r="AG104" s="104"/>
      <c r="AH104" s="104"/>
      <c r="AI104" s="104"/>
      <c r="AJ104" s="104"/>
      <c r="AK104" s="104"/>
      <c r="AL104" s="104"/>
      <c r="AM104" s="104"/>
      <c r="AN104" s="104"/>
      <c r="AO104" s="104"/>
      <c r="AP104" s="104"/>
      <c r="AQ104" s="104"/>
      <c r="AR104" s="104"/>
      <c r="AS104" s="104"/>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c r="BO104" s="104"/>
      <c r="BP104" s="104"/>
      <c r="BQ104" s="104"/>
      <c r="BR104" s="104"/>
      <c r="BS104" s="104"/>
      <c r="BT104" s="104"/>
      <c r="BU104" s="104"/>
      <c r="BV104" s="104"/>
      <c r="BW104" s="104"/>
      <c r="BX104" s="104"/>
      <c r="BY104" s="104"/>
      <c r="BZ104" s="104"/>
      <c r="CA104" s="104"/>
      <c r="CB104" s="104"/>
      <c r="CC104" s="104"/>
      <c r="CD104" s="104"/>
      <c r="CE104" s="104"/>
      <c r="CF104" s="104"/>
      <c r="CG104" s="104"/>
      <c r="CH104" s="104"/>
      <c r="CI104" s="104"/>
      <c r="CJ104" s="104"/>
      <c r="CK104" s="104"/>
      <c r="CL104" s="104"/>
      <c r="CM104" s="104"/>
      <c r="CN104" s="104"/>
      <c r="CO104" s="104"/>
      <c r="CP104" s="104"/>
      <c r="CQ104" s="104"/>
      <c r="CR104" s="104"/>
      <c r="CS104" s="104"/>
      <c r="CT104" s="104"/>
      <c r="CU104" s="104"/>
      <c r="CV104" s="104"/>
      <c r="CW104" s="104"/>
      <c r="CX104" s="104"/>
      <c r="CY104" s="104"/>
      <c r="CZ104" s="104"/>
      <c r="DA104" s="104"/>
      <c r="DB104" s="104"/>
      <c r="DC104" s="104"/>
      <c r="DD104" s="104"/>
      <c r="DE104" s="104"/>
      <c r="DF104" s="104"/>
      <c r="DG104" s="104"/>
      <c r="DH104" s="104"/>
      <c r="DI104" s="104"/>
      <c r="DJ104" s="104"/>
      <c r="DK104" s="104"/>
      <c r="DL104" s="104"/>
      <c r="DM104" s="104"/>
      <c r="DN104" s="104"/>
      <c r="DO104" s="104"/>
      <c r="DP104" s="104"/>
      <c r="DQ104" s="104"/>
      <c r="DR104" s="104"/>
      <c r="DS104" s="104"/>
      <c r="DT104" s="104"/>
      <c r="DU104" s="104"/>
      <c r="DV104" s="104"/>
      <c r="DW104" s="104"/>
      <c r="DX104" s="104"/>
      <c r="DY104" s="104"/>
      <c r="DZ104" s="104"/>
      <c r="EA104" s="104"/>
      <c r="EB104" s="104"/>
      <c r="EC104" s="104"/>
      <c r="ED104" s="104"/>
      <c r="EE104" s="104"/>
      <c r="EF104" s="104"/>
      <c r="EG104" s="104"/>
      <c r="EH104" s="104"/>
      <c r="EI104" s="104"/>
      <c r="EJ104" s="104"/>
      <c r="EK104" s="104"/>
      <c r="EL104" s="104"/>
      <c r="EM104" s="104"/>
      <c r="EN104" s="104"/>
      <c r="EO104" s="104"/>
      <c r="EP104" s="104"/>
      <c r="EQ104" s="104"/>
      <c r="ER104" s="104"/>
      <c r="ES104" s="104"/>
      <c r="ET104" s="104"/>
      <c r="EU104" s="104"/>
      <c r="EV104" s="104"/>
      <c r="EW104" s="104"/>
      <c r="EX104" s="104"/>
      <c r="EY104" s="104"/>
      <c r="EZ104" s="104"/>
      <c r="FA104" s="104"/>
      <c r="FB104" s="104"/>
      <c r="FC104" s="104"/>
      <c r="FD104" s="104"/>
      <c r="FE104" s="104"/>
      <c r="FF104" s="104"/>
      <c r="FG104" s="104"/>
      <c r="FH104" s="104"/>
      <c r="FI104" s="104"/>
      <c r="FJ104" s="104"/>
      <c r="FK104" s="104"/>
      <c r="FL104" s="104"/>
      <c r="FM104" s="104"/>
      <c r="FN104" s="104"/>
      <c r="FO104" s="104"/>
      <c r="FP104" s="104"/>
      <c r="FQ104" s="104"/>
      <c r="FR104" s="104"/>
      <c r="FS104" s="104"/>
      <c r="FT104" s="104"/>
      <c r="FU104" s="104"/>
      <c r="FV104" s="104"/>
      <c r="FW104" s="104"/>
      <c r="FX104" s="104"/>
      <c r="FY104" s="104"/>
      <c r="FZ104" s="104"/>
      <c r="GA104" s="104"/>
      <c r="GB104" s="104"/>
      <c r="GC104" s="104"/>
      <c r="GD104" s="104"/>
      <c r="GE104" s="104"/>
      <c r="GF104" s="104"/>
      <c r="GG104" s="104"/>
      <c r="GH104" s="104"/>
      <c r="GI104" s="104"/>
      <c r="GJ104" s="104"/>
      <c r="GK104" s="104"/>
      <c r="GL104" s="104"/>
      <c r="GM104" s="104"/>
      <c r="GN104" s="104"/>
      <c r="GO104" s="104"/>
      <c r="GP104" s="104"/>
      <c r="GQ104" s="104"/>
      <c r="GR104" s="104"/>
      <c r="GS104" s="104"/>
      <c r="GT104" s="104"/>
      <c r="GU104" s="104"/>
      <c r="GV104" s="104"/>
      <c r="GW104" s="104"/>
      <c r="GX104" s="104"/>
      <c r="GY104" s="104"/>
      <c r="GZ104" s="104"/>
      <c r="HA104" s="104"/>
      <c r="HB104" s="104"/>
      <c r="HC104" s="104"/>
      <c r="HD104" s="104"/>
      <c r="HE104" s="104"/>
      <c r="HF104" s="104"/>
      <c r="HG104" s="104"/>
      <c r="HH104" s="104"/>
      <c r="HI104" s="104"/>
      <c r="HJ104" s="104"/>
      <c r="HK104" s="104"/>
      <c r="HL104" s="104"/>
      <c r="HM104" s="104"/>
      <c r="HN104" s="104"/>
      <c r="HO104" s="104"/>
      <c r="HP104" s="104"/>
      <c r="HQ104" s="104"/>
      <c r="HR104" s="104"/>
      <c r="HS104" s="104"/>
      <c r="HT104" s="104"/>
      <c r="HU104" s="104"/>
      <c r="HV104" s="104"/>
      <c r="HW104" s="104"/>
      <c r="HX104" s="104"/>
      <c r="HY104" s="104"/>
      <c r="HZ104" s="104"/>
      <c r="IA104" s="104"/>
      <c r="IB104" s="104"/>
      <c r="IC104" s="104"/>
      <c r="ID104" s="104"/>
      <c r="IE104" s="104"/>
      <c r="IF104" s="104"/>
      <c r="IG104" s="104"/>
      <c r="IH104" s="104"/>
      <c r="II104" s="104"/>
      <c r="IJ104" s="104"/>
      <c r="IK104" s="104"/>
      <c r="IL104" s="104"/>
      <c r="IM104" s="104"/>
      <c r="IN104" s="104"/>
      <c r="IO104" s="104"/>
      <c r="IP104" s="104"/>
      <c r="IQ104" s="104"/>
      <c r="IR104" s="104"/>
      <c r="IS104" s="104"/>
      <c r="IT104" s="104"/>
      <c r="IU104" s="104"/>
      <c r="IV104" s="104"/>
      <c r="IW104" s="104"/>
      <c r="IX104" s="104"/>
      <c r="IY104" s="104"/>
      <c r="IZ104" s="104"/>
      <c r="JA104" s="104"/>
      <c r="JB104" s="104"/>
      <c r="JC104" s="104"/>
      <c r="JD104" s="104"/>
      <c r="JE104" s="104"/>
    </row>
  </sheetData>
  <sheetProtection algorithmName="SHA-512" hashValue="b7nlZnFEinhBHRv57oyKnU2ZEJ5RhqKw8QGffO4e16c1HS5mT9kIFgWZDHP0lciEJsLee/j4M2ESiVfDhf++5Q==" saltValue="8Mn2MWmjNlo5geiCbeOHHg==" spinCount="100000" sheet="1" objects="1" scenarios="1"/>
  <protectedRanges>
    <protectedRange sqref="C10:C11 C13:C16 C20:C23 D29 C29:C35 C26:C27 C24" name="Input"/>
  </protectedRanges>
  <mergeCells count="22">
    <mergeCell ref="K25:M25"/>
    <mergeCell ref="D26:H27"/>
    <mergeCell ref="D28:H28"/>
    <mergeCell ref="B19:C19"/>
    <mergeCell ref="B22:C22"/>
    <mergeCell ref="K23:M23"/>
    <mergeCell ref="D29:H34"/>
    <mergeCell ref="B25:C25"/>
    <mergeCell ref="K19:M19"/>
    <mergeCell ref="A1:B6"/>
    <mergeCell ref="C1:O6"/>
    <mergeCell ref="B8:C8"/>
    <mergeCell ref="K8:M8"/>
    <mergeCell ref="K10:M10"/>
    <mergeCell ref="K11:M11"/>
    <mergeCell ref="K13:M13"/>
    <mergeCell ref="K14:M14"/>
    <mergeCell ref="K16:M16"/>
    <mergeCell ref="B17:C17"/>
    <mergeCell ref="K17:M17"/>
    <mergeCell ref="K20:M20"/>
    <mergeCell ref="K22:M22"/>
  </mergeCells>
  <conditionalFormatting sqref="C28">
    <cfRule type="expression" dxfId="13" priority="5">
      <formula>$C$26="Yes"</formula>
    </cfRule>
  </conditionalFormatting>
  <conditionalFormatting sqref="C29">
    <cfRule type="expression" dxfId="12" priority="3">
      <formula>$C$26&lt;&gt;"Yes"</formula>
    </cfRule>
  </conditionalFormatting>
  <conditionalFormatting sqref="C30:C35">
    <cfRule type="expression" dxfId="11" priority="7">
      <formula>$C$26="Yes"</formula>
    </cfRule>
    <cfRule type="expression" dxfId="10" priority="8">
      <formula>$C$27=""</formula>
    </cfRule>
  </conditionalFormatting>
  <conditionalFormatting sqref="D29">
    <cfRule type="expression" dxfId="9" priority="36">
      <formula>$C$26="Yes"</formula>
    </cfRule>
  </conditionalFormatting>
  <conditionalFormatting sqref="D28:H34">
    <cfRule type="expression" dxfId="8" priority="37">
      <formula>$C$26="Yes"</formula>
    </cfRule>
  </conditionalFormatting>
  <dataValidations count="7">
    <dataValidation type="decimal" allowBlank="1" showInputMessage="1" showErrorMessage="1" sqref="H17 D17" xr:uid="{270B5422-1E4A-4125-A4DC-6F1E79FD22DD}">
      <formula1>0.1</formula1>
      <formula2>1.5</formula2>
    </dataValidation>
    <dataValidation type="whole" allowBlank="1" showInputMessage="1" showErrorMessage="1" sqref="C54 L26" xr:uid="{1FCA00DB-3B63-41AE-844C-74F18F798156}">
      <formula1>2</formula1>
      <formula2>20</formula2>
    </dataValidation>
    <dataValidation type="whole" allowBlank="1" showInputMessage="1" showErrorMessage="1" sqref="K24:M24 N38:N39" xr:uid="{F4F1C146-B254-4763-87FB-01CD2A68780E}">
      <formula1>1950</formula1>
      <formula2>2050</formula2>
    </dataValidation>
    <dataValidation type="decimal" allowBlank="1" showInputMessage="1" showErrorMessage="1" sqref="C55" xr:uid="{1D2E56B4-A9DD-4B59-914F-81B6654FF22A}">
      <formula1>0.1</formula1>
      <formula2>5</formula2>
    </dataValidation>
    <dataValidation operator="lessThan" allowBlank="1" showInputMessage="1" showErrorMessage="1" sqref="K12:M12 K24:M24 D35:F35 J39 L26:M26 N31:N36 C28:C35 L21:M21 L18:M18 K17:K21" xr:uid="{608BFC7D-076D-477D-922D-C6CEF14020F5}"/>
    <dataValidation type="whole" allowBlank="1" showInputMessage="1" showErrorMessage="1" sqref="C56 H18 D20 H20 K19 D18 K17" xr:uid="{82D96AFB-903E-490A-95D8-1905A09DC897}">
      <formula1>0</formula1>
      <formula2>1000000</formula2>
    </dataValidation>
    <dataValidation type="whole" allowBlank="1" showInputMessage="1" showErrorMessage="1" sqref="D25:F25" xr:uid="{57FB2DC9-7A5E-4F03-888B-B63BB1A490D3}">
      <formula1>0</formula1>
      <formula2>10000</formula2>
    </dataValidation>
  </dataValidations>
  <hyperlinks>
    <hyperlink ref="Q1" location="'Cover Sheet'!B14" display="BACK TO COVER SHEET" xr:uid="{B706C597-1078-4F7E-8235-E923E08C1CC6}"/>
  </hyperlinks>
  <pageMargins left="0.25" right="0.25" top="0.75" bottom="0.75" header="0.3" footer="0.3"/>
  <pageSetup scale="54" orientation="portrait" r:id="rId1"/>
  <headerFooter>
    <oddHeader>&amp;L&amp;G&amp;C&amp;"-,Bold"Factor 3 - Benefit Cost Ratio Calculations</oddHeader>
    <oddFooter>&amp;LPrinted &amp;D
&amp;T&amp;C&amp;F&amp;RDesigned by:
2018 TSAM Subcommittee 
Created by:
Taylor Ruble</oddFooter>
  </headerFooter>
  <colBreaks count="1" manualBreakCount="1">
    <brk id="14" max="1048575" man="1"/>
  </colBreaks>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BCEF6AF4-7A2D-4BD7-84D7-412CC491A1EE}">
          <x14:formula1>
            <xm:f>'Factor 3 Calculations'!$A$64:$A$65</xm:f>
          </x14:formula1>
          <xm:sqref>C26</xm:sqref>
        </x14:dataValidation>
        <x14:dataValidation type="list" allowBlank="1" showInputMessage="1" showErrorMessage="1" xr:uid="{6747BD15-5E9A-40D1-8815-EB296406005E}">
          <x14:formula1>
            <xm:f>'Factor 3 Calculations'!$A$44:$A$45</xm:f>
          </x14:formula1>
          <xm:sqref>C27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A6EAB-391D-4D05-A743-B4CCD89D3053}">
  <dimension ref="A1:AK103"/>
  <sheetViews>
    <sheetView zoomScaleNormal="100" workbookViewId="0">
      <selection activeCell="B24" sqref="B24"/>
    </sheetView>
  </sheetViews>
  <sheetFormatPr defaultRowHeight="15" x14ac:dyDescent="0.25"/>
  <cols>
    <col min="1" max="1" width="49.85546875" bestFit="1" customWidth="1"/>
    <col min="2" max="2" width="19.28515625" bestFit="1" customWidth="1"/>
    <col min="3" max="3" width="40.140625" bestFit="1" customWidth="1"/>
    <col min="4" max="4" width="38.5703125" bestFit="1" customWidth="1"/>
    <col min="5" max="5" width="47.140625" bestFit="1" customWidth="1"/>
    <col min="6" max="6" width="42.7109375" bestFit="1" customWidth="1"/>
    <col min="7" max="7" width="14.7109375" bestFit="1" customWidth="1"/>
    <col min="8" max="8" width="15.5703125" bestFit="1" customWidth="1"/>
    <col min="9" max="9" width="22" bestFit="1" customWidth="1"/>
    <col min="10" max="10" width="24" bestFit="1" customWidth="1"/>
    <col min="11" max="11" width="17" bestFit="1" customWidth="1"/>
    <col min="12" max="12" width="14.7109375" bestFit="1" customWidth="1"/>
    <col min="13" max="13" width="15.5703125" bestFit="1" customWidth="1"/>
    <col min="14" max="14" width="22" bestFit="1" customWidth="1"/>
    <col min="15" max="15" width="24" bestFit="1" customWidth="1"/>
    <col min="16" max="16" width="14.85546875" bestFit="1" customWidth="1"/>
    <col min="17" max="17" width="44.5703125" bestFit="1" customWidth="1"/>
    <col min="18" max="18" width="12.5703125" bestFit="1" customWidth="1"/>
    <col min="19" max="19" width="30.7109375" customWidth="1"/>
    <col min="20" max="22" width="12.5703125" bestFit="1" customWidth="1"/>
    <col min="23" max="23" width="12" bestFit="1" customWidth="1"/>
    <col min="24" max="24" width="11.5703125" bestFit="1" customWidth="1"/>
    <col min="25" max="25" width="12" bestFit="1" customWidth="1"/>
    <col min="26" max="26" width="11.140625" bestFit="1" customWidth="1"/>
    <col min="27" max="31" width="12" bestFit="1" customWidth="1"/>
    <col min="32" max="33" width="12.42578125" bestFit="1" customWidth="1"/>
    <col min="34" max="35" width="12" bestFit="1" customWidth="1"/>
    <col min="36" max="37" width="12.42578125" bestFit="1" customWidth="1"/>
  </cols>
  <sheetData>
    <row r="1" spans="1:15" x14ac:dyDescent="0.25">
      <c r="A1" t="s">
        <v>2139</v>
      </c>
      <c r="B1">
        <f>TSAT!C19</f>
        <v>0</v>
      </c>
    </row>
    <row r="3" spans="1:15" x14ac:dyDescent="0.25">
      <c r="A3" t="s">
        <v>2141</v>
      </c>
      <c r="B3">
        <f>TSAT!E22</f>
        <v>0</v>
      </c>
    </row>
    <row r="5" spans="1:15" x14ac:dyDescent="0.25">
      <c r="B5" t="s">
        <v>2140</v>
      </c>
      <c r="C5" t="s">
        <v>2142</v>
      </c>
      <c r="D5" t="s">
        <v>2144</v>
      </c>
      <c r="E5" t="s">
        <v>2143</v>
      </c>
    </row>
    <row r="6" spans="1:15" x14ac:dyDescent="0.25">
      <c r="A6" t="s">
        <v>2039</v>
      </c>
      <c r="B6" s="228">
        <v>857956</v>
      </c>
      <c r="C6">
        <f>IF($B$1="Segment",'TSAT Calculations'!P2*$B$3,IF($B$1="Intersection",'TSAT Calculations'!P16,0))</f>
        <v>0</v>
      </c>
      <c r="D6" s="35">
        <f>C6*B6</f>
        <v>0</v>
      </c>
      <c r="E6" s="35">
        <f>$B$13*C6*$B6</f>
        <v>0</v>
      </c>
    </row>
    <row r="7" spans="1:15" x14ac:dyDescent="0.25">
      <c r="A7" t="s">
        <v>142</v>
      </c>
      <c r="B7" s="228">
        <v>857956</v>
      </c>
      <c r="C7">
        <f>IF($B$1="Segment",'TSAT Calculations'!P3*$B$3,IF($B$1="Intersection",'TSAT Calculations'!P17,0))</f>
        <v>0</v>
      </c>
      <c r="D7" s="35">
        <f t="shared" ref="D7:D10" si="0">C7*B7</f>
        <v>0</v>
      </c>
      <c r="E7" s="35">
        <f>$B$13*C7*$B7</f>
        <v>0</v>
      </c>
    </row>
    <row r="8" spans="1:15" x14ac:dyDescent="0.25">
      <c r="A8" t="s">
        <v>143</v>
      </c>
      <c r="B8" s="228">
        <v>212262</v>
      </c>
      <c r="C8">
        <f>IF($B$1="Segment",'TSAT Calculations'!P4*$B$3,IF($B$1="Intersection",'TSAT Calculations'!P18,0))</f>
        <v>0</v>
      </c>
      <c r="D8" s="35">
        <f t="shared" si="0"/>
        <v>0</v>
      </c>
      <c r="E8" s="35">
        <f>$B$13*C8*$B8</f>
        <v>0</v>
      </c>
    </row>
    <row r="9" spans="1:15" x14ac:dyDescent="0.25">
      <c r="A9" t="s">
        <v>2040</v>
      </c>
      <c r="B9" s="228">
        <v>125600</v>
      </c>
      <c r="C9">
        <f>IF($B$1="Segment",'TSAT Calculations'!P5*$B$3,IF($B$1="Intersection",'TSAT Calculations'!P19,0))</f>
        <v>0</v>
      </c>
      <c r="D9" s="35">
        <f t="shared" si="0"/>
        <v>0</v>
      </c>
      <c r="E9" s="35">
        <f>$B$13*C9*$B9</f>
        <v>0</v>
      </c>
    </row>
    <row r="10" spans="1:15" x14ac:dyDescent="0.25">
      <c r="A10" t="s">
        <v>2041</v>
      </c>
      <c r="B10" s="228">
        <v>15587</v>
      </c>
      <c r="C10">
        <f>IF($B$1="Segment",'TSAT Calculations'!P6*$B$3,IF($B$1="Intersection",'TSAT Calculations'!P20,0))</f>
        <v>0</v>
      </c>
      <c r="D10" s="35">
        <f t="shared" si="0"/>
        <v>0</v>
      </c>
      <c r="E10" s="35" t="str">
        <f>IF(C13="KABC Crashes",0,IF(C13="All Crash Severities",$B$13*C10*$B10,""))</f>
        <v/>
      </c>
    </row>
    <row r="11" spans="1:15" x14ac:dyDescent="0.25">
      <c r="A11" t="s">
        <v>1925</v>
      </c>
      <c r="B11" s="228"/>
      <c r="C11" s="232">
        <f>SUM(C6:C10)</f>
        <v>0</v>
      </c>
      <c r="D11" s="247">
        <f>SUM(D6:D10)</f>
        <v>0</v>
      </c>
      <c r="E11" s="247">
        <f>SUM(E6:E10)</f>
        <v>0</v>
      </c>
    </row>
    <row r="13" spans="1:15" x14ac:dyDescent="0.25">
      <c r="A13" t="s">
        <v>2148</v>
      </c>
      <c r="B13">
        <f>IF('F3 Cost Effectiveness'!C26="Yes", 'F3 Cost Effectiveness'!C29,'F3 Cost Effectiveness'!C28)/100</f>
        <v>0</v>
      </c>
      <c r="C13">
        <f>'F3 Cost Effectiveness'!C27</f>
        <v>0</v>
      </c>
    </row>
    <row r="15" spans="1:15" x14ac:dyDescent="0.25">
      <c r="A15" t="s">
        <v>165</v>
      </c>
      <c r="B15">
        <f>'F3 Cost Effectiveness'!C16</f>
        <v>7.0000000000000001E-3</v>
      </c>
    </row>
    <row r="16" spans="1:15" ht="15.75" thickBot="1" x14ac:dyDescent="0.3">
      <c r="E16" s="25"/>
      <c r="J16" s="25"/>
      <c r="O16" s="25"/>
    </row>
    <row r="17" spans="1:37" ht="15.75" thickBot="1" x14ac:dyDescent="0.3">
      <c r="A17" s="46" t="s">
        <v>2166</v>
      </c>
      <c r="B17" s="147">
        <v>0.02</v>
      </c>
      <c r="E17" s="25"/>
      <c r="J17" s="25"/>
      <c r="O17" s="25"/>
    </row>
    <row r="18" spans="1:37" x14ac:dyDescent="0.25">
      <c r="A18" s="32"/>
      <c r="B18" s="36" t="s">
        <v>166</v>
      </c>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8"/>
    </row>
    <row r="19" spans="1:37" ht="15.75" thickBot="1" x14ac:dyDescent="0.3">
      <c r="A19" s="29" t="s">
        <v>167</v>
      </c>
      <c r="B19" s="30" t="str">
        <f>'F3 Cost Effectiveness'!C14</f>
        <v/>
      </c>
      <c r="C19" s="30" t="str">
        <f>IFERROR(IF(B19+1&gt;('F3 Cost Effectiveness'!$C$14+'F3 Cost Effectiveness'!$C$15),"",B19+1),"")</f>
        <v/>
      </c>
      <c r="D19" s="30" t="str">
        <f>IFERROR(IF(C19+1&gt;('F3 Cost Effectiveness'!$C$14+'F3 Cost Effectiveness'!$C$15),"",C19+1),"")</f>
        <v/>
      </c>
      <c r="E19" s="30" t="str">
        <f>IFERROR(IF(D19+1&gt;('F3 Cost Effectiveness'!$C$14+'F3 Cost Effectiveness'!$C$15),"",D19+1),"")</f>
        <v/>
      </c>
      <c r="F19" s="30" t="str">
        <f>IFERROR(IF(E19+1&gt;('F3 Cost Effectiveness'!$C$14+'F3 Cost Effectiveness'!$C$15),"",E19+1),"")</f>
        <v/>
      </c>
      <c r="G19" s="30" t="str">
        <f>IFERROR(IF(F19+1&gt;('F3 Cost Effectiveness'!$C$14+'F3 Cost Effectiveness'!$C$15),"",F19+1),"")</f>
        <v/>
      </c>
      <c r="H19" s="30" t="str">
        <f>IFERROR(IF(G19+1&gt;('F3 Cost Effectiveness'!$C$14+'F3 Cost Effectiveness'!$C$15),"",G19+1),"")</f>
        <v/>
      </c>
      <c r="I19" s="30" t="str">
        <f>IFERROR(IF(H19+1&gt;('F3 Cost Effectiveness'!$C$14+'F3 Cost Effectiveness'!$C$15),"",H19+1),"")</f>
        <v/>
      </c>
      <c r="J19" s="30" t="str">
        <f>IFERROR(IF(I19+1&gt;('F3 Cost Effectiveness'!$C$14+'F3 Cost Effectiveness'!$C$15),"",I19+1),"")</f>
        <v/>
      </c>
      <c r="K19" s="30" t="str">
        <f>IFERROR(IF(J19+1&gt;('F3 Cost Effectiveness'!$C$14+'F3 Cost Effectiveness'!$C$15),"",J19+1),"")</f>
        <v/>
      </c>
      <c r="L19" s="30" t="str">
        <f>IFERROR(IF(K19+1&gt;('F3 Cost Effectiveness'!$C$14+'F3 Cost Effectiveness'!$C$15),"",K19+1),"")</f>
        <v/>
      </c>
      <c r="M19" s="30" t="str">
        <f>IFERROR(IF(L19+1&gt;('F3 Cost Effectiveness'!$C$14+'F3 Cost Effectiveness'!$C$15),"",L19+1),"")</f>
        <v/>
      </c>
      <c r="N19" s="30" t="str">
        <f>IFERROR(IF(M19+1&gt;('F3 Cost Effectiveness'!$C$14+'F3 Cost Effectiveness'!$C$15),"",M19+1),"")</f>
        <v/>
      </c>
      <c r="O19" s="30" t="str">
        <f>IFERROR(IF(N19+1&gt;('F3 Cost Effectiveness'!$C$14+'F3 Cost Effectiveness'!$C$15),"",N19+1),"")</f>
        <v/>
      </c>
      <c r="P19" s="30" t="str">
        <f>IFERROR(IF(O19+1&gt;('F3 Cost Effectiveness'!$C$14+'F3 Cost Effectiveness'!$C$15),"",O19+1),"")</f>
        <v/>
      </c>
      <c r="Q19" s="30" t="str">
        <f>IFERROR(IF(P19+1&gt;('F3 Cost Effectiveness'!$C$14+'F3 Cost Effectiveness'!$C$15),"",P19+1),"")</f>
        <v/>
      </c>
      <c r="R19" s="30" t="str">
        <f>IFERROR(IF(Q19+1&gt;('F3 Cost Effectiveness'!$C$14+'F3 Cost Effectiveness'!$C$15),"",Q19+1),"")</f>
        <v/>
      </c>
      <c r="S19" s="30" t="str">
        <f>IFERROR(IF(R19+1&gt;('F3 Cost Effectiveness'!$C$14+'F3 Cost Effectiveness'!$C$15),"",R19+1),"")</f>
        <v/>
      </c>
      <c r="T19" s="30" t="str">
        <f>IFERROR(IF(S19+1&gt;('F3 Cost Effectiveness'!$C$14+'F3 Cost Effectiveness'!$C$15),"",S19+1),"")</f>
        <v/>
      </c>
      <c r="U19" s="30" t="str">
        <f>IFERROR(IF(T19+1&gt;('F3 Cost Effectiveness'!$C$14+'F3 Cost Effectiveness'!$C$15),"",T19+1),"")</f>
        <v/>
      </c>
      <c r="V19" s="30" t="str">
        <f>IFERROR(IF(U19+1&gt;('F3 Cost Effectiveness'!$C$14+'F3 Cost Effectiveness'!$C$15),"",U19+1),"")</f>
        <v/>
      </c>
      <c r="W19" s="30" t="str">
        <f>IFERROR(IF(V19+1&gt;('F3 Cost Effectiveness'!$C$14+'F3 Cost Effectiveness'!$C$15),"",V19+1),"")</f>
        <v/>
      </c>
      <c r="X19" s="30" t="str">
        <f>IFERROR(IF(W19+1&gt;('F3 Cost Effectiveness'!$C$14+'F3 Cost Effectiveness'!$C$15),"",W19+1),"")</f>
        <v/>
      </c>
      <c r="Y19" s="30" t="str">
        <f>IFERROR(IF(X19+1&gt;('F3 Cost Effectiveness'!$C$14+'F3 Cost Effectiveness'!$C$15),"",X19+1),"")</f>
        <v/>
      </c>
      <c r="Z19" s="30" t="str">
        <f>IFERROR(IF(Y19+1&gt;('F3 Cost Effectiveness'!$C$14+'F3 Cost Effectiveness'!$C$15),"",Y19+1),"")</f>
        <v/>
      </c>
      <c r="AA19" s="30" t="str">
        <f>IFERROR(IF(Z19+1&gt;('F3 Cost Effectiveness'!$C$14+'F3 Cost Effectiveness'!$C$15),"",Z19+1),"")</f>
        <v/>
      </c>
      <c r="AB19" s="30" t="str">
        <f>IFERROR(IF(AA19+1&gt;('F3 Cost Effectiveness'!$C$14+'F3 Cost Effectiveness'!$C$15),"",AA19+1),"")</f>
        <v/>
      </c>
      <c r="AC19" s="30" t="str">
        <f>IFERROR(IF(AB19+1&gt;('F3 Cost Effectiveness'!$C$14+'F3 Cost Effectiveness'!$C$15),"",AB19+1),"")</f>
        <v/>
      </c>
      <c r="AD19" s="30" t="str">
        <f>IFERROR(IF(AC19+1&gt;('F3 Cost Effectiveness'!$C$14+'F3 Cost Effectiveness'!$C$15),"",AC19+1),"")</f>
        <v/>
      </c>
      <c r="AE19" s="30" t="str">
        <f>IFERROR(IF(AD19+1&gt;('F3 Cost Effectiveness'!$C$14+'F3 Cost Effectiveness'!$C$15),"",AD19+1),"")</f>
        <v/>
      </c>
      <c r="AF19" s="30" t="str">
        <f>IFERROR(IF(AE19+1&gt;('F3 Cost Effectiveness'!$C$14+'F3 Cost Effectiveness'!$C$15),"",AE19+1),"")</f>
        <v/>
      </c>
      <c r="AG19" s="30" t="str">
        <f>IFERROR(IF(AF19+1&gt;('F3 Cost Effectiveness'!$C$14+'F3 Cost Effectiveness'!$C$15),"",AF19+1),"")</f>
        <v/>
      </c>
      <c r="AH19" s="30" t="str">
        <f>IFERROR(IF(AG19+1&gt;('F3 Cost Effectiveness'!$C$14+'F3 Cost Effectiveness'!$C$15),"",AG19+1),"")</f>
        <v/>
      </c>
      <c r="AI19" s="30" t="str">
        <f>IFERROR(IF(AH19+1&gt;('F3 Cost Effectiveness'!$C$14+'F3 Cost Effectiveness'!$C$15),"",AH19+1),"")</f>
        <v/>
      </c>
      <c r="AJ19" s="30" t="str">
        <f>IFERROR(IF(AI19+1&gt;('F3 Cost Effectiveness'!$C$14+'F3 Cost Effectiveness'!$C$15),"",AI19+1),"")</f>
        <v/>
      </c>
      <c r="AK19" s="30" t="str">
        <f>IFERROR(IF(AJ19+1&gt;('F3 Cost Effectiveness'!$C$14+'F3 Cost Effectiveness'!$C$15),"",AJ19+1),"")</f>
        <v/>
      </c>
    </row>
    <row r="20" spans="1:37" x14ac:dyDescent="0.25">
      <c r="A20" s="32" t="s">
        <v>168</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8"/>
    </row>
    <row r="21" spans="1:37" x14ac:dyDescent="0.25">
      <c r="A21" s="47" t="s">
        <v>169</v>
      </c>
      <c r="B21" s="48">
        <f>IFERROR('F3 Cost Effectiveness'!$C$18*((1+$B$17)^(B19-(YEAR('Cover Sheet'!$H$2)))),0)</f>
        <v>0</v>
      </c>
      <c r="C21" s="48">
        <f>IFERROR('F3 Cost Effectiveness'!$C$18*((1+$B$17)^(C19-(YEAR('Cover Sheet'!$H$2)))),0)</f>
        <v>0</v>
      </c>
      <c r="D21" s="48">
        <f>IFERROR('F3 Cost Effectiveness'!$C$18*((1+$B$17)^(D19-(YEAR('Cover Sheet'!$H$2)))),0)</f>
        <v>0</v>
      </c>
      <c r="E21" s="48">
        <f>IFERROR('F3 Cost Effectiveness'!$C$18*((1+$B$17)^(E19-(YEAR('Cover Sheet'!$H$2)))),0)</f>
        <v>0</v>
      </c>
      <c r="F21" s="48">
        <f>IFERROR('F3 Cost Effectiveness'!$C$18*((1+$B$17)^(F19-(YEAR('Cover Sheet'!$H$2)))),0)</f>
        <v>0</v>
      </c>
      <c r="G21" s="48">
        <f>IFERROR('F3 Cost Effectiveness'!$C$18*((1+$B$17)^(G19-(YEAR('Cover Sheet'!$H$2)))),0)</f>
        <v>0</v>
      </c>
      <c r="H21" s="48">
        <f>IFERROR('F3 Cost Effectiveness'!$C$18*((1+$B$17)^(H19-(YEAR('Cover Sheet'!$H$2)))),0)</f>
        <v>0</v>
      </c>
      <c r="I21" s="48">
        <f>IFERROR('F3 Cost Effectiveness'!$C$18*((1+$B$17)^(I19-(YEAR('Cover Sheet'!$H$2)))),0)</f>
        <v>0</v>
      </c>
      <c r="J21" s="48">
        <f>IFERROR('F3 Cost Effectiveness'!$C$18*((1+$B$17)^(J19-(YEAR('Cover Sheet'!$H$2)))),0)</f>
        <v>0</v>
      </c>
      <c r="K21" s="48">
        <f>IFERROR('F3 Cost Effectiveness'!$C$18*((1+$B$17)^(K19-(YEAR('Cover Sheet'!$H$2)))),0)</f>
        <v>0</v>
      </c>
      <c r="L21" s="48">
        <f>IFERROR('F3 Cost Effectiveness'!$C$18*((1+$B$17)^(L19-(YEAR('Cover Sheet'!$H$2)))),0)</f>
        <v>0</v>
      </c>
      <c r="M21" s="48">
        <f>IFERROR('F3 Cost Effectiveness'!$C$18*((1+$B$17)^(M19-(YEAR('Cover Sheet'!$H$2)))),0)</f>
        <v>0</v>
      </c>
      <c r="N21" s="48">
        <f>IFERROR('F3 Cost Effectiveness'!$C$18*((1+$B$17)^(N19-(YEAR('Cover Sheet'!$H$2)))),0)</f>
        <v>0</v>
      </c>
      <c r="O21" s="48">
        <f>IFERROR('F3 Cost Effectiveness'!$C$18*((1+$B$17)^(O19-(YEAR('Cover Sheet'!$H$2)))),0)</f>
        <v>0</v>
      </c>
      <c r="P21" s="48">
        <f>IFERROR('F3 Cost Effectiveness'!$C$18*((1+$B$17)^(P19-(YEAR('Cover Sheet'!$H$2)))),0)</f>
        <v>0</v>
      </c>
      <c r="Q21" s="48">
        <f>IFERROR('F3 Cost Effectiveness'!$C$18*((1+$B$17)^(Q19-(YEAR('Cover Sheet'!$H$2)))),0)</f>
        <v>0</v>
      </c>
      <c r="R21" s="48">
        <f>IFERROR('F3 Cost Effectiveness'!$C$18*((1+$B$17)^(R19-(YEAR('Cover Sheet'!$H$2)))),0)</f>
        <v>0</v>
      </c>
      <c r="S21" s="48">
        <f>IFERROR('F3 Cost Effectiveness'!$C$18*((1+$B$17)^(S19-(YEAR('Cover Sheet'!$H$2)))),0)</f>
        <v>0</v>
      </c>
      <c r="T21" s="48">
        <f>IFERROR('F3 Cost Effectiveness'!$C$18*((1+$B$17)^(T19-(YEAR('Cover Sheet'!$H$2)))),0)</f>
        <v>0</v>
      </c>
      <c r="U21" s="48">
        <f>IFERROR('F3 Cost Effectiveness'!$C$18*((1+$B$17)^(U19-(YEAR('Cover Sheet'!$H$2)))),0)</f>
        <v>0</v>
      </c>
      <c r="V21" s="48">
        <f>IFERROR('F3 Cost Effectiveness'!$C$18*((1+$B$17)^(V19-(YEAR('Cover Sheet'!$H$2)))),0)</f>
        <v>0</v>
      </c>
      <c r="W21" s="48">
        <f>IFERROR('F3 Cost Effectiveness'!$C$18*((1+$B$17)^(W19-(YEAR('Cover Sheet'!$H$2)))),0)</f>
        <v>0</v>
      </c>
      <c r="X21" s="48">
        <f>IFERROR('F3 Cost Effectiveness'!$C$18*((1+$B$17)^(X19-(YEAR('Cover Sheet'!$H$2)))),0)</f>
        <v>0</v>
      </c>
      <c r="Y21" s="48">
        <f>IFERROR('F3 Cost Effectiveness'!$C$18*((1+$B$17)^(Y19-(YEAR('Cover Sheet'!$H$2)))),0)</f>
        <v>0</v>
      </c>
      <c r="Z21" s="48">
        <f>IFERROR('F3 Cost Effectiveness'!$C$18*((1+$B$17)^(Z19-(YEAR('Cover Sheet'!$H$2)))),0)</f>
        <v>0</v>
      </c>
      <c r="AA21" s="48">
        <f>IFERROR('F3 Cost Effectiveness'!$C$18*((1+$B$17)^(AA19-(YEAR('Cover Sheet'!$H$2)))),0)</f>
        <v>0</v>
      </c>
      <c r="AB21" s="48">
        <f>IFERROR('F3 Cost Effectiveness'!$C$18*((1+$B$17)^(AB19-(YEAR('Cover Sheet'!$H$2)))),0)</f>
        <v>0</v>
      </c>
      <c r="AC21" s="48">
        <f>IFERROR('F3 Cost Effectiveness'!$C$18*((1+$B$17)^(AC19-(YEAR('Cover Sheet'!$H$2)))),0)</f>
        <v>0</v>
      </c>
      <c r="AD21" s="48">
        <f>IFERROR('F3 Cost Effectiveness'!$C$18*((1+$B$17)^(AD19-(YEAR('Cover Sheet'!$H$2)))),0)</f>
        <v>0</v>
      </c>
      <c r="AE21" s="48">
        <f>IFERROR('F3 Cost Effectiveness'!$C$18*((1+$B$17)^(AE19-(YEAR('Cover Sheet'!$H$2)))),0)</f>
        <v>0</v>
      </c>
      <c r="AF21" s="48">
        <f>IFERROR('F3 Cost Effectiveness'!$C$18*((1+$B$17)^(AF19-(YEAR('Cover Sheet'!$H$2)))),0)</f>
        <v>0</v>
      </c>
      <c r="AG21" s="48">
        <f>IFERROR('F3 Cost Effectiveness'!$C$18*((1+$B$17)^(AG19-(YEAR('Cover Sheet'!$H$2)))),0)</f>
        <v>0</v>
      </c>
      <c r="AH21" s="48">
        <f>IFERROR('F3 Cost Effectiveness'!$C$18*((1+$B$17)^(AH19-(YEAR('Cover Sheet'!$H$2)))),0)</f>
        <v>0</v>
      </c>
      <c r="AI21" s="48">
        <f>IFERROR('F3 Cost Effectiveness'!$C$18*((1+$B$17)^(AI19-(YEAR('Cover Sheet'!$H$2)))),0)</f>
        <v>0</v>
      </c>
      <c r="AJ21" s="48">
        <f>IFERROR('F3 Cost Effectiveness'!$C$18*((1+$B$17)^(AJ19-(YEAR('Cover Sheet'!$H$2)))),0)</f>
        <v>0</v>
      </c>
      <c r="AK21" s="48">
        <f>IFERROR('F3 Cost Effectiveness'!$C$18*((1+$B$17)^(AK19-(YEAR('Cover Sheet'!$H$2)))),0)</f>
        <v>0</v>
      </c>
    </row>
    <row r="22" spans="1:37" x14ac:dyDescent="0.25">
      <c r="A22" s="47" t="s">
        <v>170</v>
      </c>
      <c r="B22" s="48">
        <f>IFERROR(B21/((1+($B$17/1))^(1*(B19-$B$19))),0)</f>
        <v>0</v>
      </c>
      <c r="C22" s="48">
        <f>IFERROR(C21/((1+($B$17/1))^(1*(C19-$B$19))),0)</f>
        <v>0</v>
      </c>
      <c r="D22" s="48">
        <f t="shared" ref="D22:AK22" si="1">IFERROR(D21/((1+($B$17/1))^(1*(D19-$B$19))),0)</f>
        <v>0</v>
      </c>
      <c r="E22" s="48">
        <f t="shared" si="1"/>
        <v>0</v>
      </c>
      <c r="F22" s="48">
        <f t="shared" si="1"/>
        <v>0</v>
      </c>
      <c r="G22" s="48">
        <f t="shared" si="1"/>
        <v>0</v>
      </c>
      <c r="H22" s="48">
        <f t="shared" si="1"/>
        <v>0</v>
      </c>
      <c r="I22" s="48">
        <f t="shared" si="1"/>
        <v>0</v>
      </c>
      <c r="J22" s="48">
        <f t="shared" si="1"/>
        <v>0</v>
      </c>
      <c r="K22" s="48">
        <f t="shared" si="1"/>
        <v>0</v>
      </c>
      <c r="L22" s="48">
        <f t="shared" si="1"/>
        <v>0</v>
      </c>
      <c r="M22" s="48">
        <f t="shared" si="1"/>
        <v>0</v>
      </c>
      <c r="N22" s="48">
        <f t="shared" si="1"/>
        <v>0</v>
      </c>
      <c r="O22" s="48">
        <f t="shared" si="1"/>
        <v>0</v>
      </c>
      <c r="P22" s="48">
        <f t="shared" si="1"/>
        <v>0</v>
      </c>
      <c r="Q22" s="48">
        <f t="shared" si="1"/>
        <v>0</v>
      </c>
      <c r="R22" s="48">
        <f t="shared" si="1"/>
        <v>0</v>
      </c>
      <c r="S22" s="48">
        <f t="shared" si="1"/>
        <v>0</v>
      </c>
      <c r="T22" s="48">
        <f t="shared" si="1"/>
        <v>0</v>
      </c>
      <c r="U22" s="48">
        <f t="shared" si="1"/>
        <v>0</v>
      </c>
      <c r="V22" s="48">
        <f t="shared" si="1"/>
        <v>0</v>
      </c>
      <c r="W22" s="48">
        <f t="shared" si="1"/>
        <v>0</v>
      </c>
      <c r="X22" s="48">
        <f t="shared" si="1"/>
        <v>0</v>
      </c>
      <c r="Y22" s="48">
        <f t="shared" si="1"/>
        <v>0</v>
      </c>
      <c r="Z22" s="48">
        <f t="shared" si="1"/>
        <v>0</v>
      </c>
      <c r="AA22" s="48">
        <f t="shared" si="1"/>
        <v>0</v>
      </c>
      <c r="AB22" s="48">
        <f t="shared" si="1"/>
        <v>0</v>
      </c>
      <c r="AC22" s="48">
        <f t="shared" si="1"/>
        <v>0</v>
      </c>
      <c r="AD22" s="48">
        <f t="shared" si="1"/>
        <v>0</v>
      </c>
      <c r="AE22" s="48">
        <f t="shared" si="1"/>
        <v>0</v>
      </c>
      <c r="AF22" s="48">
        <f t="shared" si="1"/>
        <v>0</v>
      </c>
      <c r="AG22" s="48">
        <f t="shared" si="1"/>
        <v>0</v>
      </c>
      <c r="AH22" s="48">
        <f t="shared" si="1"/>
        <v>0</v>
      </c>
      <c r="AI22" s="48">
        <f t="shared" si="1"/>
        <v>0</v>
      </c>
      <c r="AJ22" s="48">
        <f t="shared" si="1"/>
        <v>0</v>
      </c>
      <c r="AK22" s="51">
        <f t="shared" si="1"/>
        <v>0</v>
      </c>
    </row>
    <row r="23" spans="1:37" x14ac:dyDescent="0.25">
      <c r="A23" s="47" t="s">
        <v>171</v>
      </c>
      <c r="B23" s="48" t="e">
        <f>'F3 Cost Effectiveness'!C12*(1+B17)^(B19-YEAR('Cover Sheet'!H2))</f>
        <v>#VALUE!</v>
      </c>
      <c r="AK23" s="50"/>
    </row>
    <row r="24" spans="1:37" ht="15.75" thickBot="1" x14ac:dyDescent="0.3">
      <c r="A24" s="29" t="s">
        <v>172</v>
      </c>
      <c r="B24" s="248" t="e">
        <f>SUM(B23,B22:AK22)</f>
        <v>#VALUE!</v>
      </c>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1"/>
    </row>
    <row r="25" spans="1:37" x14ac:dyDescent="0.25">
      <c r="A25" s="32" t="s">
        <v>173</v>
      </c>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8"/>
    </row>
    <row r="26" spans="1:37" x14ac:dyDescent="0.25">
      <c r="A26" s="47" t="s">
        <v>2149</v>
      </c>
      <c r="B26" s="25">
        <f>IFERROR($D$11*((1+$B$15)^(B19-(YEAR('Cover Sheet'!$H$2))))*((1+$B$17)^(B19-(YEAR('Cover Sheet'!$H$2)))),0)</f>
        <v>0</v>
      </c>
      <c r="C26" s="25">
        <f>IFERROR($D$11*((1+$B$15)^(C19-(YEAR('Cover Sheet'!$H$2))))*((1+$B$17)^(C19-(YEAR('Cover Sheet'!$H$2)))),0)</f>
        <v>0</v>
      </c>
      <c r="D26" s="25">
        <f>IFERROR($D$11*((1+$B$15)^(D19-(YEAR('Cover Sheet'!$H$2))))*((1+$B$17)^(D19-(YEAR('Cover Sheet'!$H$2)))),0)</f>
        <v>0</v>
      </c>
      <c r="E26" s="25">
        <f>IFERROR($D$11*((1+$B$15)^(E19-(YEAR('Cover Sheet'!$H$2))))*((1+$B$17)^(E19-(YEAR('Cover Sheet'!$H$2)))),0)</f>
        <v>0</v>
      </c>
      <c r="F26" s="25">
        <f>IFERROR($D$11*((1+$B$15)^(F19-(YEAR('Cover Sheet'!$H$2))))*((1+$B$17)^(F19-(YEAR('Cover Sheet'!$H$2)))),0)</f>
        <v>0</v>
      </c>
      <c r="G26" s="25">
        <f>IFERROR($D$11*((1+$B$15)^(G19-(YEAR('Cover Sheet'!$H$2))))*((1+$B$17)^(G19-(YEAR('Cover Sheet'!$H$2)))),0)</f>
        <v>0</v>
      </c>
      <c r="H26" s="25">
        <f>IFERROR($D$11*((1+$B$15)^(H19-(YEAR('Cover Sheet'!$H$2))))*((1+$B$17)^(H19-(YEAR('Cover Sheet'!$H$2)))),0)</f>
        <v>0</v>
      </c>
      <c r="I26" s="25">
        <f>IFERROR($D$11*((1+$B$15)^(I19-(YEAR('Cover Sheet'!$H$2))))*((1+$B$17)^(I19-(YEAR('Cover Sheet'!$H$2)))),0)</f>
        <v>0</v>
      </c>
      <c r="J26" s="25">
        <f>IFERROR($D$11*((1+$B$15)^(J19-(YEAR('Cover Sheet'!$H$2))))*((1+$B$17)^(J19-(YEAR('Cover Sheet'!$H$2)))),0)</f>
        <v>0</v>
      </c>
      <c r="K26" s="25">
        <f>IFERROR($D$11*((1+$B$15)^(K19-(YEAR('Cover Sheet'!$H$2))))*((1+$B$17)^(K19-(YEAR('Cover Sheet'!$H$2)))),0)</f>
        <v>0</v>
      </c>
      <c r="L26" s="25">
        <f>IFERROR($D$11*((1+$B$15)^(L19-(YEAR('Cover Sheet'!$H$2))))*((1+$B$17)^(L19-(YEAR('Cover Sheet'!$H$2)))),0)</f>
        <v>0</v>
      </c>
      <c r="M26" s="25">
        <f>IFERROR($D$11*((1+$B$15)^(M19-(YEAR('Cover Sheet'!$H$2))))*((1+$B$17)^(M19-(YEAR('Cover Sheet'!$H$2)))),0)</f>
        <v>0</v>
      </c>
      <c r="N26" s="25">
        <f>IFERROR($D$11*((1+$B$15)^(N19-(YEAR('Cover Sheet'!$H$2))))*((1+$B$17)^(N19-(YEAR('Cover Sheet'!$H$2)))),0)</f>
        <v>0</v>
      </c>
      <c r="O26" s="25">
        <f>IFERROR($D$11*((1+$B$15)^(O19-(YEAR('Cover Sheet'!$H$2))))*((1+$B$17)^(O19-(YEAR('Cover Sheet'!$H$2)))),0)</f>
        <v>0</v>
      </c>
      <c r="P26" s="25">
        <f>IFERROR($D$11*((1+$B$15)^(P19-(YEAR('Cover Sheet'!$H$2))))*((1+$B$17)^(P19-(YEAR('Cover Sheet'!$H$2)))),0)</f>
        <v>0</v>
      </c>
      <c r="Q26" s="25">
        <f>IFERROR($D$11*((1+$B$15)^(Q19-(YEAR('Cover Sheet'!$H$2))))*((1+$B$17)^(Q19-(YEAR('Cover Sheet'!$H$2)))),0)</f>
        <v>0</v>
      </c>
      <c r="R26" s="25">
        <f>IFERROR($D$11*((1+$B$15)^(R19-(YEAR('Cover Sheet'!$H$2))))*((1+$B$17)^(R19-(YEAR('Cover Sheet'!$H$2)))),0)</f>
        <v>0</v>
      </c>
      <c r="S26" s="25">
        <f>IFERROR($D$11*((1+$B$15)^(S19-(YEAR('Cover Sheet'!$H$2))))*((1+$B$17)^(S19-(YEAR('Cover Sheet'!$H$2)))),0)</f>
        <v>0</v>
      </c>
      <c r="T26" s="25">
        <f>IFERROR($D$11*((1+$B$15)^(T19-(YEAR('Cover Sheet'!$H$2))))*((1+$B$17)^(T19-(YEAR('Cover Sheet'!$H$2)))),0)</f>
        <v>0</v>
      </c>
      <c r="U26" s="25">
        <f>IFERROR($D$11*((1+$B$15)^(U19-(YEAR('Cover Sheet'!$H$2))))*((1+$B$17)^(U19-(YEAR('Cover Sheet'!$H$2)))),0)</f>
        <v>0</v>
      </c>
      <c r="V26" s="25">
        <f>IFERROR($D$11*((1+$B$15)^(V19-(YEAR('Cover Sheet'!$H$2))))*((1+$B$17)^(V19-(YEAR('Cover Sheet'!$H$2)))),0)</f>
        <v>0</v>
      </c>
      <c r="W26" s="25">
        <f>IFERROR($D$11*((1+$B$15)^(W19-(YEAR('Cover Sheet'!$H$2))))*((1+$B$17)^(W19-(YEAR('Cover Sheet'!$H$2)))),0)</f>
        <v>0</v>
      </c>
      <c r="X26" s="25">
        <f>IFERROR($D$11*((1+$B$15)^(X19-(YEAR('Cover Sheet'!$H$2))))*((1+$B$17)^(X19-(YEAR('Cover Sheet'!$H$2)))),0)</f>
        <v>0</v>
      </c>
      <c r="Y26" s="25">
        <f>IFERROR($D$11*((1+$B$15)^(Y19-(YEAR('Cover Sheet'!$H$2))))*((1+$B$17)^(Y19-(YEAR('Cover Sheet'!$H$2)))),0)</f>
        <v>0</v>
      </c>
      <c r="Z26" s="25">
        <f>IFERROR($D$11*((1+$B$15)^(Z19-(YEAR('Cover Sheet'!$H$2))))*((1+$B$17)^(Z19-(YEAR('Cover Sheet'!$H$2)))),0)</f>
        <v>0</v>
      </c>
      <c r="AA26" s="25">
        <f>IFERROR($D$11*((1+$B$15)^(AA19-(YEAR('Cover Sheet'!$H$2))))*((1+$B$17)^(AA19-(YEAR('Cover Sheet'!$H$2)))),0)</f>
        <v>0</v>
      </c>
      <c r="AB26" s="25">
        <f>IFERROR($D$11*((1+$B$15)^(AB19-(YEAR('Cover Sheet'!$H$2))))*((1+$B$17)^(AB19-(YEAR('Cover Sheet'!$H$2)))),0)</f>
        <v>0</v>
      </c>
      <c r="AC26" s="25">
        <f>IFERROR($D$11*((1+$B$15)^(AC19-(YEAR('Cover Sheet'!$H$2))))*((1+$B$17)^(AC19-(YEAR('Cover Sheet'!$H$2)))),0)</f>
        <v>0</v>
      </c>
      <c r="AD26" s="25">
        <f>IFERROR($D$11*((1+$B$15)^(AD19-(YEAR('Cover Sheet'!$H$2))))*((1+$B$17)^(AD19-(YEAR('Cover Sheet'!$H$2)))),0)</f>
        <v>0</v>
      </c>
      <c r="AE26" s="25">
        <f>IFERROR($D$11*((1+$B$15)^(AE19-(YEAR('Cover Sheet'!$H$2))))*((1+$B$17)^(AE19-(YEAR('Cover Sheet'!$H$2)))),0)</f>
        <v>0</v>
      </c>
      <c r="AF26" s="25">
        <f>IFERROR($D$11*((1+$B$15)^(AF19-(YEAR('Cover Sheet'!$H$2))))*((1+$B$17)^(AF19-(YEAR('Cover Sheet'!$H$2)))),0)</f>
        <v>0</v>
      </c>
      <c r="AG26" s="25">
        <f>IFERROR($D$11*((1+$B$15)^(AG19-(YEAR('Cover Sheet'!$H$2))))*((1+$B$17)^(AG19-(YEAR('Cover Sheet'!$H$2)))),0)</f>
        <v>0</v>
      </c>
      <c r="AH26" s="25">
        <f>IFERROR($D$11*((1+$B$15)^(AH19-(YEAR('Cover Sheet'!$H$2))))*((1+$B$17)^(AH19-(YEAR('Cover Sheet'!$H$2)))),0)</f>
        <v>0</v>
      </c>
      <c r="AI26" s="25">
        <f>IFERROR($D$11*((1+$B$15)^(AI19-(YEAR('Cover Sheet'!$H$2))))*((1+$B$17)^(AI19-(YEAR('Cover Sheet'!$H$2)))),0)</f>
        <v>0</v>
      </c>
      <c r="AJ26" s="25">
        <f>IFERROR($D$11*((1+$B$15)^(AJ19-(YEAR('Cover Sheet'!$H$2))))*((1+$B$17)^(AJ19-(YEAR('Cover Sheet'!$H$2)))),0)</f>
        <v>0</v>
      </c>
      <c r="AK26" s="25">
        <f>IFERROR($D$11*((1+$B$15)^(AK19-(YEAR('Cover Sheet'!$H$2))))*((1+$B$17)^(AK19-(YEAR('Cover Sheet'!$H$2)))),0)</f>
        <v>0</v>
      </c>
    </row>
    <row r="27" spans="1:37" x14ac:dyDescent="0.25">
      <c r="A27" s="47" t="s">
        <v>2145</v>
      </c>
      <c r="B27" s="25">
        <f>IFERROR(B26/((1+($B$17/1))^(1*(B19-$B$19))),0)</f>
        <v>0</v>
      </c>
      <c r="C27" s="25">
        <f t="shared" ref="C27:AK27" si="2">IFERROR(C26/((1+($B$17/1))^(1*(C19-$B$19))),0)</f>
        <v>0</v>
      </c>
      <c r="D27" s="25">
        <f t="shared" si="2"/>
        <v>0</v>
      </c>
      <c r="E27" s="25">
        <f t="shared" si="2"/>
        <v>0</v>
      </c>
      <c r="F27" s="25">
        <f t="shared" si="2"/>
        <v>0</v>
      </c>
      <c r="G27" s="25">
        <f t="shared" si="2"/>
        <v>0</v>
      </c>
      <c r="H27" s="25">
        <f t="shared" si="2"/>
        <v>0</v>
      </c>
      <c r="I27" s="25">
        <f t="shared" si="2"/>
        <v>0</v>
      </c>
      <c r="J27" s="25">
        <f t="shared" si="2"/>
        <v>0</v>
      </c>
      <c r="K27" s="25">
        <f t="shared" si="2"/>
        <v>0</v>
      </c>
      <c r="L27" s="25">
        <f t="shared" si="2"/>
        <v>0</v>
      </c>
      <c r="M27" s="25">
        <f t="shared" si="2"/>
        <v>0</v>
      </c>
      <c r="N27" s="25">
        <f t="shared" si="2"/>
        <v>0</v>
      </c>
      <c r="O27" s="25">
        <f t="shared" si="2"/>
        <v>0</v>
      </c>
      <c r="P27" s="25">
        <f t="shared" si="2"/>
        <v>0</v>
      </c>
      <c r="Q27" s="25">
        <f t="shared" si="2"/>
        <v>0</v>
      </c>
      <c r="R27" s="25">
        <f t="shared" si="2"/>
        <v>0</v>
      </c>
      <c r="S27" s="25">
        <f t="shared" si="2"/>
        <v>0</v>
      </c>
      <c r="T27" s="25">
        <f t="shared" si="2"/>
        <v>0</v>
      </c>
      <c r="U27" s="25">
        <f t="shared" si="2"/>
        <v>0</v>
      </c>
      <c r="V27" s="25">
        <f t="shared" si="2"/>
        <v>0</v>
      </c>
      <c r="W27" s="25">
        <f t="shared" si="2"/>
        <v>0</v>
      </c>
      <c r="X27" s="25">
        <f t="shared" si="2"/>
        <v>0</v>
      </c>
      <c r="Y27" s="25">
        <f t="shared" si="2"/>
        <v>0</v>
      </c>
      <c r="Z27" s="25">
        <f t="shared" si="2"/>
        <v>0</v>
      </c>
      <c r="AA27" s="25">
        <f t="shared" si="2"/>
        <v>0</v>
      </c>
      <c r="AB27" s="25">
        <f t="shared" si="2"/>
        <v>0</v>
      </c>
      <c r="AC27" s="25">
        <f t="shared" si="2"/>
        <v>0</v>
      </c>
      <c r="AD27" s="25">
        <f t="shared" si="2"/>
        <v>0</v>
      </c>
      <c r="AE27" s="25">
        <f t="shared" si="2"/>
        <v>0</v>
      </c>
      <c r="AF27" s="25">
        <f t="shared" si="2"/>
        <v>0</v>
      </c>
      <c r="AG27" s="25">
        <f t="shared" si="2"/>
        <v>0</v>
      </c>
      <c r="AH27" s="25">
        <f t="shared" si="2"/>
        <v>0</v>
      </c>
      <c r="AI27" s="25">
        <f t="shared" si="2"/>
        <v>0</v>
      </c>
      <c r="AJ27" s="25">
        <f t="shared" si="2"/>
        <v>0</v>
      </c>
      <c r="AK27" s="25">
        <f t="shared" si="2"/>
        <v>0</v>
      </c>
    </row>
    <row r="28" spans="1:37" x14ac:dyDescent="0.25">
      <c r="A28" s="47" t="s">
        <v>174</v>
      </c>
      <c r="B28" s="48">
        <f>IFERROR($E$11*((1+$B$15)^(B19-(YEAR('Cover Sheet'!$H$2))))*((1+$B$17)^(B19-(YEAR('Cover Sheet'!$H$2)))),0)</f>
        <v>0</v>
      </c>
      <c r="C28" s="48">
        <f>IFERROR($E$11*((1+$B$15)^(C19-(YEAR('Cover Sheet'!$H$2))))*((1+$B$17)^(C19-(YEAR('Cover Sheet'!$H$2)))),0)</f>
        <v>0</v>
      </c>
      <c r="D28" s="48">
        <f>IFERROR($E$11*((1+$B$15)^(D19-(YEAR('Cover Sheet'!$H$2))))*((1+$B$17)^(D19-(YEAR('Cover Sheet'!$H$2)))),0)</f>
        <v>0</v>
      </c>
      <c r="E28" s="48">
        <f>IFERROR($E$11*((1+$B$15)^(E19-(YEAR('Cover Sheet'!$H$2))))*((1+$B$17)^(E19-(YEAR('Cover Sheet'!$H$2)))),0)</f>
        <v>0</v>
      </c>
      <c r="F28" s="48">
        <f>IFERROR($E$11*((1+$B$15)^(F19-(YEAR('Cover Sheet'!$H$2))))*((1+$B$17)^(F19-(YEAR('Cover Sheet'!$H$2)))),0)</f>
        <v>0</v>
      </c>
      <c r="G28" s="48">
        <f>IFERROR($E$11*((1+$B$15)^(G19-(YEAR('Cover Sheet'!$H$2))))*((1+$B$17)^(G19-(YEAR('Cover Sheet'!$H$2)))),0)</f>
        <v>0</v>
      </c>
      <c r="H28" s="48">
        <f>IFERROR($E$11*((1+$B$15)^(H19-(YEAR('Cover Sheet'!$H$2))))*((1+$B$17)^(H19-(YEAR('Cover Sheet'!$H$2)))),0)</f>
        <v>0</v>
      </c>
      <c r="I28" s="48">
        <f>IFERROR($E$11*((1+$B$15)^(I19-(YEAR('Cover Sheet'!$H$2))))*((1+$B$17)^(I19-(YEAR('Cover Sheet'!$H$2)))),0)</f>
        <v>0</v>
      </c>
      <c r="J28" s="48">
        <f>IFERROR($E$11*((1+$B$15)^(J19-(YEAR('Cover Sheet'!$H$2))))*((1+$B$17)^(J19-(YEAR('Cover Sheet'!$H$2)))),0)</f>
        <v>0</v>
      </c>
      <c r="K28" s="48">
        <f>IFERROR($E$11*((1+$B$15)^(K19-(YEAR('Cover Sheet'!$H$2))))*((1+$B$17)^(K19-(YEAR('Cover Sheet'!$H$2)))),0)</f>
        <v>0</v>
      </c>
      <c r="L28" s="48">
        <f>IFERROR($E$11*((1+$B$15)^(L19-(YEAR('Cover Sheet'!$H$2))))*((1+$B$17)^(L19-(YEAR('Cover Sheet'!$H$2)))),0)</f>
        <v>0</v>
      </c>
      <c r="M28" s="48">
        <f>IFERROR($E$11*((1+$B$15)^(M19-(YEAR('Cover Sheet'!$H$2))))*((1+$B$17)^(M19-(YEAR('Cover Sheet'!$H$2)))),0)</f>
        <v>0</v>
      </c>
      <c r="N28" s="48">
        <f>IFERROR($E$11*((1+$B$15)^(N19-(YEAR('Cover Sheet'!$H$2))))*((1+$B$17)^(N19-(YEAR('Cover Sheet'!$H$2)))),0)</f>
        <v>0</v>
      </c>
      <c r="O28" s="48">
        <f>IFERROR($E$11*((1+$B$15)^(O19-(YEAR('Cover Sheet'!$H$2))))*((1+$B$17)^(O19-(YEAR('Cover Sheet'!$H$2)))),0)</f>
        <v>0</v>
      </c>
      <c r="P28" s="48">
        <f>IFERROR($E$11*((1+$B$15)^(P19-(YEAR('Cover Sheet'!$H$2))))*((1+$B$17)^(P19-(YEAR('Cover Sheet'!$H$2)))),0)</f>
        <v>0</v>
      </c>
      <c r="Q28" s="48">
        <f>IFERROR($E$11*((1+$B$15)^(Q19-(YEAR('Cover Sheet'!$H$2))))*((1+$B$17)^(Q19-(YEAR('Cover Sheet'!$H$2)))),0)</f>
        <v>0</v>
      </c>
      <c r="R28" s="48">
        <f>IFERROR($E$11*((1+$B$15)^(R19-(YEAR('Cover Sheet'!$H$2))))*((1+$B$17)^(R19-(YEAR('Cover Sheet'!$H$2)))),0)</f>
        <v>0</v>
      </c>
      <c r="S28" s="48">
        <f>IFERROR($E$11*((1+$B$15)^(S19-(YEAR('Cover Sheet'!$H$2))))*((1+$B$17)^(S19-(YEAR('Cover Sheet'!$H$2)))),0)</f>
        <v>0</v>
      </c>
      <c r="T28" s="48">
        <f>IFERROR($E$11*((1+$B$15)^(T19-(YEAR('Cover Sheet'!$H$2))))*((1+$B$17)^(T19-(YEAR('Cover Sheet'!$H$2)))),0)</f>
        <v>0</v>
      </c>
      <c r="U28" s="48">
        <f>IFERROR($E$11*((1+$B$15)^(U19-(YEAR('Cover Sheet'!$H$2))))*((1+$B$17)^(U19-(YEAR('Cover Sheet'!$H$2)))),0)</f>
        <v>0</v>
      </c>
      <c r="V28" s="48">
        <f>IFERROR($E$11*((1+$B$15)^(V19-(YEAR('Cover Sheet'!$H$2))))*((1+$B$17)^(V19-(YEAR('Cover Sheet'!$H$2)))),0)</f>
        <v>0</v>
      </c>
      <c r="W28" s="48">
        <f>IFERROR($E$11*((1+$B$15)^(W19-(YEAR('Cover Sheet'!$H$2))))*((1+$B$17)^(W19-(YEAR('Cover Sheet'!$H$2)))),0)</f>
        <v>0</v>
      </c>
      <c r="X28" s="48">
        <f>IFERROR($E$11*((1+$B$15)^(X19-(YEAR('Cover Sheet'!$H$2))))*((1+$B$17)^(X19-(YEAR('Cover Sheet'!$H$2)))),0)</f>
        <v>0</v>
      </c>
      <c r="Y28" s="48">
        <f>IFERROR($E$11*((1+$B$15)^(Y19-(YEAR('Cover Sheet'!$H$2))))*((1+$B$17)^(Y19-(YEAR('Cover Sheet'!$H$2)))),0)</f>
        <v>0</v>
      </c>
      <c r="Z28" s="48">
        <f>IFERROR($E$11*((1+$B$15)^(Z19-(YEAR('Cover Sheet'!$H$2))))*((1+$B$17)^(Z19-(YEAR('Cover Sheet'!$H$2)))),0)</f>
        <v>0</v>
      </c>
      <c r="AA28" s="48">
        <f>IFERROR($E$11*((1+$B$15)^(AA19-(YEAR('Cover Sheet'!$H$2))))*((1+$B$17)^(AA19-(YEAR('Cover Sheet'!$H$2)))),0)</f>
        <v>0</v>
      </c>
      <c r="AB28" s="48">
        <f>IFERROR($E$11*((1+$B$15)^(AB19-(YEAR('Cover Sheet'!$H$2))))*((1+$B$17)^(AB19-(YEAR('Cover Sheet'!$H$2)))),0)</f>
        <v>0</v>
      </c>
      <c r="AC28" s="48">
        <f>IFERROR($E$11*((1+$B$15)^(AC19-(YEAR('Cover Sheet'!$H$2))))*((1+$B$17)^(AC19-(YEAR('Cover Sheet'!$H$2)))),0)</f>
        <v>0</v>
      </c>
      <c r="AD28" s="48">
        <f>IFERROR($E$11*((1+$B$15)^(AD19-(YEAR('Cover Sheet'!$H$2))))*((1+$B$17)^(AD19-(YEAR('Cover Sheet'!$H$2)))),0)</f>
        <v>0</v>
      </c>
      <c r="AE28" s="48">
        <f>IFERROR($E$11*((1+$B$15)^(AE19-(YEAR('Cover Sheet'!$H$2))))*((1+$B$17)^(AE19-(YEAR('Cover Sheet'!$H$2)))),0)</f>
        <v>0</v>
      </c>
      <c r="AF28" s="48">
        <f>IFERROR($E$11*((1+$B$15)^(AF19-(YEAR('Cover Sheet'!$H$2))))*((1+$B$17)^(AF19-(YEAR('Cover Sheet'!$H$2)))),0)</f>
        <v>0</v>
      </c>
      <c r="AG28" s="48">
        <f>IFERROR($E$11*((1+$B$15)^(AG19-(YEAR('Cover Sheet'!$H$2))))*((1+$B$17)^(AG19-(YEAR('Cover Sheet'!$H$2)))),0)</f>
        <v>0</v>
      </c>
      <c r="AH28" s="48">
        <f>IFERROR($E$11*((1+$B$15)^(AH19-(YEAR('Cover Sheet'!$H$2))))*((1+$B$17)^(AH19-(YEAR('Cover Sheet'!$H$2)))),0)</f>
        <v>0</v>
      </c>
      <c r="AI28" s="48">
        <f>IFERROR($E$11*((1+$B$15)^(AI19-(YEAR('Cover Sheet'!$H$2))))*((1+$B$17)^(AI19-(YEAR('Cover Sheet'!$H$2)))),0)</f>
        <v>0</v>
      </c>
      <c r="AJ28" s="48">
        <f>IFERROR($E$11*((1+$B$15)^(AJ19-(YEAR('Cover Sheet'!$H$2))))*((1+$B$17)^(AJ19-(YEAR('Cover Sheet'!$H$2)))),0)</f>
        <v>0</v>
      </c>
      <c r="AK28" s="48">
        <f>IFERROR($E$11*((1+$B$15)^(AK19-(YEAR('Cover Sheet'!$H$2))))*((1+$B$17)^(AK19-(YEAR('Cover Sheet'!$H$2)))),0)</f>
        <v>0</v>
      </c>
    </row>
    <row r="29" spans="1:37" x14ac:dyDescent="0.25">
      <c r="A29" s="47" t="s">
        <v>175</v>
      </c>
      <c r="B29" s="35">
        <f>IFERROR(B28/((1+($B$17/1))^(1*(B19-$B$19))),0)</f>
        <v>0</v>
      </c>
      <c r="C29" s="35">
        <f>IFERROR(C28/((1+($B$17/1))^(1*(C19-$B$19))),0)</f>
        <v>0</v>
      </c>
      <c r="D29" s="35">
        <f t="shared" ref="D29:AK29" si="3">IFERROR(D28/((1+($B$17/1))^(1*(D19-$B$19))),0)</f>
        <v>0</v>
      </c>
      <c r="E29" s="35">
        <f t="shared" si="3"/>
        <v>0</v>
      </c>
      <c r="F29" s="35">
        <f t="shared" si="3"/>
        <v>0</v>
      </c>
      <c r="G29" s="35">
        <f t="shared" si="3"/>
        <v>0</v>
      </c>
      <c r="H29" s="35">
        <f t="shared" si="3"/>
        <v>0</v>
      </c>
      <c r="I29" s="35">
        <f t="shared" si="3"/>
        <v>0</v>
      </c>
      <c r="J29" s="35">
        <f t="shared" si="3"/>
        <v>0</v>
      </c>
      <c r="K29" s="35">
        <f t="shared" si="3"/>
        <v>0</v>
      </c>
      <c r="L29" s="35">
        <f t="shared" si="3"/>
        <v>0</v>
      </c>
      <c r="M29" s="35">
        <f t="shared" si="3"/>
        <v>0</v>
      </c>
      <c r="N29" s="35">
        <f t="shared" si="3"/>
        <v>0</v>
      </c>
      <c r="O29" s="35">
        <f t="shared" si="3"/>
        <v>0</v>
      </c>
      <c r="P29" s="35">
        <f t="shared" si="3"/>
        <v>0</v>
      </c>
      <c r="Q29" s="35">
        <f t="shared" si="3"/>
        <v>0</v>
      </c>
      <c r="R29" s="35">
        <f t="shared" si="3"/>
        <v>0</v>
      </c>
      <c r="S29" s="35">
        <f t="shared" si="3"/>
        <v>0</v>
      </c>
      <c r="T29" s="35">
        <f t="shared" si="3"/>
        <v>0</v>
      </c>
      <c r="U29" s="35">
        <f t="shared" si="3"/>
        <v>0</v>
      </c>
      <c r="V29" s="35">
        <f t="shared" si="3"/>
        <v>0</v>
      </c>
      <c r="W29" s="35">
        <f t="shared" si="3"/>
        <v>0</v>
      </c>
      <c r="X29" s="35">
        <f t="shared" si="3"/>
        <v>0</v>
      </c>
      <c r="Y29" s="35">
        <f t="shared" si="3"/>
        <v>0</v>
      </c>
      <c r="Z29" s="35">
        <f t="shared" si="3"/>
        <v>0</v>
      </c>
      <c r="AA29" s="35">
        <f t="shared" si="3"/>
        <v>0</v>
      </c>
      <c r="AB29" s="35">
        <f t="shared" si="3"/>
        <v>0</v>
      </c>
      <c r="AC29" s="35">
        <f t="shared" si="3"/>
        <v>0</v>
      </c>
      <c r="AD29" s="35">
        <f t="shared" si="3"/>
        <v>0</v>
      </c>
      <c r="AE29" s="35">
        <f t="shared" si="3"/>
        <v>0</v>
      </c>
      <c r="AF29" s="35">
        <f t="shared" si="3"/>
        <v>0</v>
      </c>
      <c r="AG29" s="35">
        <f t="shared" si="3"/>
        <v>0</v>
      </c>
      <c r="AH29" s="35">
        <f t="shared" si="3"/>
        <v>0</v>
      </c>
      <c r="AI29" s="35">
        <f t="shared" si="3"/>
        <v>0</v>
      </c>
      <c r="AJ29" s="35">
        <f t="shared" si="3"/>
        <v>0</v>
      </c>
      <c r="AK29" s="35">
        <f t="shared" si="3"/>
        <v>0</v>
      </c>
    </row>
    <row r="30" spans="1:37" ht="15.75" thickBot="1" x14ac:dyDescent="0.3">
      <c r="A30" s="29" t="s">
        <v>176</v>
      </c>
      <c r="B30" s="248">
        <f>SUM(B29:AK29)</f>
        <v>0</v>
      </c>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62"/>
    </row>
    <row r="31" spans="1:37" ht="15.75" thickBot="1" x14ac:dyDescent="0.3">
      <c r="A31" s="29" t="s">
        <v>177</v>
      </c>
      <c r="B31" s="31" t="e">
        <f>B30/B24</f>
        <v>#VALUE!</v>
      </c>
    </row>
    <row r="34" spans="1:22" x14ac:dyDescent="0.25">
      <c r="C34" s="35"/>
      <c r="V34" s="35"/>
    </row>
    <row r="41" spans="1:22" x14ac:dyDescent="0.25">
      <c r="A41" t="s">
        <v>178</v>
      </c>
    </row>
    <row r="42" spans="1:22" x14ac:dyDescent="0.25">
      <c r="A42" t="s">
        <v>160</v>
      </c>
    </row>
    <row r="44" spans="1:22" x14ac:dyDescent="0.25">
      <c r="A44" t="s">
        <v>179</v>
      </c>
    </row>
    <row r="45" spans="1:22" x14ac:dyDescent="0.25">
      <c r="A45" t="s">
        <v>180</v>
      </c>
    </row>
    <row r="47" spans="1:22" x14ac:dyDescent="0.25">
      <c r="A47" t="s">
        <v>181</v>
      </c>
      <c r="B47" t="s">
        <v>182</v>
      </c>
    </row>
    <row r="48" spans="1:22" x14ac:dyDescent="0.25">
      <c r="A48">
        <v>0</v>
      </c>
      <c r="B48">
        <f>IF(A48&lt;1,0,IF(A48&gt;9,35,(((45/8)*A48)-(45/8))))</f>
        <v>0</v>
      </c>
    </row>
    <row r="49" spans="1:2" x14ac:dyDescent="0.25">
      <c r="A49">
        <v>0.5</v>
      </c>
      <c r="B49">
        <f t="shared" ref="B49:B58" si="4">IF(A49&lt;1,0,IF(A49&gt;9,35,(((45/8)*A49)-(45/8))))</f>
        <v>0</v>
      </c>
    </row>
    <row r="50" spans="1:2" x14ac:dyDescent="0.25">
      <c r="A50">
        <v>1</v>
      </c>
      <c r="B50">
        <f t="shared" si="4"/>
        <v>0</v>
      </c>
    </row>
    <row r="51" spans="1:2" x14ac:dyDescent="0.25">
      <c r="A51">
        <v>2</v>
      </c>
      <c r="B51">
        <f t="shared" si="4"/>
        <v>5.625</v>
      </c>
    </row>
    <row r="52" spans="1:2" x14ac:dyDescent="0.25">
      <c r="A52">
        <v>3</v>
      </c>
      <c r="B52">
        <f t="shared" si="4"/>
        <v>11.25</v>
      </c>
    </row>
    <row r="53" spans="1:2" x14ac:dyDescent="0.25">
      <c r="A53">
        <v>4</v>
      </c>
      <c r="B53">
        <f t="shared" si="4"/>
        <v>16.875</v>
      </c>
    </row>
    <row r="54" spans="1:2" x14ac:dyDescent="0.25">
      <c r="A54">
        <v>5</v>
      </c>
      <c r="B54">
        <f t="shared" si="4"/>
        <v>22.5</v>
      </c>
    </row>
    <row r="55" spans="1:2" x14ac:dyDescent="0.25">
      <c r="A55">
        <v>6</v>
      </c>
      <c r="B55">
        <f t="shared" si="4"/>
        <v>28.125</v>
      </c>
    </row>
    <row r="56" spans="1:2" x14ac:dyDescent="0.25">
      <c r="A56">
        <v>7</v>
      </c>
      <c r="B56">
        <f t="shared" si="4"/>
        <v>33.75</v>
      </c>
    </row>
    <row r="57" spans="1:2" x14ac:dyDescent="0.25">
      <c r="A57">
        <v>8</v>
      </c>
      <c r="B57">
        <f t="shared" si="4"/>
        <v>39.375</v>
      </c>
    </row>
    <row r="58" spans="1:2" x14ac:dyDescent="0.25">
      <c r="A58">
        <v>9</v>
      </c>
      <c r="B58">
        <f t="shared" si="4"/>
        <v>45</v>
      </c>
    </row>
    <row r="59" spans="1:2" x14ac:dyDescent="0.25">
      <c r="A59">
        <v>10</v>
      </c>
      <c r="B59">
        <v>45</v>
      </c>
    </row>
    <row r="63" spans="1:2" x14ac:dyDescent="0.25">
      <c r="A63" t="s">
        <v>183</v>
      </c>
    </row>
    <row r="64" spans="1:2" x14ac:dyDescent="0.25">
      <c r="A64" t="s">
        <v>178</v>
      </c>
    </row>
    <row r="65" spans="1:1" x14ac:dyDescent="0.25">
      <c r="A65" t="s">
        <v>160</v>
      </c>
    </row>
    <row r="83" spans="1:1" x14ac:dyDescent="0.25">
      <c r="A83" s="33"/>
    </row>
    <row r="84" spans="1:1" x14ac:dyDescent="0.25">
      <c r="A84" s="33"/>
    </row>
    <row r="85" spans="1:1" x14ac:dyDescent="0.25">
      <c r="A85" s="33"/>
    </row>
    <row r="86" spans="1:1" x14ac:dyDescent="0.25">
      <c r="A86" s="33"/>
    </row>
    <row r="87" spans="1:1" x14ac:dyDescent="0.25">
      <c r="A87" s="33"/>
    </row>
    <row r="88" spans="1:1" x14ac:dyDescent="0.25">
      <c r="A88" s="33"/>
    </row>
    <row r="89" spans="1:1" x14ac:dyDescent="0.25">
      <c r="A89" s="33"/>
    </row>
    <row r="90" spans="1:1" x14ac:dyDescent="0.25">
      <c r="A90" s="33"/>
    </row>
    <row r="91" spans="1:1" x14ac:dyDescent="0.25">
      <c r="A91" s="33"/>
    </row>
    <row r="92" spans="1:1" x14ac:dyDescent="0.25">
      <c r="A92" s="33"/>
    </row>
    <row r="93" spans="1:1" x14ac:dyDescent="0.25">
      <c r="A93" s="33"/>
    </row>
    <row r="94" spans="1:1" x14ac:dyDescent="0.25">
      <c r="A94" s="33"/>
    </row>
    <row r="95" spans="1:1" x14ac:dyDescent="0.25">
      <c r="A95" s="33"/>
    </row>
    <row r="96" spans="1:1" x14ac:dyDescent="0.25">
      <c r="A96" s="33"/>
    </row>
    <row r="97" spans="1:1" x14ac:dyDescent="0.25">
      <c r="A97" s="33"/>
    </row>
    <row r="98" spans="1:1" x14ac:dyDescent="0.25">
      <c r="A98" s="33"/>
    </row>
    <row r="99" spans="1:1" x14ac:dyDescent="0.25">
      <c r="A99" s="33"/>
    </row>
    <row r="100" spans="1:1" x14ac:dyDescent="0.25">
      <c r="A100" s="33"/>
    </row>
    <row r="101" spans="1:1" x14ac:dyDescent="0.25">
      <c r="A101" s="33"/>
    </row>
    <row r="102" spans="1:1" x14ac:dyDescent="0.25">
      <c r="A102" s="33"/>
    </row>
    <row r="103" spans="1:1" ht="15.75" thickBot="1" x14ac:dyDescent="0.3">
      <c r="A103" s="34"/>
    </row>
  </sheetData>
  <sheetProtection algorithmName="SHA-512" hashValue="JO+9XR33mcqF1BuKb1nJWX6jQMwzaUU7GQMuW+65VMCIUnBo/Y7XZtAhZ5YV2LzpiwYCI3wH11sY0xTYAUiwBA==" saltValue="qRYOElWFDeiw18CEnRu6Zw==" spinCount="100000" sheet="1" objects="1" scenarios="1"/>
  <conditionalFormatting sqref="A83:A103">
    <cfRule type="expression" dxfId="7" priority="43">
      <formula>$A83=#REF!</formula>
    </cfRule>
  </conditionalFormatting>
  <conditionalFormatting sqref="A84:A103">
    <cfRule type="expression" dxfId="6" priority="1">
      <formula>#REF!=""</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5"/>
  <sheetViews>
    <sheetView topLeftCell="B1" zoomScaleNormal="100" workbookViewId="0">
      <selection activeCell="B2" sqref="B2:B17"/>
    </sheetView>
  </sheetViews>
  <sheetFormatPr defaultRowHeight="15" x14ac:dyDescent="0.25"/>
  <cols>
    <col min="1" max="1" width="42.140625" customWidth="1"/>
    <col min="2" max="2" width="69.5703125" customWidth="1"/>
    <col min="3" max="3" width="48.140625" customWidth="1"/>
    <col min="4" max="4" width="54" customWidth="1"/>
    <col min="5" max="5" width="33.28515625" customWidth="1"/>
    <col min="6" max="6" width="23.28515625" customWidth="1"/>
    <col min="7" max="7" width="18.5703125" customWidth="1"/>
    <col min="8" max="8" width="39.42578125" customWidth="1"/>
    <col min="9" max="9" width="59" customWidth="1"/>
  </cols>
  <sheetData>
    <row r="1" spans="1:9" x14ac:dyDescent="0.25">
      <c r="A1" s="190" t="s">
        <v>1910</v>
      </c>
      <c r="B1" s="190" t="s">
        <v>1911</v>
      </c>
      <c r="C1" s="191" t="s">
        <v>1912</v>
      </c>
      <c r="D1" s="190" t="s">
        <v>1913</v>
      </c>
      <c r="E1" s="191" t="s">
        <v>1914</v>
      </c>
      <c r="F1" s="192" t="s">
        <v>1915</v>
      </c>
      <c r="G1" s="191" t="s">
        <v>1916</v>
      </c>
      <c r="H1" s="190" t="s">
        <v>1917</v>
      </c>
      <c r="I1" s="191" t="s">
        <v>1918</v>
      </c>
    </row>
    <row r="2" spans="1:9" x14ac:dyDescent="0.25">
      <c r="A2" s="495" t="s">
        <v>1919</v>
      </c>
      <c r="B2" s="495" t="s">
        <v>1920</v>
      </c>
      <c r="C2" s="194" t="s">
        <v>1921</v>
      </c>
      <c r="D2" s="193" t="s">
        <v>1922</v>
      </c>
      <c r="E2" s="194" t="s">
        <v>1923</v>
      </c>
      <c r="F2" s="195">
        <v>72.400000000000006</v>
      </c>
      <c r="G2" s="194">
        <f t="shared" ref="G2:G17" si="0">1-F2/100</f>
        <v>0.27599999999999991</v>
      </c>
      <c r="H2" s="196">
        <v>3131</v>
      </c>
      <c r="I2" s="489" t="s">
        <v>1924</v>
      </c>
    </row>
    <row r="3" spans="1:9" x14ac:dyDescent="0.25">
      <c r="A3" s="495"/>
      <c r="B3" s="495"/>
      <c r="C3" s="194" t="s">
        <v>1921</v>
      </c>
      <c r="D3" s="193" t="s">
        <v>1922</v>
      </c>
      <c r="E3" s="194" t="s">
        <v>1925</v>
      </c>
      <c r="F3" s="195">
        <v>60.7</v>
      </c>
      <c r="G3" s="194">
        <f t="shared" si="0"/>
        <v>0.39300000000000002</v>
      </c>
      <c r="H3" s="196">
        <v>3130</v>
      </c>
      <c r="I3" s="490"/>
    </row>
    <row r="4" spans="1:9" x14ac:dyDescent="0.25">
      <c r="A4" s="489" t="s">
        <v>1926</v>
      </c>
      <c r="B4" s="489" t="s">
        <v>1927</v>
      </c>
      <c r="C4" s="489" t="s">
        <v>1928</v>
      </c>
      <c r="D4" s="193" t="s">
        <v>1929</v>
      </c>
      <c r="E4" s="194" t="s">
        <v>1925</v>
      </c>
      <c r="F4" s="195">
        <v>21.2</v>
      </c>
      <c r="G4" s="194">
        <f t="shared" si="0"/>
        <v>0.78800000000000003</v>
      </c>
      <c r="H4" s="492" t="s">
        <v>1930</v>
      </c>
      <c r="I4" s="489" t="s">
        <v>1931</v>
      </c>
    </row>
    <row r="5" spans="1:9" x14ac:dyDescent="0.25">
      <c r="A5" s="491"/>
      <c r="B5" s="490"/>
      <c r="C5" s="490"/>
      <c r="D5" s="193" t="s">
        <v>1932</v>
      </c>
      <c r="E5" s="194" t="s">
        <v>1925</v>
      </c>
      <c r="F5" s="195">
        <v>37.5</v>
      </c>
      <c r="G5" s="194">
        <f t="shared" si="0"/>
        <v>0.625</v>
      </c>
      <c r="H5" s="493"/>
      <c r="I5" s="491"/>
    </row>
    <row r="6" spans="1:9" x14ac:dyDescent="0.25">
      <c r="A6" s="491"/>
      <c r="B6" s="489" t="s">
        <v>1933</v>
      </c>
      <c r="C6" s="489" t="s">
        <v>1928</v>
      </c>
      <c r="D6" s="489" t="s">
        <v>1934</v>
      </c>
      <c r="E6" s="194" t="s">
        <v>1923</v>
      </c>
      <c r="F6" s="195">
        <v>46.5</v>
      </c>
      <c r="G6" s="194">
        <f t="shared" si="0"/>
        <v>0.53499999999999992</v>
      </c>
      <c r="H6" s="493"/>
      <c r="I6" s="491"/>
    </row>
    <row r="7" spans="1:9" x14ac:dyDescent="0.25">
      <c r="A7" s="491"/>
      <c r="B7" s="491"/>
      <c r="C7" s="491"/>
      <c r="D7" s="490"/>
      <c r="E7" s="194" t="s">
        <v>1925</v>
      </c>
      <c r="F7" s="195">
        <v>48.7</v>
      </c>
      <c r="G7" s="194">
        <f t="shared" si="0"/>
        <v>0.5129999999999999</v>
      </c>
      <c r="H7" s="493"/>
      <c r="I7" s="491"/>
    </row>
    <row r="8" spans="1:9" x14ac:dyDescent="0.25">
      <c r="A8" s="491"/>
      <c r="B8" s="491"/>
      <c r="C8" s="491"/>
      <c r="D8" s="489" t="s">
        <v>1935</v>
      </c>
      <c r="E8" s="194" t="s">
        <v>1923</v>
      </c>
      <c r="F8" s="195">
        <v>33.5</v>
      </c>
      <c r="G8" s="194">
        <f t="shared" si="0"/>
        <v>0.66500000000000004</v>
      </c>
      <c r="H8" s="493"/>
      <c r="I8" s="491"/>
    </row>
    <row r="9" spans="1:9" x14ac:dyDescent="0.25">
      <c r="A9" s="490"/>
      <c r="B9" s="490"/>
      <c r="C9" s="490"/>
      <c r="D9" s="490"/>
      <c r="E9" s="194" t="s">
        <v>1925</v>
      </c>
      <c r="F9" s="195">
        <v>26.9</v>
      </c>
      <c r="G9" s="194">
        <f t="shared" si="0"/>
        <v>0.73100000000000009</v>
      </c>
      <c r="H9" s="493"/>
      <c r="I9" s="491"/>
    </row>
    <row r="10" spans="1:9" x14ac:dyDescent="0.25">
      <c r="A10" s="489" t="s">
        <v>1926</v>
      </c>
      <c r="B10" s="489" t="s">
        <v>1936</v>
      </c>
      <c r="C10" s="489" t="s">
        <v>1928</v>
      </c>
      <c r="D10" s="489" t="s">
        <v>1937</v>
      </c>
      <c r="E10" s="194" t="s">
        <v>1923</v>
      </c>
      <c r="F10" s="195">
        <v>62.9</v>
      </c>
      <c r="G10" s="194">
        <f t="shared" si="0"/>
        <v>0.371</v>
      </c>
      <c r="H10" s="493"/>
      <c r="I10" s="491"/>
    </row>
    <row r="11" spans="1:9" x14ac:dyDescent="0.25">
      <c r="A11" s="491"/>
      <c r="B11" s="491"/>
      <c r="C11" s="491"/>
      <c r="D11" s="490"/>
      <c r="E11" s="194" t="s">
        <v>1925</v>
      </c>
      <c r="F11" s="195">
        <v>54.7</v>
      </c>
      <c r="G11" s="194">
        <f t="shared" si="0"/>
        <v>0.45299999999999996</v>
      </c>
      <c r="H11" s="493"/>
      <c r="I11" s="491"/>
    </row>
    <row r="12" spans="1:9" x14ac:dyDescent="0.25">
      <c r="A12" s="491"/>
      <c r="B12" s="491"/>
      <c r="C12" s="491"/>
      <c r="D12" s="489" t="s">
        <v>1938</v>
      </c>
      <c r="E12" s="194" t="s">
        <v>1923</v>
      </c>
      <c r="F12" s="195">
        <v>38.799999999999997</v>
      </c>
      <c r="G12" s="194">
        <f t="shared" si="0"/>
        <v>0.6120000000000001</v>
      </c>
      <c r="H12" s="493"/>
      <c r="I12" s="491"/>
    </row>
    <row r="13" spans="1:9" x14ac:dyDescent="0.25">
      <c r="A13" s="490"/>
      <c r="B13" s="490"/>
      <c r="C13" s="490"/>
      <c r="D13" s="490"/>
      <c r="E13" s="194" t="s">
        <v>1925</v>
      </c>
      <c r="F13" s="195">
        <v>32.799999999999997</v>
      </c>
      <c r="G13" s="194">
        <f t="shared" si="0"/>
        <v>0.67200000000000004</v>
      </c>
      <c r="H13" s="493"/>
      <c r="I13" s="491"/>
    </row>
    <row r="14" spans="1:9" x14ac:dyDescent="0.25">
      <c r="A14" s="489" t="s">
        <v>1926</v>
      </c>
      <c r="B14" s="489" t="s">
        <v>1939</v>
      </c>
      <c r="C14" s="489" t="s">
        <v>1928</v>
      </c>
      <c r="D14" s="489" t="s">
        <v>1937</v>
      </c>
      <c r="E14" s="194" t="s">
        <v>1923</v>
      </c>
      <c r="F14" s="195">
        <v>62</v>
      </c>
      <c r="G14" s="194">
        <f t="shared" si="0"/>
        <v>0.38</v>
      </c>
      <c r="H14" s="493"/>
      <c r="I14" s="491"/>
    </row>
    <row r="15" spans="1:9" x14ac:dyDescent="0.25">
      <c r="A15" s="491"/>
      <c r="B15" s="491"/>
      <c r="C15" s="491"/>
      <c r="D15" s="490"/>
      <c r="E15" s="194" t="s">
        <v>1925</v>
      </c>
      <c r="F15" s="195">
        <v>48.3</v>
      </c>
      <c r="G15" s="194">
        <f t="shared" si="0"/>
        <v>0.51700000000000002</v>
      </c>
      <c r="H15" s="493"/>
      <c r="I15" s="491"/>
    </row>
    <row r="16" spans="1:9" x14ac:dyDescent="0.25">
      <c r="A16" s="491"/>
      <c r="B16" s="491"/>
      <c r="C16" s="491"/>
      <c r="D16" s="489" t="s">
        <v>1938</v>
      </c>
      <c r="E16" s="194" t="s">
        <v>1923</v>
      </c>
      <c r="F16" s="195">
        <v>47.3</v>
      </c>
      <c r="G16" s="194">
        <f t="shared" si="0"/>
        <v>0.52700000000000002</v>
      </c>
      <c r="H16" s="493"/>
      <c r="I16" s="491"/>
    </row>
    <row r="17" spans="1:9" x14ac:dyDescent="0.25">
      <c r="A17" s="490"/>
      <c r="B17" s="490"/>
      <c r="C17" s="490"/>
      <c r="D17" s="490"/>
      <c r="E17" s="194" t="s">
        <v>1925</v>
      </c>
      <c r="F17" s="195">
        <v>40.200000000000003</v>
      </c>
      <c r="G17" s="194">
        <f t="shared" si="0"/>
        <v>0.59799999999999998</v>
      </c>
      <c r="H17" s="494"/>
      <c r="I17" s="490"/>
    </row>
    <row r="18" spans="1:9" x14ac:dyDescent="0.25">
      <c r="A18" s="495" t="s">
        <v>1940</v>
      </c>
      <c r="B18" s="495" t="s">
        <v>1941</v>
      </c>
      <c r="C18" s="498" t="s">
        <v>1922</v>
      </c>
      <c r="D18" s="193" t="s">
        <v>1937</v>
      </c>
      <c r="E18" s="194" t="s">
        <v>1923</v>
      </c>
      <c r="F18" s="195">
        <v>35.299999999999997</v>
      </c>
      <c r="G18" s="194">
        <f>1-F18/100</f>
        <v>0.64700000000000002</v>
      </c>
      <c r="H18" s="198" t="s">
        <v>1930</v>
      </c>
      <c r="I18" s="495" t="s">
        <v>1931</v>
      </c>
    </row>
    <row r="19" spans="1:9" x14ac:dyDescent="0.25">
      <c r="A19" s="495"/>
      <c r="B19" s="495"/>
      <c r="C19" s="498"/>
      <c r="D19" s="193" t="s">
        <v>1938</v>
      </c>
      <c r="E19" s="194" t="s">
        <v>1923</v>
      </c>
      <c r="F19" s="195">
        <v>22</v>
      </c>
      <c r="G19" s="194">
        <f>1-F19/100</f>
        <v>0.78</v>
      </c>
      <c r="H19" s="198" t="s">
        <v>1930</v>
      </c>
      <c r="I19" s="495"/>
    </row>
    <row r="20" spans="1:9" x14ac:dyDescent="0.25">
      <c r="A20" s="489" t="s">
        <v>1940</v>
      </c>
      <c r="B20" s="489" t="s">
        <v>1942</v>
      </c>
      <c r="C20" s="194" t="s">
        <v>1943</v>
      </c>
      <c r="D20" s="193" t="s">
        <v>1944</v>
      </c>
      <c r="E20" s="194" t="s">
        <v>1925</v>
      </c>
      <c r="F20" s="195">
        <v>19</v>
      </c>
      <c r="G20" s="194">
        <f>1-F20/100</f>
        <v>0.81</v>
      </c>
      <c r="H20" s="199">
        <v>270</v>
      </c>
      <c r="I20" s="489" t="s">
        <v>1945</v>
      </c>
    </row>
    <row r="21" spans="1:9" x14ac:dyDescent="0.25">
      <c r="A21" s="491"/>
      <c r="B21" s="490"/>
      <c r="C21" s="194" t="s">
        <v>1921</v>
      </c>
      <c r="D21" s="193" t="s">
        <v>1944</v>
      </c>
      <c r="E21" s="194" t="s">
        <v>1925</v>
      </c>
      <c r="F21" s="195">
        <v>33</v>
      </c>
      <c r="G21" s="194">
        <f>1-F21/100</f>
        <v>0.66999999999999993</v>
      </c>
      <c r="H21" s="199">
        <v>4648</v>
      </c>
      <c r="I21" s="491"/>
    </row>
    <row r="22" spans="1:9" x14ac:dyDescent="0.25">
      <c r="A22" s="491"/>
      <c r="B22" s="489" t="s">
        <v>1946</v>
      </c>
      <c r="C22" s="496" t="s">
        <v>1943</v>
      </c>
      <c r="D22" s="193" t="s">
        <v>1947</v>
      </c>
      <c r="E22" s="194" t="s">
        <v>1925</v>
      </c>
      <c r="F22" s="195">
        <v>7</v>
      </c>
      <c r="G22" s="194">
        <f t="shared" ref="G22:G70" si="1">1-F22/100</f>
        <v>0.92999999999999994</v>
      </c>
      <c r="H22" s="201">
        <v>4644</v>
      </c>
      <c r="I22" s="491"/>
    </row>
    <row r="23" spans="1:9" x14ac:dyDescent="0.25">
      <c r="A23" s="491"/>
      <c r="B23" s="491"/>
      <c r="C23" s="497"/>
      <c r="D23" s="193" t="s">
        <v>1944</v>
      </c>
      <c r="E23" s="194" t="s">
        <v>1925</v>
      </c>
      <c r="F23" s="195">
        <v>10</v>
      </c>
      <c r="G23" s="194">
        <f t="shared" si="1"/>
        <v>0.9</v>
      </c>
      <c r="H23" s="198">
        <v>262</v>
      </c>
      <c r="I23" s="491"/>
    </row>
    <row r="24" spans="1:9" x14ac:dyDescent="0.25">
      <c r="A24" s="491"/>
      <c r="B24" s="491"/>
      <c r="C24" s="496" t="s">
        <v>1921</v>
      </c>
      <c r="D24" s="193" t="s">
        <v>1947</v>
      </c>
      <c r="E24" s="194" t="s">
        <v>1925</v>
      </c>
      <c r="F24" s="195">
        <v>15</v>
      </c>
      <c r="G24" s="194">
        <f>1-F24/100</f>
        <v>0.85</v>
      </c>
      <c r="H24" s="198">
        <v>4643</v>
      </c>
      <c r="I24" s="491"/>
    </row>
    <row r="25" spans="1:9" x14ac:dyDescent="0.25">
      <c r="A25" s="490"/>
      <c r="B25" s="490"/>
      <c r="C25" s="497"/>
      <c r="D25" s="193" t="s">
        <v>1944</v>
      </c>
      <c r="E25" s="194" t="s">
        <v>1925</v>
      </c>
      <c r="F25" s="195">
        <v>18</v>
      </c>
      <c r="G25" s="194">
        <f>1-F25/100</f>
        <v>0.82000000000000006</v>
      </c>
      <c r="H25" s="199">
        <v>4647</v>
      </c>
      <c r="I25" s="491"/>
    </row>
    <row r="26" spans="1:9" x14ac:dyDescent="0.25">
      <c r="A26" s="489" t="s">
        <v>1940</v>
      </c>
      <c r="B26" s="489" t="s">
        <v>1948</v>
      </c>
      <c r="C26" s="194" t="s">
        <v>1943</v>
      </c>
      <c r="D26" s="193" t="s">
        <v>1944</v>
      </c>
      <c r="E26" s="194" t="s">
        <v>1925</v>
      </c>
      <c r="F26" s="195">
        <v>47</v>
      </c>
      <c r="G26" s="194">
        <f>1-F26/100</f>
        <v>0.53</v>
      </c>
      <c r="H26" s="199">
        <v>269</v>
      </c>
      <c r="I26" s="491"/>
    </row>
    <row r="27" spans="1:9" x14ac:dyDescent="0.25">
      <c r="A27" s="491"/>
      <c r="B27" s="490"/>
      <c r="C27" s="194" t="s">
        <v>1921</v>
      </c>
      <c r="D27" s="193" t="s">
        <v>1944</v>
      </c>
      <c r="E27" s="194" t="s">
        <v>1925</v>
      </c>
      <c r="F27" s="195">
        <v>48</v>
      </c>
      <c r="G27" s="194">
        <f>1-F27/100</f>
        <v>0.52</v>
      </c>
      <c r="H27" s="198">
        <v>268</v>
      </c>
      <c r="I27" s="491"/>
    </row>
    <row r="28" spans="1:9" x14ac:dyDescent="0.25">
      <c r="A28" s="491"/>
      <c r="B28" s="489" t="s">
        <v>1949</v>
      </c>
      <c r="C28" s="496" t="s">
        <v>1943</v>
      </c>
      <c r="D28" s="193" t="s">
        <v>1947</v>
      </c>
      <c r="E28" s="194" t="s">
        <v>1925</v>
      </c>
      <c r="F28" s="195">
        <v>33</v>
      </c>
      <c r="G28" s="194">
        <f t="shared" si="1"/>
        <v>0.66999999999999993</v>
      </c>
      <c r="H28" s="198">
        <v>254</v>
      </c>
      <c r="I28" s="491"/>
    </row>
    <row r="29" spans="1:9" x14ac:dyDescent="0.25">
      <c r="A29" s="491"/>
      <c r="B29" s="491"/>
      <c r="C29" s="497"/>
      <c r="D29" s="193" t="s">
        <v>1944</v>
      </c>
      <c r="E29" s="194" t="s">
        <v>1925</v>
      </c>
      <c r="F29" s="195">
        <v>27</v>
      </c>
      <c r="G29" s="194">
        <f t="shared" si="1"/>
        <v>0.73</v>
      </c>
      <c r="H29" s="198">
        <v>261</v>
      </c>
      <c r="I29" s="491"/>
    </row>
    <row r="30" spans="1:9" x14ac:dyDescent="0.25">
      <c r="A30" s="491"/>
      <c r="B30" s="491"/>
      <c r="C30" s="496" t="s">
        <v>1921</v>
      </c>
      <c r="D30" s="193" t="s">
        <v>1947</v>
      </c>
      <c r="E30" s="194" t="s">
        <v>1925</v>
      </c>
      <c r="F30" s="195">
        <v>44</v>
      </c>
      <c r="G30" s="194">
        <f t="shared" si="1"/>
        <v>0.56000000000000005</v>
      </c>
      <c r="H30" s="199">
        <v>253</v>
      </c>
      <c r="I30" s="491"/>
    </row>
    <row r="31" spans="1:9" x14ac:dyDescent="0.25">
      <c r="A31" s="490"/>
      <c r="B31" s="490"/>
      <c r="C31" s="497"/>
      <c r="D31" s="193" t="s">
        <v>1944</v>
      </c>
      <c r="E31" s="194" t="s">
        <v>1925</v>
      </c>
      <c r="F31" s="195">
        <v>28</v>
      </c>
      <c r="G31" s="194">
        <f t="shared" si="1"/>
        <v>0.72</v>
      </c>
      <c r="H31" s="199">
        <v>260</v>
      </c>
      <c r="I31" s="490"/>
    </row>
    <row r="32" spans="1:9" x14ac:dyDescent="0.25">
      <c r="A32" s="489" t="s">
        <v>1940</v>
      </c>
      <c r="B32" s="489" t="s">
        <v>1950</v>
      </c>
      <c r="C32" s="489" t="s">
        <v>1951</v>
      </c>
      <c r="D32" s="489" t="s">
        <v>1944</v>
      </c>
      <c r="E32" s="194" t="s">
        <v>1925</v>
      </c>
      <c r="F32" s="195">
        <v>33.799999999999997</v>
      </c>
      <c r="G32" s="194">
        <f>1-F32/100</f>
        <v>0.66200000000000003</v>
      </c>
      <c r="H32" s="489"/>
      <c r="I32" s="489" t="s">
        <v>1952</v>
      </c>
    </row>
    <row r="33" spans="1:9" x14ac:dyDescent="0.25">
      <c r="A33" s="491"/>
      <c r="B33" s="491"/>
      <c r="C33" s="491"/>
      <c r="D33" s="491"/>
      <c r="E33" s="194" t="s">
        <v>1923</v>
      </c>
      <c r="F33" s="195">
        <v>35.6</v>
      </c>
      <c r="G33" s="194">
        <f>1-F33/100</f>
        <v>0.64399999999999991</v>
      </c>
      <c r="H33" s="491"/>
      <c r="I33" s="491"/>
    </row>
    <row r="34" spans="1:9" ht="30" x14ac:dyDescent="0.25">
      <c r="A34" s="489" t="s">
        <v>1953</v>
      </c>
      <c r="B34" s="202" t="s">
        <v>1954</v>
      </c>
      <c r="C34" s="193" t="s">
        <v>1955</v>
      </c>
      <c r="D34" s="193" t="s">
        <v>1922</v>
      </c>
      <c r="E34" s="194" t="s">
        <v>1925</v>
      </c>
      <c r="F34" s="195">
        <v>8</v>
      </c>
      <c r="G34" s="194">
        <f t="shared" si="1"/>
        <v>0.92</v>
      </c>
      <c r="H34" s="203">
        <v>290</v>
      </c>
      <c r="I34" s="489" t="s">
        <v>1945</v>
      </c>
    </row>
    <row r="35" spans="1:9" x14ac:dyDescent="0.25">
      <c r="A35" s="490"/>
      <c r="B35" s="204" t="s">
        <v>1956</v>
      </c>
      <c r="C35" s="193" t="s">
        <v>1955</v>
      </c>
      <c r="D35" s="193" t="s">
        <v>1922</v>
      </c>
      <c r="E35" s="194" t="s">
        <v>1925</v>
      </c>
      <c r="F35" s="195">
        <v>4</v>
      </c>
      <c r="G35" s="194">
        <f>1-F35/100</f>
        <v>0.96</v>
      </c>
      <c r="H35" s="203">
        <v>286</v>
      </c>
      <c r="I35" s="491"/>
    </row>
    <row r="36" spans="1:9" ht="30" x14ac:dyDescent="0.25">
      <c r="A36" s="489" t="s">
        <v>1953</v>
      </c>
      <c r="B36" s="202" t="s">
        <v>1957</v>
      </c>
      <c r="C36" s="193" t="s">
        <v>1955</v>
      </c>
      <c r="D36" s="193" t="s">
        <v>1922</v>
      </c>
      <c r="E36" s="194" t="s">
        <v>1925</v>
      </c>
      <c r="F36" s="195">
        <v>26</v>
      </c>
      <c r="G36" s="194">
        <f t="shared" si="1"/>
        <v>0.74</v>
      </c>
      <c r="H36" s="201">
        <v>289</v>
      </c>
      <c r="I36" s="491"/>
    </row>
    <row r="37" spans="1:9" ht="30" x14ac:dyDescent="0.25">
      <c r="A37" s="490"/>
      <c r="B37" s="204" t="s">
        <v>1958</v>
      </c>
      <c r="C37" s="193" t="s">
        <v>1955</v>
      </c>
      <c r="D37" s="193" t="s">
        <v>1922</v>
      </c>
      <c r="E37" s="194" t="s">
        <v>1925</v>
      </c>
      <c r="F37" s="195">
        <v>14</v>
      </c>
      <c r="G37" s="194">
        <f t="shared" si="1"/>
        <v>0.86</v>
      </c>
      <c r="H37" s="201">
        <v>285</v>
      </c>
      <c r="I37" s="490"/>
    </row>
    <row r="38" spans="1:9" x14ac:dyDescent="0.25">
      <c r="A38" s="495" t="s">
        <v>1959</v>
      </c>
      <c r="B38" s="495" t="s">
        <v>1960</v>
      </c>
      <c r="C38" s="498" t="s">
        <v>1922</v>
      </c>
      <c r="D38" s="495" t="s">
        <v>1922</v>
      </c>
      <c r="E38" s="194" t="s">
        <v>1923</v>
      </c>
      <c r="F38" s="195">
        <v>36.4</v>
      </c>
      <c r="G38" s="194">
        <f t="shared" si="1"/>
        <v>0.63600000000000001</v>
      </c>
      <c r="H38" s="205">
        <v>4878</v>
      </c>
      <c r="I38" s="489" t="s">
        <v>1961</v>
      </c>
    </row>
    <row r="39" spans="1:9" x14ac:dyDescent="0.25">
      <c r="A39" s="495"/>
      <c r="B39" s="495"/>
      <c r="C39" s="498"/>
      <c r="D39" s="495"/>
      <c r="E39" s="194" t="s">
        <v>1925</v>
      </c>
      <c r="F39" s="195">
        <v>-2.6</v>
      </c>
      <c r="G39" s="194">
        <f t="shared" si="1"/>
        <v>1.026</v>
      </c>
      <c r="H39" s="205">
        <v>4877</v>
      </c>
      <c r="I39" s="490"/>
    </row>
    <row r="40" spans="1:9" x14ac:dyDescent="0.25">
      <c r="A40" s="495" t="s">
        <v>1959</v>
      </c>
      <c r="B40" s="495" t="s">
        <v>1962</v>
      </c>
      <c r="C40" s="498" t="s">
        <v>1921</v>
      </c>
      <c r="D40" s="495" t="s">
        <v>1922</v>
      </c>
      <c r="E40" s="194" t="s">
        <v>1923</v>
      </c>
      <c r="F40" s="195">
        <v>87</v>
      </c>
      <c r="G40" s="194">
        <f t="shared" si="1"/>
        <v>0.13</v>
      </c>
      <c r="H40" s="205">
        <v>230</v>
      </c>
      <c r="I40" s="489" t="s">
        <v>1963</v>
      </c>
    </row>
    <row r="41" spans="1:9" x14ac:dyDescent="0.25">
      <c r="A41" s="495"/>
      <c r="B41" s="495"/>
      <c r="C41" s="498"/>
      <c r="D41" s="495"/>
      <c r="E41" s="194" t="s">
        <v>1925</v>
      </c>
      <c r="F41" s="195">
        <v>71</v>
      </c>
      <c r="G41" s="194">
        <f t="shared" si="1"/>
        <v>0.29000000000000004</v>
      </c>
      <c r="H41" s="205">
        <v>229</v>
      </c>
      <c r="I41" s="491"/>
    </row>
    <row r="42" spans="1:9" x14ac:dyDescent="0.25">
      <c r="A42" s="495"/>
      <c r="B42" s="495"/>
      <c r="C42" s="498" t="s">
        <v>1964</v>
      </c>
      <c r="D42" s="495" t="s">
        <v>1965</v>
      </c>
      <c r="E42" s="194" t="s">
        <v>1923</v>
      </c>
      <c r="F42" s="195">
        <v>78</v>
      </c>
      <c r="G42" s="194">
        <f t="shared" si="1"/>
        <v>0.21999999999999997</v>
      </c>
      <c r="H42" s="196">
        <v>238</v>
      </c>
      <c r="I42" s="491"/>
    </row>
    <row r="43" spans="1:9" x14ac:dyDescent="0.25">
      <c r="A43" s="495"/>
      <c r="B43" s="495"/>
      <c r="C43" s="498"/>
      <c r="D43" s="495"/>
      <c r="E43" s="194" t="s">
        <v>1925</v>
      </c>
      <c r="F43" s="195">
        <v>78</v>
      </c>
      <c r="G43" s="194">
        <f t="shared" si="1"/>
        <v>0.21999999999999997</v>
      </c>
      <c r="H43" s="196">
        <v>239</v>
      </c>
      <c r="I43" s="491"/>
    </row>
    <row r="44" spans="1:9" x14ac:dyDescent="0.25">
      <c r="A44" s="495"/>
      <c r="B44" s="495"/>
      <c r="C44" s="498" t="s">
        <v>1964</v>
      </c>
      <c r="D44" s="495" t="s">
        <v>1966</v>
      </c>
      <c r="E44" s="194" t="s">
        <v>1923</v>
      </c>
      <c r="F44" s="195">
        <v>68</v>
      </c>
      <c r="G44" s="194">
        <f t="shared" si="1"/>
        <v>0.31999999999999995</v>
      </c>
      <c r="H44" s="196">
        <v>241</v>
      </c>
      <c r="I44" s="491"/>
    </row>
    <row r="45" spans="1:9" x14ac:dyDescent="0.25">
      <c r="A45" s="495"/>
      <c r="B45" s="495"/>
      <c r="C45" s="498"/>
      <c r="D45" s="495"/>
      <c r="E45" s="194" t="s">
        <v>1925</v>
      </c>
      <c r="F45" s="195">
        <v>19</v>
      </c>
      <c r="G45" s="194">
        <f t="shared" si="1"/>
        <v>0.81</v>
      </c>
      <c r="H45" s="196">
        <v>240</v>
      </c>
      <c r="I45" s="491"/>
    </row>
    <row r="46" spans="1:9" x14ac:dyDescent="0.25">
      <c r="A46" s="495"/>
      <c r="B46" s="495"/>
      <c r="C46" s="498" t="s">
        <v>1943</v>
      </c>
      <c r="D46" s="495" t="s">
        <v>1965</v>
      </c>
      <c r="E46" s="194" t="s">
        <v>1923</v>
      </c>
      <c r="F46" s="195">
        <v>78</v>
      </c>
      <c r="G46" s="194">
        <f t="shared" si="1"/>
        <v>0.21999999999999997</v>
      </c>
      <c r="H46" s="196">
        <v>234</v>
      </c>
      <c r="I46" s="491"/>
    </row>
    <row r="47" spans="1:9" x14ac:dyDescent="0.25">
      <c r="A47" s="495"/>
      <c r="B47" s="495"/>
      <c r="C47" s="498"/>
      <c r="D47" s="495"/>
      <c r="E47" s="194" t="s">
        <v>1925</v>
      </c>
      <c r="F47" s="195">
        <v>39</v>
      </c>
      <c r="G47" s="194">
        <f t="shared" si="1"/>
        <v>0.61</v>
      </c>
      <c r="H47" s="196">
        <v>233</v>
      </c>
      <c r="I47" s="490"/>
    </row>
    <row r="48" spans="1:9" x14ac:dyDescent="0.25">
      <c r="A48" s="495" t="s">
        <v>1959</v>
      </c>
      <c r="B48" s="495" t="s">
        <v>1967</v>
      </c>
      <c r="C48" s="498" t="s">
        <v>1922</v>
      </c>
      <c r="D48" s="495" t="s">
        <v>1965</v>
      </c>
      <c r="E48" s="194" t="s">
        <v>1923</v>
      </c>
      <c r="F48" s="195">
        <v>54.9</v>
      </c>
      <c r="G48" s="194">
        <f t="shared" si="1"/>
        <v>0.45100000000000007</v>
      </c>
      <c r="H48" s="196">
        <v>4257</v>
      </c>
      <c r="I48" s="489" t="s">
        <v>1968</v>
      </c>
    </row>
    <row r="49" spans="1:9" x14ac:dyDescent="0.25">
      <c r="A49" s="495"/>
      <c r="B49" s="495"/>
      <c r="C49" s="498"/>
      <c r="D49" s="495"/>
      <c r="E49" s="194" t="s">
        <v>1925</v>
      </c>
      <c r="F49" s="195">
        <v>26.5</v>
      </c>
      <c r="G49" s="194">
        <f t="shared" si="1"/>
        <v>0.73499999999999999</v>
      </c>
      <c r="H49" s="196">
        <v>4256</v>
      </c>
      <c r="I49" s="491"/>
    </row>
    <row r="50" spans="1:9" x14ac:dyDescent="0.25">
      <c r="A50" s="495"/>
      <c r="B50" s="495"/>
      <c r="C50" s="498" t="s">
        <v>1922</v>
      </c>
      <c r="D50" s="495" t="s">
        <v>1966</v>
      </c>
      <c r="E50" s="194" t="s">
        <v>1923</v>
      </c>
      <c r="F50" s="195">
        <v>71.2</v>
      </c>
      <c r="G50" s="194">
        <f t="shared" si="1"/>
        <v>0.28799999999999992</v>
      </c>
      <c r="H50" s="196">
        <v>4255</v>
      </c>
      <c r="I50" s="491"/>
    </row>
    <row r="51" spans="1:9" x14ac:dyDescent="0.25">
      <c r="A51" s="495"/>
      <c r="B51" s="495"/>
      <c r="C51" s="498"/>
      <c r="D51" s="495"/>
      <c r="E51" s="194" t="s">
        <v>1925</v>
      </c>
      <c r="F51" s="195">
        <v>19.100000000000001</v>
      </c>
      <c r="G51" s="194">
        <f t="shared" si="1"/>
        <v>0.80899999999999994</v>
      </c>
      <c r="H51" s="196">
        <v>4254</v>
      </c>
      <c r="I51" s="491"/>
    </row>
    <row r="52" spans="1:9" x14ac:dyDescent="0.25">
      <c r="A52" s="495" t="s">
        <v>1959</v>
      </c>
      <c r="B52" s="495" t="s">
        <v>1969</v>
      </c>
      <c r="C52" s="498" t="s">
        <v>1922</v>
      </c>
      <c r="D52" s="495" t="s">
        <v>1922</v>
      </c>
      <c r="E52" s="194" t="s">
        <v>1923</v>
      </c>
      <c r="F52" s="195">
        <v>64.900000000000006</v>
      </c>
      <c r="G52" s="194">
        <f t="shared" si="1"/>
        <v>0.35099999999999998</v>
      </c>
      <c r="H52" s="196">
        <v>11130</v>
      </c>
      <c r="I52" s="489" t="s">
        <v>1970</v>
      </c>
    </row>
    <row r="53" spans="1:9" x14ac:dyDescent="0.25">
      <c r="A53" s="495"/>
      <c r="B53" s="495"/>
      <c r="C53" s="498"/>
      <c r="D53" s="495"/>
      <c r="E53" s="194" t="s">
        <v>1925</v>
      </c>
      <c r="F53" s="195">
        <v>39.6</v>
      </c>
      <c r="G53" s="194">
        <f t="shared" si="1"/>
        <v>0.60399999999999998</v>
      </c>
      <c r="H53" s="196">
        <v>11132</v>
      </c>
      <c r="I53" s="491"/>
    </row>
    <row r="54" spans="1:9" x14ac:dyDescent="0.25">
      <c r="A54" s="495" t="s">
        <v>1959</v>
      </c>
      <c r="B54" s="495" t="s">
        <v>1971</v>
      </c>
      <c r="C54" s="498" t="s">
        <v>1922</v>
      </c>
      <c r="D54" s="495" t="s">
        <v>1922</v>
      </c>
      <c r="E54" s="194" t="s">
        <v>1923</v>
      </c>
      <c r="F54" s="195">
        <v>40.6</v>
      </c>
      <c r="G54" s="194">
        <f t="shared" si="1"/>
        <v>0.59399999999999997</v>
      </c>
      <c r="H54" s="196">
        <v>11146</v>
      </c>
      <c r="I54" s="491"/>
    </row>
    <row r="55" spans="1:9" x14ac:dyDescent="0.25">
      <c r="A55" s="495"/>
      <c r="B55" s="495"/>
      <c r="C55" s="498"/>
      <c r="D55" s="495"/>
      <c r="E55" s="194" t="s">
        <v>1925</v>
      </c>
      <c r="F55" s="195">
        <v>4.5999999999999996</v>
      </c>
      <c r="G55" s="194">
        <f t="shared" si="1"/>
        <v>0.95399999999999996</v>
      </c>
      <c r="H55" s="196">
        <v>11166</v>
      </c>
      <c r="I55" s="490"/>
    </row>
    <row r="56" spans="1:9" x14ac:dyDescent="0.25">
      <c r="A56" s="495" t="s">
        <v>1959</v>
      </c>
      <c r="B56" s="495" t="s">
        <v>1972</v>
      </c>
      <c r="C56" s="498" t="s">
        <v>1943</v>
      </c>
      <c r="D56" s="495" t="s">
        <v>1973</v>
      </c>
      <c r="E56" s="194" t="s">
        <v>1923</v>
      </c>
      <c r="F56" s="195">
        <v>84</v>
      </c>
      <c r="G56" s="194">
        <f t="shared" si="1"/>
        <v>0.16000000000000003</v>
      </c>
      <c r="H56" s="495"/>
      <c r="I56" s="489" t="s">
        <v>1974</v>
      </c>
    </row>
    <row r="57" spans="1:9" x14ac:dyDescent="0.25">
      <c r="A57" s="495"/>
      <c r="B57" s="495"/>
      <c r="C57" s="498"/>
      <c r="D57" s="495"/>
      <c r="E57" s="194" t="s">
        <v>1925</v>
      </c>
      <c r="F57" s="195">
        <v>64</v>
      </c>
      <c r="G57" s="194">
        <f t="shared" si="1"/>
        <v>0.36</v>
      </c>
      <c r="H57" s="495"/>
      <c r="I57" s="490"/>
    </row>
    <row r="58" spans="1:9" x14ac:dyDescent="0.25">
      <c r="A58" s="495" t="s">
        <v>1975</v>
      </c>
      <c r="B58" s="489" t="s">
        <v>1976</v>
      </c>
      <c r="C58" s="496" t="s">
        <v>1921</v>
      </c>
      <c r="D58" s="489" t="s">
        <v>1977</v>
      </c>
      <c r="E58" s="194" t="s">
        <v>1925</v>
      </c>
      <c r="F58" s="195">
        <v>73.7</v>
      </c>
      <c r="G58" s="194">
        <f t="shared" si="1"/>
        <v>0.26300000000000001</v>
      </c>
      <c r="H58" s="193"/>
      <c r="I58" s="489" t="s">
        <v>1978</v>
      </c>
    </row>
    <row r="59" spans="1:9" x14ac:dyDescent="0.25">
      <c r="A59" s="495"/>
      <c r="B59" s="490"/>
      <c r="C59" s="497"/>
      <c r="D59" s="490"/>
      <c r="E59" s="194" t="s">
        <v>1923</v>
      </c>
      <c r="F59" s="195">
        <v>85.2</v>
      </c>
      <c r="G59" s="194">
        <f t="shared" si="1"/>
        <v>0.14800000000000002</v>
      </c>
      <c r="H59" s="193"/>
      <c r="I59" s="490"/>
    </row>
    <row r="60" spans="1:9" x14ac:dyDescent="0.25">
      <c r="A60" s="495" t="s">
        <v>1979</v>
      </c>
      <c r="B60" s="495" t="s">
        <v>1980</v>
      </c>
      <c r="C60" s="498" t="s">
        <v>1922</v>
      </c>
      <c r="D60" s="495" t="s">
        <v>1922</v>
      </c>
      <c r="E60" s="194" t="s">
        <v>1923</v>
      </c>
      <c r="F60" s="195">
        <v>37</v>
      </c>
      <c r="G60" s="194">
        <f t="shared" si="1"/>
        <v>0.63</v>
      </c>
      <c r="H60" s="196"/>
      <c r="I60" s="489" t="s">
        <v>1981</v>
      </c>
    </row>
    <row r="61" spans="1:9" x14ac:dyDescent="0.25">
      <c r="A61" s="495"/>
      <c r="B61" s="495"/>
      <c r="C61" s="498"/>
      <c r="D61" s="495"/>
      <c r="E61" s="194" t="s">
        <v>1925</v>
      </c>
      <c r="F61" s="195">
        <v>29</v>
      </c>
      <c r="G61" s="194">
        <f t="shared" si="1"/>
        <v>0.71</v>
      </c>
      <c r="H61" s="196"/>
      <c r="I61" s="490"/>
    </row>
    <row r="62" spans="1:9" x14ac:dyDescent="0.25">
      <c r="A62" s="495" t="s">
        <v>1982</v>
      </c>
      <c r="B62" s="495" t="s">
        <v>1983</v>
      </c>
      <c r="C62" s="498" t="s">
        <v>1922</v>
      </c>
      <c r="D62" s="495" t="s">
        <v>1922</v>
      </c>
      <c r="E62" s="194" t="s">
        <v>1923</v>
      </c>
      <c r="F62" s="195">
        <v>31</v>
      </c>
      <c r="G62" s="194">
        <f t="shared" si="1"/>
        <v>0.69</v>
      </c>
      <c r="H62" s="495"/>
      <c r="I62" s="489" t="s">
        <v>1984</v>
      </c>
    </row>
    <row r="63" spans="1:9" x14ac:dyDescent="0.25">
      <c r="A63" s="495"/>
      <c r="B63" s="495"/>
      <c r="C63" s="498"/>
      <c r="D63" s="495"/>
      <c r="E63" s="194" t="s">
        <v>1925</v>
      </c>
      <c r="F63" s="195">
        <v>32</v>
      </c>
      <c r="G63" s="194">
        <f t="shared" si="1"/>
        <v>0.67999999999999994</v>
      </c>
      <c r="H63" s="495"/>
      <c r="I63" s="490"/>
    </row>
    <row r="64" spans="1:9" x14ac:dyDescent="0.25">
      <c r="A64" s="489" t="s">
        <v>1985</v>
      </c>
      <c r="B64" s="489" t="s">
        <v>1986</v>
      </c>
      <c r="C64" s="194" t="s">
        <v>1922</v>
      </c>
      <c r="D64" s="193" t="s">
        <v>1922</v>
      </c>
      <c r="E64" s="194" t="s">
        <v>1923</v>
      </c>
      <c r="F64" s="195">
        <v>44.2</v>
      </c>
      <c r="G64" s="194">
        <f t="shared" si="1"/>
        <v>0.55800000000000005</v>
      </c>
      <c r="H64" s="196">
        <v>10762</v>
      </c>
      <c r="I64" s="489" t="s">
        <v>1987</v>
      </c>
    </row>
    <row r="65" spans="1:9" x14ac:dyDescent="0.25">
      <c r="A65" s="490"/>
      <c r="B65" s="490"/>
      <c r="C65" s="194" t="s">
        <v>1922</v>
      </c>
      <c r="D65" s="193" t="s">
        <v>1922</v>
      </c>
      <c r="E65" s="194" t="s">
        <v>1925</v>
      </c>
      <c r="F65" s="195">
        <v>14.2</v>
      </c>
      <c r="G65" s="194">
        <f t="shared" si="1"/>
        <v>0.85799999999999998</v>
      </c>
      <c r="H65" s="196">
        <v>10761</v>
      </c>
      <c r="I65" s="490"/>
    </row>
    <row r="66" spans="1:9" x14ac:dyDescent="0.25">
      <c r="A66" s="489" t="s">
        <v>1988</v>
      </c>
      <c r="B66" s="489" t="s">
        <v>1989</v>
      </c>
      <c r="C66" s="194" t="s">
        <v>1922</v>
      </c>
      <c r="D66" s="193" t="s">
        <v>1990</v>
      </c>
      <c r="E66" s="194" t="s">
        <v>1923</v>
      </c>
      <c r="F66" s="195">
        <v>20.3</v>
      </c>
      <c r="G66" s="194">
        <f t="shared" si="1"/>
        <v>0.79699999999999993</v>
      </c>
      <c r="H66" s="196">
        <v>11620</v>
      </c>
      <c r="I66" s="489" t="s">
        <v>1991</v>
      </c>
    </row>
    <row r="67" spans="1:9" x14ac:dyDescent="0.25">
      <c r="A67" s="491"/>
      <c r="B67" s="491"/>
      <c r="C67" s="194" t="s">
        <v>1922</v>
      </c>
      <c r="D67" s="193" t="s">
        <v>1990</v>
      </c>
      <c r="E67" s="194" t="s">
        <v>1925</v>
      </c>
      <c r="F67" s="195">
        <v>14.1</v>
      </c>
      <c r="G67" s="194">
        <f t="shared" si="1"/>
        <v>0.85899999999999999</v>
      </c>
      <c r="H67" s="196">
        <v>11619</v>
      </c>
      <c r="I67" s="491"/>
    </row>
    <row r="68" spans="1:9" x14ac:dyDescent="0.25">
      <c r="A68" s="491"/>
      <c r="B68" s="491"/>
      <c r="C68" s="194" t="s">
        <v>1922</v>
      </c>
      <c r="D68" s="193" t="s">
        <v>1992</v>
      </c>
      <c r="E68" s="194" t="s">
        <v>1923</v>
      </c>
      <c r="F68" s="195">
        <v>28.3</v>
      </c>
      <c r="G68" s="194">
        <f t="shared" si="1"/>
        <v>0.71699999999999997</v>
      </c>
      <c r="H68" s="196">
        <v>11625</v>
      </c>
      <c r="I68" s="491"/>
    </row>
    <row r="69" spans="1:9" x14ac:dyDescent="0.25">
      <c r="A69" s="491"/>
      <c r="B69" s="490"/>
      <c r="C69" s="194" t="s">
        <v>1922</v>
      </c>
      <c r="D69" s="193" t="s">
        <v>1992</v>
      </c>
      <c r="E69" s="194" t="s">
        <v>1925</v>
      </c>
      <c r="F69" s="195">
        <v>32.6</v>
      </c>
      <c r="G69" s="194">
        <f t="shared" si="1"/>
        <v>0.67399999999999993</v>
      </c>
      <c r="H69" s="196">
        <v>11624</v>
      </c>
      <c r="I69" s="491"/>
    </row>
    <row r="70" spans="1:9" x14ac:dyDescent="0.25">
      <c r="A70" s="491"/>
      <c r="B70" s="489" t="s">
        <v>1993</v>
      </c>
      <c r="C70" s="194" t="s">
        <v>1922</v>
      </c>
      <c r="D70" s="193" t="s">
        <v>1994</v>
      </c>
      <c r="E70" s="194" t="s">
        <v>1923</v>
      </c>
      <c r="F70" s="195">
        <v>-2.9</v>
      </c>
      <c r="G70" s="194">
        <f t="shared" si="1"/>
        <v>1.0289999999999999</v>
      </c>
      <c r="H70" s="196">
        <v>11595</v>
      </c>
      <c r="I70" s="491"/>
    </row>
    <row r="71" spans="1:9" x14ac:dyDescent="0.25">
      <c r="A71" s="490"/>
      <c r="B71" s="490"/>
      <c r="C71" s="194" t="s">
        <v>1922</v>
      </c>
      <c r="D71" s="193" t="s">
        <v>1994</v>
      </c>
      <c r="E71" s="194" t="s">
        <v>1925</v>
      </c>
      <c r="F71" s="195">
        <v>-15.6</v>
      </c>
      <c r="G71" s="194">
        <f>1-F71/100</f>
        <v>1.1559999999999999</v>
      </c>
      <c r="H71" s="196">
        <v>11594</v>
      </c>
      <c r="I71" s="490"/>
    </row>
    <row r="72" spans="1:9" x14ac:dyDescent="0.25">
      <c r="A72" s="489" t="s">
        <v>1995</v>
      </c>
      <c r="B72" s="489" t="s">
        <v>1996</v>
      </c>
      <c r="C72" s="194" t="s">
        <v>1921</v>
      </c>
      <c r="D72" s="193" t="s">
        <v>1997</v>
      </c>
      <c r="E72" s="194" t="s">
        <v>1925</v>
      </c>
      <c r="F72" s="499" t="e" vm="1">
        <v>#VALUE!</v>
      </c>
      <c r="G72" s="499"/>
      <c r="H72" s="205">
        <v>11273</v>
      </c>
      <c r="I72" s="492" t="s">
        <v>1998</v>
      </c>
    </row>
    <row r="73" spans="1:9" x14ac:dyDescent="0.25">
      <c r="A73" s="491"/>
      <c r="B73" s="490"/>
      <c r="C73" s="194" t="s">
        <v>1921</v>
      </c>
      <c r="D73" s="193" t="s">
        <v>1999</v>
      </c>
      <c r="E73" s="194" t="s">
        <v>1925</v>
      </c>
      <c r="F73" s="499" t="e" vm="2">
        <v>#VALUE!</v>
      </c>
      <c r="G73" s="499"/>
      <c r="H73" s="205">
        <v>11275</v>
      </c>
      <c r="I73" s="493"/>
    </row>
    <row r="74" spans="1:9" ht="30" x14ac:dyDescent="0.25">
      <c r="A74" s="491"/>
      <c r="B74" s="193" t="s">
        <v>2000</v>
      </c>
      <c r="C74" s="194" t="s">
        <v>1921</v>
      </c>
      <c r="D74" s="193" t="s">
        <v>1997</v>
      </c>
      <c r="E74" s="194" t="s">
        <v>1925</v>
      </c>
      <c r="F74" s="195">
        <v>18</v>
      </c>
      <c r="G74" s="194">
        <f t="shared" ref="G74:G75" si="2">1-F74/100</f>
        <v>0.82000000000000006</v>
      </c>
      <c r="H74" s="205">
        <v>11277</v>
      </c>
      <c r="I74" s="493"/>
    </row>
    <row r="75" spans="1:9" ht="30" x14ac:dyDescent="0.25">
      <c r="A75" s="491"/>
      <c r="B75" s="193" t="s">
        <v>2001</v>
      </c>
      <c r="C75" s="194" t="s">
        <v>1921</v>
      </c>
      <c r="D75" s="193" t="s">
        <v>1997</v>
      </c>
      <c r="E75" s="194" t="s">
        <v>1925</v>
      </c>
      <c r="F75" s="195">
        <v>23</v>
      </c>
      <c r="G75" s="194">
        <f t="shared" si="2"/>
        <v>0.77</v>
      </c>
      <c r="H75" s="205">
        <v>11278</v>
      </c>
      <c r="I75" s="493"/>
    </row>
    <row r="76" spans="1:9" ht="30" x14ac:dyDescent="0.25">
      <c r="A76" s="490"/>
      <c r="B76" s="193" t="s">
        <v>2002</v>
      </c>
      <c r="C76" s="194" t="s">
        <v>1921</v>
      </c>
      <c r="D76" s="193" t="s">
        <v>1999</v>
      </c>
      <c r="E76" s="194" t="s">
        <v>1925</v>
      </c>
      <c r="F76" s="195">
        <v>38.6</v>
      </c>
      <c r="G76" s="194">
        <f>1-F76/100</f>
        <v>0.61399999999999999</v>
      </c>
      <c r="H76" s="205">
        <v>11279</v>
      </c>
      <c r="I76" s="494"/>
    </row>
    <row r="77" spans="1:9" ht="45" x14ac:dyDescent="0.25">
      <c r="A77" s="193" t="s">
        <v>2003</v>
      </c>
      <c r="B77" s="193" t="s">
        <v>2004</v>
      </c>
      <c r="C77" s="193" t="s">
        <v>2005</v>
      </c>
      <c r="D77" s="193" t="s">
        <v>2006</v>
      </c>
      <c r="E77" s="200" t="s">
        <v>1925</v>
      </c>
      <c r="F77" s="206">
        <v>29.9</v>
      </c>
      <c r="G77" s="207">
        <v>0.70099999999999996</v>
      </c>
      <c r="H77" s="196">
        <v>10375</v>
      </c>
      <c r="I77" s="197" t="s">
        <v>2007</v>
      </c>
    </row>
    <row r="78" spans="1:9" x14ac:dyDescent="0.25">
      <c r="A78" s="489" t="s">
        <v>2003</v>
      </c>
      <c r="B78" s="489" t="s">
        <v>2008</v>
      </c>
      <c r="C78" s="489" t="s">
        <v>1922</v>
      </c>
      <c r="D78" s="489" t="s">
        <v>2009</v>
      </c>
      <c r="E78" s="200" t="s">
        <v>1923</v>
      </c>
      <c r="F78" s="206">
        <v>26.1</v>
      </c>
      <c r="G78" s="207">
        <v>0.73899999999999999</v>
      </c>
      <c r="H78" s="196">
        <v>2341</v>
      </c>
      <c r="I78" s="492" t="s">
        <v>2010</v>
      </c>
    </row>
    <row r="79" spans="1:9" x14ac:dyDescent="0.25">
      <c r="A79" s="490"/>
      <c r="B79" s="490"/>
      <c r="C79" s="490"/>
      <c r="D79" s="490"/>
      <c r="E79" s="200" t="s">
        <v>1925</v>
      </c>
      <c r="F79" s="206">
        <v>20.3</v>
      </c>
      <c r="G79" s="207">
        <v>0.79700000000000004</v>
      </c>
      <c r="H79" s="196">
        <v>2346</v>
      </c>
      <c r="I79" s="494"/>
    </row>
    <row r="80" spans="1:9" x14ac:dyDescent="0.25">
      <c r="A80" s="489" t="s">
        <v>2003</v>
      </c>
      <c r="B80" s="489" t="s">
        <v>2011</v>
      </c>
      <c r="C80" s="489" t="s">
        <v>1943</v>
      </c>
      <c r="D80" s="489" t="s">
        <v>2006</v>
      </c>
      <c r="E80" s="200" t="s">
        <v>1923</v>
      </c>
      <c r="F80" s="206">
        <v>37</v>
      </c>
      <c r="G80" s="207">
        <v>0.63</v>
      </c>
      <c r="H80" s="196">
        <v>7828</v>
      </c>
      <c r="I80" s="492" t="s">
        <v>2012</v>
      </c>
    </row>
    <row r="81" spans="1:9" x14ac:dyDescent="0.25">
      <c r="A81" s="490"/>
      <c r="B81" s="490"/>
      <c r="C81" s="490"/>
      <c r="D81" s="490"/>
      <c r="E81" s="200" t="s">
        <v>1925</v>
      </c>
      <c r="F81" s="206">
        <v>44</v>
      </c>
      <c r="G81" s="207">
        <v>0.56000000000000005</v>
      </c>
      <c r="H81" s="196">
        <v>7829</v>
      </c>
      <c r="I81" s="494"/>
    </row>
    <row r="82" spans="1:9" x14ac:dyDescent="0.25">
      <c r="A82" s="495" t="s">
        <v>2003</v>
      </c>
      <c r="B82" s="495" t="s">
        <v>2013</v>
      </c>
      <c r="C82" s="498" t="s">
        <v>1943</v>
      </c>
      <c r="D82" s="495" t="s">
        <v>2014</v>
      </c>
      <c r="E82" s="194" t="s">
        <v>1925</v>
      </c>
      <c r="F82" s="195">
        <v>23</v>
      </c>
      <c r="G82" s="194">
        <f>1-F82/100</f>
        <v>0.77</v>
      </c>
      <c r="H82" s="196">
        <v>2514</v>
      </c>
      <c r="I82" s="489" t="s">
        <v>2015</v>
      </c>
    </row>
    <row r="83" spans="1:9" x14ac:dyDescent="0.25">
      <c r="A83" s="495"/>
      <c r="B83" s="495"/>
      <c r="C83" s="498"/>
      <c r="D83" s="495"/>
      <c r="E83" s="194" t="s">
        <v>1923</v>
      </c>
      <c r="F83" s="195">
        <v>21</v>
      </c>
      <c r="G83" s="194">
        <f>1-F83/100</f>
        <v>0.79</v>
      </c>
      <c r="H83" s="196">
        <v>2519</v>
      </c>
      <c r="I83" s="490"/>
    </row>
    <row r="84" spans="1:9" x14ac:dyDescent="0.25">
      <c r="A84" s="495" t="s">
        <v>2003</v>
      </c>
      <c r="B84" s="495" t="s">
        <v>2016</v>
      </c>
      <c r="C84" s="498" t="s">
        <v>1921</v>
      </c>
      <c r="D84" s="193" t="s">
        <v>2009</v>
      </c>
      <c r="E84" s="194" t="s">
        <v>1925</v>
      </c>
      <c r="F84" s="195">
        <v>2.2999999999999998</v>
      </c>
      <c r="G84" s="194">
        <f t="shared" ref="G84:G93" si="3">1-F84/100</f>
        <v>0.97699999999999998</v>
      </c>
      <c r="H84" s="495"/>
      <c r="I84" s="495" t="s">
        <v>2017</v>
      </c>
    </row>
    <row r="85" spans="1:9" x14ac:dyDescent="0.25">
      <c r="A85" s="495"/>
      <c r="B85" s="495"/>
      <c r="C85" s="498"/>
      <c r="D85" s="193" t="s">
        <v>2006</v>
      </c>
      <c r="E85" s="194" t="s">
        <v>1925</v>
      </c>
      <c r="F85" s="195">
        <v>0.4</v>
      </c>
      <c r="G85" s="194">
        <f t="shared" si="3"/>
        <v>0.996</v>
      </c>
      <c r="H85" s="495"/>
      <c r="I85" s="495"/>
    </row>
    <row r="86" spans="1:9" x14ac:dyDescent="0.25">
      <c r="A86" s="495"/>
      <c r="B86" s="495" t="s">
        <v>2018</v>
      </c>
      <c r="C86" s="498" t="s">
        <v>1921</v>
      </c>
      <c r="D86" s="193" t="s">
        <v>2009</v>
      </c>
      <c r="E86" s="194" t="s">
        <v>1925</v>
      </c>
      <c r="F86" s="195">
        <v>4.5</v>
      </c>
      <c r="G86" s="194">
        <f t="shared" si="3"/>
        <v>0.95499999999999996</v>
      </c>
      <c r="H86" s="495"/>
      <c r="I86" s="495"/>
    </row>
    <row r="87" spans="1:9" x14ac:dyDescent="0.25">
      <c r="A87" s="495"/>
      <c r="B87" s="495"/>
      <c r="C87" s="498"/>
      <c r="D87" s="193" t="s">
        <v>2006</v>
      </c>
      <c r="E87" s="194" t="s">
        <v>1925</v>
      </c>
      <c r="F87" s="195">
        <v>0.7</v>
      </c>
      <c r="G87" s="194">
        <f t="shared" si="3"/>
        <v>0.99299999999999999</v>
      </c>
      <c r="H87" s="495"/>
      <c r="I87" s="495"/>
    </row>
    <row r="88" spans="1:9" x14ac:dyDescent="0.25">
      <c r="A88" s="495"/>
      <c r="B88" s="495" t="s">
        <v>2019</v>
      </c>
      <c r="C88" s="498" t="s">
        <v>1921</v>
      </c>
      <c r="D88" s="193" t="s">
        <v>2009</v>
      </c>
      <c r="E88" s="194" t="s">
        <v>1925</v>
      </c>
      <c r="F88" s="195">
        <v>6.7</v>
      </c>
      <c r="G88" s="194">
        <f t="shared" si="3"/>
        <v>0.93300000000000005</v>
      </c>
      <c r="H88" s="495"/>
      <c r="I88" s="495"/>
    </row>
    <row r="89" spans="1:9" x14ac:dyDescent="0.25">
      <c r="A89" s="495"/>
      <c r="B89" s="495"/>
      <c r="C89" s="498"/>
      <c r="D89" s="193" t="s">
        <v>2006</v>
      </c>
      <c r="E89" s="194" t="s">
        <v>1925</v>
      </c>
      <c r="F89" s="195">
        <v>1.1000000000000001</v>
      </c>
      <c r="G89" s="194">
        <f t="shared" si="3"/>
        <v>0.98899999999999999</v>
      </c>
      <c r="H89" s="495"/>
      <c r="I89" s="495"/>
    </row>
    <row r="90" spans="1:9" x14ac:dyDescent="0.25">
      <c r="A90" s="495" t="s">
        <v>2003</v>
      </c>
      <c r="B90" s="495" t="s">
        <v>2020</v>
      </c>
      <c r="C90" s="498" t="s">
        <v>1943</v>
      </c>
      <c r="D90" s="495" t="s">
        <v>2021</v>
      </c>
      <c r="E90" s="194" t="s">
        <v>1923</v>
      </c>
      <c r="F90" s="195">
        <v>2.9</v>
      </c>
      <c r="G90" s="194">
        <f>1-F90/100</f>
        <v>0.97099999999999997</v>
      </c>
      <c r="H90" s="495"/>
      <c r="I90" s="489" t="s">
        <v>2022</v>
      </c>
    </row>
    <row r="91" spans="1:9" x14ac:dyDescent="0.25">
      <c r="A91" s="495"/>
      <c r="B91" s="495"/>
      <c r="C91" s="498"/>
      <c r="D91" s="495"/>
      <c r="E91" s="194" t="s">
        <v>1925</v>
      </c>
      <c r="F91" s="195">
        <v>4.7</v>
      </c>
      <c r="G91" s="194">
        <f t="shared" si="3"/>
        <v>0.95299999999999996</v>
      </c>
      <c r="H91" s="495"/>
      <c r="I91" s="491"/>
    </row>
    <row r="92" spans="1:9" x14ac:dyDescent="0.25">
      <c r="A92" s="495"/>
      <c r="B92" s="495"/>
      <c r="C92" s="498"/>
      <c r="D92" s="495" t="s">
        <v>2023</v>
      </c>
      <c r="E92" s="194" t="s">
        <v>1923</v>
      </c>
      <c r="F92" s="195">
        <v>1.3</v>
      </c>
      <c r="G92" s="194">
        <f>1-F92/100</f>
        <v>0.98699999999999999</v>
      </c>
      <c r="H92" s="495"/>
      <c r="I92" s="491"/>
    </row>
    <row r="93" spans="1:9" x14ac:dyDescent="0.25">
      <c r="A93" s="495"/>
      <c r="B93" s="495"/>
      <c r="C93" s="498"/>
      <c r="D93" s="495"/>
      <c r="E93" s="194" t="s">
        <v>1925</v>
      </c>
      <c r="F93" s="195">
        <v>4.4000000000000004</v>
      </c>
      <c r="G93" s="194">
        <f t="shared" si="3"/>
        <v>0.95599999999999996</v>
      </c>
      <c r="H93" s="495"/>
      <c r="I93" s="491"/>
    </row>
    <row r="94" spans="1:9" x14ac:dyDescent="0.25">
      <c r="A94" s="495" t="s">
        <v>2003</v>
      </c>
      <c r="B94" s="495" t="s">
        <v>2024</v>
      </c>
      <c r="C94" s="498" t="s">
        <v>1943</v>
      </c>
      <c r="D94" s="495" t="s">
        <v>2021</v>
      </c>
      <c r="E94" s="194" t="s">
        <v>1923</v>
      </c>
      <c r="F94" s="195">
        <v>5.7</v>
      </c>
      <c r="G94" s="194">
        <f>1-F94/100</f>
        <v>0.94299999999999995</v>
      </c>
      <c r="H94" s="495"/>
      <c r="I94" s="491"/>
    </row>
    <row r="95" spans="1:9" x14ac:dyDescent="0.25">
      <c r="A95" s="495"/>
      <c r="B95" s="495"/>
      <c r="C95" s="498"/>
      <c r="D95" s="495"/>
      <c r="E95" s="194" t="s">
        <v>1925</v>
      </c>
      <c r="F95" s="195">
        <v>9.1999999999999993</v>
      </c>
      <c r="G95" s="194">
        <f t="shared" ref="G95:G101" si="4">1-F95/100</f>
        <v>0.90800000000000003</v>
      </c>
      <c r="H95" s="495"/>
      <c r="I95" s="491"/>
    </row>
    <row r="96" spans="1:9" x14ac:dyDescent="0.25">
      <c r="A96" s="495"/>
      <c r="B96" s="495"/>
      <c r="C96" s="498"/>
      <c r="D96" s="495" t="s">
        <v>2023</v>
      </c>
      <c r="E96" s="194" t="s">
        <v>1923</v>
      </c>
      <c r="F96" s="195">
        <v>2.6</v>
      </c>
      <c r="G96" s="194">
        <f>1-F96/100</f>
        <v>0.97399999999999998</v>
      </c>
      <c r="H96" s="495"/>
      <c r="I96" s="491"/>
    </row>
    <row r="97" spans="1:9" x14ac:dyDescent="0.25">
      <c r="A97" s="495"/>
      <c r="B97" s="495"/>
      <c r="C97" s="498"/>
      <c r="D97" s="495"/>
      <c r="E97" s="194" t="s">
        <v>1925</v>
      </c>
      <c r="F97" s="195">
        <v>8.6</v>
      </c>
      <c r="G97" s="194">
        <f t="shared" si="4"/>
        <v>0.91400000000000003</v>
      </c>
      <c r="H97" s="495"/>
      <c r="I97" s="491"/>
    </row>
    <row r="98" spans="1:9" x14ac:dyDescent="0.25">
      <c r="A98" s="495" t="s">
        <v>2003</v>
      </c>
      <c r="B98" s="495" t="s">
        <v>2025</v>
      </c>
      <c r="C98" s="498" t="s">
        <v>1943</v>
      </c>
      <c r="D98" s="495" t="s">
        <v>2021</v>
      </c>
      <c r="E98" s="194" t="s">
        <v>1923</v>
      </c>
      <c r="F98" s="195">
        <v>8.5</v>
      </c>
      <c r="G98" s="194">
        <f>1-F98/100</f>
        <v>0.91500000000000004</v>
      </c>
      <c r="H98" s="495"/>
      <c r="I98" s="491"/>
    </row>
    <row r="99" spans="1:9" x14ac:dyDescent="0.25">
      <c r="A99" s="495"/>
      <c r="B99" s="495"/>
      <c r="C99" s="498"/>
      <c r="D99" s="495"/>
      <c r="E99" s="194" t="s">
        <v>1925</v>
      </c>
      <c r="F99" s="195">
        <v>13.4</v>
      </c>
      <c r="G99" s="194">
        <f t="shared" si="4"/>
        <v>0.86599999999999999</v>
      </c>
      <c r="H99" s="495"/>
      <c r="I99" s="491"/>
    </row>
    <row r="100" spans="1:9" x14ac:dyDescent="0.25">
      <c r="A100" s="495"/>
      <c r="B100" s="495"/>
      <c r="C100" s="498"/>
      <c r="D100" s="495" t="s">
        <v>2023</v>
      </c>
      <c r="E100" s="194" t="s">
        <v>1923</v>
      </c>
      <c r="F100" s="195">
        <v>3.8</v>
      </c>
      <c r="G100" s="194">
        <f>1-F100/100</f>
        <v>0.96199999999999997</v>
      </c>
      <c r="H100" s="495"/>
      <c r="I100" s="491"/>
    </row>
    <row r="101" spans="1:9" x14ac:dyDescent="0.25">
      <c r="A101" s="495"/>
      <c r="B101" s="495"/>
      <c r="C101" s="498"/>
      <c r="D101" s="495"/>
      <c r="E101" s="194" t="s">
        <v>1925</v>
      </c>
      <c r="F101" s="195">
        <v>12.6</v>
      </c>
      <c r="G101" s="194">
        <f t="shared" si="4"/>
        <v>0.874</v>
      </c>
      <c r="H101" s="495"/>
      <c r="I101" s="491"/>
    </row>
    <row r="102" spans="1:9" x14ac:dyDescent="0.25">
      <c r="A102" s="495" t="s">
        <v>2003</v>
      </c>
      <c r="B102" s="495" t="s">
        <v>2026</v>
      </c>
      <c r="C102" s="498" t="s">
        <v>1943</v>
      </c>
      <c r="D102" s="495" t="s">
        <v>2021</v>
      </c>
      <c r="E102" s="194" t="s">
        <v>1923</v>
      </c>
      <c r="F102" s="195">
        <v>11.1</v>
      </c>
      <c r="G102" s="194">
        <f>1-F102/100</f>
        <v>0.88900000000000001</v>
      </c>
      <c r="H102" s="495"/>
      <c r="I102" s="491"/>
    </row>
    <row r="103" spans="1:9" x14ac:dyDescent="0.25">
      <c r="A103" s="495"/>
      <c r="B103" s="495"/>
      <c r="C103" s="498"/>
      <c r="D103" s="495"/>
      <c r="E103" s="194" t="s">
        <v>1925</v>
      </c>
      <c r="F103" s="195">
        <v>17.5</v>
      </c>
      <c r="G103" s="194">
        <f t="shared" ref="G103:G105" si="5">1-F103/100</f>
        <v>0.82499999999999996</v>
      </c>
      <c r="H103" s="495"/>
      <c r="I103" s="491"/>
    </row>
    <row r="104" spans="1:9" x14ac:dyDescent="0.25">
      <c r="A104" s="495"/>
      <c r="B104" s="495"/>
      <c r="C104" s="498"/>
      <c r="D104" s="495" t="s">
        <v>2023</v>
      </c>
      <c r="E104" s="194" t="s">
        <v>1923</v>
      </c>
      <c r="F104" s="195">
        <v>5.0999999999999996</v>
      </c>
      <c r="G104" s="194">
        <f>1-F104/100</f>
        <v>0.94899999999999995</v>
      </c>
      <c r="H104" s="495"/>
      <c r="I104" s="491"/>
    </row>
    <row r="105" spans="1:9" x14ac:dyDescent="0.25">
      <c r="A105" s="495"/>
      <c r="B105" s="495"/>
      <c r="C105" s="498"/>
      <c r="D105" s="495"/>
      <c r="E105" s="194" t="s">
        <v>1925</v>
      </c>
      <c r="F105" s="195">
        <v>16.5</v>
      </c>
      <c r="G105" s="194">
        <f t="shared" si="5"/>
        <v>0.83499999999999996</v>
      </c>
      <c r="H105" s="495"/>
      <c r="I105" s="490"/>
    </row>
  </sheetData>
  <sheetProtection sheet="1" objects="1" scenarios="1"/>
  <mergeCells count="161">
    <mergeCell ref="I90:I105"/>
    <mergeCell ref="D92:D93"/>
    <mergeCell ref="A94:A97"/>
    <mergeCell ref="B94:B97"/>
    <mergeCell ref="C94:C97"/>
    <mergeCell ref="A102:A105"/>
    <mergeCell ref="B102:B105"/>
    <mergeCell ref="C102:C105"/>
    <mergeCell ref="D102:D103"/>
    <mergeCell ref="H102:H105"/>
    <mergeCell ref="D104:D105"/>
    <mergeCell ref="D94:D95"/>
    <mergeCell ref="H94:H97"/>
    <mergeCell ref="D96:D97"/>
    <mergeCell ref="A98:A101"/>
    <mergeCell ref="B98:B101"/>
    <mergeCell ref="C98:C101"/>
    <mergeCell ref="D90:D91"/>
    <mergeCell ref="F72:G72"/>
    <mergeCell ref="D98:D99"/>
    <mergeCell ref="H98:H101"/>
    <mergeCell ref="D100:D101"/>
    <mergeCell ref="A90:A93"/>
    <mergeCell ref="B90:B93"/>
    <mergeCell ref="C90:C93"/>
    <mergeCell ref="A82:A83"/>
    <mergeCell ref="B82:B83"/>
    <mergeCell ref="C82:C83"/>
    <mergeCell ref="D82:D83"/>
    <mergeCell ref="H90:H93"/>
    <mergeCell ref="I72:I76"/>
    <mergeCell ref="F73:G73"/>
    <mergeCell ref="A78:A79"/>
    <mergeCell ref="B78:B79"/>
    <mergeCell ref="C78:C79"/>
    <mergeCell ref="D78:D79"/>
    <mergeCell ref="I78:I79"/>
    <mergeCell ref="A84:A89"/>
    <mergeCell ref="B84:B85"/>
    <mergeCell ref="C84:C85"/>
    <mergeCell ref="H84:H89"/>
    <mergeCell ref="I84:I89"/>
    <mergeCell ref="B86:B87"/>
    <mergeCell ref="C86:C87"/>
    <mergeCell ref="B88:B89"/>
    <mergeCell ref="C88:C89"/>
    <mergeCell ref="A80:A81"/>
    <mergeCell ref="B80:B81"/>
    <mergeCell ref="C80:C81"/>
    <mergeCell ref="D80:D81"/>
    <mergeCell ref="I80:I81"/>
    <mergeCell ref="I82:I83"/>
    <mergeCell ref="A72:A76"/>
    <mergeCell ref="B72:B73"/>
    <mergeCell ref="A64:A65"/>
    <mergeCell ref="B64:B65"/>
    <mergeCell ref="I64:I65"/>
    <mergeCell ref="A66:A71"/>
    <mergeCell ref="B66:B69"/>
    <mergeCell ref="I66:I71"/>
    <mergeCell ref="B70:B71"/>
    <mergeCell ref="A62:A63"/>
    <mergeCell ref="B62:B63"/>
    <mergeCell ref="C62:C63"/>
    <mergeCell ref="D62:D63"/>
    <mergeCell ref="H62:H63"/>
    <mergeCell ref="I62:I63"/>
    <mergeCell ref="A58:A59"/>
    <mergeCell ref="B58:B59"/>
    <mergeCell ref="C58:C59"/>
    <mergeCell ref="D58:D59"/>
    <mergeCell ref="I58:I59"/>
    <mergeCell ref="A60:A61"/>
    <mergeCell ref="B60:B61"/>
    <mergeCell ref="C60:C61"/>
    <mergeCell ref="D60:D61"/>
    <mergeCell ref="I60:I61"/>
    <mergeCell ref="A56:A57"/>
    <mergeCell ref="B56:B57"/>
    <mergeCell ref="C56:C57"/>
    <mergeCell ref="D56:D57"/>
    <mergeCell ref="H56:H57"/>
    <mergeCell ref="I56:I57"/>
    <mergeCell ref="A52:A53"/>
    <mergeCell ref="B52:B53"/>
    <mergeCell ref="C52:C53"/>
    <mergeCell ref="D52:D53"/>
    <mergeCell ref="I52:I55"/>
    <mergeCell ref="A54:A55"/>
    <mergeCell ref="B54:B55"/>
    <mergeCell ref="C54:C55"/>
    <mergeCell ref="D54:D55"/>
    <mergeCell ref="A48:A51"/>
    <mergeCell ref="B48:B51"/>
    <mergeCell ref="C48:C49"/>
    <mergeCell ref="D48:D49"/>
    <mergeCell ref="I48:I51"/>
    <mergeCell ref="C50:C51"/>
    <mergeCell ref="D50:D51"/>
    <mergeCell ref="A40:A47"/>
    <mergeCell ref="B40:B47"/>
    <mergeCell ref="C40:C41"/>
    <mergeCell ref="D40:D41"/>
    <mergeCell ref="I40:I47"/>
    <mergeCell ref="C42:C43"/>
    <mergeCell ref="D42:D43"/>
    <mergeCell ref="C44:C45"/>
    <mergeCell ref="D44:D45"/>
    <mergeCell ref="C46:C47"/>
    <mergeCell ref="A34:A35"/>
    <mergeCell ref="I34:I37"/>
    <mergeCell ref="A36:A37"/>
    <mergeCell ref="A38:A39"/>
    <mergeCell ref="B38:B39"/>
    <mergeCell ref="C38:C39"/>
    <mergeCell ref="D38:D39"/>
    <mergeCell ref="I38:I39"/>
    <mergeCell ref="D46:D47"/>
    <mergeCell ref="C28:C29"/>
    <mergeCell ref="C30:C31"/>
    <mergeCell ref="A32:A33"/>
    <mergeCell ref="B32:B33"/>
    <mergeCell ref="C32:C33"/>
    <mergeCell ref="D32:D33"/>
    <mergeCell ref="I18:I19"/>
    <mergeCell ref="A20:A25"/>
    <mergeCell ref="B20:B21"/>
    <mergeCell ref="I20:I31"/>
    <mergeCell ref="B22:B25"/>
    <mergeCell ref="C22:C23"/>
    <mergeCell ref="C24:C25"/>
    <mergeCell ref="A26:A31"/>
    <mergeCell ref="B26:B27"/>
    <mergeCell ref="B28:B31"/>
    <mergeCell ref="H32:H33"/>
    <mergeCell ref="I32:I33"/>
    <mergeCell ref="A18:A19"/>
    <mergeCell ref="B18:B19"/>
    <mergeCell ref="C18:C19"/>
    <mergeCell ref="I2:I3"/>
    <mergeCell ref="A4:A9"/>
    <mergeCell ref="B4:B5"/>
    <mergeCell ref="C4:C5"/>
    <mergeCell ref="H4:H17"/>
    <mergeCell ref="I4:I17"/>
    <mergeCell ref="B6:B9"/>
    <mergeCell ref="C6:C9"/>
    <mergeCell ref="A14:A17"/>
    <mergeCell ref="B14:B17"/>
    <mergeCell ref="C14:C17"/>
    <mergeCell ref="D14:D15"/>
    <mergeCell ref="D16:D17"/>
    <mergeCell ref="D6:D7"/>
    <mergeCell ref="D8:D9"/>
    <mergeCell ref="A10:A13"/>
    <mergeCell ref="B10:B13"/>
    <mergeCell ref="C10:C13"/>
    <mergeCell ref="D10:D11"/>
    <mergeCell ref="D12:D13"/>
    <mergeCell ref="A2:A3"/>
    <mergeCell ref="B2:B3"/>
  </mergeCells>
  <hyperlinks>
    <hyperlink ref="H39" r:id="rId1" display="https://cmfclearinghouse.fhwa.dot.gov/detail.php?facid=4877" xr:uid="{3C8E829E-4072-4D03-8D3E-B7CD18A982D3}"/>
    <hyperlink ref="H38" r:id="rId2" display="https://cmfclearinghouse.fhwa.dot.gov/detail.php?facid=4878" xr:uid="{37BDD998-E3B0-45E6-BBA0-3F3D2D584408}"/>
    <hyperlink ref="H40" r:id="rId3" display="https://cmfclearinghouse.fhwa.dot.gov/detail.php?facid=230" xr:uid="{7CE159C0-BD6A-4604-AF48-43EFF3ADE8D4}"/>
    <hyperlink ref="H41" r:id="rId4" display="https://cmfclearinghouse.fhwa.dot.gov/detail.php?facid=229" xr:uid="{FBFCD422-44A1-46C3-8BA9-E033B384A2AE}"/>
    <hyperlink ref="H42" r:id="rId5" display="https://cmfclearinghouse.fhwa.dot.gov/detail.php?facid=238" xr:uid="{96C151A1-95A2-48CD-A62A-4E66DDA2F0C7}"/>
    <hyperlink ref="H43" r:id="rId6" display="https://cmfclearinghouse.fhwa.dot.gov/detail.php?facid=239" xr:uid="{5A9A0FFF-78CC-4105-8716-5C0CDAFF4C29}"/>
    <hyperlink ref="H44" r:id="rId7" display="https://cmfclearinghouse.fhwa.dot.gov/detail.php?facid=241" xr:uid="{A4046C82-6889-444A-9E15-46070426EEF4}"/>
    <hyperlink ref="H45" r:id="rId8" display="https://cmfclearinghouse.fhwa.dot.gov/detail.php?facid=240" xr:uid="{6646F8BF-F5D1-4195-A36A-A733B6E49900}"/>
    <hyperlink ref="H46" r:id="rId9" display="https://cmfclearinghouse.fhwa.dot.gov/detail.php?facid=234" xr:uid="{9AA52377-C32B-403B-BB84-24FBFEA40478}"/>
    <hyperlink ref="H47" r:id="rId10" display="https://cmfclearinghouse.fhwa.dot.gov/detail.php?facid=233" xr:uid="{EA992D3D-C46C-4658-8D45-32F56D631F46}"/>
    <hyperlink ref="H48" r:id="rId11" display="https://cmfclearinghouse.fhwa.dot.gov/detail.php?facid=4257" xr:uid="{B1BAD7D3-7A8A-4879-8BD8-9F8B10A518EA}"/>
    <hyperlink ref="H49" r:id="rId12" display="https://cmfclearinghouse.fhwa.dot.gov/detail.php?facid=4256" xr:uid="{365511E2-D432-4079-8BE0-364532CBF60C}"/>
    <hyperlink ref="H50" r:id="rId13" display="https://cmfclearinghouse.fhwa.dot.gov/detail.php?facid=4255" xr:uid="{400564F7-D580-41A8-8E93-510FDABE9DB6}"/>
    <hyperlink ref="H51" r:id="rId14" display="https://cmfclearinghouse.fhwa.dot.gov/detail.php?facid=4254" xr:uid="{02BEF595-5020-4C30-A88E-0A26ADE925FE}"/>
    <hyperlink ref="H52" r:id="rId15" display="https://cmfclearinghouse.fhwa.dot.gov/detail.php?facid=11130" xr:uid="{CB269F3E-2881-4080-ACBC-08D1959956D4}"/>
    <hyperlink ref="H53" r:id="rId16" display="https://cmfclearinghouse.fhwa.dot.gov/detail.php?facid=11132" xr:uid="{3F2D3F6C-9FC1-4F96-A700-8D1B55C2DA1D}"/>
    <hyperlink ref="H54" r:id="rId17" display="https://cmfclearinghouse.fhwa.dot.gov/detail.php?facid=11146" xr:uid="{FEDC2405-B884-4376-AEB8-72F397035B04}"/>
    <hyperlink ref="H55" r:id="rId18" display="https://cmfclearinghouse.fhwa.dot.gov/detail.php?facid=11166" xr:uid="{EDA40E7B-8A7D-46E3-AE15-B88C8F54DF0B}"/>
    <hyperlink ref="H18" r:id="rId19" xr:uid="{15F7FFAC-7708-4A24-A6F6-1CA58265BF61}"/>
    <hyperlink ref="H19" r:id="rId20" xr:uid="{2A5320D5-A05A-4220-AD20-87E18A07AF51}"/>
    <hyperlink ref="H4" r:id="rId21" xr:uid="{AE78FF66-9597-4122-B837-1C0B704128AB}"/>
    <hyperlink ref="H65" r:id="rId22" display="https://cmfclearinghouse.fhwa.dot.gov/detail.php?facid=10761" xr:uid="{5B3A24F0-1299-4D27-A087-4FC72FA28B5A}"/>
    <hyperlink ref="H64" r:id="rId23" display="https://cmfclearinghouse.fhwa.dot.gov/detail.php?facid=10762" xr:uid="{93911193-55BA-4813-9546-40681DC4FDF0}"/>
    <hyperlink ref="H67" r:id="rId24" display="https://cmfclearinghouse.fhwa.dot.gov/detail.php?facid=11619" xr:uid="{FEEF675E-6D89-4A15-9B60-AB1669C40660}"/>
    <hyperlink ref="H66" r:id="rId25" display="https://cmfclearinghouse.fhwa.dot.gov/detail.php?facid=11620" xr:uid="{625D2C97-BE40-423B-979D-7716DC860573}"/>
    <hyperlink ref="H68" r:id="rId26" display="https://cmfclearinghouse.fhwa.dot.gov/detail.php?facid=11625" xr:uid="{707C1DE2-4235-4EEC-9A48-D456442D078F}"/>
    <hyperlink ref="H69" r:id="rId27" display="https://cmfclearinghouse.fhwa.dot.gov/detail.php?facid=11624" xr:uid="{B212A1E4-93EB-4F80-BC5A-46A5E7F27888}"/>
    <hyperlink ref="H71" r:id="rId28" display="https://cmfclearinghouse.fhwa.dot.gov/detail.php?facid=11594" xr:uid="{482D52E3-3A91-44D0-B0EE-7A28A3DABCA4}"/>
    <hyperlink ref="H70" r:id="rId29" display="https://cmfclearinghouse.fhwa.dot.gov/detail.php?facid=11595" xr:uid="{F529D0FE-B9E8-4717-9292-940CDF8B6F01}"/>
    <hyperlink ref="H72" r:id="rId30" display="https://cmfclearinghouse.fhwa.dot.gov/detail.php?facid=11273" xr:uid="{D0F08057-37EF-4818-8376-7E8E5049FF97}"/>
    <hyperlink ref="H73" r:id="rId31" display="https://cmfclearinghouse.fhwa.dot.gov/detail.php?facid=11275" xr:uid="{958A34AC-E696-4CA6-9A4F-C603DAD55B6D}"/>
    <hyperlink ref="H74" r:id="rId32" display="https://cmfclearinghouse.fhwa.dot.gov/detail.php?facid=11277" xr:uid="{049908C0-1A15-4C8C-BC4B-BB9F2342CCB1}"/>
    <hyperlink ref="H75" r:id="rId33" display="https://cmfclearinghouse.fhwa.dot.gov/detail.php?facid=11278" xr:uid="{29B5545E-B4B2-49AD-A56C-7AD4201AF052}"/>
    <hyperlink ref="H76" r:id="rId34" display="https://cmfclearinghouse.fhwa.dot.gov/detail.php?facid=11279" xr:uid="{F509E745-D0DC-4A4C-BFD4-FA8D0E48B6D4}"/>
    <hyperlink ref="H83" r:id="rId35" display="https://cmfclearinghouse.fhwa.dot.gov/detail.php?facid=2519" xr:uid="{3F4080B6-166D-4F36-A89A-3196B5ECACCC}"/>
    <hyperlink ref="H82" r:id="rId36" display="https://cmfclearinghouse.fhwa.dot.gov/detail.php?facid=2514" xr:uid="{B3287DA5-F2C5-4694-B35E-5E05B83C0220}"/>
    <hyperlink ref="H77" r:id="rId37" display="https://cmfclearinghouse.fhwa.dot.gov/detail.php?facid=10375" xr:uid="{AA488C9D-9ACD-470F-92E5-C635EA6558D1}"/>
    <hyperlink ref="H78" r:id="rId38" display="https://cmfclearinghouse.fhwa.dot.gov/detail.php?facid=2341" xr:uid="{3B933900-6780-495C-9C39-3C410CFF0052}"/>
    <hyperlink ref="H79" r:id="rId39" display="https://cmfclearinghouse.fhwa.dot.gov/detail.php?facid=2346" xr:uid="{C70F4A99-D5A8-44CA-AE12-E0F8C79460CF}"/>
    <hyperlink ref="H80" r:id="rId40" display="https://cmfclearinghouse.fhwa.dot.gov/detail.php?facid=7828" xr:uid="{B08C3548-6BEC-46E0-96FF-255EE1A22483}"/>
    <hyperlink ref="H81" r:id="rId41" display="https://cmfclearinghouse.fhwa.dot.gov/detail.php?facid=7829" xr:uid="{18D9733A-56C2-4153-AD6D-A99E78DF6559}"/>
    <hyperlink ref="I80:I81" r:id="rId42" display="Abdel-Aty et al. (2014). VALIDATION AND APPLICATION OF HIGHWAY SAFETY MANUAL (PART D) IN FLORIDA " xr:uid="{061B068F-A460-4AB1-98CA-6D072B6BEDF8}"/>
    <hyperlink ref="I78:I79" r:id="rId43" display="Persaud, B., Lyon, C., Eccles, K., Lefler, N., Carter, D., &amp; Amjadi, R. (2008b). Safety Evaluation of Installing Center Two-Way Left-Turn Lanes on Two-Lane Roads. Washington, D.C.: Federal Highway Administration." xr:uid="{25784E44-883D-47C1-85C2-233DDF9639A7}"/>
    <hyperlink ref="I78" r:id="rId44" display="www.ltrc.lsu.edu/pdf/2019/FR_597.pdf" xr:uid="{2B3C8136-0489-49D8-AD25-57390E2F182C}"/>
    <hyperlink ref="I77" r:id="rId45" display="www.ltrc.lsu.edu/pdf/2019/FR_597.pdf" xr:uid="{D1C7F738-CD3B-406B-BAAD-0B7B65F7BD0A}"/>
    <hyperlink ref="I72:I76" r:id="rId46" display="Ingle, A., and T.J. Gates. &quot;Crash Modification Functions for Rural Skewed Intersections&quot;. Transportation Research Record, Transportation Research Board of the National Academies of Science, Washington, D.C., (2022)." xr:uid="{F4E9483A-2A53-4578-B13C-04449D924908}"/>
    <hyperlink ref="H20" r:id="rId47" display="https://cmfclearinghouse.fhwa.dot.gov/detail.php?facid=270" xr:uid="{DD9C0150-BBB6-46FF-BDB0-FEF149739E1B}"/>
    <hyperlink ref="H26" r:id="rId48" display="https://cmfclearinghouse.fhwa.dot.gov/detail.php?facid=269" xr:uid="{D47B7377-5ABE-4737-BBD2-C19CD62E42EB}"/>
    <hyperlink ref="H22" r:id="rId49" display="https://cmfclearinghouse.fhwa.dot.gov/detail.php?facid=4644" xr:uid="{C2F96A86-2FC2-4641-A91F-AEE242F7CCB6}"/>
    <hyperlink ref="H23" r:id="rId50" display="https://cmfclearinghouse.fhwa.dot.gov/detail.php?facid=262" xr:uid="{C69DC271-C5EF-4A92-8DFF-24D11337053F}"/>
    <hyperlink ref="H28" r:id="rId51" display="https://cmfclearinghouse.fhwa.dot.gov/detail.php?facid=254" xr:uid="{19D2AF31-E57F-46DE-A50B-181D321DB497}"/>
    <hyperlink ref="H29" r:id="rId52" display="https://cmfclearinghouse.fhwa.dot.gov/detail.php?facid=261" xr:uid="{CCF58415-C3D0-4A4E-A4E6-B23E6593E510}"/>
    <hyperlink ref="H21" r:id="rId53" display="https://cmfclearinghouse.fhwa.dot.gov/detail.php?facid=4648" xr:uid="{6DB75CAF-09CA-46E9-B0A8-ECACBD46611D}"/>
    <hyperlink ref="H24" r:id="rId54" display="https://cmfclearinghouse.fhwa.dot.gov/detail.php?facid=4643" xr:uid="{63ABF952-C6AC-4C35-B533-25C896461444}"/>
    <hyperlink ref="H25" r:id="rId55" display="https://cmfclearinghouse.fhwa.dot.gov/detail.php?facid=4647" xr:uid="{99F06191-9F09-4887-A1EF-3D7DC8171228}"/>
    <hyperlink ref="H27" r:id="rId56" display="https://cmfclearinghouse.fhwa.dot.gov/detail.php?facid=268" xr:uid="{B133D074-0BBA-4020-B7AE-545BCABE5F49}"/>
    <hyperlink ref="H30" r:id="rId57" display="https://cmfclearinghouse.fhwa.dot.gov/detail.php?facid=253" xr:uid="{FC732523-C333-46BC-8AC8-EFED7DE71278}"/>
    <hyperlink ref="H31" r:id="rId58" display="https://cmfclearinghouse.fhwa.dot.gov/detail.php?facid=260" xr:uid="{5AD82B32-1EB1-4C54-96C4-CA1A34C91988}"/>
    <hyperlink ref="H34" r:id="rId59" display="https://cmfclearinghouse.fhwa.dot.gov/detail.php?facid=290" xr:uid="{94015C2F-46A3-45D8-BD61-001623744DA1}"/>
    <hyperlink ref="H35" r:id="rId60" display="https://cmfclearinghouse.fhwa.dot.gov/detail.php?facid=286" xr:uid="{881BB9F1-B97F-4A20-9BF3-76AF38E85404}"/>
    <hyperlink ref="H36" r:id="rId61" display="https://cmfclearinghouse.fhwa.dot.gov/detail.php?facid=289" xr:uid="{3531804A-1D18-4B1E-9954-E7EE27F82568}"/>
    <hyperlink ref="H37" r:id="rId62" display="https://cmfclearinghouse.fhwa.dot.gov/detail.php?facid=285" xr:uid="{41A2362C-D2AF-4419-81C2-4B74DCBDC5A7}"/>
    <hyperlink ref="H2" r:id="rId63" display="https://cmfclearinghouse.fhwa.dot.gov/detail.php?facid=3131" xr:uid="{DC557C47-4CB5-4E9F-8FAD-7268439154FC}"/>
    <hyperlink ref="H3" r:id="rId64" display="https://cmfclearinghouse.fhwa.dot.gov/detail.php?facid=3130" xr:uid="{AAD8F29B-9427-4E0C-AC27-EA70FC0925DF}"/>
  </hyperlinks>
  <pageMargins left="0.7" right="0.7" top="0.75" bottom="0.75" header="0.3" footer="0.3"/>
  <pageSetup orientation="portrait" r:id="rId6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87637-3912-4DB3-8147-FF7BFD908F30}">
  <sheetPr>
    <pageSetUpPr fitToPage="1"/>
  </sheetPr>
  <dimension ref="A1:P13"/>
  <sheetViews>
    <sheetView showGridLines="0" workbookViewId="0">
      <selection activeCell="B11" sqref="B11"/>
    </sheetView>
  </sheetViews>
  <sheetFormatPr defaultRowHeight="15" x14ac:dyDescent="0.25"/>
  <cols>
    <col min="1" max="1" width="3.140625" customWidth="1"/>
    <col min="2" max="2" width="138.7109375" bestFit="1" customWidth="1"/>
    <col min="3" max="3" width="19.5703125" bestFit="1" customWidth="1"/>
    <col min="4" max="4" width="6.28515625" customWidth="1"/>
    <col min="5" max="5" width="70.5703125" bestFit="1" customWidth="1"/>
    <col min="6" max="6" width="19" customWidth="1"/>
    <col min="8" max="8" width="21" bestFit="1" customWidth="1"/>
  </cols>
  <sheetData>
    <row r="1" spans="1:16" ht="15" customHeight="1" x14ac:dyDescent="0.25">
      <c r="A1" s="395" t="s">
        <v>2156</v>
      </c>
      <c r="B1" s="396"/>
      <c r="C1" s="397"/>
      <c r="D1" s="439" t="s">
        <v>2158</v>
      </c>
      <c r="E1" s="440"/>
      <c r="F1" s="441"/>
      <c r="G1" s="88"/>
      <c r="H1" s="23" t="s">
        <v>134</v>
      </c>
      <c r="I1" s="88"/>
      <c r="J1" s="88"/>
      <c r="K1" s="88"/>
      <c r="L1" s="88"/>
      <c r="M1" s="88"/>
      <c r="N1" s="88"/>
      <c r="O1" s="88"/>
      <c r="P1" s="88"/>
    </row>
    <row r="2" spans="1:16" x14ac:dyDescent="0.25">
      <c r="A2" s="398"/>
      <c r="B2" s="399"/>
      <c r="C2" s="400"/>
      <c r="D2" s="442"/>
      <c r="E2" s="443"/>
      <c r="F2" s="444"/>
      <c r="G2" s="88"/>
      <c r="H2" s="88"/>
      <c r="I2" s="88"/>
      <c r="J2" s="88"/>
      <c r="K2" s="88"/>
      <c r="L2" s="88"/>
      <c r="M2" s="88"/>
      <c r="N2" s="88"/>
      <c r="O2" s="88"/>
      <c r="P2" s="88"/>
    </row>
    <row r="3" spans="1:16" x14ac:dyDescent="0.25">
      <c r="A3" s="398"/>
      <c r="B3" s="399"/>
      <c r="C3" s="400"/>
      <c r="D3" s="442"/>
      <c r="E3" s="443"/>
      <c r="F3" s="444"/>
      <c r="G3" s="88"/>
      <c r="H3" s="88"/>
      <c r="I3" s="88"/>
      <c r="J3" s="88"/>
      <c r="K3" s="88"/>
      <c r="L3" s="88"/>
      <c r="M3" s="88"/>
      <c r="N3" s="88"/>
      <c r="O3" s="88"/>
      <c r="P3" s="88"/>
    </row>
    <row r="4" spans="1:16" x14ac:dyDescent="0.25">
      <c r="A4" s="398"/>
      <c r="B4" s="399"/>
      <c r="C4" s="400"/>
      <c r="D4" s="442"/>
      <c r="E4" s="443"/>
      <c r="F4" s="444"/>
      <c r="G4" s="88"/>
      <c r="H4" s="88"/>
      <c r="I4" s="88"/>
      <c r="J4" s="88"/>
      <c r="K4" s="88"/>
      <c r="L4" s="88"/>
      <c r="M4" s="88"/>
      <c r="N4" s="88"/>
      <c r="O4" s="88"/>
      <c r="P4" s="88"/>
    </row>
    <row r="5" spans="1:16" x14ac:dyDescent="0.25">
      <c r="A5" s="398"/>
      <c r="B5" s="399"/>
      <c r="C5" s="400"/>
      <c r="D5" s="442"/>
      <c r="E5" s="443"/>
      <c r="F5" s="444"/>
      <c r="G5" s="88"/>
      <c r="H5" s="88"/>
      <c r="I5" s="88"/>
      <c r="J5" s="88"/>
      <c r="K5" s="88"/>
      <c r="L5" s="88"/>
      <c r="M5" s="88"/>
      <c r="N5" s="88"/>
      <c r="O5" s="88"/>
      <c r="P5" s="88"/>
    </row>
    <row r="6" spans="1:16" ht="15.75" thickBot="1" x14ac:dyDescent="0.3">
      <c r="A6" s="401"/>
      <c r="B6" s="402"/>
      <c r="C6" s="403"/>
      <c r="D6" s="445"/>
      <c r="E6" s="446"/>
      <c r="F6" s="447"/>
      <c r="G6" s="88"/>
      <c r="H6" s="88"/>
      <c r="I6" s="88"/>
      <c r="J6" s="88"/>
      <c r="K6" s="88"/>
      <c r="L6" s="88"/>
      <c r="M6" s="88"/>
      <c r="N6" s="88"/>
      <c r="O6" s="88"/>
      <c r="P6" s="88"/>
    </row>
    <row r="7" spans="1:16" ht="15.75" thickBot="1" x14ac:dyDescent="0.3">
      <c r="A7" s="9"/>
      <c r="B7" s="9"/>
      <c r="C7" s="9"/>
      <c r="D7" s="9"/>
      <c r="E7" s="9"/>
      <c r="F7" s="9"/>
      <c r="G7" s="9"/>
      <c r="H7" s="9"/>
      <c r="I7" s="9"/>
      <c r="J7" s="9"/>
      <c r="K7" s="9"/>
      <c r="L7" s="9"/>
      <c r="M7" s="9"/>
    </row>
    <row r="8" spans="1:16" ht="18.75" x14ac:dyDescent="0.3">
      <c r="A8" s="9"/>
      <c r="B8" s="91" t="s">
        <v>2157</v>
      </c>
      <c r="C8" s="92" t="s">
        <v>14</v>
      </c>
      <c r="D8" s="9"/>
      <c r="E8" s="500" t="s">
        <v>185</v>
      </c>
      <c r="F8" s="500"/>
      <c r="G8" s="9"/>
      <c r="H8" s="9"/>
      <c r="I8" s="9"/>
      <c r="J8" s="9"/>
      <c r="K8" s="9"/>
      <c r="L8" s="9"/>
      <c r="M8" s="9"/>
    </row>
    <row r="9" spans="1:16" ht="18.75" x14ac:dyDescent="0.25">
      <c r="B9" s="501" t="s">
        <v>2159</v>
      </c>
      <c r="C9" s="502"/>
      <c r="E9" s="80" t="s">
        <v>186</v>
      </c>
      <c r="F9" s="80" t="s">
        <v>14</v>
      </c>
    </row>
    <row r="10" spans="1:16" x14ac:dyDescent="0.25">
      <c r="B10" s="503" t="s">
        <v>2234</v>
      </c>
      <c r="C10" s="504"/>
      <c r="E10" s="84" t="s">
        <v>2231</v>
      </c>
      <c r="F10" s="84">
        <v>0</v>
      </c>
    </row>
    <row r="11" spans="1:16" ht="30.75" thickBot="1" x14ac:dyDescent="0.3">
      <c r="B11" s="97"/>
      <c r="C11" s="94">
        <f>IFERROR(VLOOKUP(B11,'Factor 4 Calculations'!A1:B3,2,FALSE),0)</f>
        <v>0</v>
      </c>
      <c r="E11" s="307" t="s">
        <v>2233</v>
      </c>
      <c r="F11" s="84">
        <v>2</v>
      </c>
    </row>
    <row r="12" spans="1:16" x14ac:dyDescent="0.25">
      <c r="E12" s="84" t="s">
        <v>2230</v>
      </c>
      <c r="F12" s="84">
        <v>4</v>
      </c>
    </row>
    <row r="13" spans="1:16" x14ac:dyDescent="0.25">
      <c r="E13" s="6"/>
      <c r="F13" s="6"/>
    </row>
  </sheetData>
  <sheetProtection algorithmName="SHA-512" hashValue="TXIE1cKCgZ6EXmtthhumFytmhsq3kx21LvVrXg/VuMkJEdljvr7W5jgh02BCiIxP2wiRNhyhmvBuk7BJTMr82A==" saltValue="Sdhl533TJ6I237zarhAujQ==" spinCount="100000" sheet="1" objects="1" scenarios="1"/>
  <protectedRanges>
    <protectedRange sqref="B11" name="Input"/>
  </protectedRanges>
  <mergeCells count="5">
    <mergeCell ref="A1:C6"/>
    <mergeCell ref="D1:F6"/>
    <mergeCell ref="E8:F8"/>
    <mergeCell ref="B9:C9"/>
    <mergeCell ref="B10:C10"/>
  </mergeCells>
  <conditionalFormatting sqref="E10:E12">
    <cfRule type="expression" dxfId="5" priority="45">
      <formula>$E10=$B$11</formula>
    </cfRule>
  </conditionalFormatting>
  <hyperlinks>
    <hyperlink ref="H1" location="'Cover Sheet'!B18" display="BACK TO COVER SHEET" xr:uid="{91054B4B-AF8F-4376-A1DE-21D87123CB7D}"/>
    <hyperlink ref="B9:C9" r:id="rId1" display="Trauma Center Proximity Map" xr:uid="{5BF8B9F7-C2AD-4534-8FEA-4D44A6472F8A}"/>
  </hyperlinks>
  <pageMargins left="0.7" right="0.7" top="0.75" bottom="0.75" header="0.3" footer="0.3"/>
  <pageSetup scale="58" orientation="landscape" r:id="rId2"/>
  <extLst>
    <ext xmlns:x14="http://schemas.microsoft.com/office/spreadsheetml/2009/9/main" uri="{CCE6A557-97BC-4b89-ADB6-D9C93CAAB3DF}">
      <x14:dataValidations xmlns:xm="http://schemas.microsoft.com/office/excel/2006/main" count="1">
        <x14:dataValidation type="list" allowBlank="1" showInputMessage="1" showErrorMessage="1" xr:uid="{395E8B4F-75BD-494A-90EB-85A08AF6D184}">
          <x14:formula1>
            <xm:f>'Factor 4 Calculations'!$A$1:$A$3</xm:f>
          </x14:formula1>
          <xm:sqref>B11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81F93-3D49-488E-A408-8AA280A6ABCA}">
  <dimension ref="A1:B3"/>
  <sheetViews>
    <sheetView workbookViewId="0">
      <selection activeCell="J11" sqref="J11:J12"/>
    </sheetView>
  </sheetViews>
  <sheetFormatPr defaultRowHeight="15" x14ac:dyDescent="0.25"/>
  <cols>
    <col min="1" max="1" width="111" bestFit="1" customWidth="1"/>
  </cols>
  <sheetData>
    <row r="1" spans="1:2" x14ac:dyDescent="0.25">
      <c r="A1" t="s">
        <v>2231</v>
      </c>
      <c r="B1" s="6">
        <v>0</v>
      </c>
    </row>
    <row r="2" spans="1:2" x14ac:dyDescent="0.25">
      <c r="A2" t="s">
        <v>2233</v>
      </c>
      <c r="B2" s="6">
        <v>2</v>
      </c>
    </row>
    <row r="3" spans="1:2" x14ac:dyDescent="0.25">
      <c r="A3" t="s">
        <v>2230</v>
      </c>
      <c r="B3" s="180">
        <v>4</v>
      </c>
    </row>
  </sheetData>
  <sheetProtection algorithmName="SHA-512" hashValue="t4uge4XuyLTyEvm19dQ8argSOPlHW1MIYUL1Ozpl4IlXmwMm4VWNtYOYiDCEWxxQZy0zpr/MKMom5+kgePYl1Q==" saltValue="oq6bf+OhOq7tZDfhxGVpeA==" spinCount="100000" sheet="1" objects="1" scenario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32"/>
  <sheetViews>
    <sheetView showGridLines="0" workbookViewId="0">
      <selection activeCell="E25" sqref="E25"/>
    </sheetView>
  </sheetViews>
  <sheetFormatPr defaultRowHeight="15" x14ac:dyDescent="0.25"/>
  <cols>
    <col min="1" max="1" width="3.140625" customWidth="1"/>
    <col min="2" max="2" width="88.85546875" bestFit="1" customWidth="1"/>
    <col min="3" max="3" width="19.5703125" bestFit="1" customWidth="1"/>
    <col min="4" max="4" width="6.28515625" customWidth="1"/>
    <col min="5" max="5" width="70.5703125" bestFit="1" customWidth="1"/>
    <col min="6" max="6" width="19" customWidth="1"/>
    <col min="8" max="8" width="21" bestFit="1" customWidth="1"/>
  </cols>
  <sheetData>
    <row r="1" spans="1:16" ht="15" customHeight="1" x14ac:dyDescent="0.25">
      <c r="A1" s="395" t="s">
        <v>2160</v>
      </c>
      <c r="B1" s="396"/>
      <c r="C1" s="397"/>
      <c r="D1" s="439" t="s">
        <v>2173</v>
      </c>
      <c r="E1" s="440"/>
      <c r="F1" s="441"/>
      <c r="G1" s="88"/>
      <c r="H1" s="23" t="s">
        <v>134</v>
      </c>
      <c r="I1" s="88"/>
      <c r="J1" s="88"/>
      <c r="K1" s="88"/>
      <c r="L1" s="88"/>
      <c r="M1" s="88"/>
      <c r="N1" s="88"/>
      <c r="O1" s="88"/>
      <c r="P1" s="88"/>
    </row>
    <row r="2" spans="1:16" x14ac:dyDescent="0.25">
      <c r="A2" s="398"/>
      <c r="B2" s="399"/>
      <c r="C2" s="400"/>
      <c r="D2" s="442"/>
      <c r="E2" s="443"/>
      <c r="F2" s="444"/>
      <c r="G2" s="88"/>
      <c r="H2" s="88"/>
      <c r="I2" s="88"/>
      <c r="J2" s="88"/>
      <c r="K2" s="88"/>
      <c r="L2" s="88"/>
      <c r="M2" s="88"/>
      <c r="N2" s="88"/>
      <c r="O2" s="88"/>
      <c r="P2" s="88"/>
    </row>
    <row r="3" spans="1:16" x14ac:dyDescent="0.25">
      <c r="A3" s="398"/>
      <c r="B3" s="399"/>
      <c r="C3" s="400"/>
      <c r="D3" s="442"/>
      <c r="E3" s="443"/>
      <c r="F3" s="444"/>
      <c r="G3" s="88"/>
      <c r="H3" s="88"/>
      <c r="I3" s="88"/>
      <c r="J3" s="88"/>
      <c r="K3" s="88"/>
      <c r="L3" s="88"/>
      <c r="M3" s="88"/>
      <c r="N3" s="88"/>
      <c r="O3" s="88"/>
      <c r="P3" s="88"/>
    </row>
    <row r="4" spans="1:16" x14ac:dyDescent="0.25">
      <c r="A4" s="398"/>
      <c r="B4" s="399"/>
      <c r="C4" s="400"/>
      <c r="D4" s="442"/>
      <c r="E4" s="443"/>
      <c r="F4" s="444"/>
      <c r="G4" s="88"/>
      <c r="H4" s="88"/>
      <c r="I4" s="88"/>
      <c r="J4" s="88"/>
      <c r="K4" s="88"/>
      <c r="L4" s="88"/>
      <c r="M4" s="88"/>
      <c r="N4" s="88"/>
      <c r="O4" s="88"/>
      <c r="P4" s="88"/>
    </row>
    <row r="5" spans="1:16" x14ac:dyDescent="0.25">
      <c r="A5" s="398"/>
      <c r="B5" s="399"/>
      <c r="C5" s="400"/>
      <c r="D5" s="442"/>
      <c r="E5" s="443"/>
      <c r="F5" s="444"/>
      <c r="G5" s="88"/>
      <c r="H5" s="88"/>
      <c r="I5" s="88"/>
      <c r="J5" s="88"/>
      <c r="K5" s="88"/>
      <c r="L5" s="88"/>
      <c r="M5" s="88"/>
      <c r="N5" s="88"/>
      <c r="O5" s="88"/>
      <c r="P5" s="88"/>
    </row>
    <row r="6" spans="1:16" ht="15.75" thickBot="1" x14ac:dyDescent="0.3">
      <c r="A6" s="401"/>
      <c r="B6" s="402"/>
      <c r="C6" s="403"/>
      <c r="D6" s="445"/>
      <c r="E6" s="446"/>
      <c r="F6" s="447"/>
      <c r="G6" s="88"/>
      <c r="H6" s="88"/>
      <c r="I6" s="88"/>
      <c r="J6" s="88"/>
      <c r="K6" s="88"/>
      <c r="L6" s="88"/>
      <c r="M6" s="88"/>
      <c r="N6" s="88"/>
      <c r="O6" s="88"/>
      <c r="P6" s="88"/>
    </row>
    <row r="7" spans="1:16" ht="15.75" thickBot="1" x14ac:dyDescent="0.3">
      <c r="A7" s="9"/>
      <c r="B7" s="9"/>
      <c r="C7" s="9"/>
      <c r="D7" s="9"/>
      <c r="E7" s="9"/>
      <c r="F7" s="9"/>
      <c r="G7" s="9"/>
      <c r="H7" s="9"/>
      <c r="I7" s="9"/>
      <c r="J7" s="9"/>
      <c r="K7" s="9"/>
      <c r="L7" s="9"/>
      <c r="M7" s="9"/>
    </row>
    <row r="8" spans="1:16" ht="18.75" x14ac:dyDescent="0.3">
      <c r="A8" s="9"/>
      <c r="B8" s="91" t="s">
        <v>184</v>
      </c>
      <c r="C8" s="92" t="s">
        <v>14</v>
      </c>
      <c r="D8" s="9"/>
      <c r="E8" s="500" t="s">
        <v>185</v>
      </c>
      <c r="F8" s="500"/>
      <c r="G8" s="9"/>
      <c r="H8" s="9"/>
      <c r="I8" s="9"/>
      <c r="J8" s="9"/>
      <c r="K8" s="9"/>
      <c r="L8" s="9"/>
      <c r="M8" s="9"/>
    </row>
    <row r="9" spans="1:16" ht="19.5" thickBot="1" x14ac:dyDescent="0.35">
      <c r="B9" s="93"/>
      <c r="C9" s="94">
        <f>IFERROR(VLOOKUP(B9,'Factor 5 Calculations'!A1:B4,2,FALSE),0)</f>
        <v>0</v>
      </c>
      <c r="E9" s="80" t="s">
        <v>186</v>
      </c>
      <c r="F9" s="80" t="s">
        <v>14</v>
      </c>
    </row>
    <row r="10" spans="1:16" x14ac:dyDescent="0.25">
      <c r="E10" s="84" t="s">
        <v>187</v>
      </c>
      <c r="F10" s="84">
        <v>0</v>
      </c>
    </row>
    <row r="11" spans="1:16" x14ac:dyDescent="0.25">
      <c r="E11" s="84" t="s">
        <v>188</v>
      </c>
      <c r="F11" s="84">
        <v>1</v>
      </c>
    </row>
    <row r="12" spans="1:16" x14ac:dyDescent="0.25">
      <c r="E12" s="84" t="s">
        <v>189</v>
      </c>
      <c r="F12" s="84">
        <v>2</v>
      </c>
    </row>
    <row r="13" spans="1:16" x14ac:dyDescent="0.25">
      <c r="E13" s="84" t="s">
        <v>190</v>
      </c>
      <c r="F13" s="84">
        <v>4</v>
      </c>
    </row>
    <row r="31" spans="4:5" x14ac:dyDescent="0.25">
      <c r="D31" s="180"/>
      <c r="E31" s="180"/>
    </row>
    <row r="32" spans="4:5" x14ac:dyDescent="0.25">
      <c r="D32" s="180"/>
      <c r="E32" s="180"/>
    </row>
  </sheetData>
  <sheetProtection algorithmName="SHA-512" hashValue="xvniNqQMsWZtjbOJJpk6vaw92T2+xs40SoOFAqML2/lq3XFoT2yfwEateo96mAZdgQKhwXMYjJP/5FV4lfcUQg==" saltValue="9oa0UXTxcyIE7qmrJ1jn4A==" spinCount="100000" sheet="1" objects="1" scenarios="1"/>
  <protectedRanges>
    <protectedRange sqref="B9" name="Input"/>
  </protectedRanges>
  <mergeCells count="3">
    <mergeCell ref="E8:F8"/>
    <mergeCell ref="A1:C6"/>
    <mergeCell ref="D1:F6"/>
  </mergeCells>
  <conditionalFormatting sqref="E10:F13">
    <cfRule type="expression" dxfId="4" priority="30">
      <formula>$E10=$B$9</formula>
    </cfRule>
  </conditionalFormatting>
  <hyperlinks>
    <hyperlink ref="H1" location="'Cover Sheet'!B18" display="BACK TO COVER SHEET" xr:uid="{CC1D7FAC-B18B-4234-B8B1-07D5FC46274C}"/>
  </hyperlinks>
  <pageMargins left="0.7" right="0.7" top="0.75" bottom="0.75" header="0.3" footer="0.3"/>
  <pageSetup scale="5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5C74ADE-9ABF-4FBC-8095-1774FF52A67A}">
          <x14:formula1>
            <xm:f>'Factor 5 Calculations'!$A$1:$A$4</xm:f>
          </x14:formula1>
          <xm:sqref>B9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BBCC-9184-4F28-B50E-D50B7DC657E8}">
  <dimension ref="A1:B4"/>
  <sheetViews>
    <sheetView workbookViewId="0">
      <selection activeCell="B5" sqref="B5"/>
    </sheetView>
  </sheetViews>
  <sheetFormatPr defaultRowHeight="15" x14ac:dyDescent="0.25"/>
  <cols>
    <col min="1" max="1" width="70.5703125" bestFit="1" customWidth="1"/>
  </cols>
  <sheetData>
    <row r="1" spans="1:2" x14ac:dyDescent="0.25">
      <c r="A1" t="s">
        <v>187</v>
      </c>
      <c r="B1">
        <v>0</v>
      </c>
    </row>
    <row r="2" spans="1:2" x14ac:dyDescent="0.25">
      <c r="A2" t="s">
        <v>188</v>
      </c>
      <c r="B2">
        <v>1</v>
      </c>
    </row>
    <row r="3" spans="1:2" x14ac:dyDescent="0.25">
      <c r="A3" t="s">
        <v>189</v>
      </c>
      <c r="B3">
        <v>2</v>
      </c>
    </row>
    <row r="4" spans="1:2" x14ac:dyDescent="0.25">
      <c r="A4" t="s">
        <v>190</v>
      </c>
      <c r="B4">
        <v>4</v>
      </c>
    </row>
  </sheetData>
  <sheetProtection algorithmName="SHA-512" hashValue="rNuig57vDJoghwUomUJYQk2BptjbXe2URL++RGp28ENzpK0Va1pqmMbEpzX0SPeqhg0mZ+jeqPObijRhJIw2hA==" saltValue="ZffIsXWLgyQH2xU8Av/Tc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2A9E-46F5-46F5-8CC2-08B0CA4D8894}">
  <dimension ref="A1:Z25"/>
  <sheetViews>
    <sheetView workbookViewId="0">
      <selection activeCell="O12" sqref="O12"/>
    </sheetView>
  </sheetViews>
  <sheetFormatPr defaultRowHeight="15" x14ac:dyDescent="0.25"/>
  <cols>
    <col min="1" max="1" width="14" bestFit="1" customWidth="1"/>
    <col min="2" max="2" width="16" customWidth="1"/>
    <col min="3" max="3" width="12.5703125" customWidth="1"/>
    <col min="4" max="4" width="12.7109375" customWidth="1"/>
    <col min="5" max="5" width="10.28515625" customWidth="1"/>
    <col min="6" max="6" width="11" customWidth="1"/>
    <col min="7" max="7" width="12.42578125" customWidth="1"/>
  </cols>
  <sheetData>
    <row r="1" spans="1:26" x14ac:dyDescent="0.25">
      <c r="A1" t="s">
        <v>33</v>
      </c>
      <c r="B1" t="s">
        <v>34</v>
      </c>
      <c r="C1" t="s">
        <v>35</v>
      </c>
      <c r="D1" t="s">
        <v>36</v>
      </c>
      <c r="E1" t="s">
        <v>37</v>
      </c>
      <c r="F1" t="s">
        <v>38</v>
      </c>
      <c r="G1" t="s">
        <v>39</v>
      </c>
      <c r="Z1" t="s">
        <v>40</v>
      </c>
    </row>
    <row r="2" spans="1:26" x14ac:dyDescent="0.25">
      <c r="A2" t="s">
        <v>34</v>
      </c>
      <c r="B2" t="s">
        <v>41</v>
      </c>
      <c r="C2" t="s">
        <v>42</v>
      </c>
      <c r="D2" t="s">
        <v>43</v>
      </c>
      <c r="E2" t="s">
        <v>44</v>
      </c>
      <c r="F2" t="s">
        <v>45</v>
      </c>
      <c r="G2" t="s">
        <v>46</v>
      </c>
      <c r="I2" t="s">
        <v>33</v>
      </c>
      <c r="J2">
        <f>IF('Cover Sheet'!D4="La Porte","LaPorte",IF('Cover Sheet'!D4="Fort Wayne", "FtWayne",'Cover Sheet'!D4))</f>
        <v>0</v>
      </c>
    </row>
    <row r="3" spans="1:26" x14ac:dyDescent="0.25">
      <c r="A3" t="s">
        <v>35</v>
      </c>
      <c r="B3" t="s">
        <v>47</v>
      </c>
      <c r="C3" t="s">
        <v>48</v>
      </c>
      <c r="D3" t="s">
        <v>47</v>
      </c>
      <c r="E3" t="s">
        <v>49</v>
      </c>
      <c r="F3" t="s">
        <v>50</v>
      </c>
      <c r="G3" t="s">
        <v>51</v>
      </c>
    </row>
    <row r="4" spans="1:26" x14ac:dyDescent="0.25">
      <c r="A4" t="s">
        <v>36</v>
      </c>
      <c r="B4" t="s">
        <v>52</v>
      </c>
      <c r="C4" t="s">
        <v>43</v>
      </c>
      <c r="D4" t="s">
        <v>52</v>
      </c>
      <c r="E4" t="s">
        <v>53</v>
      </c>
      <c r="F4" t="s">
        <v>54</v>
      </c>
      <c r="G4" t="s">
        <v>55</v>
      </c>
    </row>
    <row r="5" spans="1:26" x14ac:dyDescent="0.25">
      <c r="A5" t="s">
        <v>37</v>
      </c>
      <c r="B5" t="s">
        <v>46</v>
      </c>
      <c r="C5" t="s">
        <v>56</v>
      </c>
      <c r="D5" t="s">
        <v>49</v>
      </c>
      <c r="E5" t="s">
        <v>57</v>
      </c>
      <c r="F5" t="s">
        <v>51</v>
      </c>
      <c r="G5" t="s">
        <v>58</v>
      </c>
    </row>
    <row r="6" spans="1:26" x14ac:dyDescent="0.25">
      <c r="A6" t="s">
        <v>38</v>
      </c>
      <c r="B6" t="s">
        <v>53</v>
      </c>
      <c r="C6" t="s">
        <v>57</v>
      </c>
      <c r="D6" t="s">
        <v>59</v>
      </c>
      <c r="E6" t="s">
        <v>60</v>
      </c>
      <c r="F6" t="s">
        <v>61</v>
      </c>
      <c r="G6" t="s">
        <v>62</v>
      </c>
    </row>
    <row r="7" spans="1:26" x14ac:dyDescent="0.25">
      <c r="A7" t="s">
        <v>39</v>
      </c>
      <c r="B7" t="s">
        <v>63</v>
      </c>
      <c r="C7" t="s">
        <v>60</v>
      </c>
      <c r="D7" t="s">
        <v>64</v>
      </c>
      <c r="E7" t="s">
        <v>65</v>
      </c>
      <c r="F7" t="s">
        <v>66</v>
      </c>
      <c r="G7" t="s">
        <v>67</v>
      </c>
    </row>
    <row r="8" spans="1:26" x14ac:dyDescent="0.25">
      <c r="B8" t="s">
        <v>68</v>
      </c>
      <c r="C8" t="s">
        <v>69</v>
      </c>
      <c r="D8" t="s">
        <v>70</v>
      </c>
      <c r="E8" t="s">
        <v>71</v>
      </c>
      <c r="F8" t="s">
        <v>72</v>
      </c>
      <c r="G8" t="s">
        <v>73</v>
      </c>
    </row>
    <row r="9" spans="1:26" x14ac:dyDescent="0.25">
      <c r="B9" t="s">
        <v>74</v>
      </c>
      <c r="C9" t="s">
        <v>75</v>
      </c>
      <c r="D9" t="s">
        <v>69</v>
      </c>
      <c r="E9" t="s">
        <v>2027</v>
      </c>
      <c r="F9" t="s">
        <v>70</v>
      </c>
      <c r="G9" t="s">
        <v>76</v>
      </c>
    </row>
    <row r="10" spans="1:26" x14ac:dyDescent="0.25">
      <c r="B10" t="s">
        <v>77</v>
      </c>
      <c r="C10" t="s">
        <v>78</v>
      </c>
      <c r="D10" t="s">
        <v>79</v>
      </c>
      <c r="E10" t="s">
        <v>80</v>
      </c>
      <c r="F10" t="s">
        <v>67</v>
      </c>
      <c r="G10" t="s">
        <v>81</v>
      </c>
    </row>
    <row r="11" spans="1:26" x14ac:dyDescent="0.25">
      <c r="B11" t="s">
        <v>82</v>
      </c>
      <c r="C11" t="s">
        <v>71</v>
      </c>
      <c r="D11" t="s">
        <v>83</v>
      </c>
      <c r="E11" t="s">
        <v>84</v>
      </c>
      <c r="F11" t="s">
        <v>85</v>
      </c>
      <c r="G11" t="s">
        <v>86</v>
      </c>
    </row>
    <row r="12" spans="1:26" x14ac:dyDescent="0.25">
      <c r="B12" t="s">
        <v>87</v>
      </c>
      <c r="C12" t="s">
        <v>88</v>
      </c>
      <c r="D12" t="s">
        <v>68</v>
      </c>
      <c r="E12" t="s">
        <v>89</v>
      </c>
      <c r="F12" t="s">
        <v>90</v>
      </c>
      <c r="G12" t="s">
        <v>91</v>
      </c>
    </row>
    <row r="13" spans="1:26" x14ac:dyDescent="0.25">
      <c r="B13" t="s">
        <v>92</v>
      </c>
      <c r="C13" t="s">
        <v>89</v>
      </c>
      <c r="D13" t="s">
        <v>93</v>
      </c>
      <c r="E13" t="s">
        <v>94</v>
      </c>
      <c r="F13" t="s">
        <v>95</v>
      </c>
      <c r="G13" t="s">
        <v>82</v>
      </c>
    </row>
    <row r="14" spans="1:26" x14ac:dyDescent="0.25">
      <c r="B14" t="s">
        <v>96</v>
      </c>
      <c r="C14" t="s">
        <v>97</v>
      </c>
      <c r="D14" t="s">
        <v>98</v>
      </c>
      <c r="E14" t="s">
        <v>99</v>
      </c>
      <c r="F14" t="s">
        <v>100</v>
      </c>
      <c r="G14" t="s">
        <v>101</v>
      </c>
    </row>
    <row r="15" spans="1:26" x14ac:dyDescent="0.25">
      <c r="B15" t="s">
        <v>102</v>
      </c>
      <c r="C15" t="s">
        <v>103</v>
      </c>
      <c r="D15" t="s">
        <v>78</v>
      </c>
      <c r="E15" t="s">
        <v>104</v>
      </c>
      <c r="F15" t="s">
        <v>105</v>
      </c>
      <c r="G15" t="s">
        <v>106</v>
      </c>
    </row>
    <row r="16" spans="1:26" x14ac:dyDescent="0.25">
      <c r="B16" t="s">
        <v>107</v>
      </c>
      <c r="C16" t="s">
        <v>108</v>
      </c>
      <c r="D16" t="s">
        <v>109</v>
      </c>
      <c r="E16" t="s">
        <v>103</v>
      </c>
      <c r="F16" t="s">
        <v>76</v>
      </c>
      <c r="G16" t="s">
        <v>110</v>
      </c>
    </row>
    <row r="17" spans="2:7" x14ac:dyDescent="0.25">
      <c r="B17" t="s">
        <v>111</v>
      </c>
      <c r="C17" t="s">
        <v>112</v>
      </c>
      <c r="D17" t="s">
        <v>113</v>
      </c>
      <c r="E17" t="s">
        <v>114</v>
      </c>
      <c r="F17" t="s">
        <v>86</v>
      </c>
      <c r="G17" t="s">
        <v>115</v>
      </c>
    </row>
    <row r="18" spans="2:7" x14ac:dyDescent="0.25">
      <c r="B18" t="s">
        <v>116</v>
      </c>
      <c r="C18" t="s">
        <v>117</v>
      </c>
      <c r="D18" t="s">
        <v>89</v>
      </c>
      <c r="E18" t="s">
        <v>116</v>
      </c>
      <c r="F18" t="s">
        <v>77</v>
      </c>
      <c r="G18" t="s">
        <v>118</v>
      </c>
    </row>
    <row r="19" spans="2:7" x14ac:dyDescent="0.25">
      <c r="C19" t="s">
        <v>119</v>
      </c>
      <c r="D19" t="s">
        <v>120</v>
      </c>
      <c r="F19" t="s">
        <v>121</v>
      </c>
      <c r="G19" t="s">
        <v>122</v>
      </c>
    </row>
    <row r="20" spans="2:7" x14ac:dyDescent="0.25">
      <c r="D20" t="s">
        <v>123</v>
      </c>
      <c r="F20" t="s">
        <v>82</v>
      </c>
      <c r="G20" t="s">
        <v>107</v>
      </c>
    </row>
    <row r="21" spans="2:7" x14ac:dyDescent="0.25">
      <c r="D21" t="s">
        <v>124</v>
      </c>
      <c r="F21" t="s">
        <v>125</v>
      </c>
      <c r="G21" t="s">
        <v>126</v>
      </c>
    </row>
    <row r="22" spans="2:7" x14ac:dyDescent="0.25">
      <c r="D22" t="s">
        <v>127</v>
      </c>
      <c r="F22" t="s">
        <v>128</v>
      </c>
      <c r="G22" t="s">
        <v>129</v>
      </c>
    </row>
    <row r="23" spans="2:7" x14ac:dyDescent="0.25">
      <c r="D23" t="s">
        <v>130</v>
      </c>
      <c r="F23" t="s">
        <v>124</v>
      </c>
    </row>
    <row r="24" spans="2:7" x14ac:dyDescent="0.25">
      <c r="D24" t="s">
        <v>131</v>
      </c>
      <c r="F24" t="s">
        <v>132</v>
      </c>
    </row>
    <row r="25" spans="2:7" x14ac:dyDescent="0.25">
      <c r="F25" t="s">
        <v>129</v>
      </c>
    </row>
  </sheetData>
  <sortState xmlns:xlrd2="http://schemas.microsoft.com/office/spreadsheetml/2017/richdata2" ref="Q10:Q101">
    <sortCondition ref="Q10:Q101"/>
  </sortState>
  <pageMargins left="0.7" right="0.7" top="0.75" bottom="0.75" header="0.3" footer="0.3"/>
  <tableParts count="7">
    <tablePart r:id="rId1"/>
    <tablePart r:id="rId2"/>
    <tablePart r:id="rId3"/>
    <tablePart r:id="rId4"/>
    <tablePart r:id="rId5"/>
    <tablePart r:id="rId6"/>
    <tablePart r:id="rId7"/>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32"/>
  <sheetViews>
    <sheetView showGridLines="0" workbookViewId="0">
      <selection activeCell="B9" sqref="B9"/>
    </sheetView>
  </sheetViews>
  <sheetFormatPr defaultRowHeight="15" x14ac:dyDescent="0.25"/>
  <cols>
    <col min="1" max="1" width="3.42578125" customWidth="1"/>
    <col min="2" max="2" width="106.85546875" bestFit="1" customWidth="1"/>
    <col min="3" max="3" width="19.5703125" bestFit="1" customWidth="1"/>
    <col min="4" max="4" width="11" customWidth="1"/>
    <col min="5" max="5" width="102.5703125" bestFit="1" customWidth="1"/>
    <col min="6" max="6" width="19" bestFit="1" customWidth="1"/>
    <col min="8" max="8" width="21" bestFit="1" customWidth="1"/>
  </cols>
  <sheetData>
    <row r="1" spans="1:8" x14ac:dyDescent="0.25">
      <c r="A1" s="395" t="s">
        <v>2161</v>
      </c>
      <c r="B1" s="396"/>
      <c r="C1" s="397"/>
      <c r="D1" s="439" t="s">
        <v>2174</v>
      </c>
      <c r="E1" s="440"/>
      <c r="F1" s="441"/>
      <c r="H1" s="23" t="s">
        <v>134</v>
      </c>
    </row>
    <row r="2" spans="1:8" x14ac:dyDescent="0.25">
      <c r="A2" s="398"/>
      <c r="B2" s="399"/>
      <c r="C2" s="400"/>
      <c r="D2" s="442"/>
      <c r="E2" s="443"/>
      <c r="F2" s="444"/>
    </row>
    <row r="3" spans="1:8" x14ac:dyDescent="0.25">
      <c r="A3" s="398"/>
      <c r="B3" s="399"/>
      <c r="C3" s="400"/>
      <c r="D3" s="442"/>
      <c r="E3" s="443"/>
      <c r="F3" s="444"/>
    </row>
    <row r="4" spans="1:8" x14ac:dyDescent="0.25">
      <c r="A4" s="398"/>
      <c r="B4" s="399"/>
      <c r="C4" s="400"/>
      <c r="D4" s="442"/>
      <c r="E4" s="443"/>
      <c r="F4" s="444"/>
    </row>
    <row r="5" spans="1:8" x14ac:dyDescent="0.25">
      <c r="A5" s="398"/>
      <c r="B5" s="399"/>
      <c r="C5" s="400"/>
      <c r="D5" s="442"/>
      <c r="E5" s="443"/>
      <c r="F5" s="444"/>
    </row>
    <row r="6" spans="1:8" ht="15.75" thickBot="1" x14ac:dyDescent="0.3">
      <c r="A6" s="401"/>
      <c r="B6" s="402"/>
      <c r="C6" s="403"/>
      <c r="D6" s="445"/>
      <c r="E6" s="446"/>
      <c r="F6" s="447"/>
    </row>
    <row r="7" spans="1:8" ht="15.75" thickBot="1" x14ac:dyDescent="0.3"/>
    <row r="8" spans="1:8" ht="18.75" x14ac:dyDescent="0.3">
      <c r="B8" s="95" t="s">
        <v>191</v>
      </c>
      <c r="C8" s="96" t="s">
        <v>14</v>
      </c>
      <c r="E8" s="506" t="s">
        <v>185</v>
      </c>
      <c r="F8" s="507"/>
    </row>
    <row r="9" spans="1:8" ht="19.5" thickBot="1" x14ac:dyDescent="0.3">
      <c r="B9" s="251"/>
      <c r="C9" s="94">
        <f>IFERROR(VLOOKUP(B9,'Factor 6 Calculations'!A1:B6,2,FALSE),0)</f>
        <v>0</v>
      </c>
      <c r="E9" s="80" t="s">
        <v>186</v>
      </c>
      <c r="F9" s="80" t="s">
        <v>14</v>
      </c>
    </row>
    <row r="10" spans="1:8" ht="17.25" x14ac:dyDescent="0.25">
      <c r="B10" s="505" t="str">
        <f>IF(C9&gt;1,"NOTE: Documentation must be uploaded to PW4 as part of project submission","")</f>
        <v/>
      </c>
      <c r="C10" s="505"/>
      <c r="E10" s="83" t="s">
        <v>2162</v>
      </c>
      <c r="F10" s="83">
        <v>0</v>
      </c>
    </row>
    <row r="11" spans="1:8" x14ac:dyDescent="0.25">
      <c r="E11" s="83" t="s">
        <v>192</v>
      </c>
      <c r="F11" s="83">
        <v>1</v>
      </c>
    </row>
    <row r="12" spans="1:8" x14ac:dyDescent="0.25">
      <c r="E12" s="83" t="s">
        <v>193</v>
      </c>
      <c r="F12" s="83">
        <v>2</v>
      </c>
    </row>
    <row r="13" spans="1:8" x14ac:dyDescent="0.25">
      <c r="E13" s="83" t="s">
        <v>194</v>
      </c>
      <c r="F13" s="83">
        <v>3</v>
      </c>
    </row>
    <row r="14" spans="1:8" x14ac:dyDescent="0.25">
      <c r="E14" s="83" t="s">
        <v>195</v>
      </c>
      <c r="F14" s="83">
        <v>4</v>
      </c>
    </row>
    <row r="26" spans="1:13" x14ac:dyDescent="0.25">
      <c r="A26" s="9"/>
      <c r="B26" s="98"/>
      <c r="C26" s="98"/>
      <c r="D26" s="98"/>
      <c r="E26" s="98"/>
      <c r="F26" s="98"/>
      <c r="G26" s="98"/>
      <c r="H26" s="98"/>
      <c r="I26" s="98"/>
      <c r="J26" s="98"/>
      <c r="K26" s="98"/>
      <c r="L26" s="98"/>
      <c r="M26" s="98"/>
    </row>
    <row r="27" spans="1:13" x14ac:dyDescent="0.25">
      <c r="A27" s="98"/>
      <c r="B27" s="98"/>
      <c r="C27" s="98"/>
      <c r="D27" s="98"/>
      <c r="E27" s="98"/>
      <c r="F27" s="98"/>
      <c r="G27" s="98"/>
      <c r="H27" s="98"/>
      <c r="I27" s="98"/>
      <c r="J27" s="98"/>
      <c r="K27" s="98"/>
      <c r="L27" s="98"/>
      <c r="M27" s="98"/>
    </row>
    <row r="28" spans="1:13" x14ac:dyDescent="0.25">
      <c r="A28" s="98"/>
      <c r="B28" s="98"/>
      <c r="C28" s="98"/>
      <c r="D28" s="98"/>
      <c r="E28" s="98"/>
      <c r="F28" s="98"/>
      <c r="G28" s="98"/>
      <c r="H28" s="98"/>
      <c r="I28" s="98"/>
      <c r="J28" s="98"/>
      <c r="K28" s="98"/>
      <c r="L28" s="98"/>
      <c r="M28" s="98"/>
    </row>
    <row r="29" spans="1:13" x14ac:dyDescent="0.25">
      <c r="A29" s="98"/>
      <c r="B29" s="98"/>
      <c r="C29" s="98"/>
      <c r="D29" s="98"/>
      <c r="E29" s="98"/>
      <c r="F29" s="98"/>
      <c r="G29" s="98"/>
      <c r="H29" s="98"/>
      <c r="I29" s="98"/>
      <c r="J29" s="98"/>
      <c r="K29" s="98"/>
      <c r="L29" s="98"/>
      <c r="M29" s="98"/>
    </row>
    <row r="30" spans="1:13" x14ac:dyDescent="0.25">
      <c r="A30" s="98"/>
      <c r="B30" s="98"/>
      <c r="C30" s="98"/>
      <c r="D30" s="98"/>
      <c r="E30" s="98"/>
      <c r="F30" s="98"/>
      <c r="G30" s="98"/>
      <c r="H30" s="98"/>
      <c r="I30" s="98"/>
      <c r="J30" s="98"/>
      <c r="K30" s="98"/>
      <c r="L30" s="98"/>
      <c r="M30" s="98"/>
    </row>
    <row r="31" spans="1:13" x14ac:dyDescent="0.25">
      <c r="A31" s="98"/>
      <c r="B31" s="98"/>
      <c r="C31" s="98"/>
      <c r="D31" s="98"/>
      <c r="E31" s="98"/>
      <c r="F31" s="98"/>
      <c r="G31" s="98"/>
      <c r="H31" s="98"/>
      <c r="I31" s="98"/>
      <c r="J31" s="98"/>
      <c r="K31" s="98"/>
      <c r="L31" s="98"/>
      <c r="M31" s="98"/>
    </row>
    <row r="32" spans="1:13" x14ac:dyDescent="0.25">
      <c r="A32" s="98"/>
      <c r="B32" s="98"/>
      <c r="C32" s="98"/>
      <c r="D32" s="98"/>
      <c r="E32" s="98"/>
      <c r="F32" s="98"/>
      <c r="G32" s="98"/>
      <c r="H32" s="98"/>
      <c r="I32" s="98"/>
      <c r="J32" s="98"/>
      <c r="K32" s="98"/>
      <c r="L32" s="98"/>
      <c r="M32" s="98"/>
    </row>
  </sheetData>
  <sheetProtection algorithmName="SHA-512" hashValue="cky7/qrGQ4iSph4UB2LaLX/zfJv12lBVQIk1mJtZH8jD4BVfSOvjrco4S8wq+xeHG6+a3i4Ps+DvKDdEngG2Ng==" saltValue="wxWEt0KkR1/xBV9lVpxZ6w==" spinCount="100000" sheet="1" objects="1" scenarios="1"/>
  <protectedRanges>
    <protectedRange sqref="B9" name="Input"/>
  </protectedRanges>
  <mergeCells count="4">
    <mergeCell ref="B10:C10"/>
    <mergeCell ref="A1:C6"/>
    <mergeCell ref="D1:F6"/>
    <mergeCell ref="E8:F8"/>
  </mergeCells>
  <conditionalFormatting sqref="B10:C10">
    <cfRule type="expression" dxfId="3" priority="31">
      <formula>$C$9&gt;1</formula>
    </cfRule>
  </conditionalFormatting>
  <conditionalFormatting sqref="E10:F14">
    <cfRule type="expression" dxfId="2" priority="33">
      <formula>$E10=$B$9</formula>
    </cfRule>
  </conditionalFormatting>
  <hyperlinks>
    <hyperlink ref="H1" location="'Cover Sheet'!B19" display="BACK TO COVER SHEET" xr:uid="{3D5B337A-7EC2-4D7C-AE01-D3A068963A4E}"/>
  </hyperlinks>
  <pageMargins left="0.7" right="0.7" top="0.75" bottom="0.75" header="0.3" footer="0.3"/>
  <pageSetup scale="5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2F72A54-C89C-4BA8-B9ED-957A07AD75EA}">
          <x14:formula1>
            <xm:f>'Factor 6 Calculations'!$A$1:$A$5</xm:f>
          </x14:formula1>
          <xm:sqref>B9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6314F-E57D-4AC2-BBCF-FEDD383B4437}">
  <dimension ref="A1:B5"/>
  <sheetViews>
    <sheetView workbookViewId="0">
      <selection activeCell="G24" sqref="G24"/>
    </sheetView>
  </sheetViews>
  <sheetFormatPr defaultRowHeight="15" x14ac:dyDescent="0.25"/>
  <cols>
    <col min="1" max="1" width="76.28515625" bestFit="1" customWidth="1"/>
  </cols>
  <sheetData>
    <row r="1" spans="1:2" x14ac:dyDescent="0.25">
      <c r="A1" t="s">
        <v>2162</v>
      </c>
      <c r="B1">
        <v>0</v>
      </c>
    </row>
    <row r="2" spans="1:2" x14ac:dyDescent="0.25">
      <c r="A2" t="s">
        <v>192</v>
      </c>
      <c r="B2">
        <v>1</v>
      </c>
    </row>
    <row r="3" spans="1:2" x14ac:dyDescent="0.25">
      <c r="A3" t="s">
        <v>193</v>
      </c>
      <c r="B3">
        <v>2</v>
      </c>
    </row>
    <row r="4" spans="1:2" x14ac:dyDescent="0.25">
      <c r="A4" t="s">
        <v>194</v>
      </c>
      <c r="B4">
        <v>3</v>
      </c>
    </row>
    <row r="5" spans="1:2" x14ac:dyDescent="0.25">
      <c r="A5" t="s">
        <v>195</v>
      </c>
      <c r="B5">
        <v>4</v>
      </c>
    </row>
  </sheetData>
  <sheetProtection algorithmName="SHA-512" hashValue="herkRYyZfLNwzPhvjI7KqiiXDj3QWn0UFwuFOkzgH0R9TV+/l7TlaylZk1wb6s1TIyNp9gY8lJSWEdHZPMy1XQ==" saltValue="MGT6MNeY7yyxjyJAI/YWtg==" spinCount="100000" sheet="1" objects="1" scenarios="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AF5A8-EA3C-4A8E-9CF0-1A13AB3136C4}">
  <sheetPr>
    <pageSetUpPr fitToPage="1"/>
  </sheetPr>
  <dimension ref="A1:AA29"/>
  <sheetViews>
    <sheetView showGridLines="0" workbookViewId="0">
      <selection activeCell="E29" sqref="E29"/>
    </sheetView>
  </sheetViews>
  <sheetFormatPr defaultRowHeight="15" x14ac:dyDescent="0.25"/>
  <cols>
    <col min="1" max="1" width="4.140625" customWidth="1"/>
    <col min="2" max="2" width="85.85546875" bestFit="1" customWidth="1"/>
    <col min="3" max="3" width="26.85546875" bestFit="1" customWidth="1"/>
    <col min="4" max="5" width="38" customWidth="1"/>
    <col min="6" max="6" width="50.140625" customWidth="1"/>
    <col min="8" max="8" width="21" bestFit="1" customWidth="1"/>
  </cols>
  <sheetData>
    <row r="1" spans="1:8" ht="15.75" customHeight="1" x14ac:dyDescent="0.25">
      <c r="A1" s="395" t="s">
        <v>2163</v>
      </c>
      <c r="B1" s="396"/>
      <c r="C1" s="397"/>
      <c r="D1" s="439" t="s">
        <v>2176</v>
      </c>
      <c r="E1" s="440"/>
      <c r="F1" s="441"/>
      <c r="H1" s="23" t="s">
        <v>134</v>
      </c>
    </row>
    <row r="2" spans="1:8" ht="15.75" customHeight="1" x14ac:dyDescent="0.25">
      <c r="A2" s="398"/>
      <c r="B2" s="399"/>
      <c r="C2" s="400"/>
      <c r="D2" s="442"/>
      <c r="E2" s="443"/>
      <c r="F2" s="444"/>
    </row>
    <row r="3" spans="1:8" ht="15.75" customHeight="1" x14ac:dyDescent="0.25">
      <c r="A3" s="398"/>
      <c r="B3" s="399"/>
      <c r="C3" s="400"/>
      <c r="D3" s="442"/>
      <c r="E3" s="443"/>
      <c r="F3" s="444"/>
    </row>
    <row r="4" spans="1:8" ht="15.75" customHeight="1" x14ac:dyDescent="0.25">
      <c r="A4" s="398"/>
      <c r="B4" s="399"/>
      <c r="C4" s="400"/>
      <c r="D4" s="442"/>
      <c r="E4" s="443"/>
      <c r="F4" s="444"/>
    </row>
    <row r="5" spans="1:8" x14ac:dyDescent="0.25">
      <c r="A5" s="398"/>
      <c r="B5" s="399"/>
      <c r="C5" s="400"/>
      <c r="D5" s="442"/>
      <c r="E5" s="443"/>
      <c r="F5" s="444"/>
    </row>
    <row r="6" spans="1:8" ht="15.75" customHeight="1" thickBot="1" x14ac:dyDescent="0.3">
      <c r="A6" s="401"/>
      <c r="B6" s="402"/>
      <c r="C6" s="403"/>
      <c r="D6" s="445"/>
      <c r="E6" s="446"/>
      <c r="F6" s="447"/>
    </row>
    <row r="7" spans="1:8" ht="15.75" thickBot="1" x14ac:dyDescent="0.3"/>
    <row r="8" spans="1:8" ht="19.5" thickBot="1" x14ac:dyDescent="0.35">
      <c r="B8" s="508" t="s">
        <v>196</v>
      </c>
      <c r="C8" s="509"/>
      <c r="D8" s="132" t="s">
        <v>14</v>
      </c>
      <c r="E8" s="102"/>
    </row>
    <row r="9" spans="1:8" ht="18.75" x14ac:dyDescent="0.25">
      <c r="B9" s="135" t="s">
        <v>197</v>
      </c>
      <c r="C9" s="136" t="str">
        <f>IF('Cover Sheet'!H5="","Enter on Cover Sheet",'Cover Sheet'!H5)</f>
        <v>Enter on Cover Sheet</v>
      </c>
      <c r="D9" s="512">
        <f>IF(OR(C13="Yes",C12="Incorrect Cencus Tract", C10=""),0,IF(C12&lt;33000,7,IF(C12&gt;67000,0,-0.000205882*C12+13.794094)))</f>
        <v>0</v>
      </c>
    </row>
    <row r="10" spans="1:8" ht="18.75" x14ac:dyDescent="0.25">
      <c r="B10" s="100" t="s">
        <v>198</v>
      </c>
      <c r="C10" s="101"/>
      <c r="D10" s="513"/>
    </row>
    <row r="11" spans="1:8" ht="18.75" x14ac:dyDescent="0.25">
      <c r="B11" s="510" t="s">
        <v>199</v>
      </c>
      <c r="C11" s="511"/>
      <c r="D11" s="513"/>
    </row>
    <row r="12" spans="1:8" ht="18.75" x14ac:dyDescent="0.25">
      <c r="B12" s="100" t="s">
        <v>1909</v>
      </c>
      <c r="C12" s="188" t="str">
        <f>IF(C10="","Enter Census Tract",IFERROR('Factor 7 Calculations'!B4,"Incorrect Cencus Tract"))</f>
        <v>Enter Census Tract</v>
      </c>
      <c r="D12" s="513"/>
    </row>
    <row r="13" spans="1:8" ht="19.5" thickBot="1" x14ac:dyDescent="0.3">
      <c r="B13" s="137" t="s">
        <v>200</v>
      </c>
      <c r="C13" s="138"/>
      <c r="D13" s="514"/>
    </row>
    <row r="21" spans="5:27" x14ac:dyDescent="0.25">
      <c r="E21" s="139"/>
      <c r="F21" s="23"/>
    </row>
    <row r="29" spans="5:27" x14ac:dyDescent="0.25">
      <c r="AA29" s="23" t="s">
        <v>201</v>
      </c>
    </row>
  </sheetData>
  <sheetProtection algorithmName="SHA-512" hashValue="e3CGh3M4XFcqCFkif7i0T3ayFr9dDvcTQxAhPeRsw4YVSFp3p402XQORVyoh1vH6GZSOh3NW2cs65XibE6+jwg==" saltValue="5O/eMs2dZggOuuYtMYj2Gw==" spinCount="100000" sheet="1" objects="1" scenarios="1"/>
  <protectedRanges>
    <protectedRange sqref="C10" name="Range1"/>
    <protectedRange sqref="C13" name="Range2"/>
  </protectedRanges>
  <mergeCells count="5">
    <mergeCell ref="A1:C6"/>
    <mergeCell ref="D1:F6"/>
    <mergeCell ref="B8:C8"/>
    <mergeCell ref="B11:C11"/>
    <mergeCell ref="D9:D13"/>
  </mergeCells>
  <hyperlinks>
    <hyperlink ref="AA29" r:id="rId1" xr:uid="{38F0F760-AA4E-4290-B5A5-38B4EF885ADF}"/>
    <hyperlink ref="B11:C11" r:id="rId2" display="Census Tract Map" xr:uid="{AEACF21E-98E2-4A5F-824D-E310C34670BA}"/>
    <hyperlink ref="H1" location="'Cover Sheet'!B20" display="BACK TO COVER SHEET" xr:uid="{28F39AB9-739F-48B1-B412-CDBDE5915F67}"/>
  </hyperlinks>
  <pageMargins left="0.7" right="0.7" top="0.75" bottom="0.75" header="0.3" footer="0.3"/>
  <pageSetup scale="50"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502420B3-0334-4899-9F3B-29E96A70BF6D}">
          <x14:formula1>
            <xm:f>'Factor 7 Calculations'!$V$1:$V$2</xm:f>
          </x14:formula1>
          <xm:sqref>C13</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A931F-F12A-4CDB-BD5D-E955BA90EAC8}">
  <dimension ref="A1:V1702"/>
  <sheetViews>
    <sheetView workbookViewId="0">
      <selection activeCell="H19" sqref="H19"/>
    </sheetView>
  </sheetViews>
  <sheetFormatPr defaultRowHeight="15" x14ac:dyDescent="0.25"/>
  <cols>
    <col min="1" max="1" width="46.5703125" bestFit="1" customWidth="1"/>
    <col min="2" max="2" width="25.140625" style="186" bestFit="1" customWidth="1"/>
    <col min="12" max="12" width="9.5703125" bestFit="1" customWidth="1"/>
  </cols>
  <sheetData>
    <row r="1" spans="1:22" x14ac:dyDescent="0.25">
      <c r="A1" t="s">
        <v>202</v>
      </c>
      <c r="B1">
        <f>'F7 Economic Factors'!C10</f>
        <v>0</v>
      </c>
      <c r="V1" t="s">
        <v>178</v>
      </c>
    </row>
    <row r="2" spans="1:22" x14ac:dyDescent="0.25">
      <c r="A2" t="s">
        <v>7</v>
      </c>
      <c r="B2" t="str">
        <f>'F7 Economic Factors'!C9</f>
        <v>Enter on Cover Sheet</v>
      </c>
      <c r="V2" t="s">
        <v>160</v>
      </c>
    </row>
    <row r="3" spans="1:22" x14ac:dyDescent="0.25">
      <c r="A3" t="s">
        <v>203</v>
      </c>
      <c r="B3" t="str">
        <f>"Census Tract "&amp;B1&amp;", "&amp;B2&amp;" County, Indiana"</f>
        <v>Census Tract 0, Enter on Cover Sheet County, Indiana</v>
      </c>
      <c r="K3" t="s">
        <v>1908</v>
      </c>
      <c r="L3" t="s">
        <v>140</v>
      </c>
    </row>
    <row r="4" spans="1:22" x14ac:dyDescent="0.25">
      <c r="A4" t="s">
        <v>1907</v>
      </c>
      <c r="B4" s="189" t="e">
        <f>VLOOKUP(B3,A8:B1702,2,FALSE)</f>
        <v>#N/A</v>
      </c>
      <c r="K4" s="3">
        <v>5000</v>
      </c>
      <c r="L4">
        <v>4</v>
      </c>
    </row>
    <row r="5" spans="1:22" x14ac:dyDescent="0.25">
      <c r="B5"/>
      <c r="K5" s="3">
        <v>7000</v>
      </c>
      <c r="L5">
        <v>4</v>
      </c>
    </row>
    <row r="6" spans="1:22" x14ac:dyDescent="0.25">
      <c r="B6"/>
      <c r="K6" s="3">
        <v>9000</v>
      </c>
      <c r="L6">
        <v>4</v>
      </c>
    </row>
    <row r="7" spans="1:22" x14ac:dyDescent="0.25">
      <c r="B7"/>
      <c r="K7" s="3">
        <v>11000</v>
      </c>
      <c r="L7">
        <v>4</v>
      </c>
    </row>
    <row r="8" spans="1:22" x14ac:dyDescent="0.25">
      <c r="A8" t="s">
        <v>198</v>
      </c>
      <c r="B8" s="186" t="s">
        <v>1907</v>
      </c>
      <c r="K8" s="3">
        <v>13000</v>
      </c>
      <c r="L8">
        <v>4</v>
      </c>
    </row>
    <row r="9" spans="1:22" x14ac:dyDescent="0.25">
      <c r="A9" t="s">
        <v>204</v>
      </c>
      <c r="B9" s="186" t="s">
        <v>1906</v>
      </c>
      <c r="K9" s="3">
        <v>15000</v>
      </c>
      <c r="L9">
        <v>4</v>
      </c>
    </row>
    <row r="10" spans="1:22" x14ac:dyDescent="0.25">
      <c r="A10" t="s">
        <v>205</v>
      </c>
      <c r="B10" s="187">
        <v>77426</v>
      </c>
      <c r="K10" s="3">
        <v>17000</v>
      </c>
      <c r="L10">
        <v>4</v>
      </c>
    </row>
    <row r="11" spans="1:22" x14ac:dyDescent="0.25">
      <c r="A11" t="s">
        <v>206</v>
      </c>
      <c r="B11" s="187">
        <v>36225</v>
      </c>
      <c r="K11" s="3">
        <v>19000</v>
      </c>
      <c r="L11">
        <v>4</v>
      </c>
    </row>
    <row r="12" spans="1:22" x14ac:dyDescent="0.25">
      <c r="A12" t="s">
        <v>207</v>
      </c>
      <c r="B12" s="187">
        <v>48977</v>
      </c>
      <c r="K12" s="3">
        <v>21000</v>
      </c>
      <c r="L12">
        <v>4</v>
      </c>
    </row>
    <row r="13" spans="1:22" x14ac:dyDescent="0.25">
      <c r="A13" t="s">
        <v>208</v>
      </c>
      <c r="B13" s="187">
        <v>75107</v>
      </c>
      <c r="K13" s="3">
        <v>23000</v>
      </c>
      <c r="L13">
        <v>4</v>
      </c>
    </row>
    <row r="14" spans="1:22" x14ac:dyDescent="0.25">
      <c r="A14" t="s">
        <v>209</v>
      </c>
      <c r="B14" s="187">
        <v>57961</v>
      </c>
      <c r="K14" s="3">
        <v>25000</v>
      </c>
      <c r="L14">
        <v>4</v>
      </c>
    </row>
    <row r="15" spans="1:22" x14ac:dyDescent="0.25">
      <c r="A15" t="s">
        <v>210</v>
      </c>
      <c r="B15" s="187">
        <v>45000</v>
      </c>
      <c r="K15" s="3">
        <v>27000</v>
      </c>
      <c r="L15">
        <v>4</v>
      </c>
    </row>
    <row r="16" spans="1:22" x14ac:dyDescent="0.25">
      <c r="A16" t="s">
        <v>211</v>
      </c>
      <c r="B16" s="187">
        <v>48764</v>
      </c>
      <c r="K16" s="3">
        <v>29000</v>
      </c>
      <c r="L16">
        <v>4</v>
      </c>
    </row>
    <row r="17" spans="1:12" x14ac:dyDescent="0.25">
      <c r="A17" t="s">
        <v>212</v>
      </c>
      <c r="B17" s="187">
        <v>52292</v>
      </c>
      <c r="K17" s="3">
        <v>31000</v>
      </c>
      <c r="L17">
        <v>4</v>
      </c>
    </row>
    <row r="18" spans="1:12" x14ac:dyDescent="0.25">
      <c r="A18" t="s">
        <v>213</v>
      </c>
      <c r="B18" s="187">
        <v>60521</v>
      </c>
      <c r="K18" s="3">
        <v>33000</v>
      </c>
      <c r="L18" s="105">
        <f>-0.000117647*K18+7.8823529</f>
        <v>4.0000019</v>
      </c>
    </row>
    <row r="19" spans="1:12" x14ac:dyDescent="0.25">
      <c r="A19" t="s">
        <v>214</v>
      </c>
      <c r="B19" s="187">
        <v>45962</v>
      </c>
      <c r="K19" s="3">
        <v>35000</v>
      </c>
      <c r="L19" s="105">
        <f t="shared" ref="L19:L34" si="0">-0.000117647*K19+7.8823529</f>
        <v>3.7647079000000003</v>
      </c>
    </row>
    <row r="20" spans="1:12" x14ac:dyDescent="0.25">
      <c r="A20" t="s">
        <v>215</v>
      </c>
      <c r="B20" s="187">
        <v>34432</v>
      </c>
      <c r="K20" s="3">
        <v>37000</v>
      </c>
      <c r="L20" s="105">
        <f t="shared" si="0"/>
        <v>3.5294138999999998</v>
      </c>
    </row>
    <row r="21" spans="1:12" x14ac:dyDescent="0.25">
      <c r="A21" t="s">
        <v>216</v>
      </c>
      <c r="B21" s="187">
        <v>35507</v>
      </c>
      <c r="K21" s="3">
        <v>39000</v>
      </c>
      <c r="L21" s="105">
        <f t="shared" si="0"/>
        <v>3.2941199000000001</v>
      </c>
    </row>
    <row r="22" spans="1:12" x14ac:dyDescent="0.25">
      <c r="A22" t="s">
        <v>217</v>
      </c>
      <c r="B22" s="187">
        <v>43026</v>
      </c>
      <c r="K22" s="3">
        <v>41000</v>
      </c>
      <c r="L22" s="105">
        <f t="shared" si="0"/>
        <v>3.0588259000000004</v>
      </c>
    </row>
    <row r="23" spans="1:12" x14ac:dyDescent="0.25">
      <c r="A23" t="s">
        <v>218</v>
      </c>
      <c r="B23" s="187">
        <v>43286</v>
      </c>
      <c r="K23" s="3">
        <v>43000</v>
      </c>
      <c r="L23" s="105">
        <f t="shared" si="0"/>
        <v>2.8235318999999999</v>
      </c>
    </row>
    <row r="24" spans="1:12" x14ac:dyDescent="0.25">
      <c r="A24" t="s">
        <v>219</v>
      </c>
      <c r="B24" s="187">
        <v>45634</v>
      </c>
      <c r="K24" s="3">
        <v>45000</v>
      </c>
      <c r="L24" s="105">
        <f t="shared" si="0"/>
        <v>2.5882379000000002</v>
      </c>
    </row>
    <row r="25" spans="1:12" x14ac:dyDescent="0.25">
      <c r="A25" t="s">
        <v>220</v>
      </c>
      <c r="B25" s="187">
        <v>39444</v>
      </c>
      <c r="K25" s="3">
        <v>47000</v>
      </c>
      <c r="L25" s="105">
        <f t="shared" si="0"/>
        <v>2.3529439000000005</v>
      </c>
    </row>
    <row r="26" spans="1:12" x14ac:dyDescent="0.25">
      <c r="A26" t="s">
        <v>221</v>
      </c>
      <c r="B26" s="187">
        <v>42891</v>
      </c>
      <c r="K26" s="3">
        <v>49000</v>
      </c>
      <c r="L26" s="105">
        <f t="shared" si="0"/>
        <v>2.1176499</v>
      </c>
    </row>
    <row r="27" spans="1:12" x14ac:dyDescent="0.25">
      <c r="A27" t="s">
        <v>222</v>
      </c>
      <c r="B27" s="187">
        <v>41645</v>
      </c>
      <c r="K27" s="3">
        <v>51000</v>
      </c>
      <c r="L27" s="105">
        <f t="shared" si="0"/>
        <v>1.8823559000000003</v>
      </c>
    </row>
    <row r="28" spans="1:12" x14ac:dyDescent="0.25">
      <c r="A28" t="s">
        <v>223</v>
      </c>
      <c r="B28" s="187">
        <v>27716</v>
      </c>
      <c r="K28" s="3">
        <v>53000</v>
      </c>
      <c r="L28" s="105">
        <f t="shared" si="0"/>
        <v>1.6470619000000006</v>
      </c>
    </row>
    <row r="29" spans="1:12" x14ac:dyDescent="0.25">
      <c r="A29" t="s">
        <v>224</v>
      </c>
      <c r="B29" s="187">
        <v>43980</v>
      </c>
      <c r="K29" s="3">
        <v>55000</v>
      </c>
      <c r="L29" s="105">
        <f t="shared" si="0"/>
        <v>1.4117679000000001</v>
      </c>
    </row>
    <row r="30" spans="1:12" x14ac:dyDescent="0.25">
      <c r="A30" t="s">
        <v>225</v>
      </c>
      <c r="B30" s="187">
        <v>21080</v>
      </c>
      <c r="K30" s="3">
        <v>57000</v>
      </c>
      <c r="L30" s="105">
        <f t="shared" si="0"/>
        <v>1.1764739000000004</v>
      </c>
    </row>
    <row r="31" spans="1:12" x14ac:dyDescent="0.25">
      <c r="A31" t="s">
        <v>226</v>
      </c>
      <c r="B31" s="187">
        <v>21148</v>
      </c>
      <c r="K31" s="3">
        <v>59000</v>
      </c>
      <c r="L31" s="105">
        <f t="shared" si="0"/>
        <v>0.94117989999999985</v>
      </c>
    </row>
    <row r="32" spans="1:12" x14ac:dyDescent="0.25">
      <c r="A32" t="s">
        <v>227</v>
      </c>
      <c r="B32" s="187">
        <v>31750</v>
      </c>
      <c r="K32" s="3">
        <v>61000</v>
      </c>
      <c r="L32" s="105">
        <f t="shared" si="0"/>
        <v>0.70588590000000018</v>
      </c>
    </row>
    <row r="33" spans="1:12" x14ac:dyDescent="0.25">
      <c r="A33" t="s">
        <v>228</v>
      </c>
      <c r="B33" s="187">
        <v>42500</v>
      </c>
      <c r="K33" s="3">
        <v>63000</v>
      </c>
      <c r="L33" s="105">
        <f t="shared" si="0"/>
        <v>0.47059190000000051</v>
      </c>
    </row>
    <row r="34" spans="1:12" x14ac:dyDescent="0.25">
      <c r="A34" t="s">
        <v>229</v>
      </c>
      <c r="B34" s="187">
        <v>39268</v>
      </c>
      <c r="K34" s="3">
        <v>65000</v>
      </c>
      <c r="L34" s="105">
        <f t="shared" si="0"/>
        <v>0.23529789999999995</v>
      </c>
    </row>
    <row r="35" spans="1:12" x14ac:dyDescent="0.25">
      <c r="A35" t="s">
        <v>230</v>
      </c>
      <c r="B35" s="187">
        <v>23321</v>
      </c>
      <c r="K35" s="3">
        <v>67000</v>
      </c>
      <c r="L35">
        <f t="shared" ref="L35" si="1">-0.000205882*K35+13.794094</f>
        <v>0</v>
      </c>
    </row>
    <row r="36" spans="1:12" x14ac:dyDescent="0.25">
      <c r="A36" t="s">
        <v>231</v>
      </c>
      <c r="B36" s="187">
        <v>53841</v>
      </c>
      <c r="K36" s="3">
        <v>69000</v>
      </c>
      <c r="L36">
        <v>0</v>
      </c>
    </row>
    <row r="37" spans="1:12" x14ac:dyDescent="0.25">
      <c r="A37" t="s">
        <v>232</v>
      </c>
      <c r="B37" s="187">
        <v>54196</v>
      </c>
      <c r="K37" s="3">
        <v>71000</v>
      </c>
      <c r="L37">
        <v>0</v>
      </c>
    </row>
    <row r="38" spans="1:12" x14ac:dyDescent="0.25">
      <c r="A38" t="s">
        <v>233</v>
      </c>
      <c r="B38" s="187">
        <v>22589</v>
      </c>
      <c r="K38" s="3">
        <v>73000</v>
      </c>
      <c r="L38">
        <v>0</v>
      </c>
    </row>
    <row r="39" spans="1:12" x14ac:dyDescent="0.25">
      <c r="A39" t="s">
        <v>234</v>
      </c>
      <c r="B39" s="187">
        <v>38412</v>
      </c>
      <c r="K39" s="3">
        <v>80000</v>
      </c>
      <c r="L39">
        <v>0</v>
      </c>
    </row>
    <row r="40" spans="1:12" x14ac:dyDescent="0.25">
      <c r="A40" t="s">
        <v>235</v>
      </c>
      <c r="B40" s="187">
        <v>31492</v>
      </c>
      <c r="K40" s="3">
        <v>100000</v>
      </c>
      <c r="L40">
        <v>0</v>
      </c>
    </row>
    <row r="41" spans="1:12" x14ac:dyDescent="0.25">
      <c r="A41" t="s">
        <v>236</v>
      </c>
      <c r="B41" s="187">
        <v>42807</v>
      </c>
      <c r="K41" s="3">
        <v>120000</v>
      </c>
      <c r="L41">
        <v>0</v>
      </c>
    </row>
    <row r="42" spans="1:12" x14ac:dyDescent="0.25">
      <c r="A42" t="s">
        <v>237</v>
      </c>
      <c r="B42" s="187">
        <v>58646</v>
      </c>
    </row>
    <row r="43" spans="1:12" x14ac:dyDescent="0.25">
      <c r="A43" t="s">
        <v>238</v>
      </c>
      <c r="B43" s="187">
        <v>56857</v>
      </c>
    </row>
    <row r="44" spans="1:12" x14ac:dyDescent="0.25">
      <c r="A44" t="s">
        <v>239</v>
      </c>
      <c r="B44" s="187">
        <v>38204</v>
      </c>
    </row>
    <row r="45" spans="1:12" x14ac:dyDescent="0.25">
      <c r="A45" t="s">
        <v>240</v>
      </c>
      <c r="B45" s="187">
        <v>55023</v>
      </c>
    </row>
    <row r="46" spans="1:12" x14ac:dyDescent="0.25">
      <c r="A46" t="s">
        <v>241</v>
      </c>
      <c r="B46" s="187">
        <v>23910</v>
      </c>
    </row>
    <row r="47" spans="1:12" x14ac:dyDescent="0.25">
      <c r="A47" t="s">
        <v>242</v>
      </c>
      <c r="B47" s="187">
        <v>43467</v>
      </c>
    </row>
    <row r="48" spans="1:12" x14ac:dyDescent="0.25">
      <c r="A48" t="s">
        <v>243</v>
      </c>
      <c r="B48" s="187">
        <v>49516</v>
      </c>
    </row>
    <row r="49" spans="1:2" x14ac:dyDescent="0.25">
      <c r="A49" t="s">
        <v>244</v>
      </c>
      <c r="B49" s="187">
        <v>31756</v>
      </c>
    </row>
    <row r="50" spans="1:2" x14ac:dyDescent="0.25">
      <c r="A50" t="s">
        <v>245</v>
      </c>
      <c r="B50" s="187">
        <v>43724</v>
      </c>
    </row>
    <row r="51" spans="1:2" x14ac:dyDescent="0.25">
      <c r="A51" t="s">
        <v>246</v>
      </c>
      <c r="B51" s="187">
        <v>55854</v>
      </c>
    </row>
    <row r="52" spans="1:2" x14ac:dyDescent="0.25">
      <c r="A52" t="s">
        <v>247</v>
      </c>
      <c r="B52" s="187">
        <v>39762</v>
      </c>
    </row>
    <row r="53" spans="1:2" x14ac:dyDescent="0.25">
      <c r="A53" t="s">
        <v>248</v>
      </c>
      <c r="B53" s="187">
        <v>44306</v>
      </c>
    </row>
    <row r="54" spans="1:2" x14ac:dyDescent="0.25">
      <c r="A54" t="s">
        <v>249</v>
      </c>
      <c r="B54" s="187">
        <v>45294</v>
      </c>
    </row>
    <row r="55" spans="1:2" x14ac:dyDescent="0.25">
      <c r="A55" t="s">
        <v>250</v>
      </c>
      <c r="B55" s="187">
        <v>22733</v>
      </c>
    </row>
    <row r="56" spans="1:2" x14ac:dyDescent="0.25">
      <c r="A56" t="s">
        <v>251</v>
      </c>
      <c r="B56" s="187">
        <v>30806</v>
      </c>
    </row>
    <row r="57" spans="1:2" x14ac:dyDescent="0.25">
      <c r="A57" t="s">
        <v>252</v>
      </c>
      <c r="B57" s="187">
        <v>73565</v>
      </c>
    </row>
    <row r="58" spans="1:2" x14ac:dyDescent="0.25">
      <c r="A58" t="s">
        <v>253</v>
      </c>
      <c r="B58" s="187">
        <v>104028</v>
      </c>
    </row>
    <row r="59" spans="1:2" x14ac:dyDescent="0.25">
      <c r="A59" t="s">
        <v>254</v>
      </c>
      <c r="B59" s="187">
        <v>77278</v>
      </c>
    </row>
    <row r="60" spans="1:2" x14ac:dyDescent="0.25">
      <c r="A60" t="s">
        <v>255</v>
      </c>
      <c r="B60" s="187">
        <v>88879</v>
      </c>
    </row>
    <row r="61" spans="1:2" x14ac:dyDescent="0.25">
      <c r="A61" t="s">
        <v>256</v>
      </c>
      <c r="B61" s="187">
        <v>118086</v>
      </c>
    </row>
    <row r="62" spans="1:2" x14ac:dyDescent="0.25">
      <c r="A62" t="s">
        <v>257</v>
      </c>
      <c r="B62" s="187">
        <v>91331</v>
      </c>
    </row>
    <row r="63" spans="1:2" x14ac:dyDescent="0.25">
      <c r="A63" t="s">
        <v>258</v>
      </c>
      <c r="B63" s="187">
        <v>93500</v>
      </c>
    </row>
    <row r="64" spans="1:2" x14ac:dyDescent="0.25">
      <c r="A64" t="s">
        <v>259</v>
      </c>
      <c r="B64" s="187">
        <v>87692</v>
      </c>
    </row>
    <row r="65" spans="1:2" x14ac:dyDescent="0.25">
      <c r="A65" t="s">
        <v>260</v>
      </c>
      <c r="B65" s="187">
        <v>88935</v>
      </c>
    </row>
    <row r="66" spans="1:2" x14ac:dyDescent="0.25">
      <c r="A66" t="s">
        <v>261</v>
      </c>
      <c r="B66" s="187">
        <v>81250</v>
      </c>
    </row>
    <row r="67" spans="1:2" x14ac:dyDescent="0.25">
      <c r="A67" t="s">
        <v>262</v>
      </c>
      <c r="B67" s="187">
        <v>68250</v>
      </c>
    </row>
    <row r="68" spans="1:2" x14ac:dyDescent="0.25">
      <c r="A68" t="s">
        <v>263</v>
      </c>
      <c r="B68" s="187">
        <v>56446</v>
      </c>
    </row>
    <row r="69" spans="1:2" x14ac:dyDescent="0.25">
      <c r="A69" t="s">
        <v>264</v>
      </c>
      <c r="B69" s="187">
        <v>64279</v>
      </c>
    </row>
    <row r="70" spans="1:2" x14ac:dyDescent="0.25">
      <c r="A70" t="s">
        <v>265</v>
      </c>
      <c r="B70" s="187">
        <v>34596</v>
      </c>
    </row>
    <row r="71" spans="1:2" x14ac:dyDescent="0.25">
      <c r="A71" t="s">
        <v>266</v>
      </c>
      <c r="B71" s="187">
        <v>68695</v>
      </c>
    </row>
    <row r="72" spans="1:2" x14ac:dyDescent="0.25">
      <c r="A72" t="s">
        <v>267</v>
      </c>
      <c r="B72" s="187">
        <v>64623</v>
      </c>
    </row>
    <row r="73" spans="1:2" x14ac:dyDescent="0.25">
      <c r="A73" t="s">
        <v>268</v>
      </c>
      <c r="B73" s="187">
        <v>66114</v>
      </c>
    </row>
    <row r="74" spans="1:2" x14ac:dyDescent="0.25">
      <c r="A74" t="s">
        <v>269</v>
      </c>
      <c r="B74" s="187">
        <v>64157</v>
      </c>
    </row>
    <row r="75" spans="1:2" x14ac:dyDescent="0.25">
      <c r="A75" t="s">
        <v>270</v>
      </c>
      <c r="B75" s="187">
        <v>55792</v>
      </c>
    </row>
    <row r="76" spans="1:2" x14ac:dyDescent="0.25">
      <c r="A76" t="s">
        <v>271</v>
      </c>
      <c r="B76" s="187">
        <v>63308</v>
      </c>
    </row>
    <row r="77" spans="1:2" x14ac:dyDescent="0.25">
      <c r="A77" t="s">
        <v>272</v>
      </c>
      <c r="B77" s="187">
        <v>83218</v>
      </c>
    </row>
    <row r="78" spans="1:2" x14ac:dyDescent="0.25">
      <c r="A78" t="s">
        <v>273</v>
      </c>
      <c r="B78" s="187">
        <v>63667</v>
      </c>
    </row>
    <row r="79" spans="1:2" x14ac:dyDescent="0.25">
      <c r="A79" t="s">
        <v>274</v>
      </c>
      <c r="B79" s="187">
        <v>45300</v>
      </c>
    </row>
    <row r="80" spans="1:2" x14ac:dyDescent="0.25">
      <c r="A80" t="s">
        <v>275</v>
      </c>
      <c r="B80" s="187">
        <v>64605</v>
      </c>
    </row>
    <row r="81" spans="1:2" x14ac:dyDescent="0.25">
      <c r="A81" t="s">
        <v>276</v>
      </c>
      <c r="B81" s="187">
        <v>56796</v>
      </c>
    </row>
    <row r="82" spans="1:2" x14ac:dyDescent="0.25">
      <c r="A82" t="s">
        <v>277</v>
      </c>
      <c r="B82" s="187">
        <v>85843</v>
      </c>
    </row>
    <row r="83" spans="1:2" x14ac:dyDescent="0.25">
      <c r="A83" t="s">
        <v>278</v>
      </c>
      <c r="B83" s="187">
        <v>78931</v>
      </c>
    </row>
    <row r="84" spans="1:2" x14ac:dyDescent="0.25">
      <c r="A84" t="s">
        <v>279</v>
      </c>
      <c r="B84" s="187">
        <v>75727</v>
      </c>
    </row>
    <row r="85" spans="1:2" x14ac:dyDescent="0.25">
      <c r="A85" t="s">
        <v>280</v>
      </c>
      <c r="B85" s="187">
        <v>41435</v>
      </c>
    </row>
    <row r="86" spans="1:2" x14ac:dyDescent="0.25">
      <c r="A86" t="s">
        <v>281</v>
      </c>
      <c r="B86" s="187">
        <v>43750</v>
      </c>
    </row>
    <row r="87" spans="1:2" x14ac:dyDescent="0.25">
      <c r="A87" t="s">
        <v>282</v>
      </c>
      <c r="B87" s="187">
        <v>76808</v>
      </c>
    </row>
    <row r="88" spans="1:2" x14ac:dyDescent="0.25">
      <c r="A88" t="s">
        <v>283</v>
      </c>
      <c r="B88" s="187">
        <v>52674</v>
      </c>
    </row>
    <row r="89" spans="1:2" x14ac:dyDescent="0.25">
      <c r="A89" t="s">
        <v>284</v>
      </c>
      <c r="B89" s="187">
        <v>49943</v>
      </c>
    </row>
    <row r="90" spans="1:2" x14ac:dyDescent="0.25">
      <c r="A90" t="s">
        <v>285</v>
      </c>
      <c r="B90" s="187">
        <v>41250</v>
      </c>
    </row>
    <row r="91" spans="1:2" x14ac:dyDescent="0.25">
      <c r="A91" t="s">
        <v>286</v>
      </c>
      <c r="B91" s="187">
        <v>46480</v>
      </c>
    </row>
    <row r="92" spans="1:2" x14ac:dyDescent="0.25">
      <c r="A92" t="s">
        <v>287</v>
      </c>
      <c r="B92" s="187">
        <v>66530</v>
      </c>
    </row>
    <row r="93" spans="1:2" x14ac:dyDescent="0.25">
      <c r="A93" t="s">
        <v>288</v>
      </c>
      <c r="B93" s="187">
        <v>52137</v>
      </c>
    </row>
    <row r="94" spans="1:2" x14ac:dyDescent="0.25">
      <c r="A94" t="s">
        <v>289</v>
      </c>
      <c r="B94" s="187">
        <v>36012</v>
      </c>
    </row>
    <row r="95" spans="1:2" x14ac:dyDescent="0.25">
      <c r="A95" t="s">
        <v>290</v>
      </c>
      <c r="B95" s="187">
        <v>30375</v>
      </c>
    </row>
    <row r="96" spans="1:2" x14ac:dyDescent="0.25">
      <c r="A96" t="s">
        <v>291</v>
      </c>
      <c r="B96" s="187">
        <v>46792</v>
      </c>
    </row>
    <row r="97" spans="1:2" x14ac:dyDescent="0.25">
      <c r="A97" t="s">
        <v>292</v>
      </c>
      <c r="B97" s="187">
        <v>43194</v>
      </c>
    </row>
    <row r="98" spans="1:2" x14ac:dyDescent="0.25">
      <c r="A98" t="s">
        <v>293</v>
      </c>
      <c r="B98" s="187">
        <v>59022</v>
      </c>
    </row>
    <row r="99" spans="1:2" x14ac:dyDescent="0.25">
      <c r="A99" t="s">
        <v>294</v>
      </c>
      <c r="B99" s="187">
        <v>89836</v>
      </c>
    </row>
    <row r="100" spans="1:2" x14ac:dyDescent="0.25">
      <c r="A100" t="s">
        <v>295</v>
      </c>
      <c r="B100" s="187">
        <v>85134</v>
      </c>
    </row>
    <row r="101" spans="1:2" x14ac:dyDescent="0.25">
      <c r="A101" t="s">
        <v>296</v>
      </c>
      <c r="B101" s="187">
        <v>78151</v>
      </c>
    </row>
    <row r="102" spans="1:2" x14ac:dyDescent="0.25">
      <c r="A102" t="s">
        <v>297</v>
      </c>
      <c r="B102" s="187">
        <v>87500</v>
      </c>
    </row>
    <row r="103" spans="1:2" x14ac:dyDescent="0.25">
      <c r="A103" t="s">
        <v>298</v>
      </c>
      <c r="B103" s="187">
        <v>76520</v>
      </c>
    </row>
    <row r="104" spans="1:2" x14ac:dyDescent="0.25">
      <c r="A104" t="s">
        <v>299</v>
      </c>
      <c r="B104" s="187">
        <v>107177</v>
      </c>
    </row>
    <row r="105" spans="1:2" x14ac:dyDescent="0.25">
      <c r="A105" t="s">
        <v>300</v>
      </c>
      <c r="B105" s="187">
        <v>133466</v>
      </c>
    </row>
    <row r="106" spans="1:2" x14ac:dyDescent="0.25">
      <c r="A106" t="s">
        <v>301</v>
      </c>
      <c r="B106" s="187">
        <v>91319</v>
      </c>
    </row>
    <row r="107" spans="1:2" x14ac:dyDescent="0.25">
      <c r="A107" t="s">
        <v>302</v>
      </c>
      <c r="B107" s="187">
        <v>62599</v>
      </c>
    </row>
    <row r="108" spans="1:2" x14ac:dyDescent="0.25">
      <c r="A108" t="s">
        <v>303</v>
      </c>
      <c r="B108" s="187">
        <v>62708</v>
      </c>
    </row>
    <row r="109" spans="1:2" x14ac:dyDescent="0.25">
      <c r="A109" t="s">
        <v>304</v>
      </c>
      <c r="B109" s="187">
        <v>57885</v>
      </c>
    </row>
    <row r="110" spans="1:2" x14ac:dyDescent="0.25">
      <c r="A110" t="s">
        <v>305</v>
      </c>
      <c r="B110" s="187">
        <v>48811</v>
      </c>
    </row>
    <row r="111" spans="1:2" x14ac:dyDescent="0.25">
      <c r="A111" t="s">
        <v>306</v>
      </c>
      <c r="B111" s="186">
        <v>0</v>
      </c>
    </row>
    <row r="112" spans="1:2" x14ac:dyDescent="0.25">
      <c r="A112" t="s">
        <v>307</v>
      </c>
      <c r="B112" s="186">
        <v>0</v>
      </c>
    </row>
    <row r="113" spans="1:2" x14ac:dyDescent="0.25">
      <c r="A113" t="s">
        <v>308</v>
      </c>
      <c r="B113" s="187">
        <v>45400</v>
      </c>
    </row>
    <row r="114" spans="1:2" x14ac:dyDescent="0.25">
      <c r="A114" t="s">
        <v>309</v>
      </c>
      <c r="B114" s="187">
        <v>62639</v>
      </c>
    </row>
    <row r="115" spans="1:2" x14ac:dyDescent="0.25">
      <c r="A115" t="s">
        <v>310</v>
      </c>
      <c r="B115" s="187">
        <v>106004</v>
      </c>
    </row>
    <row r="116" spans="1:2" x14ac:dyDescent="0.25">
      <c r="A116" t="s">
        <v>311</v>
      </c>
      <c r="B116" s="187">
        <v>73529</v>
      </c>
    </row>
    <row r="117" spans="1:2" x14ac:dyDescent="0.25">
      <c r="A117" t="s">
        <v>312</v>
      </c>
      <c r="B117" s="187">
        <v>65043</v>
      </c>
    </row>
    <row r="118" spans="1:2" x14ac:dyDescent="0.25">
      <c r="A118" t="s">
        <v>313</v>
      </c>
      <c r="B118" s="187">
        <v>47037</v>
      </c>
    </row>
    <row r="119" spans="1:2" x14ac:dyDescent="0.25">
      <c r="A119" t="s">
        <v>314</v>
      </c>
      <c r="B119" s="187">
        <v>53447</v>
      </c>
    </row>
    <row r="120" spans="1:2" x14ac:dyDescent="0.25">
      <c r="A120" t="s">
        <v>315</v>
      </c>
      <c r="B120" s="187">
        <v>46783</v>
      </c>
    </row>
    <row r="121" spans="1:2" x14ac:dyDescent="0.25">
      <c r="A121" t="s">
        <v>316</v>
      </c>
      <c r="B121" s="187">
        <v>108378</v>
      </c>
    </row>
    <row r="122" spans="1:2" x14ac:dyDescent="0.25">
      <c r="A122" t="s">
        <v>317</v>
      </c>
      <c r="B122" s="187">
        <v>75677</v>
      </c>
    </row>
    <row r="123" spans="1:2" x14ac:dyDescent="0.25">
      <c r="A123" t="s">
        <v>318</v>
      </c>
      <c r="B123" s="187">
        <v>50878</v>
      </c>
    </row>
    <row r="124" spans="1:2" x14ac:dyDescent="0.25">
      <c r="A124" t="s">
        <v>319</v>
      </c>
      <c r="B124" s="187">
        <v>69940</v>
      </c>
    </row>
    <row r="125" spans="1:2" x14ac:dyDescent="0.25">
      <c r="A125" t="s">
        <v>320</v>
      </c>
      <c r="B125" s="187">
        <v>63910</v>
      </c>
    </row>
    <row r="126" spans="1:2" x14ac:dyDescent="0.25">
      <c r="A126" t="s">
        <v>321</v>
      </c>
      <c r="B126" s="187">
        <v>76193</v>
      </c>
    </row>
    <row r="127" spans="1:2" x14ac:dyDescent="0.25">
      <c r="A127" t="s">
        <v>322</v>
      </c>
      <c r="B127" s="187">
        <v>57588</v>
      </c>
    </row>
    <row r="128" spans="1:2" x14ac:dyDescent="0.25">
      <c r="A128" t="s">
        <v>323</v>
      </c>
      <c r="B128" s="187">
        <v>75667</v>
      </c>
    </row>
    <row r="129" spans="1:2" x14ac:dyDescent="0.25">
      <c r="A129" t="s">
        <v>324</v>
      </c>
      <c r="B129" s="187">
        <v>55199</v>
      </c>
    </row>
    <row r="130" spans="1:2" x14ac:dyDescent="0.25">
      <c r="A130" t="s">
        <v>325</v>
      </c>
      <c r="B130" s="187">
        <v>42625</v>
      </c>
    </row>
    <row r="131" spans="1:2" x14ac:dyDescent="0.25">
      <c r="A131" t="s">
        <v>326</v>
      </c>
      <c r="B131" s="187">
        <v>60250</v>
      </c>
    </row>
    <row r="132" spans="1:2" x14ac:dyDescent="0.25">
      <c r="A132" t="s">
        <v>327</v>
      </c>
      <c r="B132" s="187">
        <v>51367</v>
      </c>
    </row>
    <row r="133" spans="1:2" x14ac:dyDescent="0.25">
      <c r="A133" t="s">
        <v>328</v>
      </c>
      <c r="B133" s="187">
        <v>34947</v>
      </c>
    </row>
    <row r="134" spans="1:2" x14ac:dyDescent="0.25">
      <c r="A134" t="s">
        <v>329</v>
      </c>
      <c r="B134" s="187">
        <v>33356</v>
      </c>
    </row>
    <row r="135" spans="1:2" x14ac:dyDescent="0.25">
      <c r="A135" t="s">
        <v>330</v>
      </c>
      <c r="B135" s="187">
        <v>59231</v>
      </c>
    </row>
    <row r="136" spans="1:2" x14ac:dyDescent="0.25">
      <c r="A136" t="s">
        <v>331</v>
      </c>
      <c r="B136" s="187">
        <v>72570</v>
      </c>
    </row>
    <row r="137" spans="1:2" x14ac:dyDescent="0.25">
      <c r="A137" t="s">
        <v>332</v>
      </c>
      <c r="B137" s="187">
        <v>82219</v>
      </c>
    </row>
    <row r="138" spans="1:2" x14ac:dyDescent="0.25">
      <c r="A138" t="s">
        <v>333</v>
      </c>
      <c r="B138" s="187">
        <v>90929</v>
      </c>
    </row>
    <row r="139" spans="1:2" x14ac:dyDescent="0.25">
      <c r="A139" t="s">
        <v>334</v>
      </c>
      <c r="B139" s="187">
        <v>54760</v>
      </c>
    </row>
    <row r="140" spans="1:2" x14ac:dyDescent="0.25">
      <c r="A140" t="s">
        <v>335</v>
      </c>
      <c r="B140" s="187">
        <v>49541</v>
      </c>
    </row>
    <row r="141" spans="1:2" x14ac:dyDescent="0.25">
      <c r="A141" t="s">
        <v>336</v>
      </c>
      <c r="B141" s="187">
        <v>105961</v>
      </c>
    </row>
    <row r="142" spans="1:2" x14ac:dyDescent="0.25">
      <c r="A142" t="s">
        <v>337</v>
      </c>
      <c r="B142" s="187">
        <v>177232</v>
      </c>
    </row>
    <row r="143" spans="1:2" x14ac:dyDescent="0.25">
      <c r="A143" t="s">
        <v>338</v>
      </c>
      <c r="B143" s="187">
        <v>88719</v>
      </c>
    </row>
    <row r="144" spans="1:2" x14ac:dyDescent="0.25">
      <c r="A144" t="s">
        <v>339</v>
      </c>
      <c r="B144" s="187">
        <v>161196</v>
      </c>
    </row>
    <row r="145" spans="1:2" x14ac:dyDescent="0.25">
      <c r="A145" t="s">
        <v>340</v>
      </c>
      <c r="B145" s="187">
        <v>106935</v>
      </c>
    </row>
    <row r="146" spans="1:2" x14ac:dyDescent="0.25">
      <c r="A146" t="s">
        <v>341</v>
      </c>
      <c r="B146" s="187">
        <v>58295</v>
      </c>
    </row>
    <row r="147" spans="1:2" x14ac:dyDescent="0.25">
      <c r="A147" t="s">
        <v>342</v>
      </c>
      <c r="B147" s="187">
        <v>86520</v>
      </c>
    </row>
    <row r="148" spans="1:2" x14ac:dyDescent="0.25">
      <c r="A148" t="s">
        <v>343</v>
      </c>
      <c r="B148" s="187">
        <v>58178</v>
      </c>
    </row>
    <row r="149" spans="1:2" x14ac:dyDescent="0.25">
      <c r="A149" t="s">
        <v>344</v>
      </c>
      <c r="B149" s="187">
        <v>68214</v>
      </c>
    </row>
    <row r="150" spans="1:2" x14ac:dyDescent="0.25">
      <c r="A150" t="s">
        <v>345</v>
      </c>
      <c r="B150" s="187">
        <v>57083</v>
      </c>
    </row>
    <row r="151" spans="1:2" x14ac:dyDescent="0.25">
      <c r="A151" t="s">
        <v>346</v>
      </c>
      <c r="B151" s="187">
        <v>63091</v>
      </c>
    </row>
    <row r="152" spans="1:2" x14ac:dyDescent="0.25">
      <c r="A152" t="s">
        <v>347</v>
      </c>
      <c r="B152" s="187">
        <v>58948</v>
      </c>
    </row>
    <row r="153" spans="1:2" x14ac:dyDescent="0.25">
      <c r="A153" t="s">
        <v>348</v>
      </c>
      <c r="B153" s="187">
        <v>49216</v>
      </c>
    </row>
    <row r="154" spans="1:2" x14ac:dyDescent="0.25">
      <c r="A154" t="s">
        <v>349</v>
      </c>
      <c r="B154" s="187">
        <v>64107</v>
      </c>
    </row>
    <row r="155" spans="1:2" x14ac:dyDescent="0.25">
      <c r="A155" t="s">
        <v>350</v>
      </c>
      <c r="B155" s="187">
        <v>47461</v>
      </c>
    </row>
    <row r="156" spans="1:2" x14ac:dyDescent="0.25">
      <c r="A156" t="s">
        <v>351</v>
      </c>
      <c r="B156" s="187">
        <v>58000</v>
      </c>
    </row>
    <row r="157" spans="1:2" x14ac:dyDescent="0.25">
      <c r="A157" t="s">
        <v>352</v>
      </c>
      <c r="B157" s="187">
        <v>47319</v>
      </c>
    </row>
    <row r="158" spans="1:2" x14ac:dyDescent="0.25">
      <c r="A158" t="s">
        <v>353</v>
      </c>
      <c r="B158" s="187">
        <v>59647</v>
      </c>
    </row>
    <row r="159" spans="1:2" x14ac:dyDescent="0.25">
      <c r="A159" t="s">
        <v>354</v>
      </c>
      <c r="B159" s="187">
        <v>50750</v>
      </c>
    </row>
    <row r="160" spans="1:2" x14ac:dyDescent="0.25">
      <c r="A160" t="s">
        <v>355</v>
      </c>
      <c r="B160" s="187">
        <v>69545</v>
      </c>
    </row>
    <row r="161" spans="1:2" x14ac:dyDescent="0.25">
      <c r="A161" t="s">
        <v>356</v>
      </c>
      <c r="B161" s="187">
        <v>54442</v>
      </c>
    </row>
    <row r="162" spans="1:2" x14ac:dyDescent="0.25">
      <c r="A162" t="s">
        <v>357</v>
      </c>
      <c r="B162" s="187">
        <v>47939</v>
      </c>
    </row>
    <row r="163" spans="1:2" x14ac:dyDescent="0.25">
      <c r="A163" t="s">
        <v>358</v>
      </c>
      <c r="B163" s="187">
        <v>38912</v>
      </c>
    </row>
    <row r="164" spans="1:2" x14ac:dyDescent="0.25">
      <c r="A164" t="s">
        <v>359</v>
      </c>
      <c r="B164" s="187">
        <v>43696</v>
      </c>
    </row>
    <row r="165" spans="1:2" x14ac:dyDescent="0.25">
      <c r="A165" t="s">
        <v>360</v>
      </c>
      <c r="B165" s="187">
        <v>39813</v>
      </c>
    </row>
    <row r="166" spans="1:2" x14ac:dyDescent="0.25">
      <c r="A166" t="s">
        <v>361</v>
      </c>
      <c r="B166" s="187">
        <v>33563</v>
      </c>
    </row>
    <row r="167" spans="1:2" x14ac:dyDescent="0.25">
      <c r="A167" t="s">
        <v>362</v>
      </c>
      <c r="B167" s="187">
        <v>66349</v>
      </c>
    </row>
    <row r="168" spans="1:2" x14ac:dyDescent="0.25">
      <c r="A168" t="s">
        <v>363</v>
      </c>
      <c r="B168" s="187">
        <v>63920</v>
      </c>
    </row>
    <row r="169" spans="1:2" x14ac:dyDescent="0.25">
      <c r="A169" t="s">
        <v>364</v>
      </c>
      <c r="B169" s="187">
        <v>57828</v>
      </c>
    </row>
    <row r="170" spans="1:2" x14ac:dyDescent="0.25">
      <c r="A170" t="s">
        <v>365</v>
      </c>
      <c r="B170" s="187">
        <v>40000</v>
      </c>
    </row>
    <row r="171" spans="1:2" x14ac:dyDescent="0.25">
      <c r="A171" t="s">
        <v>366</v>
      </c>
      <c r="B171" s="187">
        <v>45009</v>
      </c>
    </row>
    <row r="172" spans="1:2" x14ac:dyDescent="0.25">
      <c r="A172" t="s">
        <v>367</v>
      </c>
      <c r="B172" s="187">
        <v>42917</v>
      </c>
    </row>
    <row r="173" spans="1:2" x14ac:dyDescent="0.25">
      <c r="A173" t="s">
        <v>368</v>
      </c>
      <c r="B173" s="187">
        <v>50561</v>
      </c>
    </row>
    <row r="174" spans="1:2" x14ac:dyDescent="0.25">
      <c r="A174" t="s">
        <v>369</v>
      </c>
      <c r="B174" s="187">
        <v>65313</v>
      </c>
    </row>
    <row r="175" spans="1:2" x14ac:dyDescent="0.25">
      <c r="A175" t="s">
        <v>370</v>
      </c>
      <c r="B175" s="187">
        <v>53467</v>
      </c>
    </row>
    <row r="176" spans="1:2" x14ac:dyDescent="0.25">
      <c r="A176" t="s">
        <v>371</v>
      </c>
      <c r="B176" s="187">
        <v>52643</v>
      </c>
    </row>
    <row r="177" spans="1:2" x14ac:dyDescent="0.25">
      <c r="A177" t="s">
        <v>372</v>
      </c>
      <c r="B177" s="187">
        <v>38464</v>
      </c>
    </row>
    <row r="178" spans="1:2" x14ac:dyDescent="0.25">
      <c r="A178" t="s">
        <v>373</v>
      </c>
      <c r="B178" s="187">
        <v>55417</v>
      </c>
    </row>
    <row r="179" spans="1:2" x14ac:dyDescent="0.25">
      <c r="A179" t="s">
        <v>374</v>
      </c>
      <c r="B179" s="187">
        <v>40333</v>
      </c>
    </row>
    <row r="180" spans="1:2" x14ac:dyDescent="0.25">
      <c r="A180" t="s">
        <v>375</v>
      </c>
      <c r="B180" s="187">
        <v>31875</v>
      </c>
    </row>
    <row r="181" spans="1:2" x14ac:dyDescent="0.25">
      <c r="A181" t="s">
        <v>376</v>
      </c>
      <c r="B181" s="187">
        <v>47500</v>
      </c>
    </row>
    <row r="182" spans="1:2" x14ac:dyDescent="0.25">
      <c r="A182" t="s">
        <v>377</v>
      </c>
      <c r="B182" s="187">
        <v>55336</v>
      </c>
    </row>
    <row r="183" spans="1:2" x14ac:dyDescent="0.25">
      <c r="A183" t="s">
        <v>378</v>
      </c>
      <c r="B183" s="187">
        <v>70972</v>
      </c>
    </row>
    <row r="184" spans="1:2" x14ac:dyDescent="0.25">
      <c r="A184" t="s">
        <v>379</v>
      </c>
      <c r="B184" s="187">
        <v>61729</v>
      </c>
    </row>
    <row r="185" spans="1:2" x14ac:dyDescent="0.25">
      <c r="A185" t="s">
        <v>380</v>
      </c>
      <c r="B185" s="187">
        <v>70608</v>
      </c>
    </row>
    <row r="186" spans="1:2" x14ac:dyDescent="0.25">
      <c r="A186" t="s">
        <v>381</v>
      </c>
      <c r="B186" s="187">
        <v>54349</v>
      </c>
    </row>
    <row r="187" spans="1:2" x14ac:dyDescent="0.25">
      <c r="A187" t="s">
        <v>382</v>
      </c>
      <c r="B187" s="187">
        <v>77813</v>
      </c>
    </row>
    <row r="188" spans="1:2" x14ac:dyDescent="0.25">
      <c r="A188" t="s">
        <v>383</v>
      </c>
      <c r="B188" s="187">
        <v>61575</v>
      </c>
    </row>
    <row r="189" spans="1:2" x14ac:dyDescent="0.25">
      <c r="A189" t="s">
        <v>384</v>
      </c>
      <c r="B189" s="187">
        <v>103458</v>
      </c>
    </row>
    <row r="190" spans="1:2" x14ac:dyDescent="0.25">
      <c r="A190" t="s">
        <v>385</v>
      </c>
      <c r="B190" s="187">
        <v>90647</v>
      </c>
    </row>
    <row r="191" spans="1:2" x14ac:dyDescent="0.25">
      <c r="A191" t="s">
        <v>386</v>
      </c>
      <c r="B191" s="187">
        <v>91080</v>
      </c>
    </row>
    <row r="192" spans="1:2" x14ac:dyDescent="0.25">
      <c r="A192" t="s">
        <v>387</v>
      </c>
      <c r="B192" s="187">
        <v>72140</v>
      </c>
    </row>
    <row r="193" spans="1:2" x14ac:dyDescent="0.25">
      <c r="A193" t="s">
        <v>388</v>
      </c>
      <c r="B193" s="187">
        <v>63243</v>
      </c>
    </row>
    <row r="194" spans="1:2" x14ac:dyDescent="0.25">
      <c r="A194" t="s">
        <v>389</v>
      </c>
      <c r="B194" s="187">
        <v>49813</v>
      </c>
    </row>
    <row r="195" spans="1:2" x14ac:dyDescent="0.25">
      <c r="A195" t="s">
        <v>390</v>
      </c>
      <c r="B195" s="187">
        <v>80686</v>
      </c>
    </row>
    <row r="196" spans="1:2" x14ac:dyDescent="0.25">
      <c r="A196" t="s">
        <v>391</v>
      </c>
      <c r="B196" s="187">
        <v>51397</v>
      </c>
    </row>
    <row r="197" spans="1:2" x14ac:dyDescent="0.25">
      <c r="A197" t="s">
        <v>392</v>
      </c>
      <c r="B197" s="187">
        <v>52595</v>
      </c>
    </row>
    <row r="198" spans="1:2" x14ac:dyDescent="0.25">
      <c r="A198" t="s">
        <v>393</v>
      </c>
      <c r="B198" s="187">
        <v>50790</v>
      </c>
    </row>
    <row r="199" spans="1:2" x14ac:dyDescent="0.25">
      <c r="A199" t="s">
        <v>394</v>
      </c>
      <c r="B199" s="187">
        <v>70303</v>
      </c>
    </row>
    <row r="200" spans="1:2" x14ac:dyDescent="0.25">
      <c r="A200" t="s">
        <v>395</v>
      </c>
      <c r="B200" s="187">
        <v>64679</v>
      </c>
    </row>
    <row r="201" spans="1:2" x14ac:dyDescent="0.25">
      <c r="A201" t="s">
        <v>396</v>
      </c>
      <c r="B201" s="187">
        <v>75362</v>
      </c>
    </row>
    <row r="202" spans="1:2" x14ac:dyDescent="0.25">
      <c r="A202" t="s">
        <v>397</v>
      </c>
      <c r="B202" s="187">
        <v>58356</v>
      </c>
    </row>
    <row r="203" spans="1:2" x14ac:dyDescent="0.25">
      <c r="A203" t="s">
        <v>398</v>
      </c>
      <c r="B203" s="187">
        <v>61875</v>
      </c>
    </row>
    <row r="204" spans="1:2" x14ac:dyDescent="0.25">
      <c r="A204" t="s">
        <v>399</v>
      </c>
      <c r="B204" s="187">
        <v>66378</v>
      </c>
    </row>
    <row r="205" spans="1:2" x14ac:dyDescent="0.25">
      <c r="A205" t="s">
        <v>400</v>
      </c>
      <c r="B205" s="187">
        <v>64681</v>
      </c>
    </row>
    <row r="206" spans="1:2" x14ac:dyDescent="0.25">
      <c r="A206" t="s">
        <v>401</v>
      </c>
      <c r="B206" s="187">
        <v>64432</v>
      </c>
    </row>
    <row r="207" spans="1:2" x14ac:dyDescent="0.25">
      <c r="A207" t="s">
        <v>402</v>
      </c>
      <c r="B207" s="187">
        <v>41230</v>
      </c>
    </row>
    <row r="208" spans="1:2" x14ac:dyDescent="0.25">
      <c r="A208" t="s">
        <v>403</v>
      </c>
      <c r="B208" s="187">
        <v>38750</v>
      </c>
    </row>
    <row r="209" spans="1:2" x14ac:dyDescent="0.25">
      <c r="A209" t="s">
        <v>404</v>
      </c>
      <c r="B209" s="187">
        <v>48875</v>
      </c>
    </row>
    <row r="210" spans="1:2" x14ac:dyDescent="0.25">
      <c r="A210" t="s">
        <v>405</v>
      </c>
      <c r="B210" s="187">
        <v>32420</v>
      </c>
    </row>
    <row r="211" spans="1:2" x14ac:dyDescent="0.25">
      <c r="A211" t="s">
        <v>406</v>
      </c>
      <c r="B211" s="187">
        <v>42316</v>
      </c>
    </row>
    <row r="212" spans="1:2" x14ac:dyDescent="0.25">
      <c r="A212" t="s">
        <v>407</v>
      </c>
      <c r="B212" s="187">
        <v>39839</v>
      </c>
    </row>
    <row r="213" spans="1:2" x14ac:dyDescent="0.25">
      <c r="A213" t="s">
        <v>408</v>
      </c>
      <c r="B213" s="187">
        <v>44750</v>
      </c>
    </row>
    <row r="214" spans="1:2" x14ac:dyDescent="0.25">
      <c r="A214" t="s">
        <v>409</v>
      </c>
      <c r="B214" s="187">
        <v>53618</v>
      </c>
    </row>
    <row r="215" spans="1:2" x14ac:dyDescent="0.25">
      <c r="A215" t="s">
        <v>410</v>
      </c>
      <c r="B215" s="187">
        <v>63333</v>
      </c>
    </row>
    <row r="216" spans="1:2" x14ac:dyDescent="0.25">
      <c r="A216" t="s">
        <v>411</v>
      </c>
      <c r="B216" s="187">
        <v>66875</v>
      </c>
    </row>
    <row r="217" spans="1:2" x14ac:dyDescent="0.25">
      <c r="A217" t="s">
        <v>412</v>
      </c>
      <c r="B217" s="187">
        <v>66190</v>
      </c>
    </row>
    <row r="218" spans="1:2" x14ac:dyDescent="0.25">
      <c r="A218" t="s">
        <v>413</v>
      </c>
      <c r="B218" s="187">
        <v>60149</v>
      </c>
    </row>
    <row r="219" spans="1:2" x14ac:dyDescent="0.25">
      <c r="A219" t="s">
        <v>414</v>
      </c>
      <c r="B219" s="187">
        <v>30357</v>
      </c>
    </row>
    <row r="220" spans="1:2" x14ac:dyDescent="0.25">
      <c r="A220" t="s">
        <v>415</v>
      </c>
      <c r="B220" s="187">
        <v>41069</v>
      </c>
    </row>
    <row r="221" spans="1:2" x14ac:dyDescent="0.25">
      <c r="A221" t="s">
        <v>416</v>
      </c>
      <c r="B221" s="187">
        <v>51694</v>
      </c>
    </row>
    <row r="222" spans="1:2" x14ac:dyDescent="0.25">
      <c r="A222" t="s">
        <v>417</v>
      </c>
      <c r="B222" s="187">
        <v>82333</v>
      </c>
    </row>
    <row r="223" spans="1:2" x14ac:dyDescent="0.25">
      <c r="A223" t="s">
        <v>418</v>
      </c>
      <c r="B223" s="187">
        <v>96591</v>
      </c>
    </row>
    <row r="224" spans="1:2" x14ac:dyDescent="0.25">
      <c r="A224" t="s">
        <v>419</v>
      </c>
      <c r="B224" s="187">
        <v>89595</v>
      </c>
    </row>
    <row r="225" spans="1:2" x14ac:dyDescent="0.25">
      <c r="A225" t="s">
        <v>420</v>
      </c>
      <c r="B225" s="187">
        <v>95536</v>
      </c>
    </row>
    <row r="226" spans="1:2" x14ac:dyDescent="0.25">
      <c r="A226" t="s">
        <v>421</v>
      </c>
      <c r="B226" s="187">
        <v>79340</v>
      </c>
    </row>
    <row r="227" spans="1:2" x14ac:dyDescent="0.25">
      <c r="A227" t="s">
        <v>422</v>
      </c>
      <c r="B227" s="187">
        <v>70728</v>
      </c>
    </row>
    <row r="228" spans="1:2" x14ac:dyDescent="0.25">
      <c r="A228" t="s">
        <v>423</v>
      </c>
      <c r="B228" s="187">
        <v>41250</v>
      </c>
    </row>
    <row r="229" spans="1:2" x14ac:dyDescent="0.25">
      <c r="A229" t="s">
        <v>424</v>
      </c>
      <c r="B229" s="187">
        <v>22256</v>
      </c>
    </row>
    <row r="230" spans="1:2" x14ac:dyDescent="0.25">
      <c r="A230" t="s">
        <v>425</v>
      </c>
      <c r="B230" s="187">
        <v>71082</v>
      </c>
    </row>
    <row r="231" spans="1:2" x14ac:dyDescent="0.25">
      <c r="A231" t="s">
        <v>426</v>
      </c>
      <c r="B231" s="187">
        <v>36556</v>
      </c>
    </row>
    <row r="232" spans="1:2" x14ac:dyDescent="0.25">
      <c r="A232" t="s">
        <v>427</v>
      </c>
      <c r="B232" s="187">
        <v>61759</v>
      </c>
    </row>
    <row r="233" spans="1:2" x14ac:dyDescent="0.25">
      <c r="A233" t="s">
        <v>428</v>
      </c>
      <c r="B233" s="187">
        <v>71530</v>
      </c>
    </row>
    <row r="234" spans="1:2" x14ac:dyDescent="0.25">
      <c r="A234" t="s">
        <v>429</v>
      </c>
      <c r="B234" s="187">
        <v>70000</v>
      </c>
    </row>
    <row r="235" spans="1:2" x14ac:dyDescent="0.25">
      <c r="A235" t="s">
        <v>430</v>
      </c>
      <c r="B235" s="187">
        <v>68550</v>
      </c>
    </row>
    <row r="236" spans="1:2" x14ac:dyDescent="0.25">
      <c r="A236" t="s">
        <v>431</v>
      </c>
      <c r="B236" s="187">
        <v>59145</v>
      </c>
    </row>
    <row r="237" spans="1:2" x14ac:dyDescent="0.25">
      <c r="A237" t="s">
        <v>432</v>
      </c>
      <c r="B237" s="187">
        <v>60494</v>
      </c>
    </row>
    <row r="238" spans="1:2" x14ac:dyDescent="0.25">
      <c r="A238" t="s">
        <v>433</v>
      </c>
      <c r="B238" s="187">
        <v>52054</v>
      </c>
    </row>
    <row r="239" spans="1:2" x14ac:dyDescent="0.25">
      <c r="A239" t="s">
        <v>434</v>
      </c>
      <c r="B239" s="187">
        <v>63569</v>
      </c>
    </row>
    <row r="240" spans="1:2" x14ac:dyDescent="0.25">
      <c r="A240" t="s">
        <v>435</v>
      </c>
      <c r="B240" s="187">
        <v>53827</v>
      </c>
    </row>
    <row r="241" spans="1:2" x14ac:dyDescent="0.25">
      <c r="A241" t="s">
        <v>436</v>
      </c>
      <c r="B241" s="187">
        <v>61299</v>
      </c>
    </row>
    <row r="242" spans="1:2" x14ac:dyDescent="0.25">
      <c r="A242" t="s">
        <v>437</v>
      </c>
      <c r="B242" s="187">
        <v>68313</v>
      </c>
    </row>
    <row r="243" spans="1:2" x14ac:dyDescent="0.25">
      <c r="A243" t="s">
        <v>438</v>
      </c>
      <c r="B243" s="187">
        <v>67878</v>
      </c>
    </row>
    <row r="244" spans="1:2" x14ac:dyDescent="0.25">
      <c r="A244" t="s">
        <v>439</v>
      </c>
      <c r="B244" s="187">
        <v>62160</v>
      </c>
    </row>
    <row r="245" spans="1:2" x14ac:dyDescent="0.25">
      <c r="A245" t="s">
        <v>440</v>
      </c>
      <c r="B245" s="187">
        <v>40679</v>
      </c>
    </row>
    <row r="246" spans="1:2" x14ac:dyDescent="0.25">
      <c r="A246" t="s">
        <v>441</v>
      </c>
      <c r="B246" s="187">
        <v>46447</v>
      </c>
    </row>
    <row r="247" spans="1:2" x14ac:dyDescent="0.25">
      <c r="A247" t="s">
        <v>442</v>
      </c>
      <c r="B247" s="187">
        <v>54708</v>
      </c>
    </row>
    <row r="248" spans="1:2" x14ac:dyDescent="0.25">
      <c r="A248" t="s">
        <v>443</v>
      </c>
      <c r="B248" s="187">
        <v>81802</v>
      </c>
    </row>
    <row r="249" spans="1:2" x14ac:dyDescent="0.25">
      <c r="A249" t="s">
        <v>444</v>
      </c>
      <c r="B249" s="187">
        <v>63988</v>
      </c>
    </row>
    <row r="250" spans="1:2" x14ac:dyDescent="0.25">
      <c r="A250" t="s">
        <v>445</v>
      </c>
      <c r="B250" s="187">
        <v>22205</v>
      </c>
    </row>
    <row r="251" spans="1:2" x14ac:dyDescent="0.25">
      <c r="A251" t="s">
        <v>446</v>
      </c>
      <c r="B251" s="187">
        <v>24643</v>
      </c>
    </row>
    <row r="252" spans="1:2" x14ac:dyDescent="0.25">
      <c r="A252" t="s">
        <v>447</v>
      </c>
      <c r="B252" s="187">
        <v>37560</v>
      </c>
    </row>
    <row r="253" spans="1:2" x14ac:dyDescent="0.25">
      <c r="A253" t="s">
        <v>448</v>
      </c>
      <c r="B253" s="187">
        <v>27016</v>
      </c>
    </row>
    <row r="254" spans="1:2" x14ac:dyDescent="0.25">
      <c r="A254" t="s">
        <v>449</v>
      </c>
      <c r="B254" s="187">
        <v>21578</v>
      </c>
    </row>
    <row r="255" spans="1:2" x14ac:dyDescent="0.25">
      <c r="A255" t="s">
        <v>450</v>
      </c>
      <c r="B255" s="187">
        <v>45536</v>
      </c>
    </row>
    <row r="256" spans="1:2" x14ac:dyDescent="0.25">
      <c r="A256" t="s">
        <v>451</v>
      </c>
      <c r="B256" s="187">
        <v>8029</v>
      </c>
    </row>
    <row r="257" spans="1:2" x14ac:dyDescent="0.25">
      <c r="A257" t="s">
        <v>452</v>
      </c>
      <c r="B257" s="187">
        <v>28272</v>
      </c>
    </row>
    <row r="258" spans="1:2" x14ac:dyDescent="0.25">
      <c r="A258" t="s">
        <v>453</v>
      </c>
      <c r="B258" s="187">
        <v>67431</v>
      </c>
    </row>
    <row r="259" spans="1:2" x14ac:dyDescent="0.25">
      <c r="A259" t="s">
        <v>454</v>
      </c>
      <c r="B259" s="187">
        <v>22117</v>
      </c>
    </row>
    <row r="260" spans="1:2" x14ac:dyDescent="0.25">
      <c r="A260" t="s">
        <v>455</v>
      </c>
      <c r="B260" s="187">
        <v>43026</v>
      </c>
    </row>
    <row r="261" spans="1:2" x14ac:dyDescent="0.25">
      <c r="A261" t="s">
        <v>456</v>
      </c>
      <c r="B261" s="187">
        <v>15719</v>
      </c>
    </row>
    <row r="262" spans="1:2" x14ac:dyDescent="0.25">
      <c r="A262" t="s">
        <v>457</v>
      </c>
      <c r="B262" s="187">
        <v>35000</v>
      </c>
    </row>
    <row r="263" spans="1:2" x14ac:dyDescent="0.25">
      <c r="A263" t="s">
        <v>458</v>
      </c>
      <c r="B263" s="187">
        <v>31903</v>
      </c>
    </row>
    <row r="264" spans="1:2" x14ac:dyDescent="0.25">
      <c r="A264" t="s">
        <v>459</v>
      </c>
      <c r="B264" s="187">
        <v>25543</v>
      </c>
    </row>
    <row r="265" spans="1:2" x14ac:dyDescent="0.25">
      <c r="A265" t="s">
        <v>460</v>
      </c>
      <c r="B265" s="187">
        <v>33583</v>
      </c>
    </row>
    <row r="266" spans="1:2" x14ac:dyDescent="0.25">
      <c r="A266" t="s">
        <v>461</v>
      </c>
      <c r="B266" s="187">
        <v>30221</v>
      </c>
    </row>
    <row r="267" spans="1:2" x14ac:dyDescent="0.25">
      <c r="A267" t="s">
        <v>462</v>
      </c>
      <c r="B267" s="187">
        <v>41662</v>
      </c>
    </row>
    <row r="268" spans="1:2" x14ac:dyDescent="0.25">
      <c r="A268" t="s">
        <v>463</v>
      </c>
      <c r="B268" s="187">
        <v>34904</v>
      </c>
    </row>
    <row r="269" spans="1:2" x14ac:dyDescent="0.25">
      <c r="A269" t="s">
        <v>464</v>
      </c>
      <c r="B269" s="187">
        <v>49541</v>
      </c>
    </row>
    <row r="270" spans="1:2" x14ac:dyDescent="0.25">
      <c r="A270" t="s">
        <v>465</v>
      </c>
      <c r="B270" s="187">
        <v>53967</v>
      </c>
    </row>
    <row r="271" spans="1:2" x14ac:dyDescent="0.25">
      <c r="A271" t="s">
        <v>466</v>
      </c>
      <c r="B271" s="187">
        <v>69375</v>
      </c>
    </row>
    <row r="272" spans="1:2" x14ac:dyDescent="0.25">
      <c r="A272" t="s">
        <v>467</v>
      </c>
      <c r="B272" s="187">
        <v>61498</v>
      </c>
    </row>
    <row r="273" spans="1:2" x14ac:dyDescent="0.25">
      <c r="A273" t="s">
        <v>468</v>
      </c>
      <c r="B273" s="187">
        <v>50186</v>
      </c>
    </row>
    <row r="274" spans="1:2" x14ac:dyDescent="0.25">
      <c r="A274" t="s">
        <v>469</v>
      </c>
      <c r="B274" s="187">
        <v>94531</v>
      </c>
    </row>
    <row r="275" spans="1:2" x14ac:dyDescent="0.25">
      <c r="A275" t="s">
        <v>470</v>
      </c>
      <c r="B275" s="187">
        <v>59020</v>
      </c>
    </row>
    <row r="276" spans="1:2" x14ac:dyDescent="0.25">
      <c r="A276" t="s">
        <v>471</v>
      </c>
      <c r="B276" s="187">
        <v>38929</v>
      </c>
    </row>
    <row r="277" spans="1:2" x14ac:dyDescent="0.25">
      <c r="A277" t="s">
        <v>472</v>
      </c>
      <c r="B277" s="187">
        <v>71595</v>
      </c>
    </row>
    <row r="278" spans="1:2" x14ac:dyDescent="0.25">
      <c r="A278" t="s">
        <v>473</v>
      </c>
      <c r="B278" s="187">
        <v>55192</v>
      </c>
    </row>
    <row r="279" spans="1:2" x14ac:dyDescent="0.25">
      <c r="A279" t="s">
        <v>474</v>
      </c>
      <c r="B279" s="187">
        <v>66898</v>
      </c>
    </row>
    <row r="280" spans="1:2" x14ac:dyDescent="0.25">
      <c r="A280" t="s">
        <v>475</v>
      </c>
      <c r="B280" s="187">
        <v>69575</v>
      </c>
    </row>
    <row r="281" spans="1:2" x14ac:dyDescent="0.25">
      <c r="A281" t="s">
        <v>476</v>
      </c>
      <c r="B281" s="187">
        <v>51301</v>
      </c>
    </row>
    <row r="282" spans="1:2" x14ac:dyDescent="0.25">
      <c r="A282" t="s">
        <v>477</v>
      </c>
      <c r="B282" s="187">
        <v>26313</v>
      </c>
    </row>
    <row r="283" spans="1:2" x14ac:dyDescent="0.25">
      <c r="A283" t="s">
        <v>478</v>
      </c>
      <c r="B283" s="187">
        <v>60263</v>
      </c>
    </row>
    <row r="284" spans="1:2" x14ac:dyDescent="0.25">
      <c r="A284" t="s">
        <v>479</v>
      </c>
      <c r="B284" s="187">
        <v>85948</v>
      </c>
    </row>
    <row r="285" spans="1:2" x14ac:dyDescent="0.25">
      <c r="A285" t="s">
        <v>480</v>
      </c>
      <c r="B285" s="187">
        <v>42674</v>
      </c>
    </row>
    <row r="286" spans="1:2" x14ac:dyDescent="0.25">
      <c r="A286" t="s">
        <v>481</v>
      </c>
      <c r="B286" s="187">
        <v>62238</v>
      </c>
    </row>
    <row r="287" spans="1:2" x14ac:dyDescent="0.25">
      <c r="A287" t="s">
        <v>482</v>
      </c>
      <c r="B287" s="187">
        <v>55757</v>
      </c>
    </row>
    <row r="288" spans="1:2" x14ac:dyDescent="0.25">
      <c r="A288" t="s">
        <v>483</v>
      </c>
      <c r="B288" s="187">
        <v>67750</v>
      </c>
    </row>
    <row r="289" spans="1:2" x14ac:dyDescent="0.25">
      <c r="A289" t="s">
        <v>484</v>
      </c>
      <c r="B289" s="187">
        <v>69375</v>
      </c>
    </row>
    <row r="290" spans="1:2" x14ac:dyDescent="0.25">
      <c r="A290" t="s">
        <v>485</v>
      </c>
      <c r="B290" s="187">
        <v>58650</v>
      </c>
    </row>
    <row r="291" spans="1:2" x14ac:dyDescent="0.25">
      <c r="A291" t="s">
        <v>486</v>
      </c>
      <c r="B291" s="187">
        <v>78882</v>
      </c>
    </row>
    <row r="292" spans="1:2" x14ac:dyDescent="0.25">
      <c r="A292" t="s">
        <v>487</v>
      </c>
      <c r="B292" s="187">
        <v>41229</v>
      </c>
    </row>
    <row r="293" spans="1:2" x14ac:dyDescent="0.25">
      <c r="A293" t="s">
        <v>488</v>
      </c>
      <c r="B293" s="187">
        <v>47730</v>
      </c>
    </row>
    <row r="294" spans="1:2" x14ac:dyDescent="0.25">
      <c r="A294" t="s">
        <v>489</v>
      </c>
      <c r="B294" s="187">
        <v>42717</v>
      </c>
    </row>
    <row r="295" spans="1:2" x14ac:dyDescent="0.25">
      <c r="A295" t="s">
        <v>490</v>
      </c>
      <c r="B295" s="187">
        <v>60229</v>
      </c>
    </row>
    <row r="296" spans="1:2" x14ac:dyDescent="0.25">
      <c r="A296" t="s">
        <v>491</v>
      </c>
      <c r="B296" s="187">
        <v>80664</v>
      </c>
    </row>
    <row r="297" spans="1:2" x14ac:dyDescent="0.25">
      <c r="A297" t="s">
        <v>492</v>
      </c>
      <c r="B297" s="187">
        <v>48155</v>
      </c>
    </row>
    <row r="298" spans="1:2" x14ac:dyDescent="0.25">
      <c r="A298" t="s">
        <v>493</v>
      </c>
      <c r="B298" s="187">
        <v>68934</v>
      </c>
    </row>
    <row r="299" spans="1:2" x14ac:dyDescent="0.25">
      <c r="A299" t="s">
        <v>494</v>
      </c>
      <c r="B299" s="187">
        <v>65421</v>
      </c>
    </row>
    <row r="300" spans="1:2" x14ac:dyDescent="0.25">
      <c r="A300" t="s">
        <v>495</v>
      </c>
      <c r="B300" s="187">
        <v>47470</v>
      </c>
    </row>
    <row r="301" spans="1:2" x14ac:dyDescent="0.25">
      <c r="A301" t="s">
        <v>496</v>
      </c>
      <c r="B301" s="187">
        <v>103028</v>
      </c>
    </row>
    <row r="302" spans="1:2" x14ac:dyDescent="0.25">
      <c r="A302" t="s">
        <v>497</v>
      </c>
      <c r="B302" s="187">
        <v>96875</v>
      </c>
    </row>
    <row r="303" spans="1:2" x14ac:dyDescent="0.25">
      <c r="A303" t="s">
        <v>498</v>
      </c>
      <c r="B303" s="187">
        <v>77188</v>
      </c>
    </row>
    <row r="304" spans="1:2" x14ac:dyDescent="0.25">
      <c r="A304" t="s">
        <v>499</v>
      </c>
      <c r="B304" s="187">
        <v>55063</v>
      </c>
    </row>
    <row r="305" spans="1:2" x14ac:dyDescent="0.25">
      <c r="A305" t="s">
        <v>500</v>
      </c>
      <c r="B305" s="187">
        <v>77228</v>
      </c>
    </row>
    <row r="306" spans="1:2" x14ac:dyDescent="0.25">
      <c r="A306" t="s">
        <v>501</v>
      </c>
      <c r="B306" s="187">
        <v>86622</v>
      </c>
    </row>
    <row r="307" spans="1:2" x14ac:dyDescent="0.25">
      <c r="A307" t="s">
        <v>502</v>
      </c>
      <c r="B307" s="187">
        <v>89945</v>
      </c>
    </row>
    <row r="308" spans="1:2" x14ac:dyDescent="0.25">
      <c r="A308" t="s">
        <v>503</v>
      </c>
      <c r="B308" s="187">
        <v>84286</v>
      </c>
    </row>
    <row r="309" spans="1:2" x14ac:dyDescent="0.25">
      <c r="A309" t="s">
        <v>504</v>
      </c>
      <c r="B309" s="187">
        <v>78583</v>
      </c>
    </row>
    <row r="310" spans="1:2" x14ac:dyDescent="0.25">
      <c r="A310" t="s">
        <v>505</v>
      </c>
      <c r="B310" s="187">
        <v>82419</v>
      </c>
    </row>
    <row r="311" spans="1:2" x14ac:dyDescent="0.25">
      <c r="A311" t="s">
        <v>506</v>
      </c>
      <c r="B311" s="187">
        <v>79013</v>
      </c>
    </row>
    <row r="312" spans="1:2" x14ac:dyDescent="0.25">
      <c r="A312" t="s">
        <v>507</v>
      </c>
      <c r="B312" s="187">
        <v>54095</v>
      </c>
    </row>
    <row r="313" spans="1:2" x14ac:dyDescent="0.25">
      <c r="A313" t="s">
        <v>508</v>
      </c>
      <c r="B313" s="187">
        <v>68281</v>
      </c>
    </row>
    <row r="314" spans="1:2" x14ac:dyDescent="0.25">
      <c r="A314" t="s">
        <v>509</v>
      </c>
      <c r="B314" s="187">
        <v>70098</v>
      </c>
    </row>
    <row r="315" spans="1:2" x14ac:dyDescent="0.25">
      <c r="A315" t="s">
        <v>510</v>
      </c>
      <c r="B315" s="187">
        <v>64299</v>
      </c>
    </row>
    <row r="316" spans="1:2" x14ac:dyDescent="0.25">
      <c r="A316" t="s">
        <v>511</v>
      </c>
      <c r="B316" s="187">
        <v>67098</v>
      </c>
    </row>
    <row r="317" spans="1:2" x14ac:dyDescent="0.25">
      <c r="A317" t="s">
        <v>512</v>
      </c>
      <c r="B317" s="187">
        <v>49646</v>
      </c>
    </row>
    <row r="318" spans="1:2" x14ac:dyDescent="0.25">
      <c r="A318" t="s">
        <v>513</v>
      </c>
      <c r="B318" s="187">
        <v>68209</v>
      </c>
    </row>
    <row r="319" spans="1:2" x14ac:dyDescent="0.25">
      <c r="A319" t="s">
        <v>514</v>
      </c>
      <c r="B319" s="187">
        <v>42281</v>
      </c>
    </row>
    <row r="320" spans="1:2" x14ac:dyDescent="0.25">
      <c r="A320" t="s">
        <v>515</v>
      </c>
      <c r="B320" s="187">
        <v>60707</v>
      </c>
    </row>
    <row r="321" spans="1:2" x14ac:dyDescent="0.25">
      <c r="A321" t="s">
        <v>516</v>
      </c>
      <c r="B321" s="187">
        <v>52049</v>
      </c>
    </row>
    <row r="322" spans="1:2" x14ac:dyDescent="0.25">
      <c r="A322" t="s">
        <v>517</v>
      </c>
      <c r="B322" s="187">
        <v>42847</v>
      </c>
    </row>
    <row r="323" spans="1:2" x14ac:dyDescent="0.25">
      <c r="A323" t="s">
        <v>518</v>
      </c>
      <c r="B323" s="187">
        <v>61595</v>
      </c>
    </row>
    <row r="324" spans="1:2" x14ac:dyDescent="0.25">
      <c r="A324" t="s">
        <v>519</v>
      </c>
      <c r="B324" s="187">
        <v>67167</v>
      </c>
    </row>
    <row r="325" spans="1:2" x14ac:dyDescent="0.25">
      <c r="A325" t="s">
        <v>520</v>
      </c>
      <c r="B325" s="187">
        <v>44514</v>
      </c>
    </row>
    <row r="326" spans="1:2" x14ac:dyDescent="0.25">
      <c r="A326" t="s">
        <v>521</v>
      </c>
      <c r="B326" s="187">
        <v>60867</v>
      </c>
    </row>
    <row r="327" spans="1:2" x14ac:dyDescent="0.25">
      <c r="A327" t="s">
        <v>522</v>
      </c>
      <c r="B327" s="187">
        <v>48008</v>
      </c>
    </row>
    <row r="328" spans="1:2" x14ac:dyDescent="0.25">
      <c r="A328" t="s">
        <v>523</v>
      </c>
      <c r="B328" s="187">
        <v>63112</v>
      </c>
    </row>
    <row r="329" spans="1:2" x14ac:dyDescent="0.25">
      <c r="A329" t="s">
        <v>524</v>
      </c>
      <c r="B329" s="187">
        <v>81012</v>
      </c>
    </row>
    <row r="330" spans="1:2" x14ac:dyDescent="0.25">
      <c r="A330" t="s">
        <v>525</v>
      </c>
      <c r="B330" s="187">
        <v>38167</v>
      </c>
    </row>
    <row r="331" spans="1:2" x14ac:dyDescent="0.25">
      <c r="A331" t="s">
        <v>526</v>
      </c>
      <c r="B331" s="187">
        <v>31421</v>
      </c>
    </row>
    <row r="332" spans="1:2" x14ac:dyDescent="0.25">
      <c r="A332" t="s">
        <v>527</v>
      </c>
      <c r="B332" s="187">
        <v>49541</v>
      </c>
    </row>
    <row r="333" spans="1:2" x14ac:dyDescent="0.25">
      <c r="A333" t="s">
        <v>528</v>
      </c>
      <c r="B333" s="187">
        <v>37163</v>
      </c>
    </row>
    <row r="334" spans="1:2" x14ac:dyDescent="0.25">
      <c r="A334" t="s">
        <v>529</v>
      </c>
      <c r="B334" s="187">
        <v>45391</v>
      </c>
    </row>
    <row r="335" spans="1:2" x14ac:dyDescent="0.25">
      <c r="A335" t="s">
        <v>530</v>
      </c>
      <c r="B335" s="187">
        <v>31119</v>
      </c>
    </row>
    <row r="336" spans="1:2" x14ac:dyDescent="0.25">
      <c r="A336" t="s">
        <v>531</v>
      </c>
      <c r="B336" s="187">
        <v>36759</v>
      </c>
    </row>
    <row r="337" spans="1:2" x14ac:dyDescent="0.25">
      <c r="A337" t="s">
        <v>532</v>
      </c>
      <c r="B337" s="187">
        <v>32123</v>
      </c>
    </row>
    <row r="338" spans="1:2" x14ac:dyDescent="0.25">
      <c r="A338" t="s">
        <v>533</v>
      </c>
      <c r="B338" s="187">
        <v>73493</v>
      </c>
    </row>
    <row r="339" spans="1:2" x14ac:dyDescent="0.25">
      <c r="A339" t="s">
        <v>534</v>
      </c>
      <c r="B339" s="187">
        <v>30417</v>
      </c>
    </row>
    <row r="340" spans="1:2" x14ac:dyDescent="0.25">
      <c r="A340" t="s">
        <v>535</v>
      </c>
      <c r="B340" s="187">
        <v>53125</v>
      </c>
    </row>
    <row r="341" spans="1:2" x14ac:dyDescent="0.25">
      <c r="A341" t="s">
        <v>536</v>
      </c>
      <c r="B341" s="187">
        <v>52021</v>
      </c>
    </row>
    <row r="342" spans="1:2" x14ac:dyDescent="0.25">
      <c r="A342" t="s">
        <v>537</v>
      </c>
      <c r="B342" s="187">
        <v>32647</v>
      </c>
    </row>
    <row r="343" spans="1:2" x14ac:dyDescent="0.25">
      <c r="A343" t="s">
        <v>538</v>
      </c>
      <c r="B343" s="187">
        <v>46161</v>
      </c>
    </row>
    <row r="344" spans="1:2" x14ac:dyDescent="0.25">
      <c r="A344" t="s">
        <v>539</v>
      </c>
      <c r="B344" s="187">
        <v>57457</v>
      </c>
    </row>
    <row r="345" spans="1:2" x14ac:dyDescent="0.25">
      <c r="A345" t="s">
        <v>540</v>
      </c>
      <c r="B345" s="187">
        <v>48026</v>
      </c>
    </row>
    <row r="346" spans="1:2" x14ac:dyDescent="0.25">
      <c r="A346" t="s">
        <v>541</v>
      </c>
      <c r="B346" s="187">
        <v>70100</v>
      </c>
    </row>
    <row r="347" spans="1:2" x14ac:dyDescent="0.25">
      <c r="A347" t="s">
        <v>542</v>
      </c>
      <c r="B347" s="187">
        <v>49965</v>
      </c>
    </row>
    <row r="348" spans="1:2" x14ac:dyDescent="0.25">
      <c r="A348" t="s">
        <v>543</v>
      </c>
      <c r="B348" s="187">
        <v>45819</v>
      </c>
    </row>
    <row r="349" spans="1:2" x14ac:dyDescent="0.25">
      <c r="A349" t="s">
        <v>544</v>
      </c>
      <c r="B349" s="187">
        <v>32596</v>
      </c>
    </row>
    <row r="350" spans="1:2" x14ac:dyDescent="0.25">
      <c r="A350" t="s">
        <v>545</v>
      </c>
      <c r="B350" s="187">
        <v>68934</v>
      </c>
    </row>
    <row r="351" spans="1:2" x14ac:dyDescent="0.25">
      <c r="A351" t="s">
        <v>546</v>
      </c>
      <c r="B351" s="187">
        <v>47776</v>
      </c>
    </row>
    <row r="352" spans="1:2" x14ac:dyDescent="0.25">
      <c r="A352" t="s">
        <v>547</v>
      </c>
      <c r="B352" s="187">
        <v>16592</v>
      </c>
    </row>
    <row r="353" spans="1:2" x14ac:dyDescent="0.25">
      <c r="A353" t="s">
        <v>548</v>
      </c>
      <c r="B353" s="187">
        <v>52727</v>
      </c>
    </row>
    <row r="354" spans="1:2" x14ac:dyDescent="0.25">
      <c r="A354" t="s">
        <v>549</v>
      </c>
      <c r="B354" s="187">
        <v>62800</v>
      </c>
    </row>
    <row r="355" spans="1:2" x14ac:dyDescent="0.25">
      <c r="A355" t="s">
        <v>550</v>
      </c>
      <c r="B355" s="187">
        <v>18722</v>
      </c>
    </row>
    <row r="356" spans="1:2" x14ac:dyDescent="0.25">
      <c r="A356" t="s">
        <v>551</v>
      </c>
      <c r="B356" s="187">
        <v>99786</v>
      </c>
    </row>
    <row r="357" spans="1:2" x14ac:dyDescent="0.25">
      <c r="A357" t="s">
        <v>552</v>
      </c>
      <c r="B357" s="187">
        <v>86786</v>
      </c>
    </row>
    <row r="358" spans="1:2" x14ac:dyDescent="0.25">
      <c r="A358" t="s">
        <v>553</v>
      </c>
      <c r="B358" s="187">
        <v>112917</v>
      </c>
    </row>
    <row r="359" spans="1:2" x14ac:dyDescent="0.25">
      <c r="A359" t="s">
        <v>554</v>
      </c>
      <c r="B359" s="187">
        <v>67750</v>
      </c>
    </row>
    <row r="360" spans="1:2" x14ac:dyDescent="0.25">
      <c r="A360" t="s">
        <v>555</v>
      </c>
      <c r="B360" s="187">
        <v>69150</v>
      </c>
    </row>
    <row r="361" spans="1:2" x14ac:dyDescent="0.25">
      <c r="A361" t="s">
        <v>556</v>
      </c>
      <c r="B361" s="187">
        <v>90728</v>
      </c>
    </row>
    <row r="362" spans="1:2" x14ac:dyDescent="0.25">
      <c r="A362" t="s">
        <v>557</v>
      </c>
      <c r="B362" s="187">
        <v>91647</v>
      </c>
    </row>
    <row r="363" spans="1:2" x14ac:dyDescent="0.25">
      <c r="A363" t="s">
        <v>558</v>
      </c>
      <c r="B363" s="187">
        <v>85577</v>
      </c>
    </row>
    <row r="364" spans="1:2" x14ac:dyDescent="0.25">
      <c r="A364" t="s">
        <v>559</v>
      </c>
      <c r="B364" s="187">
        <v>76765</v>
      </c>
    </row>
    <row r="365" spans="1:2" x14ac:dyDescent="0.25">
      <c r="A365" t="s">
        <v>560</v>
      </c>
      <c r="B365" s="187">
        <v>53875</v>
      </c>
    </row>
    <row r="366" spans="1:2" x14ac:dyDescent="0.25">
      <c r="A366" t="s">
        <v>561</v>
      </c>
      <c r="B366" s="187">
        <v>57883</v>
      </c>
    </row>
    <row r="367" spans="1:2" x14ac:dyDescent="0.25">
      <c r="A367" t="s">
        <v>562</v>
      </c>
      <c r="B367" s="187">
        <v>56048</v>
      </c>
    </row>
    <row r="368" spans="1:2" x14ac:dyDescent="0.25">
      <c r="A368" t="s">
        <v>563</v>
      </c>
      <c r="B368" s="187">
        <v>52535</v>
      </c>
    </row>
    <row r="369" spans="1:2" x14ac:dyDescent="0.25">
      <c r="A369" t="s">
        <v>564</v>
      </c>
      <c r="B369" s="187">
        <v>42917</v>
      </c>
    </row>
    <row r="370" spans="1:2" x14ac:dyDescent="0.25">
      <c r="A370" t="s">
        <v>565</v>
      </c>
      <c r="B370" s="187">
        <v>84226</v>
      </c>
    </row>
    <row r="371" spans="1:2" x14ac:dyDescent="0.25">
      <c r="A371" t="s">
        <v>566</v>
      </c>
      <c r="B371" s="187">
        <v>80252</v>
      </c>
    </row>
    <row r="372" spans="1:2" x14ac:dyDescent="0.25">
      <c r="A372" t="s">
        <v>567</v>
      </c>
      <c r="B372" s="187">
        <v>36500</v>
      </c>
    </row>
    <row r="373" spans="1:2" x14ac:dyDescent="0.25">
      <c r="A373" t="s">
        <v>568</v>
      </c>
      <c r="B373" s="187">
        <v>78614</v>
      </c>
    </row>
    <row r="374" spans="1:2" x14ac:dyDescent="0.25">
      <c r="A374" t="s">
        <v>569</v>
      </c>
      <c r="B374" s="187">
        <v>51488</v>
      </c>
    </row>
    <row r="375" spans="1:2" x14ac:dyDescent="0.25">
      <c r="A375" t="s">
        <v>570</v>
      </c>
      <c r="B375" s="187">
        <v>59188</v>
      </c>
    </row>
    <row r="376" spans="1:2" x14ac:dyDescent="0.25">
      <c r="A376" t="s">
        <v>571</v>
      </c>
      <c r="B376" s="187">
        <v>43920</v>
      </c>
    </row>
    <row r="377" spans="1:2" x14ac:dyDescent="0.25">
      <c r="A377" t="s">
        <v>572</v>
      </c>
      <c r="B377" s="187">
        <v>54965</v>
      </c>
    </row>
    <row r="378" spans="1:2" x14ac:dyDescent="0.25">
      <c r="A378" t="s">
        <v>573</v>
      </c>
      <c r="B378" s="187">
        <v>45655</v>
      </c>
    </row>
    <row r="379" spans="1:2" x14ac:dyDescent="0.25">
      <c r="A379" t="s">
        <v>574</v>
      </c>
      <c r="B379" s="187">
        <v>56214</v>
      </c>
    </row>
    <row r="380" spans="1:2" x14ac:dyDescent="0.25">
      <c r="A380" t="s">
        <v>575</v>
      </c>
      <c r="B380" s="187">
        <v>55602</v>
      </c>
    </row>
    <row r="381" spans="1:2" x14ac:dyDescent="0.25">
      <c r="A381" t="s">
        <v>576</v>
      </c>
      <c r="B381" s="187">
        <v>51370</v>
      </c>
    </row>
    <row r="382" spans="1:2" x14ac:dyDescent="0.25">
      <c r="A382" t="s">
        <v>577</v>
      </c>
      <c r="B382" s="187">
        <v>63387</v>
      </c>
    </row>
    <row r="383" spans="1:2" x14ac:dyDescent="0.25">
      <c r="A383" t="s">
        <v>578</v>
      </c>
      <c r="B383" s="187">
        <v>87536</v>
      </c>
    </row>
    <row r="384" spans="1:2" x14ac:dyDescent="0.25">
      <c r="A384" t="s">
        <v>579</v>
      </c>
      <c r="B384" s="187">
        <v>45781</v>
      </c>
    </row>
    <row r="385" spans="1:2" x14ac:dyDescent="0.25">
      <c r="A385" t="s">
        <v>580</v>
      </c>
      <c r="B385" s="187">
        <v>53966</v>
      </c>
    </row>
    <row r="386" spans="1:2" x14ac:dyDescent="0.25">
      <c r="A386" t="s">
        <v>581</v>
      </c>
      <c r="B386" s="187">
        <v>73689</v>
      </c>
    </row>
    <row r="387" spans="1:2" x14ac:dyDescent="0.25">
      <c r="A387" t="s">
        <v>582</v>
      </c>
      <c r="B387" s="187">
        <v>48497</v>
      </c>
    </row>
    <row r="388" spans="1:2" x14ac:dyDescent="0.25">
      <c r="A388" t="s">
        <v>583</v>
      </c>
      <c r="B388" s="187">
        <v>42319</v>
      </c>
    </row>
    <row r="389" spans="1:2" x14ac:dyDescent="0.25">
      <c r="A389" t="s">
        <v>584</v>
      </c>
      <c r="B389" s="187">
        <v>32125</v>
      </c>
    </row>
    <row r="390" spans="1:2" x14ac:dyDescent="0.25">
      <c r="A390" t="s">
        <v>585</v>
      </c>
      <c r="B390" s="187">
        <v>30081</v>
      </c>
    </row>
    <row r="391" spans="1:2" x14ac:dyDescent="0.25">
      <c r="A391" t="s">
        <v>586</v>
      </c>
      <c r="B391" s="187">
        <v>37008</v>
      </c>
    </row>
    <row r="392" spans="1:2" x14ac:dyDescent="0.25">
      <c r="A392" t="s">
        <v>587</v>
      </c>
      <c r="B392" s="187">
        <v>68514</v>
      </c>
    </row>
    <row r="393" spans="1:2" x14ac:dyDescent="0.25">
      <c r="A393" t="s">
        <v>588</v>
      </c>
      <c r="B393" s="187">
        <v>40357</v>
      </c>
    </row>
    <row r="394" spans="1:2" x14ac:dyDescent="0.25">
      <c r="A394" t="s">
        <v>589</v>
      </c>
      <c r="B394" s="187">
        <v>26357</v>
      </c>
    </row>
    <row r="395" spans="1:2" x14ac:dyDescent="0.25">
      <c r="A395" t="s">
        <v>590</v>
      </c>
      <c r="B395" s="187">
        <v>45292</v>
      </c>
    </row>
    <row r="396" spans="1:2" x14ac:dyDescent="0.25">
      <c r="A396" t="s">
        <v>591</v>
      </c>
      <c r="B396" s="187">
        <v>32845</v>
      </c>
    </row>
    <row r="397" spans="1:2" x14ac:dyDescent="0.25">
      <c r="A397" t="s">
        <v>592</v>
      </c>
      <c r="B397" s="187">
        <v>77131</v>
      </c>
    </row>
    <row r="398" spans="1:2" x14ac:dyDescent="0.25">
      <c r="A398" t="s">
        <v>593</v>
      </c>
      <c r="B398" s="187">
        <v>59299</v>
      </c>
    </row>
    <row r="399" spans="1:2" x14ac:dyDescent="0.25">
      <c r="A399" t="s">
        <v>594</v>
      </c>
      <c r="B399" s="187">
        <v>46761</v>
      </c>
    </row>
    <row r="400" spans="1:2" x14ac:dyDescent="0.25">
      <c r="A400" t="s">
        <v>595</v>
      </c>
      <c r="B400" s="187">
        <v>41432</v>
      </c>
    </row>
    <row r="401" spans="1:2" x14ac:dyDescent="0.25">
      <c r="A401" t="s">
        <v>596</v>
      </c>
      <c r="B401" s="187">
        <v>53635</v>
      </c>
    </row>
    <row r="402" spans="1:2" x14ac:dyDescent="0.25">
      <c r="A402" t="s">
        <v>597</v>
      </c>
      <c r="B402" s="187">
        <v>57885</v>
      </c>
    </row>
    <row r="403" spans="1:2" x14ac:dyDescent="0.25">
      <c r="A403" t="s">
        <v>598</v>
      </c>
      <c r="B403" s="187">
        <v>63015</v>
      </c>
    </row>
    <row r="404" spans="1:2" x14ac:dyDescent="0.25">
      <c r="A404" t="s">
        <v>599</v>
      </c>
      <c r="B404" s="187">
        <v>52035</v>
      </c>
    </row>
    <row r="405" spans="1:2" x14ac:dyDescent="0.25">
      <c r="A405" t="s">
        <v>600</v>
      </c>
      <c r="B405" s="187">
        <v>57429</v>
      </c>
    </row>
    <row r="406" spans="1:2" x14ac:dyDescent="0.25">
      <c r="A406" t="s">
        <v>601</v>
      </c>
      <c r="B406" s="187">
        <v>62614</v>
      </c>
    </row>
    <row r="407" spans="1:2" x14ac:dyDescent="0.25">
      <c r="A407" t="s">
        <v>602</v>
      </c>
      <c r="B407" s="187">
        <v>51188</v>
      </c>
    </row>
    <row r="408" spans="1:2" x14ac:dyDescent="0.25">
      <c r="A408" t="s">
        <v>603</v>
      </c>
      <c r="B408" s="187">
        <v>55691</v>
      </c>
    </row>
    <row r="409" spans="1:2" x14ac:dyDescent="0.25">
      <c r="A409" t="s">
        <v>604</v>
      </c>
      <c r="B409" s="187">
        <v>48125</v>
      </c>
    </row>
    <row r="410" spans="1:2" x14ac:dyDescent="0.25">
      <c r="A410" t="s">
        <v>605</v>
      </c>
      <c r="B410" s="187">
        <v>34922</v>
      </c>
    </row>
    <row r="411" spans="1:2" x14ac:dyDescent="0.25">
      <c r="A411" t="s">
        <v>606</v>
      </c>
      <c r="B411" s="187">
        <v>30156</v>
      </c>
    </row>
    <row r="412" spans="1:2" x14ac:dyDescent="0.25">
      <c r="A412" t="s">
        <v>607</v>
      </c>
      <c r="B412" s="187">
        <v>56410</v>
      </c>
    </row>
    <row r="413" spans="1:2" x14ac:dyDescent="0.25">
      <c r="A413" t="s">
        <v>608</v>
      </c>
      <c r="B413" s="187">
        <v>54279</v>
      </c>
    </row>
    <row r="414" spans="1:2" x14ac:dyDescent="0.25">
      <c r="A414" t="s">
        <v>609</v>
      </c>
      <c r="B414" s="187">
        <v>73162</v>
      </c>
    </row>
    <row r="415" spans="1:2" x14ac:dyDescent="0.25">
      <c r="A415" t="s">
        <v>610</v>
      </c>
      <c r="B415" s="187">
        <v>74276</v>
      </c>
    </row>
    <row r="416" spans="1:2" x14ac:dyDescent="0.25">
      <c r="A416" t="s">
        <v>611</v>
      </c>
      <c r="B416" s="187">
        <v>66875</v>
      </c>
    </row>
    <row r="417" spans="1:2" x14ac:dyDescent="0.25">
      <c r="A417" t="s">
        <v>612</v>
      </c>
      <c r="B417" s="187">
        <v>64931</v>
      </c>
    </row>
    <row r="418" spans="1:2" x14ac:dyDescent="0.25">
      <c r="A418" t="s">
        <v>613</v>
      </c>
      <c r="B418" s="187">
        <v>105071</v>
      </c>
    </row>
    <row r="419" spans="1:2" x14ac:dyDescent="0.25">
      <c r="A419" t="s">
        <v>614</v>
      </c>
      <c r="B419" s="187">
        <v>93761</v>
      </c>
    </row>
    <row r="420" spans="1:2" x14ac:dyDescent="0.25">
      <c r="A420" t="s">
        <v>615</v>
      </c>
      <c r="B420" s="187">
        <v>65257</v>
      </c>
    </row>
    <row r="421" spans="1:2" x14ac:dyDescent="0.25">
      <c r="A421" t="s">
        <v>616</v>
      </c>
      <c r="B421" s="187">
        <v>66389</v>
      </c>
    </row>
    <row r="422" spans="1:2" x14ac:dyDescent="0.25">
      <c r="A422" t="s">
        <v>617</v>
      </c>
      <c r="B422" s="187">
        <v>118318</v>
      </c>
    </row>
    <row r="423" spans="1:2" x14ac:dyDescent="0.25">
      <c r="A423" t="s">
        <v>618</v>
      </c>
      <c r="B423" s="187">
        <v>74389</v>
      </c>
    </row>
    <row r="424" spans="1:2" x14ac:dyDescent="0.25">
      <c r="A424" t="s">
        <v>619</v>
      </c>
      <c r="B424" s="187">
        <v>81957</v>
      </c>
    </row>
    <row r="425" spans="1:2" x14ac:dyDescent="0.25">
      <c r="A425" t="s">
        <v>620</v>
      </c>
      <c r="B425" s="187">
        <v>103890</v>
      </c>
    </row>
    <row r="426" spans="1:2" x14ac:dyDescent="0.25">
      <c r="A426" t="s">
        <v>621</v>
      </c>
      <c r="B426" s="187">
        <v>73722</v>
      </c>
    </row>
    <row r="427" spans="1:2" x14ac:dyDescent="0.25">
      <c r="A427" t="s">
        <v>622</v>
      </c>
      <c r="B427" s="187">
        <v>106583</v>
      </c>
    </row>
    <row r="428" spans="1:2" x14ac:dyDescent="0.25">
      <c r="A428" t="s">
        <v>623</v>
      </c>
      <c r="B428" s="187">
        <v>76161</v>
      </c>
    </row>
    <row r="429" spans="1:2" x14ac:dyDescent="0.25">
      <c r="A429" t="s">
        <v>624</v>
      </c>
      <c r="B429" s="187">
        <v>91042</v>
      </c>
    </row>
    <row r="430" spans="1:2" x14ac:dyDescent="0.25">
      <c r="A430" t="s">
        <v>625</v>
      </c>
      <c r="B430" s="187">
        <v>100042</v>
      </c>
    </row>
    <row r="431" spans="1:2" x14ac:dyDescent="0.25">
      <c r="A431" t="s">
        <v>626</v>
      </c>
      <c r="B431" s="187">
        <v>125729</v>
      </c>
    </row>
    <row r="432" spans="1:2" x14ac:dyDescent="0.25">
      <c r="A432" t="s">
        <v>627</v>
      </c>
      <c r="B432" s="187">
        <v>88814</v>
      </c>
    </row>
    <row r="433" spans="1:2" x14ac:dyDescent="0.25">
      <c r="A433" t="s">
        <v>628</v>
      </c>
      <c r="B433" s="187">
        <v>70072</v>
      </c>
    </row>
    <row r="434" spans="1:2" x14ac:dyDescent="0.25">
      <c r="A434" t="s">
        <v>629</v>
      </c>
      <c r="B434" s="187">
        <v>87466</v>
      </c>
    </row>
    <row r="435" spans="1:2" x14ac:dyDescent="0.25">
      <c r="A435" t="s">
        <v>630</v>
      </c>
      <c r="B435" s="187">
        <v>54281</v>
      </c>
    </row>
    <row r="436" spans="1:2" x14ac:dyDescent="0.25">
      <c r="A436" t="s">
        <v>631</v>
      </c>
      <c r="B436" s="187">
        <v>45292</v>
      </c>
    </row>
    <row r="437" spans="1:2" x14ac:dyDescent="0.25">
      <c r="A437" t="s">
        <v>632</v>
      </c>
      <c r="B437" s="187">
        <v>145610</v>
      </c>
    </row>
    <row r="438" spans="1:2" x14ac:dyDescent="0.25">
      <c r="A438" t="s">
        <v>633</v>
      </c>
      <c r="B438" s="187">
        <v>94503</v>
      </c>
    </row>
    <row r="439" spans="1:2" x14ac:dyDescent="0.25">
      <c r="A439" t="s">
        <v>634</v>
      </c>
      <c r="B439" s="187">
        <v>69574</v>
      </c>
    </row>
    <row r="440" spans="1:2" x14ac:dyDescent="0.25">
      <c r="A440" t="s">
        <v>635</v>
      </c>
      <c r="B440" s="187">
        <v>81570</v>
      </c>
    </row>
    <row r="441" spans="1:2" x14ac:dyDescent="0.25">
      <c r="A441" t="s">
        <v>636</v>
      </c>
      <c r="B441" s="187">
        <v>86588</v>
      </c>
    </row>
    <row r="442" spans="1:2" x14ac:dyDescent="0.25">
      <c r="A442" t="s">
        <v>637</v>
      </c>
      <c r="B442" s="187">
        <v>176859</v>
      </c>
    </row>
    <row r="443" spans="1:2" x14ac:dyDescent="0.25">
      <c r="A443" t="s">
        <v>638</v>
      </c>
      <c r="B443" s="187">
        <v>116660</v>
      </c>
    </row>
    <row r="444" spans="1:2" x14ac:dyDescent="0.25">
      <c r="A444" t="s">
        <v>639</v>
      </c>
      <c r="B444" s="187">
        <v>111919</v>
      </c>
    </row>
    <row r="445" spans="1:2" x14ac:dyDescent="0.25">
      <c r="A445" t="s">
        <v>640</v>
      </c>
      <c r="B445" s="187">
        <v>72094</v>
      </c>
    </row>
    <row r="446" spans="1:2" x14ac:dyDescent="0.25">
      <c r="A446" t="s">
        <v>641</v>
      </c>
      <c r="B446" s="187">
        <v>119643</v>
      </c>
    </row>
    <row r="447" spans="1:2" x14ac:dyDescent="0.25">
      <c r="A447" t="s">
        <v>642</v>
      </c>
      <c r="B447" s="187">
        <v>110514</v>
      </c>
    </row>
    <row r="448" spans="1:2" x14ac:dyDescent="0.25">
      <c r="A448" t="s">
        <v>643</v>
      </c>
      <c r="B448" s="187">
        <v>149211</v>
      </c>
    </row>
    <row r="449" spans="1:2" x14ac:dyDescent="0.25">
      <c r="A449" t="s">
        <v>644</v>
      </c>
      <c r="B449" s="187">
        <v>73402</v>
      </c>
    </row>
    <row r="450" spans="1:2" x14ac:dyDescent="0.25">
      <c r="A450" t="s">
        <v>645</v>
      </c>
      <c r="B450" s="187">
        <v>116506</v>
      </c>
    </row>
    <row r="451" spans="1:2" x14ac:dyDescent="0.25">
      <c r="A451" t="s">
        <v>646</v>
      </c>
      <c r="B451" s="187">
        <v>157556</v>
      </c>
    </row>
    <row r="452" spans="1:2" x14ac:dyDescent="0.25">
      <c r="A452" t="s">
        <v>647</v>
      </c>
      <c r="B452" s="187">
        <v>163702</v>
      </c>
    </row>
    <row r="453" spans="1:2" x14ac:dyDescent="0.25">
      <c r="A453" t="s">
        <v>648</v>
      </c>
      <c r="B453" s="187">
        <v>68038</v>
      </c>
    </row>
    <row r="454" spans="1:2" x14ac:dyDescent="0.25">
      <c r="A454" t="s">
        <v>649</v>
      </c>
      <c r="B454" s="187">
        <v>123811</v>
      </c>
    </row>
    <row r="455" spans="1:2" x14ac:dyDescent="0.25">
      <c r="A455" t="s">
        <v>650</v>
      </c>
      <c r="B455" s="187">
        <v>156595</v>
      </c>
    </row>
    <row r="456" spans="1:2" x14ac:dyDescent="0.25">
      <c r="A456" t="s">
        <v>651</v>
      </c>
      <c r="B456" s="187">
        <v>187674</v>
      </c>
    </row>
    <row r="457" spans="1:2" x14ac:dyDescent="0.25">
      <c r="A457" t="s">
        <v>652</v>
      </c>
      <c r="B457" s="187">
        <v>179244</v>
      </c>
    </row>
    <row r="458" spans="1:2" x14ac:dyDescent="0.25">
      <c r="A458" t="s">
        <v>653</v>
      </c>
      <c r="B458" s="187">
        <v>141400</v>
      </c>
    </row>
    <row r="459" spans="1:2" x14ac:dyDescent="0.25">
      <c r="A459" t="s">
        <v>654</v>
      </c>
      <c r="B459" s="187">
        <v>151260</v>
      </c>
    </row>
    <row r="460" spans="1:2" x14ac:dyDescent="0.25">
      <c r="A460" t="s">
        <v>655</v>
      </c>
      <c r="B460" s="187">
        <v>122727</v>
      </c>
    </row>
    <row r="461" spans="1:2" x14ac:dyDescent="0.25">
      <c r="A461" t="s">
        <v>656</v>
      </c>
      <c r="B461" s="187">
        <v>112619</v>
      </c>
    </row>
    <row r="462" spans="1:2" x14ac:dyDescent="0.25">
      <c r="A462" t="s">
        <v>657</v>
      </c>
      <c r="B462" s="187">
        <v>77928</v>
      </c>
    </row>
    <row r="463" spans="1:2" x14ac:dyDescent="0.25">
      <c r="A463" t="s">
        <v>658</v>
      </c>
      <c r="B463" s="187">
        <v>71250</v>
      </c>
    </row>
    <row r="464" spans="1:2" x14ac:dyDescent="0.25">
      <c r="A464" t="s">
        <v>659</v>
      </c>
      <c r="B464" s="187">
        <v>189828</v>
      </c>
    </row>
    <row r="465" spans="1:2" x14ac:dyDescent="0.25">
      <c r="A465" t="s">
        <v>660</v>
      </c>
      <c r="B465" s="187">
        <v>198355</v>
      </c>
    </row>
    <row r="466" spans="1:2" x14ac:dyDescent="0.25">
      <c r="A466" t="s">
        <v>661</v>
      </c>
      <c r="B466" s="187">
        <v>62285</v>
      </c>
    </row>
    <row r="467" spans="1:2" x14ac:dyDescent="0.25">
      <c r="A467" t="s">
        <v>662</v>
      </c>
      <c r="B467" s="187">
        <v>64983</v>
      </c>
    </row>
    <row r="468" spans="1:2" x14ac:dyDescent="0.25">
      <c r="A468" t="s">
        <v>663</v>
      </c>
      <c r="B468" s="187">
        <v>103207</v>
      </c>
    </row>
    <row r="469" spans="1:2" x14ac:dyDescent="0.25">
      <c r="A469" t="s">
        <v>664</v>
      </c>
      <c r="B469" s="187">
        <v>173125</v>
      </c>
    </row>
    <row r="470" spans="1:2" x14ac:dyDescent="0.25">
      <c r="A470" t="s">
        <v>665</v>
      </c>
      <c r="B470" s="187">
        <v>71859</v>
      </c>
    </row>
    <row r="471" spans="1:2" x14ac:dyDescent="0.25">
      <c r="A471" t="s">
        <v>666</v>
      </c>
      <c r="B471" s="187">
        <v>70357</v>
      </c>
    </row>
    <row r="472" spans="1:2" x14ac:dyDescent="0.25">
      <c r="A472" t="s">
        <v>667</v>
      </c>
      <c r="B472" s="187">
        <v>92830</v>
      </c>
    </row>
    <row r="473" spans="1:2" x14ac:dyDescent="0.25">
      <c r="A473" t="s">
        <v>668</v>
      </c>
      <c r="B473" s="187">
        <v>64718</v>
      </c>
    </row>
    <row r="474" spans="1:2" x14ac:dyDescent="0.25">
      <c r="A474" t="s">
        <v>669</v>
      </c>
      <c r="B474" s="187">
        <v>69399</v>
      </c>
    </row>
    <row r="475" spans="1:2" x14ac:dyDescent="0.25">
      <c r="A475" t="s">
        <v>670</v>
      </c>
      <c r="B475" s="187">
        <v>81250</v>
      </c>
    </row>
    <row r="476" spans="1:2" x14ac:dyDescent="0.25">
      <c r="A476" t="s">
        <v>671</v>
      </c>
      <c r="B476" s="187">
        <v>42585</v>
      </c>
    </row>
    <row r="477" spans="1:2" x14ac:dyDescent="0.25">
      <c r="A477" t="s">
        <v>672</v>
      </c>
      <c r="B477" s="187">
        <v>66910</v>
      </c>
    </row>
    <row r="478" spans="1:2" x14ac:dyDescent="0.25">
      <c r="A478" t="s">
        <v>673</v>
      </c>
      <c r="B478" s="187">
        <v>52500</v>
      </c>
    </row>
    <row r="479" spans="1:2" x14ac:dyDescent="0.25">
      <c r="A479" t="s">
        <v>674</v>
      </c>
      <c r="B479" s="187">
        <v>57544</v>
      </c>
    </row>
    <row r="480" spans="1:2" x14ac:dyDescent="0.25">
      <c r="A480" t="s">
        <v>675</v>
      </c>
      <c r="B480" s="187">
        <v>100402</v>
      </c>
    </row>
    <row r="481" spans="1:2" x14ac:dyDescent="0.25">
      <c r="A481" t="s">
        <v>676</v>
      </c>
      <c r="B481" s="187">
        <v>76290</v>
      </c>
    </row>
    <row r="482" spans="1:2" x14ac:dyDescent="0.25">
      <c r="A482" t="s">
        <v>677</v>
      </c>
      <c r="B482" s="187">
        <v>112135</v>
      </c>
    </row>
    <row r="483" spans="1:2" x14ac:dyDescent="0.25">
      <c r="A483" t="s">
        <v>678</v>
      </c>
      <c r="B483" s="187">
        <v>78155</v>
      </c>
    </row>
    <row r="484" spans="1:2" x14ac:dyDescent="0.25">
      <c r="A484" t="s">
        <v>679</v>
      </c>
      <c r="B484" s="187">
        <v>89167</v>
      </c>
    </row>
    <row r="485" spans="1:2" x14ac:dyDescent="0.25">
      <c r="A485" t="s">
        <v>680</v>
      </c>
      <c r="B485" s="187">
        <v>76478</v>
      </c>
    </row>
    <row r="486" spans="1:2" x14ac:dyDescent="0.25">
      <c r="A486" t="s">
        <v>681</v>
      </c>
      <c r="B486" s="187">
        <v>53795</v>
      </c>
    </row>
    <row r="487" spans="1:2" x14ac:dyDescent="0.25">
      <c r="A487" t="s">
        <v>682</v>
      </c>
      <c r="B487" s="187">
        <v>68043</v>
      </c>
    </row>
    <row r="488" spans="1:2" x14ac:dyDescent="0.25">
      <c r="A488" t="s">
        <v>683</v>
      </c>
      <c r="B488" s="187">
        <v>45150</v>
      </c>
    </row>
    <row r="489" spans="1:2" x14ac:dyDescent="0.25">
      <c r="A489" t="s">
        <v>684</v>
      </c>
      <c r="B489" s="187">
        <v>53365</v>
      </c>
    </row>
    <row r="490" spans="1:2" x14ac:dyDescent="0.25">
      <c r="A490" t="s">
        <v>685</v>
      </c>
      <c r="B490" s="187">
        <v>57155</v>
      </c>
    </row>
    <row r="491" spans="1:2" x14ac:dyDescent="0.25">
      <c r="A491" t="s">
        <v>686</v>
      </c>
      <c r="B491" s="187">
        <v>59325</v>
      </c>
    </row>
    <row r="492" spans="1:2" x14ac:dyDescent="0.25">
      <c r="A492" t="s">
        <v>687</v>
      </c>
      <c r="B492" s="187">
        <v>80536</v>
      </c>
    </row>
    <row r="493" spans="1:2" x14ac:dyDescent="0.25">
      <c r="A493" t="s">
        <v>688</v>
      </c>
      <c r="B493" s="187">
        <v>67524</v>
      </c>
    </row>
    <row r="494" spans="1:2" x14ac:dyDescent="0.25">
      <c r="A494" t="s">
        <v>689</v>
      </c>
      <c r="B494" s="187">
        <v>60288</v>
      </c>
    </row>
    <row r="495" spans="1:2" x14ac:dyDescent="0.25">
      <c r="A495" t="s">
        <v>690</v>
      </c>
      <c r="B495" s="187">
        <v>140750</v>
      </c>
    </row>
    <row r="496" spans="1:2" x14ac:dyDescent="0.25">
      <c r="A496" t="s">
        <v>691</v>
      </c>
      <c r="B496" s="187">
        <v>111320</v>
      </c>
    </row>
    <row r="497" spans="1:2" x14ac:dyDescent="0.25">
      <c r="A497" t="s">
        <v>692</v>
      </c>
      <c r="B497" s="187">
        <v>95682</v>
      </c>
    </row>
    <row r="498" spans="1:2" x14ac:dyDescent="0.25">
      <c r="A498" t="s">
        <v>693</v>
      </c>
      <c r="B498" s="187">
        <v>88452</v>
      </c>
    </row>
    <row r="499" spans="1:2" x14ac:dyDescent="0.25">
      <c r="A499" t="s">
        <v>694</v>
      </c>
      <c r="B499" s="187">
        <v>116462</v>
      </c>
    </row>
    <row r="500" spans="1:2" x14ac:dyDescent="0.25">
      <c r="A500" t="s">
        <v>695</v>
      </c>
      <c r="B500" s="187">
        <v>85752</v>
      </c>
    </row>
    <row r="501" spans="1:2" x14ac:dyDescent="0.25">
      <c r="A501" t="s">
        <v>696</v>
      </c>
      <c r="B501" s="187">
        <v>68142</v>
      </c>
    </row>
    <row r="502" spans="1:2" x14ac:dyDescent="0.25">
      <c r="A502" t="s">
        <v>697</v>
      </c>
      <c r="B502" s="187">
        <v>60060</v>
      </c>
    </row>
    <row r="503" spans="1:2" x14ac:dyDescent="0.25">
      <c r="A503" t="s">
        <v>698</v>
      </c>
      <c r="B503" s="187">
        <v>78714</v>
      </c>
    </row>
    <row r="504" spans="1:2" x14ac:dyDescent="0.25">
      <c r="A504" t="s">
        <v>699</v>
      </c>
      <c r="B504" s="187">
        <v>96277</v>
      </c>
    </row>
    <row r="505" spans="1:2" x14ac:dyDescent="0.25">
      <c r="A505" t="s">
        <v>700</v>
      </c>
      <c r="B505" s="187">
        <v>78019</v>
      </c>
    </row>
    <row r="506" spans="1:2" x14ac:dyDescent="0.25">
      <c r="A506" t="s">
        <v>701</v>
      </c>
      <c r="B506" s="187">
        <v>82744</v>
      </c>
    </row>
    <row r="507" spans="1:2" x14ac:dyDescent="0.25">
      <c r="A507" t="s">
        <v>702</v>
      </c>
      <c r="B507" s="187">
        <v>84101</v>
      </c>
    </row>
    <row r="508" spans="1:2" x14ac:dyDescent="0.25">
      <c r="A508" t="s">
        <v>703</v>
      </c>
      <c r="B508" s="187">
        <v>58276</v>
      </c>
    </row>
    <row r="509" spans="1:2" x14ac:dyDescent="0.25">
      <c r="A509" t="s">
        <v>704</v>
      </c>
      <c r="B509" s="187">
        <v>93831</v>
      </c>
    </row>
    <row r="510" spans="1:2" x14ac:dyDescent="0.25">
      <c r="A510" t="s">
        <v>705</v>
      </c>
      <c r="B510" s="187">
        <v>92909</v>
      </c>
    </row>
    <row r="511" spans="1:2" x14ac:dyDescent="0.25">
      <c r="A511" t="s">
        <v>706</v>
      </c>
      <c r="B511" s="187">
        <v>118702</v>
      </c>
    </row>
    <row r="512" spans="1:2" x14ac:dyDescent="0.25">
      <c r="A512" t="s">
        <v>707</v>
      </c>
      <c r="B512" s="187">
        <v>82060</v>
      </c>
    </row>
    <row r="513" spans="1:2" x14ac:dyDescent="0.25">
      <c r="A513" t="s">
        <v>708</v>
      </c>
      <c r="B513" s="187">
        <v>101434</v>
      </c>
    </row>
    <row r="514" spans="1:2" x14ac:dyDescent="0.25">
      <c r="A514" t="s">
        <v>709</v>
      </c>
      <c r="B514" s="187">
        <v>127567</v>
      </c>
    </row>
    <row r="515" spans="1:2" x14ac:dyDescent="0.25">
      <c r="A515" t="s">
        <v>710</v>
      </c>
      <c r="B515" s="187">
        <v>73014</v>
      </c>
    </row>
    <row r="516" spans="1:2" x14ac:dyDescent="0.25">
      <c r="A516" t="s">
        <v>711</v>
      </c>
      <c r="B516" s="187">
        <v>93500</v>
      </c>
    </row>
    <row r="517" spans="1:2" x14ac:dyDescent="0.25">
      <c r="A517" t="s">
        <v>712</v>
      </c>
      <c r="B517" s="187">
        <v>62360</v>
      </c>
    </row>
    <row r="518" spans="1:2" x14ac:dyDescent="0.25">
      <c r="A518" t="s">
        <v>713</v>
      </c>
      <c r="B518" s="187">
        <v>98265</v>
      </c>
    </row>
    <row r="519" spans="1:2" x14ac:dyDescent="0.25">
      <c r="A519" t="s">
        <v>714</v>
      </c>
      <c r="B519" s="187">
        <v>87308</v>
      </c>
    </row>
    <row r="520" spans="1:2" x14ac:dyDescent="0.25">
      <c r="A520" t="s">
        <v>715</v>
      </c>
      <c r="B520" s="187">
        <v>82363</v>
      </c>
    </row>
    <row r="521" spans="1:2" x14ac:dyDescent="0.25">
      <c r="A521" t="s">
        <v>716</v>
      </c>
      <c r="B521" s="187">
        <v>60170</v>
      </c>
    </row>
    <row r="522" spans="1:2" x14ac:dyDescent="0.25">
      <c r="A522" t="s">
        <v>717</v>
      </c>
      <c r="B522" s="187">
        <v>67417</v>
      </c>
    </row>
    <row r="523" spans="1:2" x14ac:dyDescent="0.25">
      <c r="A523" t="s">
        <v>718</v>
      </c>
      <c r="B523" s="187">
        <v>45764</v>
      </c>
    </row>
    <row r="524" spans="1:2" x14ac:dyDescent="0.25">
      <c r="A524" t="s">
        <v>719</v>
      </c>
      <c r="B524" s="187">
        <v>71359</v>
      </c>
    </row>
    <row r="525" spans="1:2" x14ac:dyDescent="0.25">
      <c r="A525" t="s">
        <v>720</v>
      </c>
      <c r="B525" s="187">
        <v>67500</v>
      </c>
    </row>
    <row r="526" spans="1:2" x14ac:dyDescent="0.25">
      <c r="A526" t="s">
        <v>721</v>
      </c>
      <c r="B526" s="187">
        <v>59194</v>
      </c>
    </row>
    <row r="527" spans="1:2" x14ac:dyDescent="0.25">
      <c r="A527" t="s">
        <v>722</v>
      </c>
      <c r="B527" s="187">
        <v>51971</v>
      </c>
    </row>
    <row r="528" spans="1:2" x14ac:dyDescent="0.25">
      <c r="A528" t="s">
        <v>723</v>
      </c>
      <c r="B528" s="187">
        <v>52536</v>
      </c>
    </row>
    <row r="529" spans="1:2" x14ac:dyDescent="0.25">
      <c r="A529" t="s">
        <v>724</v>
      </c>
      <c r="B529" s="187">
        <v>62614</v>
      </c>
    </row>
    <row r="530" spans="1:2" x14ac:dyDescent="0.25">
      <c r="A530" t="s">
        <v>725</v>
      </c>
      <c r="B530" s="187">
        <v>52659</v>
      </c>
    </row>
    <row r="531" spans="1:2" x14ac:dyDescent="0.25">
      <c r="A531" t="s">
        <v>726</v>
      </c>
      <c r="B531" s="187">
        <v>46314</v>
      </c>
    </row>
    <row r="532" spans="1:2" x14ac:dyDescent="0.25">
      <c r="A532" t="s">
        <v>727</v>
      </c>
      <c r="B532" s="187">
        <v>40924</v>
      </c>
    </row>
    <row r="533" spans="1:2" x14ac:dyDescent="0.25">
      <c r="A533" t="s">
        <v>728</v>
      </c>
      <c r="B533" s="187">
        <v>22301</v>
      </c>
    </row>
    <row r="534" spans="1:2" x14ac:dyDescent="0.25">
      <c r="A534" t="s">
        <v>729</v>
      </c>
      <c r="B534" s="187">
        <v>51889</v>
      </c>
    </row>
    <row r="535" spans="1:2" x14ac:dyDescent="0.25">
      <c r="A535" t="s">
        <v>730</v>
      </c>
      <c r="B535" s="187">
        <v>32019</v>
      </c>
    </row>
    <row r="536" spans="1:2" x14ac:dyDescent="0.25">
      <c r="A536" t="s">
        <v>731</v>
      </c>
      <c r="B536" s="187">
        <v>44958</v>
      </c>
    </row>
    <row r="537" spans="1:2" x14ac:dyDescent="0.25">
      <c r="A537" t="s">
        <v>732</v>
      </c>
      <c r="B537" s="187">
        <v>58026</v>
      </c>
    </row>
    <row r="538" spans="1:2" x14ac:dyDescent="0.25">
      <c r="A538" t="s">
        <v>733</v>
      </c>
      <c r="B538" s="187">
        <v>60781</v>
      </c>
    </row>
    <row r="539" spans="1:2" x14ac:dyDescent="0.25">
      <c r="A539" t="s">
        <v>734</v>
      </c>
      <c r="B539" s="187">
        <v>27616</v>
      </c>
    </row>
    <row r="540" spans="1:2" x14ac:dyDescent="0.25">
      <c r="A540" t="s">
        <v>735</v>
      </c>
      <c r="B540" s="187">
        <v>40740</v>
      </c>
    </row>
    <row r="541" spans="1:2" x14ac:dyDescent="0.25">
      <c r="A541" t="s">
        <v>736</v>
      </c>
      <c r="B541" s="187">
        <v>41379</v>
      </c>
    </row>
    <row r="542" spans="1:2" x14ac:dyDescent="0.25">
      <c r="A542" t="s">
        <v>737</v>
      </c>
      <c r="B542" s="187">
        <v>51591</v>
      </c>
    </row>
    <row r="543" spans="1:2" x14ac:dyDescent="0.25">
      <c r="A543" t="s">
        <v>738</v>
      </c>
      <c r="B543" s="187">
        <v>43750</v>
      </c>
    </row>
    <row r="544" spans="1:2" x14ac:dyDescent="0.25">
      <c r="A544" t="s">
        <v>739</v>
      </c>
      <c r="B544" s="187">
        <v>58836</v>
      </c>
    </row>
    <row r="545" spans="1:2" x14ac:dyDescent="0.25">
      <c r="A545" t="s">
        <v>740</v>
      </c>
      <c r="B545" s="187">
        <v>61583</v>
      </c>
    </row>
    <row r="546" spans="1:2" x14ac:dyDescent="0.25">
      <c r="A546" t="s">
        <v>741</v>
      </c>
      <c r="B546" s="187">
        <v>34171</v>
      </c>
    </row>
    <row r="547" spans="1:2" x14ac:dyDescent="0.25">
      <c r="A547" t="s">
        <v>742</v>
      </c>
      <c r="B547" s="187">
        <v>46936</v>
      </c>
    </row>
    <row r="548" spans="1:2" x14ac:dyDescent="0.25">
      <c r="A548" t="s">
        <v>743</v>
      </c>
      <c r="B548" s="187">
        <v>50714</v>
      </c>
    </row>
    <row r="549" spans="1:2" x14ac:dyDescent="0.25">
      <c r="A549" t="s">
        <v>744</v>
      </c>
      <c r="B549" s="187">
        <v>28806</v>
      </c>
    </row>
    <row r="550" spans="1:2" x14ac:dyDescent="0.25">
      <c r="A550" t="s">
        <v>745</v>
      </c>
      <c r="B550" s="187">
        <v>60221</v>
      </c>
    </row>
    <row r="551" spans="1:2" x14ac:dyDescent="0.25">
      <c r="A551" t="s">
        <v>746</v>
      </c>
      <c r="B551" s="187">
        <v>52841</v>
      </c>
    </row>
    <row r="552" spans="1:2" x14ac:dyDescent="0.25">
      <c r="A552" t="s">
        <v>747</v>
      </c>
      <c r="B552" s="187">
        <v>52121</v>
      </c>
    </row>
    <row r="553" spans="1:2" x14ac:dyDescent="0.25">
      <c r="A553" t="s">
        <v>748</v>
      </c>
      <c r="B553" s="187">
        <v>69259</v>
      </c>
    </row>
    <row r="554" spans="1:2" x14ac:dyDescent="0.25">
      <c r="A554" t="s">
        <v>749</v>
      </c>
      <c r="B554" s="187">
        <v>87795</v>
      </c>
    </row>
    <row r="555" spans="1:2" x14ac:dyDescent="0.25">
      <c r="A555" t="s">
        <v>750</v>
      </c>
      <c r="B555" s="187">
        <v>66769</v>
      </c>
    </row>
    <row r="556" spans="1:2" x14ac:dyDescent="0.25">
      <c r="A556" t="s">
        <v>751</v>
      </c>
      <c r="B556" s="187">
        <v>73214</v>
      </c>
    </row>
    <row r="557" spans="1:2" x14ac:dyDescent="0.25">
      <c r="A557" t="s">
        <v>752</v>
      </c>
      <c r="B557" s="187">
        <v>100769</v>
      </c>
    </row>
    <row r="558" spans="1:2" x14ac:dyDescent="0.25">
      <c r="A558" t="s">
        <v>753</v>
      </c>
      <c r="B558" s="187">
        <v>74432</v>
      </c>
    </row>
    <row r="559" spans="1:2" x14ac:dyDescent="0.25">
      <c r="A559" t="s">
        <v>754</v>
      </c>
      <c r="B559" s="187">
        <v>76486</v>
      </c>
    </row>
    <row r="560" spans="1:2" x14ac:dyDescent="0.25">
      <c r="A560" t="s">
        <v>755</v>
      </c>
      <c r="B560" s="187">
        <v>67500</v>
      </c>
    </row>
    <row r="561" spans="1:2" x14ac:dyDescent="0.25">
      <c r="A561" t="s">
        <v>756</v>
      </c>
      <c r="B561" s="187">
        <v>50554</v>
      </c>
    </row>
    <row r="562" spans="1:2" x14ac:dyDescent="0.25">
      <c r="A562" t="s">
        <v>757</v>
      </c>
      <c r="B562" s="187">
        <v>46417</v>
      </c>
    </row>
    <row r="563" spans="1:2" x14ac:dyDescent="0.25">
      <c r="A563" t="s">
        <v>758</v>
      </c>
      <c r="B563" s="187">
        <v>42031</v>
      </c>
    </row>
    <row r="564" spans="1:2" x14ac:dyDescent="0.25">
      <c r="A564" t="s">
        <v>759</v>
      </c>
      <c r="B564" s="187">
        <v>70234</v>
      </c>
    </row>
    <row r="565" spans="1:2" x14ac:dyDescent="0.25">
      <c r="A565" t="s">
        <v>760</v>
      </c>
      <c r="B565" s="187">
        <v>39260</v>
      </c>
    </row>
    <row r="566" spans="1:2" x14ac:dyDescent="0.25">
      <c r="A566" t="s">
        <v>761</v>
      </c>
      <c r="B566" s="187">
        <v>51549</v>
      </c>
    </row>
    <row r="567" spans="1:2" x14ac:dyDescent="0.25">
      <c r="A567" t="s">
        <v>762</v>
      </c>
      <c r="B567" s="187">
        <v>63904</v>
      </c>
    </row>
    <row r="568" spans="1:2" x14ac:dyDescent="0.25">
      <c r="A568" t="s">
        <v>763</v>
      </c>
      <c r="B568" s="187">
        <v>62885</v>
      </c>
    </row>
    <row r="569" spans="1:2" x14ac:dyDescent="0.25">
      <c r="A569" t="s">
        <v>764</v>
      </c>
      <c r="B569" s="187">
        <v>78278</v>
      </c>
    </row>
    <row r="570" spans="1:2" x14ac:dyDescent="0.25">
      <c r="A570" t="s">
        <v>765</v>
      </c>
      <c r="B570" s="187">
        <v>78542</v>
      </c>
    </row>
    <row r="571" spans="1:2" x14ac:dyDescent="0.25">
      <c r="A571" t="s">
        <v>766</v>
      </c>
      <c r="B571" s="187">
        <v>43676</v>
      </c>
    </row>
    <row r="572" spans="1:2" x14ac:dyDescent="0.25">
      <c r="A572" t="s">
        <v>767</v>
      </c>
      <c r="B572" s="187">
        <v>72067</v>
      </c>
    </row>
    <row r="573" spans="1:2" x14ac:dyDescent="0.25">
      <c r="A573" t="s">
        <v>768</v>
      </c>
      <c r="B573" s="187">
        <v>42563</v>
      </c>
    </row>
    <row r="574" spans="1:2" x14ac:dyDescent="0.25">
      <c r="A574" t="s">
        <v>769</v>
      </c>
      <c r="B574" s="187">
        <v>35442</v>
      </c>
    </row>
    <row r="575" spans="1:2" x14ac:dyDescent="0.25">
      <c r="A575" t="s">
        <v>770</v>
      </c>
      <c r="B575" s="187">
        <v>53482</v>
      </c>
    </row>
    <row r="576" spans="1:2" x14ac:dyDescent="0.25">
      <c r="A576" t="s">
        <v>771</v>
      </c>
      <c r="B576" s="187">
        <v>67518</v>
      </c>
    </row>
    <row r="577" spans="1:2" x14ac:dyDescent="0.25">
      <c r="A577" t="s">
        <v>772</v>
      </c>
      <c r="B577" s="187">
        <v>54468</v>
      </c>
    </row>
    <row r="578" spans="1:2" x14ac:dyDescent="0.25">
      <c r="A578" t="s">
        <v>773</v>
      </c>
      <c r="B578" s="187">
        <v>50524</v>
      </c>
    </row>
    <row r="579" spans="1:2" x14ac:dyDescent="0.25">
      <c r="A579" t="s">
        <v>774</v>
      </c>
      <c r="B579" s="187">
        <v>49732</v>
      </c>
    </row>
    <row r="580" spans="1:2" x14ac:dyDescent="0.25">
      <c r="A580" t="s">
        <v>775</v>
      </c>
      <c r="B580" s="187">
        <v>65438</v>
      </c>
    </row>
    <row r="581" spans="1:2" x14ac:dyDescent="0.25">
      <c r="A581" t="s">
        <v>776</v>
      </c>
      <c r="B581" s="187">
        <v>70594</v>
      </c>
    </row>
    <row r="582" spans="1:2" x14ac:dyDescent="0.25">
      <c r="A582" t="s">
        <v>777</v>
      </c>
      <c r="B582" s="187">
        <v>61302</v>
      </c>
    </row>
    <row r="583" spans="1:2" x14ac:dyDescent="0.25">
      <c r="A583" t="s">
        <v>778</v>
      </c>
      <c r="B583" s="187">
        <v>58750</v>
      </c>
    </row>
    <row r="584" spans="1:2" x14ac:dyDescent="0.25">
      <c r="A584" t="s">
        <v>779</v>
      </c>
      <c r="B584" s="187">
        <v>59596</v>
      </c>
    </row>
    <row r="585" spans="1:2" x14ac:dyDescent="0.25">
      <c r="A585" t="s">
        <v>780</v>
      </c>
      <c r="B585" s="187">
        <v>51581</v>
      </c>
    </row>
    <row r="586" spans="1:2" x14ac:dyDescent="0.25">
      <c r="A586" t="s">
        <v>781</v>
      </c>
      <c r="B586" s="187">
        <v>67500</v>
      </c>
    </row>
    <row r="587" spans="1:2" x14ac:dyDescent="0.25">
      <c r="A587" t="s">
        <v>782</v>
      </c>
      <c r="B587" s="187">
        <v>61760</v>
      </c>
    </row>
    <row r="588" spans="1:2" x14ac:dyDescent="0.25">
      <c r="A588" t="s">
        <v>783</v>
      </c>
      <c r="B588" s="187">
        <v>49531</v>
      </c>
    </row>
    <row r="589" spans="1:2" x14ac:dyDescent="0.25">
      <c r="A589" t="s">
        <v>784</v>
      </c>
      <c r="B589" s="187">
        <v>50440</v>
      </c>
    </row>
    <row r="590" spans="1:2" x14ac:dyDescent="0.25">
      <c r="A590" t="s">
        <v>785</v>
      </c>
      <c r="B590" s="187">
        <v>60500</v>
      </c>
    </row>
    <row r="591" spans="1:2" x14ac:dyDescent="0.25">
      <c r="A591" t="s">
        <v>786</v>
      </c>
      <c r="B591" s="187">
        <v>51307</v>
      </c>
    </row>
    <row r="592" spans="1:2" x14ac:dyDescent="0.25">
      <c r="A592" t="s">
        <v>787</v>
      </c>
      <c r="B592" s="187">
        <v>36656</v>
      </c>
    </row>
    <row r="593" spans="1:2" x14ac:dyDescent="0.25">
      <c r="A593" t="s">
        <v>788</v>
      </c>
      <c r="B593" s="187">
        <v>47463</v>
      </c>
    </row>
    <row r="594" spans="1:2" x14ac:dyDescent="0.25">
      <c r="A594" t="s">
        <v>789</v>
      </c>
      <c r="B594" s="187">
        <v>36571</v>
      </c>
    </row>
    <row r="595" spans="1:2" x14ac:dyDescent="0.25">
      <c r="A595" t="s">
        <v>790</v>
      </c>
      <c r="B595" s="187">
        <v>61574</v>
      </c>
    </row>
    <row r="596" spans="1:2" x14ac:dyDescent="0.25">
      <c r="A596" t="s">
        <v>791</v>
      </c>
      <c r="B596" s="187">
        <v>54531</v>
      </c>
    </row>
    <row r="597" spans="1:2" x14ac:dyDescent="0.25">
      <c r="A597" t="s">
        <v>792</v>
      </c>
      <c r="B597" s="187">
        <v>62456</v>
      </c>
    </row>
    <row r="598" spans="1:2" x14ac:dyDescent="0.25">
      <c r="A598" t="s">
        <v>793</v>
      </c>
      <c r="B598" s="187">
        <v>48028</v>
      </c>
    </row>
    <row r="599" spans="1:2" x14ac:dyDescent="0.25">
      <c r="A599" t="s">
        <v>794</v>
      </c>
      <c r="B599" s="187">
        <v>43502</v>
      </c>
    </row>
    <row r="600" spans="1:2" x14ac:dyDescent="0.25">
      <c r="A600" t="s">
        <v>795</v>
      </c>
      <c r="B600" s="187">
        <v>44875</v>
      </c>
    </row>
    <row r="601" spans="1:2" x14ac:dyDescent="0.25">
      <c r="A601" t="s">
        <v>796</v>
      </c>
      <c r="B601" s="187">
        <v>36706</v>
      </c>
    </row>
    <row r="602" spans="1:2" x14ac:dyDescent="0.25">
      <c r="A602" t="s">
        <v>797</v>
      </c>
      <c r="B602" s="187">
        <v>66147</v>
      </c>
    </row>
    <row r="603" spans="1:2" x14ac:dyDescent="0.25">
      <c r="A603" t="s">
        <v>798</v>
      </c>
      <c r="B603" s="187">
        <v>70136</v>
      </c>
    </row>
    <row r="604" spans="1:2" x14ac:dyDescent="0.25">
      <c r="A604" t="s">
        <v>799</v>
      </c>
      <c r="B604" s="187">
        <v>43945</v>
      </c>
    </row>
    <row r="605" spans="1:2" x14ac:dyDescent="0.25">
      <c r="A605" t="s">
        <v>800</v>
      </c>
      <c r="B605" s="187">
        <v>56052</v>
      </c>
    </row>
    <row r="606" spans="1:2" x14ac:dyDescent="0.25">
      <c r="A606" t="s">
        <v>801</v>
      </c>
      <c r="B606" s="187">
        <v>61367</v>
      </c>
    </row>
    <row r="607" spans="1:2" x14ac:dyDescent="0.25">
      <c r="A607" t="s">
        <v>802</v>
      </c>
      <c r="B607" s="187">
        <v>64794</v>
      </c>
    </row>
    <row r="608" spans="1:2" x14ac:dyDescent="0.25">
      <c r="A608" t="s">
        <v>803</v>
      </c>
      <c r="B608" s="187">
        <v>74504</v>
      </c>
    </row>
    <row r="609" spans="1:2" x14ac:dyDescent="0.25">
      <c r="A609" t="s">
        <v>804</v>
      </c>
      <c r="B609" s="187">
        <v>85395</v>
      </c>
    </row>
    <row r="610" spans="1:2" x14ac:dyDescent="0.25">
      <c r="A610" t="s">
        <v>805</v>
      </c>
      <c r="B610" s="187">
        <v>56384</v>
      </c>
    </row>
    <row r="611" spans="1:2" x14ac:dyDescent="0.25">
      <c r="A611" t="s">
        <v>806</v>
      </c>
      <c r="B611" s="187">
        <v>74508</v>
      </c>
    </row>
    <row r="612" spans="1:2" x14ac:dyDescent="0.25">
      <c r="A612" t="s">
        <v>807</v>
      </c>
      <c r="B612" s="187">
        <v>57805</v>
      </c>
    </row>
    <row r="613" spans="1:2" x14ac:dyDescent="0.25">
      <c r="A613" t="s">
        <v>808</v>
      </c>
      <c r="B613" s="187">
        <v>50341</v>
      </c>
    </row>
    <row r="614" spans="1:2" x14ac:dyDescent="0.25">
      <c r="A614" t="s">
        <v>809</v>
      </c>
      <c r="B614" s="187">
        <v>60659</v>
      </c>
    </row>
    <row r="615" spans="1:2" x14ac:dyDescent="0.25">
      <c r="A615" t="s">
        <v>810</v>
      </c>
      <c r="B615" s="187">
        <v>56859</v>
      </c>
    </row>
    <row r="616" spans="1:2" x14ac:dyDescent="0.25">
      <c r="A616" t="s">
        <v>811</v>
      </c>
      <c r="B616" s="187">
        <v>70119</v>
      </c>
    </row>
    <row r="617" spans="1:2" x14ac:dyDescent="0.25">
      <c r="A617" t="s">
        <v>812</v>
      </c>
      <c r="B617" s="187">
        <v>76929</v>
      </c>
    </row>
    <row r="618" spans="1:2" x14ac:dyDescent="0.25">
      <c r="A618" t="s">
        <v>813</v>
      </c>
      <c r="B618" s="187">
        <v>68323</v>
      </c>
    </row>
    <row r="619" spans="1:2" x14ac:dyDescent="0.25">
      <c r="A619" t="s">
        <v>814</v>
      </c>
      <c r="B619" s="187">
        <v>114229</v>
      </c>
    </row>
    <row r="620" spans="1:2" x14ac:dyDescent="0.25">
      <c r="A620" t="s">
        <v>815</v>
      </c>
      <c r="B620" s="187">
        <v>82560</v>
      </c>
    </row>
    <row r="621" spans="1:2" x14ac:dyDescent="0.25">
      <c r="A621" t="s">
        <v>816</v>
      </c>
      <c r="B621" s="187">
        <v>76622</v>
      </c>
    </row>
    <row r="622" spans="1:2" x14ac:dyDescent="0.25">
      <c r="A622" t="s">
        <v>817</v>
      </c>
      <c r="B622" s="187">
        <v>113269</v>
      </c>
    </row>
    <row r="623" spans="1:2" x14ac:dyDescent="0.25">
      <c r="A623" t="s">
        <v>818</v>
      </c>
      <c r="B623" s="187">
        <v>66513</v>
      </c>
    </row>
    <row r="624" spans="1:2" x14ac:dyDescent="0.25">
      <c r="A624" t="s">
        <v>819</v>
      </c>
      <c r="B624" s="187">
        <v>120909</v>
      </c>
    </row>
    <row r="625" spans="1:2" x14ac:dyDescent="0.25">
      <c r="A625" t="s">
        <v>820</v>
      </c>
      <c r="B625" s="187">
        <v>80464</v>
      </c>
    </row>
    <row r="626" spans="1:2" x14ac:dyDescent="0.25">
      <c r="A626" t="s">
        <v>821</v>
      </c>
      <c r="B626" s="187">
        <v>107578</v>
      </c>
    </row>
    <row r="627" spans="1:2" x14ac:dyDescent="0.25">
      <c r="A627" t="s">
        <v>822</v>
      </c>
      <c r="B627" s="187">
        <v>43125</v>
      </c>
    </row>
    <row r="628" spans="1:2" x14ac:dyDescent="0.25">
      <c r="A628" t="s">
        <v>823</v>
      </c>
      <c r="B628" s="187">
        <v>85962</v>
      </c>
    </row>
    <row r="629" spans="1:2" x14ac:dyDescent="0.25">
      <c r="A629" t="s">
        <v>824</v>
      </c>
      <c r="B629" s="187">
        <v>75120</v>
      </c>
    </row>
    <row r="630" spans="1:2" x14ac:dyDescent="0.25">
      <c r="A630" t="s">
        <v>825</v>
      </c>
      <c r="B630" s="187">
        <v>48659</v>
      </c>
    </row>
    <row r="631" spans="1:2" x14ac:dyDescent="0.25">
      <c r="A631" t="s">
        <v>826</v>
      </c>
      <c r="B631" s="187">
        <v>46700</v>
      </c>
    </row>
    <row r="632" spans="1:2" x14ac:dyDescent="0.25">
      <c r="A632" t="s">
        <v>827</v>
      </c>
      <c r="B632" s="187">
        <v>59826</v>
      </c>
    </row>
    <row r="633" spans="1:2" x14ac:dyDescent="0.25">
      <c r="A633" t="s">
        <v>828</v>
      </c>
      <c r="B633" s="187">
        <v>77447</v>
      </c>
    </row>
    <row r="634" spans="1:2" x14ac:dyDescent="0.25">
      <c r="A634" t="s">
        <v>829</v>
      </c>
      <c r="B634" s="187">
        <v>41587</v>
      </c>
    </row>
    <row r="635" spans="1:2" x14ac:dyDescent="0.25">
      <c r="A635" t="s">
        <v>830</v>
      </c>
      <c r="B635" s="187">
        <v>81590</v>
      </c>
    </row>
    <row r="636" spans="1:2" x14ac:dyDescent="0.25">
      <c r="A636" t="s">
        <v>831</v>
      </c>
      <c r="B636" s="187">
        <v>41725</v>
      </c>
    </row>
    <row r="637" spans="1:2" x14ac:dyDescent="0.25">
      <c r="A637" t="s">
        <v>832</v>
      </c>
      <c r="B637" s="187">
        <v>63250</v>
      </c>
    </row>
    <row r="638" spans="1:2" x14ac:dyDescent="0.25">
      <c r="A638" t="s">
        <v>833</v>
      </c>
      <c r="B638" s="187">
        <v>40216</v>
      </c>
    </row>
    <row r="639" spans="1:2" x14ac:dyDescent="0.25">
      <c r="A639" t="s">
        <v>834</v>
      </c>
      <c r="B639" s="187">
        <v>69130</v>
      </c>
    </row>
    <row r="640" spans="1:2" x14ac:dyDescent="0.25">
      <c r="A640" t="s">
        <v>835</v>
      </c>
      <c r="B640" s="187">
        <v>22413</v>
      </c>
    </row>
    <row r="641" spans="1:2" x14ac:dyDescent="0.25">
      <c r="A641" t="s">
        <v>836</v>
      </c>
      <c r="B641" s="187">
        <v>36964</v>
      </c>
    </row>
    <row r="642" spans="1:2" x14ac:dyDescent="0.25">
      <c r="A642" t="s">
        <v>837</v>
      </c>
      <c r="B642" s="187">
        <v>44000</v>
      </c>
    </row>
    <row r="643" spans="1:2" x14ac:dyDescent="0.25">
      <c r="A643" t="s">
        <v>838</v>
      </c>
      <c r="B643" s="187">
        <v>40434</v>
      </c>
    </row>
    <row r="644" spans="1:2" x14ac:dyDescent="0.25">
      <c r="A644" t="s">
        <v>839</v>
      </c>
      <c r="B644" s="187">
        <v>59963</v>
      </c>
    </row>
    <row r="645" spans="1:2" x14ac:dyDescent="0.25">
      <c r="A645" t="s">
        <v>840</v>
      </c>
      <c r="B645" s="187">
        <v>66890</v>
      </c>
    </row>
    <row r="646" spans="1:2" x14ac:dyDescent="0.25">
      <c r="A646" t="s">
        <v>841</v>
      </c>
      <c r="B646" s="187">
        <v>55000</v>
      </c>
    </row>
    <row r="647" spans="1:2" x14ac:dyDescent="0.25">
      <c r="A647" t="s">
        <v>842</v>
      </c>
      <c r="B647" s="187">
        <v>69491</v>
      </c>
    </row>
    <row r="648" spans="1:2" x14ac:dyDescent="0.25">
      <c r="A648" t="s">
        <v>843</v>
      </c>
      <c r="B648" s="187">
        <v>70813</v>
      </c>
    </row>
    <row r="649" spans="1:2" x14ac:dyDescent="0.25">
      <c r="A649" t="s">
        <v>844</v>
      </c>
      <c r="B649" s="187">
        <v>52770</v>
      </c>
    </row>
    <row r="650" spans="1:2" x14ac:dyDescent="0.25">
      <c r="A650" t="s">
        <v>845</v>
      </c>
      <c r="B650" s="187">
        <v>68222</v>
      </c>
    </row>
    <row r="651" spans="1:2" x14ac:dyDescent="0.25">
      <c r="A651" t="s">
        <v>846</v>
      </c>
      <c r="B651" s="187">
        <v>65039</v>
      </c>
    </row>
    <row r="652" spans="1:2" x14ac:dyDescent="0.25">
      <c r="A652" t="s">
        <v>847</v>
      </c>
      <c r="B652" s="187">
        <v>74688</v>
      </c>
    </row>
    <row r="653" spans="1:2" x14ac:dyDescent="0.25">
      <c r="A653" t="s">
        <v>848</v>
      </c>
      <c r="B653" s="187">
        <v>49784</v>
      </c>
    </row>
    <row r="654" spans="1:2" x14ac:dyDescent="0.25">
      <c r="A654" t="s">
        <v>849</v>
      </c>
      <c r="B654" s="187">
        <v>65833</v>
      </c>
    </row>
    <row r="655" spans="1:2" x14ac:dyDescent="0.25">
      <c r="A655" t="s">
        <v>850</v>
      </c>
      <c r="B655" s="187">
        <v>56804</v>
      </c>
    </row>
    <row r="656" spans="1:2" x14ac:dyDescent="0.25">
      <c r="A656" t="s">
        <v>851</v>
      </c>
      <c r="B656" s="187">
        <v>74457</v>
      </c>
    </row>
    <row r="657" spans="1:2" x14ac:dyDescent="0.25">
      <c r="A657" t="s">
        <v>852</v>
      </c>
      <c r="B657" s="187">
        <v>65293</v>
      </c>
    </row>
    <row r="658" spans="1:2" x14ac:dyDescent="0.25">
      <c r="A658" t="s">
        <v>853</v>
      </c>
      <c r="B658" s="187">
        <v>43971</v>
      </c>
    </row>
    <row r="659" spans="1:2" x14ac:dyDescent="0.25">
      <c r="A659" t="s">
        <v>854</v>
      </c>
      <c r="B659" s="187">
        <v>41138</v>
      </c>
    </row>
    <row r="660" spans="1:2" x14ac:dyDescent="0.25">
      <c r="A660" t="s">
        <v>855</v>
      </c>
      <c r="B660" s="187">
        <v>75888</v>
      </c>
    </row>
    <row r="661" spans="1:2" x14ac:dyDescent="0.25">
      <c r="A661" t="s">
        <v>856</v>
      </c>
      <c r="B661" s="187">
        <v>64698</v>
      </c>
    </row>
    <row r="662" spans="1:2" x14ac:dyDescent="0.25">
      <c r="A662" t="s">
        <v>857</v>
      </c>
      <c r="B662" s="187">
        <v>57063</v>
      </c>
    </row>
    <row r="663" spans="1:2" x14ac:dyDescent="0.25">
      <c r="A663" t="s">
        <v>858</v>
      </c>
      <c r="B663" s="187">
        <v>77138</v>
      </c>
    </row>
    <row r="664" spans="1:2" x14ac:dyDescent="0.25">
      <c r="A664" t="s">
        <v>859</v>
      </c>
      <c r="B664" s="187">
        <v>66932</v>
      </c>
    </row>
    <row r="665" spans="1:2" x14ac:dyDescent="0.25">
      <c r="A665" t="s">
        <v>860</v>
      </c>
      <c r="B665" s="187">
        <v>51536</v>
      </c>
    </row>
    <row r="666" spans="1:2" x14ac:dyDescent="0.25">
      <c r="A666" t="s">
        <v>861</v>
      </c>
      <c r="B666" s="187">
        <v>73457</v>
      </c>
    </row>
    <row r="667" spans="1:2" x14ac:dyDescent="0.25">
      <c r="A667" t="s">
        <v>862</v>
      </c>
      <c r="B667" s="187">
        <v>56335</v>
      </c>
    </row>
    <row r="668" spans="1:2" x14ac:dyDescent="0.25">
      <c r="A668" t="s">
        <v>863</v>
      </c>
      <c r="B668" s="187">
        <v>64389</v>
      </c>
    </row>
    <row r="669" spans="1:2" x14ac:dyDescent="0.25">
      <c r="A669" t="s">
        <v>864</v>
      </c>
      <c r="B669" s="187">
        <v>53401</v>
      </c>
    </row>
    <row r="670" spans="1:2" x14ac:dyDescent="0.25">
      <c r="A670" t="s">
        <v>865</v>
      </c>
      <c r="B670" s="187">
        <v>78265</v>
      </c>
    </row>
    <row r="671" spans="1:2" x14ac:dyDescent="0.25">
      <c r="A671" t="s">
        <v>866</v>
      </c>
      <c r="B671" s="187">
        <v>77662</v>
      </c>
    </row>
    <row r="672" spans="1:2" x14ac:dyDescent="0.25">
      <c r="A672" t="s">
        <v>867</v>
      </c>
      <c r="B672" s="187">
        <v>77179</v>
      </c>
    </row>
    <row r="673" spans="1:2" x14ac:dyDescent="0.25">
      <c r="A673" t="s">
        <v>868</v>
      </c>
      <c r="B673" s="187">
        <v>70433</v>
      </c>
    </row>
    <row r="674" spans="1:2" x14ac:dyDescent="0.25">
      <c r="A674" t="s">
        <v>869</v>
      </c>
      <c r="B674" s="187">
        <v>71301</v>
      </c>
    </row>
    <row r="675" spans="1:2" x14ac:dyDescent="0.25">
      <c r="A675" t="s">
        <v>870</v>
      </c>
      <c r="B675" s="187">
        <v>75279</v>
      </c>
    </row>
    <row r="676" spans="1:2" x14ac:dyDescent="0.25">
      <c r="A676" t="s">
        <v>871</v>
      </c>
      <c r="B676" s="187">
        <v>63792</v>
      </c>
    </row>
    <row r="677" spans="1:2" x14ac:dyDescent="0.25">
      <c r="A677" t="s">
        <v>872</v>
      </c>
      <c r="B677" s="187">
        <v>61458</v>
      </c>
    </row>
    <row r="678" spans="1:2" x14ac:dyDescent="0.25">
      <c r="A678" t="s">
        <v>873</v>
      </c>
      <c r="B678" s="187">
        <v>31250</v>
      </c>
    </row>
    <row r="679" spans="1:2" x14ac:dyDescent="0.25">
      <c r="A679" t="s">
        <v>874</v>
      </c>
      <c r="B679" s="187">
        <v>24196</v>
      </c>
    </row>
    <row r="680" spans="1:2" x14ac:dyDescent="0.25">
      <c r="A680" t="s">
        <v>875</v>
      </c>
      <c r="B680" s="187">
        <v>35202</v>
      </c>
    </row>
    <row r="681" spans="1:2" x14ac:dyDescent="0.25">
      <c r="A681" t="s">
        <v>876</v>
      </c>
      <c r="B681" s="187">
        <v>25122</v>
      </c>
    </row>
    <row r="682" spans="1:2" x14ac:dyDescent="0.25">
      <c r="A682" t="s">
        <v>877</v>
      </c>
      <c r="B682" s="187">
        <v>26924</v>
      </c>
    </row>
    <row r="683" spans="1:2" x14ac:dyDescent="0.25">
      <c r="A683" t="s">
        <v>878</v>
      </c>
      <c r="B683" s="187">
        <v>39803</v>
      </c>
    </row>
    <row r="684" spans="1:2" x14ac:dyDescent="0.25">
      <c r="A684" t="s">
        <v>879</v>
      </c>
      <c r="B684" s="187">
        <v>29219</v>
      </c>
    </row>
    <row r="685" spans="1:2" x14ac:dyDescent="0.25">
      <c r="A685" t="s">
        <v>880</v>
      </c>
      <c r="B685" s="187">
        <v>23194</v>
      </c>
    </row>
    <row r="686" spans="1:2" x14ac:dyDescent="0.25">
      <c r="A686" t="s">
        <v>881</v>
      </c>
      <c r="B686" s="187">
        <v>27857</v>
      </c>
    </row>
    <row r="687" spans="1:2" x14ac:dyDescent="0.25">
      <c r="A687" t="s">
        <v>882</v>
      </c>
      <c r="B687" s="187">
        <v>34464</v>
      </c>
    </row>
    <row r="688" spans="1:2" x14ac:dyDescent="0.25">
      <c r="A688" t="s">
        <v>883</v>
      </c>
      <c r="B688" s="187">
        <v>40350</v>
      </c>
    </row>
    <row r="689" spans="1:2" x14ac:dyDescent="0.25">
      <c r="A689" t="s">
        <v>884</v>
      </c>
      <c r="B689" s="187">
        <v>29260</v>
      </c>
    </row>
    <row r="690" spans="1:2" x14ac:dyDescent="0.25">
      <c r="A690" t="s">
        <v>885</v>
      </c>
      <c r="B690" s="187">
        <v>40815</v>
      </c>
    </row>
    <row r="691" spans="1:2" x14ac:dyDescent="0.25">
      <c r="A691" t="s">
        <v>886</v>
      </c>
      <c r="B691" s="187">
        <v>23200</v>
      </c>
    </row>
    <row r="692" spans="1:2" x14ac:dyDescent="0.25">
      <c r="A692" t="s">
        <v>887</v>
      </c>
      <c r="B692" s="187">
        <v>15960</v>
      </c>
    </row>
    <row r="693" spans="1:2" x14ac:dyDescent="0.25">
      <c r="A693" t="s">
        <v>888</v>
      </c>
      <c r="B693" s="187">
        <v>34000</v>
      </c>
    </row>
    <row r="694" spans="1:2" x14ac:dyDescent="0.25">
      <c r="A694" t="s">
        <v>889</v>
      </c>
      <c r="B694" s="187">
        <v>34858</v>
      </c>
    </row>
    <row r="695" spans="1:2" x14ac:dyDescent="0.25">
      <c r="A695" t="s">
        <v>890</v>
      </c>
      <c r="B695" s="187">
        <v>18550</v>
      </c>
    </row>
    <row r="696" spans="1:2" x14ac:dyDescent="0.25">
      <c r="A696" t="s">
        <v>891</v>
      </c>
      <c r="B696" s="187">
        <v>37708</v>
      </c>
    </row>
    <row r="697" spans="1:2" x14ac:dyDescent="0.25">
      <c r="A697" t="s">
        <v>892</v>
      </c>
      <c r="B697" s="187">
        <v>13521</v>
      </c>
    </row>
    <row r="698" spans="1:2" x14ac:dyDescent="0.25">
      <c r="A698" t="s">
        <v>893</v>
      </c>
      <c r="B698" s="187">
        <v>31714</v>
      </c>
    </row>
    <row r="699" spans="1:2" x14ac:dyDescent="0.25">
      <c r="A699" t="s">
        <v>894</v>
      </c>
      <c r="B699" s="187">
        <v>26164</v>
      </c>
    </row>
    <row r="700" spans="1:2" x14ac:dyDescent="0.25">
      <c r="A700" t="s">
        <v>895</v>
      </c>
      <c r="B700" s="187">
        <v>17500</v>
      </c>
    </row>
    <row r="701" spans="1:2" x14ac:dyDescent="0.25">
      <c r="A701" t="s">
        <v>896</v>
      </c>
      <c r="B701" s="187">
        <v>30273</v>
      </c>
    </row>
    <row r="702" spans="1:2" x14ac:dyDescent="0.25">
      <c r="A702" t="s">
        <v>897</v>
      </c>
      <c r="B702" s="187">
        <v>28906</v>
      </c>
    </row>
    <row r="703" spans="1:2" x14ac:dyDescent="0.25">
      <c r="A703" t="s">
        <v>898</v>
      </c>
      <c r="B703" s="187">
        <v>42577</v>
      </c>
    </row>
    <row r="704" spans="1:2" x14ac:dyDescent="0.25">
      <c r="A704" t="s">
        <v>899</v>
      </c>
      <c r="B704" s="187">
        <v>33106</v>
      </c>
    </row>
    <row r="705" spans="1:2" x14ac:dyDescent="0.25">
      <c r="A705" t="s">
        <v>900</v>
      </c>
      <c r="B705" s="187">
        <v>38621</v>
      </c>
    </row>
    <row r="706" spans="1:2" x14ac:dyDescent="0.25">
      <c r="A706" t="s">
        <v>901</v>
      </c>
      <c r="B706" s="187">
        <v>23459</v>
      </c>
    </row>
    <row r="707" spans="1:2" x14ac:dyDescent="0.25">
      <c r="A707" t="s">
        <v>902</v>
      </c>
      <c r="B707" s="187">
        <v>65821</v>
      </c>
    </row>
    <row r="708" spans="1:2" x14ac:dyDescent="0.25">
      <c r="A708" t="s">
        <v>903</v>
      </c>
      <c r="B708" s="187">
        <v>43023</v>
      </c>
    </row>
    <row r="709" spans="1:2" x14ac:dyDescent="0.25">
      <c r="A709" t="s">
        <v>904</v>
      </c>
      <c r="B709" s="187">
        <v>50962</v>
      </c>
    </row>
    <row r="710" spans="1:2" x14ac:dyDescent="0.25">
      <c r="A710" t="s">
        <v>905</v>
      </c>
      <c r="B710" s="187">
        <v>37066</v>
      </c>
    </row>
    <row r="711" spans="1:2" x14ac:dyDescent="0.25">
      <c r="A711" t="s">
        <v>906</v>
      </c>
      <c r="B711" s="187">
        <v>51000</v>
      </c>
    </row>
    <row r="712" spans="1:2" x14ac:dyDescent="0.25">
      <c r="A712" t="s">
        <v>907</v>
      </c>
      <c r="B712" s="187">
        <v>12813</v>
      </c>
    </row>
    <row r="713" spans="1:2" x14ac:dyDescent="0.25">
      <c r="A713" t="s">
        <v>908</v>
      </c>
      <c r="B713" s="187">
        <v>34236</v>
      </c>
    </row>
    <row r="714" spans="1:2" x14ac:dyDescent="0.25">
      <c r="A714" t="s">
        <v>909</v>
      </c>
      <c r="B714" s="187">
        <v>31411</v>
      </c>
    </row>
    <row r="715" spans="1:2" x14ac:dyDescent="0.25">
      <c r="A715" t="s">
        <v>910</v>
      </c>
      <c r="B715" s="187">
        <v>53162</v>
      </c>
    </row>
    <row r="716" spans="1:2" x14ac:dyDescent="0.25">
      <c r="A716" t="s">
        <v>911</v>
      </c>
      <c r="B716" s="187">
        <v>53078</v>
      </c>
    </row>
    <row r="717" spans="1:2" x14ac:dyDescent="0.25">
      <c r="A717" t="s">
        <v>912</v>
      </c>
      <c r="B717" s="187">
        <v>55577</v>
      </c>
    </row>
    <row r="718" spans="1:2" x14ac:dyDescent="0.25">
      <c r="A718" t="s">
        <v>913</v>
      </c>
      <c r="B718" s="187">
        <v>49878</v>
      </c>
    </row>
    <row r="719" spans="1:2" x14ac:dyDescent="0.25">
      <c r="A719" t="s">
        <v>914</v>
      </c>
      <c r="B719" s="187">
        <v>52992</v>
      </c>
    </row>
    <row r="720" spans="1:2" x14ac:dyDescent="0.25">
      <c r="A720" t="s">
        <v>915</v>
      </c>
      <c r="B720" s="187">
        <v>67115</v>
      </c>
    </row>
    <row r="721" spans="1:2" x14ac:dyDescent="0.25">
      <c r="A721" t="s">
        <v>916</v>
      </c>
      <c r="B721" s="187">
        <v>52083</v>
      </c>
    </row>
    <row r="722" spans="1:2" x14ac:dyDescent="0.25">
      <c r="A722" t="s">
        <v>917</v>
      </c>
      <c r="B722" s="187">
        <v>48438</v>
      </c>
    </row>
    <row r="723" spans="1:2" x14ac:dyDescent="0.25">
      <c r="A723" t="s">
        <v>918</v>
      </c>
      <c r="B723" s="187">
        <v>40949</v>
      </c>
    </row>
    <row r="724" spans="1:2" x14ac:dyDescent="0.25">
      <c r="A724" t="s">
        <v>919</v>
      </c>
      <c r="B724" s="187">
        <v>51940</v>
      </c>
    </row>
    <row r="725" spans="1:2" x14ac:dyDescent="0.25">
      <c r="A725" t="s">
        <v>920</v>
      </c>
      <c r="B725" s="187">
        <v>52214</v>
      </c>
    </row>
    <row r="726" spans="1:2" x14ac:dyDescent="0.25">
      <c r="A726" t="s">
        <v>921</v>
      </c>
      <c r="B726" s="187">
        <v>7615</v>
      </c>
    </row>
    <row r="727" spans="1:2" x14ac:dyDescent="0.25">
      <c r="A727" t="s">
        <v>922</v>
      </c>
      <c r="B727" s="187">
        <v>27346</v>
      </c>
    </row>
    <row r="728" spans="1:2" x14ac:dyDescent="0.25">
      <c r="A728" t="s">
        <v>923</v>
      </c>
      <c r="B728" s="187">
        <v>37344</v>
      </c>
    </row>
    <row r="729" spans="1:2" x14ac:dyDescent="0.25">
      <c r="A729" t="s">
        <v>924</v>
      </c>
      <c r="B729" s="187">
        <v>34701</v>
      </c>
    </row>
    <row r="730" spans="1:2" x14ac:dyDescent="0.25">
      <c r="A730" t="s">
        <v>925</v>
      </c>
      <c r="B730" s="187">
        <v>42292</v>
      </c>
    </row>
    <row r="731" spans="1:2" x14ac:dyDescent="0.25">
      <c r="A731" t="s">
        <v>926</v>
      </c>
      <c r="B731" s="187">
        <v>38073</v>
      </c>
    </row>
    <row r="732" spans="1:2" x14ac:dyDescent="0.25">
      <c r="A732" t="s">
        <v>927</v>
      </c>
      <c r="B732" s="187">
        <v>36964</v>
      </c>
    </row>
    <row r="733" spans="1:2" x14ac:dyDescent="0.25">
      <c r="A733" t="s">
        <v>928</v>
      </c>
      <c r="B733" s="187">
        <v>41071</v>
      </c>
    </row>
    <row r="734" spans="1:2" x14ac:dyDescent="0.25">
      <c r="A734" t="s">
        <v>929</v>
      </c>
      <c r="B734" s="187">
        <v>57048</v>
      </c>
    </row>
    <row r="735" spans="1:2" x14ac:dyDescent="0.25">
      <c r="A735" t="s">
        <v>930</v>
      </c>
      <c r="B735" s="187">
        <v>19133</v>
      </c>
    </row>
    <row r="736" spans="1:2" x14ac:dyDescent="0.25">
      <c r="A736" t="s">
        <v>931</v>
      </c>
      <c r="B736" s="187">
        <v>51487</v>
      </c>
    </row>
    <row r="737" spans="1:2" x14ac:dyDescent="0.25">
      <c r="A737" t="s">
        <v>932</v>
      </c>
      <c r="B737" s="187">
        <v>44662</v>
      </c>
    </row>
    <row r="738" spans="1:2" x14ac:dyDescent="0.25">
      <c r="A738" t="s">
        <v>933</v>
      </c>
      <c r="B738" s="187">
        <v>71346</v>
      </c>
    </row>
    <row r="739" spans="1:2" x14ac:dyDescent="0.25">
      <c r="A739" t="s">
        <v>934</v>
      </c>
      <c r="B739" s="187">
        <v>76034</v>
      </c>
    </row>
    <row r="740" spans="1:2" x14ac:dyDescent="0.25">
      <c r="A740" t="s">
        <v>935</v>
      </c>
      <c r="B740" s="187">
        <v>90807</v>
      </c>
    </row>
    <row r="741" spans="1:2" x14ac:dyDescent="0.25">
      <c r="A741" t="s">
        <v>936</v>
      </c>
      <c r="B741" s="187">
        <v>139701</v>
      </c>
    </row>
    <row r="742" spans="1:2" x14ac:dyDescent="0.25">
      <c r="A742" t="s">
        <v>937</v>
      </c>
      <c r="B742" s="187">
        <v>95605</v>
      </c>
    </row>
    <row r="743" spans="1:2" x14ac:dyDescent="0.25">
      <c r="A743" t="s">
        <v>938</v>
      </c>
      <c r="B743" s="187">
        <v>62750</v>
      </c>
    </row>
    <row r="744" spans="1:2" x14ac:dyDescent="0.25">
      <c r="A744" t="s">
        <v>939</v>
      </c>
      <c r="B744" s="187">
        <v>71587</v>
      </c>
    </row>
    <row r="745" spans="1:2" x14ac:dyDescent="0.25">
      <c r="A745" t="s">
        <v>940</v>
      </c>
      <c r="B745" s="187">
        <v>64607</v>
      </c>
    </row>
    <row r="746" spans="1:2" x14ac:dyDescent="0.25">
      <c r="A746" t="s">
        <v>941</v>
      </c>
      <c r="B746" s="187">
        <v>66868</v>
      </c>
    </row>
    <row r="747" spans="1:2" x14ac:dyDescent="0.25">
      <c r="A747" t="s">
        <v>942</v>
      </c>
      <c r="B747" s="187">
        <v>80446</v>
      </c>
    </row>
    <row r="748" spans="1:2" x14ac:dyDescent="0.25">
      <c r="A748" t="s">
        <v>943</v>
      </c>
      <c r="B748" s="187">
        <v>51742</v>
      </c>
    </row>
    <row r="749" spans="1:2" x14ac:dyDescent="0.25">
      <c r="A749" t="s">
        <v>944</v>
      </c>
      <c r="B749" s="187">
        <v>77244</v>
      </c>
    </row>
    <row r="750" spans="1:2" x14ac:dyDescent="0.25">
      <c r="A750" t="s">
        <v>945</v>
      </c>
      <c r="B750" s="187">
        <v>46082</v>
      </c>
    </row>
    <row r="751" spans="1:2" x14ac:dyDescent="0.25">
      <c r="A751" t="s">
        <v>946</v>
      </c>
      <c r="B751" s="187">
        <v>80828</v>
      </c>
    </row>
    <row r="752" spans="1:2" x14ac:dyDescent="0.25">
      <c r="A752" t="s">
        <v>947</v>
      </c>
      <c r="B752" s="187">
        <v>30020</v>
      </c>
    </row>
    <row r="753" spans="1:2" x14ac:dyDescent="0.25">
      <c r="A753" t="s">
        <v>948</v>
      </c>
      <c r="B753" s="187">
        <v>41046</v>
      </c>
    </row>
    <row r="754" spans="1:2" x14ac:dyDescent="0.25">
      <c r="A754" t="s">
        <v>949</v>
      </c>
      <c r="B754" s="187">
        <v>40607</v>
      </c>
    </row>
    <row r="755" spans="1:2" x14ac:dyDescent="0.25">
      <c r="A755" t="s">
        <v>950</v>
      </c>
      <c r="B755" s="187">
        <v>46108</v>
      </c>
    </row>
    <row r="756" spans="1:2" x14ac:dyDescent="0.25">
      <c r="A756" t="s">
        <v>951</v>
      </c>
      <c r="B756" s="187">
        <v>21693</v>
      </c>
    </row>
    <row r="757" spans="1:2" x14ac:dyDescent="0.25">
      <c r="A757" t="s">
        <v>952</v>
      </c>
      <c r="B757" s="187">
        <v>41397</v>
      </c>
    </row>
    <row r="758" spans="1:2" x14ac:dyDescent="0.25">
      <c r="A758" t="s">
        <v>953</v>
      </c>
      <c r="B758" s="187">
        <v>48116</v>
      </c>
    </row>
    <row r="759" spans="1:2" x14ac:dyDescent="0.25">
      <c r="A759" t="s">
        <v>954</v>
      </c>
      <c r="B759" s="187">
        <v>55694</v>
      </c>
    </row>
    <row r="760" spans="1:2" x14ac:dyDescent="0.25">
      <c r="A760" t="s">
        <v>955</v>
      </c>
      <c r="B760" s="187">
        <v>70730</v>
      </c>
    </row>
    <row r="761" spans="1:2" x14ac:dyDescent="0.25">
      <c r="A761" t="s">
        <v>956</v>
      </c>
      <c r="B761" s="187">
        <v>65354</v>
      </c>
    </row>
    <row r="762" spans="1:2" x14ac:dyDescent="0.25">
      <c r="A762" t="s">
        <v>957</v>
      </c>
      <c r="B762" s="187">
        <v>50374</v>
      </c>
    </row>
    <row r="763" spans="1:2" x14ac:dyDescent="0.25">
      <c r="A763" t="s">
        <v>958</v>
      </c>
      <c r="B763" s="187">
        <v>71315</v>
      </c>
    </row>
    <row r="764" spans="1:2" x14ac:dyDescent="0.25">
      <c r="A764" t="s">
        <v>959</v>
      </c>
      <c r="B764" s="187">
        <v>78423</v>
      </c>
    </row>
    <row r="765" spans="1:2" x14ac:dyDescent="0.25">
      <c r="A765" t="s">
        <v>960</v>
      </c>
      <c r="B765" s="187">
        <v>66172</v>
      </c>
    </row>
    <row r="766" spans="1:2" x14ac:dyDescent="0.25">
      <c r="A766" t="s">
        <v>961</v>
      </c>
      <c r="B766" s="187">
        <v>53789</v>
      </c>
    </row>
    <row r="767" spans="1:2" x14ac:dyDescent="0.25">
      <c r="A767" t="s">
        <v>962</v>
      </c>
      <c r="B767" s="187">
        <v>56250</v>
      </c>
    </row>
    <row r="768" spans="1:2" x14ac:dyDescent="0.25">
      <c r="A768" t="s">
        <v>963</v>
      </c>
      <c r="B768" s="187">
        <v>56897</v>
      </c>
    </row>
    <row r="769" spans="1:2" x14ac:dyDescent="0.25">
      <c r="A769" t="s">
        <v>964</v>
      </c>
      <c r="B769" s="187">
        <v>79309</v>
      </c>
    </row>
    <row r="770" spans="1:2" x14ac:dyDescent="0.25">
      <c r="A770" t="s">
        <v>965</v>
      </c>
      <c r="B770" s="187">
        <v>73253</v>
      </c>
    </row>
    <row r="771" spans="1:2" x14ac:dyDescent="0.25">
      <c r="A771" t="s">
        <v>966</v>
      </c>
      <c r="B771" s="187">
        <v>51133</v>
      </c>
    </row>
    <row r="772" spans="1:2" x14ac:dyDescent="0.25">
      <c r="A772" t="s">
        <v>967</v>
      </c>
      <c r="B772" s="187">
        <v>70099</v>
      </c>
    </row>
    <row r="773" spans="1:2" x14ac:dyDescent="0.25">
      <c r="A773" t="s">
        <v>968</v>
      </c>
      <c r="B773" s="187">
        <v>79760</v>
      </c>
    </row>
    <row r="774" spans="1:2" x14ac:dyDescent="0.25">
      <c r="A774" t="s">
        <v>969</v>
      </c>
      <c r="B774" s="187">
        <v>52114</v>
      </c>
    </row>
    <row r="775" spans="1:2" x14ac:dyDescent="0.25">
      <c r="A775" t="s">
        <v>970</v>
      </c>
      <c r="B775" s="187">
        <v>61250</v>
      </c>
    </row>
    <row r="776" spans="1:2" x14ac:dyDescent="0.25">
      <c r="A776" t="s">
        <v>971</v>
      </c>
      <c r="B776" s="187">
        <v>92693</v>
      </c>
    </row>
    <row r="777" spans="1:2" x14ac:dyDescent="0.25">
      <c r="A777" t="s">
        <v>972</v>
      </c>
      <c r="B777" s="187">
        <v>55694</v>
      </c>
    </row>
    <row r="778" spans="1:2" x14ac:dyDescent="0.25">
      <c r="A778" t="s">
        <v>973</v>
      </c>
      <c r="B778" s="187">
        <v>81756</v>
      </c>
    </row>
    <row r="779" spans="1:2" x14ac:dyDescent="0.25">
      <c r="A779" t="s">
        <v>974</v>
      </c>
      <c r="B779" s="187">
        <v>109563</v>
      </c>
    </row>
    <row r="780" spans="1:2" x14ac:dyDescent="0.25">
      <c r="A780" t="s">
        <v>975</v>
      </c>
      <c r="B780" s="187">
        <v>106898</v>
      </c>
    </row>
    <row r="781" spans="1:2" x14ac:dyDescent="0.25">
      <c r="A781" t="s">
        <v>976</v>
      </c>
      <c r="B781" s="187">
        <v>134000</v>
      </c>
    </row>
    <row r="782" spans="1:2" x14ac:dyDescent="0.25">
      <c r="A782" t="s">
        <v>977</v>
      </c>
      <c r="B782" s="187">
        <v>102576</v>
      </c>
    </row>
    <row r="783" spans="1:2" x14ac:dyDescent="0.25">
      <c r="A783" t="s">
        <v>978</v>
      </c>
      <c r="B783" s="186">
        <v>0</v>
      </c>
    </row>
    <row r="784" spans="1:2" x14ac:dyDescent="0.25">
      <c r="A784" t="s">
        <v>979</v>
      </c>
      <c r="B784" s="187">
        <v>63775</v>
      </c>
    </row>
    <row r="785" spans="1:2" x14ac:dyDescent="0.25">
      <c r="A785" t="s">
        <v>980</v>
      </c>
      <c r="B785" s="187">
        <v>80270</v>
      </c>
    </row>
    <row r="786" spans="1:2" x14ac:dyDescent="0.25">
      <c r="A786" t="s">
        <v>981</v>
      </c>
      <c r="B786" s="187">
        <v>75885</v>
      </c>
    </row>
    <row r="787" spans="1:2" x14ac:dyDescent="0.25">
      <c r="A787" t="s">
        <v>982</v>
      </c>
      <c r="B787" s="187">
        <v>96792</v>
      </c>
    </row>
    <row r="788" spans="1:2" x14ac:dyDescent="0.25">
      <c r="A788" t="s">
        <v>983</v>
      </c>
      <c r="B788" s="187">
        <v>79909</v>
      </c>
    </row>
    <row r="789" spans="1:2" x14ac:dyDescent="0.25">
      <c r="A789" t="s">
        <v>984</v>
      </c>
      <c r="B789" s="187">
        <v>86130</v>
      </c>
    </row>
    <row r="790" spans="1:2" x14ac:dyDescent="0.25">
      <c r="A790" t="s">
        <v>985</v>
      </c>
      <c r="B790" s="187">
        <v>81316</v>
      </c>
    </row>
    <row r="791" spans="1:2" x14ac:dyDescent="0.25">
      <c r="A791" t="s">
        <v>986</v>
      </c>
      <c r="B791" s="187">
        <v>115000</v>
      </c>
    </row>
    <row r="792" spans="1:2" x14ac:dyDescent="0.25">
      <c r="A792" t="s">
        <v>987</v>
      </c>
      <c r="B792" s="187">
        <v>76505</v>
      </c>
    </row>
    <row r="793" spans="1:2" x14ac:dyDescent="0.25">
      <c r="A793" t="s">
        <v>988</v>
      </c>
      <c r="B793" s="187">
        <v>82396</v>
      </c>
    </row>
    <row r="794" spans="1:2" x14ac:dyDescent="0.25">
      <c r="A794" t="s">
        <v>989</v>
      </c>
      <c r="B794" s="187">
        <v>51250</v>
      </c>
    </row>
    <row r="795" spans="1:2" x14ac:dyDescent="0.25">
      <c r="A795" t="s">
        <v>990</v>
      </c>
      <c r="B795" s="187">
        <v>65276</v>
      </c>
    </row>
    <row r="796" spans="1:2" x14ac:dyDescent="0.25">
      <c r="A796" t="s">
        <v>991</v>
      </c>
      <c r="B796" s="187">
        <v>60646</v>
      </c>
    </row>
    <row r="797" spans="1:2" x14ac:dyDescent="0.25">
      <c r="A797" t="s">
        <v>992</v>
      </c>
      <c r="B797" s="187">
        <v>90321</v>
      </c>
    </row>
    <row r="798" spans="1:2" x14ac:dyDescent="0.25">
      <c r="A798" t="s">
        <v>993</v>
      </c>
      <c r="B798" s="187">
        <v>91094</v>
      </c>
    </row>
    <row r="799" spans="1:2" x14ac:dyDescent="0.25">
      <c r="A799" t="s">
        <v>994</v>
      </c>
      <c r="B799" s="187">
        <v>73113</v>
      </c>
    </row>
    <row r="800" spans="1:2" x14ac:dyDescent="0.25">
      <c r="A800" t="s">
        <v>995</v>
      </c>
      <c r="B800" s="187">
        <v>101125</v>
      </c>
    </row>
    <row r="801" spans="1:2" x14ac:dyDescent="0.25">
      <c r="A801" t="s">
        <v>996</v>
      </c>
      <c r="B801" s="187">
        <v>105000</v>
      </c>
    </row>
    <row r="802" spans="1:2" x14ac:dyDescent="0.25">
      <c r="A802" t="s">
        <v>997</v>
      </c>
      <c r="B802" s="187">
        <v>91862</v>
      </c>
    </row>
    <row r="803" spans="1:2" x14ac:dyDescent="0.25">
      <c r="A803" t="s">
        <v>998</v>
      </c>
      <c r="B803" s="187">
        <v>108971</v>
      </c>
    </row>
    <row r="804" spans="1:2" x14ac:dyDescent="0.25">
      <c r="A804" t="s">
        <v>999</v>
      </c>
      <c r="B804" s="187">
        <v>83706</v>
      </c>
    </row>
    <row r="805" spans="1:2" x14ac:dyDescent="0.25">
      <c r="A805" t="s">
        <v>1000</v>
      </c>
      <c r="B805" s="187">
        <v>70015</v>
      </c>
    </row>
    <row r="806" spans="1:2" x14ac:dyDescent="0.25">
      <c r="A806" t="s">
        <v>1001</v>
      </c>
      <c r="B806" s="187">
        <v>77813</v>
      </c>
    </row>
    <row r="807" spans="1:2" x14ac:dyDescent="0.25">
      <c r="A807" t="s">
        <v>1002</v>
      </c>
      <c r="B807" s="187">
        <v>78681</v>
      </c>
    </row>
    <row r="808" spans="1:2" x14ac:dyDescent="0.25">
      <c r="A808" t="s">
        <v>1003</v>
      </c>
      <c r="B808" s="187">
        <v>36111</v>
      </c>
    </row>
    <row r="809" spans="1:2" x14ac:dyDescent="0.25">
      <c r="A809" t="s">
        <v>1004</v>
      </c>
      <c r="B809" s="187">
        <v>40917</v>
      </c>
    </row>
    <row r="810" spans="1:2" x14ac:dyDescent="0.25">
      <c r="A810" t="s">
        <v>1005</v>
      </c>
      <c r="B810" s="187">
        <v>49722</v>
      </c>
    </row>
    <row r="811" spans="1:2" x14ac:dyDescent="0.25">
      <c r="A811" t="s">
        <v>1006</v>
      </c>
      <c r="B811" s="187">
        <v>54491</v>
      </c>
    </row>
    <row r="812" spans="1:2" x14ac:dyDescent="0.25">
      <c r="A812" t="s">
        <v>1007</v>
      </c>
      <c r="B812" s="187">
        <v>40457</v>
      </c>
    </row>
    <row r="813" spans="1:2" x14ac:dyDescent="0.25">
      <c r="A813" t="s">
        <v>1008</v>
      </c>
      <c r="B813" s="187">
        <v>63365</v>
      </c>
    </row>
    <row r="814" spans="1:2" x14ac:dyDescent="0.25">
      <c r="A814" t="s">
        <v>1009</v>
      </c>
      <c r="B814" s="187">
        <v>55250</v>
      </c>
    </row>
    <row r="815" spans="1:2" x14ac:dyDescent="0.25">
      <c r="A815" t="s">
        <v>1010</v>
      </c>
      <c r="B815" s="187">
        <v>39423</v>
      </c>
    </row>
    <row r="816" spans="1:2" x14ac:dyDescent="0.25">
      <c r="A816" t="s">
        <v>1011</v>
      </c>
      <c r="B816" s="187">
        <v>75708</v>
      </c>
    </row>
    <row r="817" spans="1:2" x14ac:dyDescent="0.25">
      <c r="A817" t="s">
        <v>1012</v>
      </c>
      <c r="B817" s="187">
        <v>101250</v>
      </c>
    </row>
    <row r="818" spans="1:2" x14ac:dyDescent="0.25">
      <c r="A818" t="s">
        <v>1013</v>
      </c>
      <c r="B818" s="187">
        <v>43511</v>
      </c>
    </row>
    <row r="819" spans="1:2" x14ac:dyDescent="0.25">
      <c r="A819" t="s">
        <v>1014</v>
      </c>
      <c r="B819" s="187">
        <v>38026</v>
      </c>
    </row>
    <row r="820" spans="1:2" x14ac:dyDescent="0.25">
      <c r="A820" t="s">
        <v>1015</v>
      </c>
      <c r="B820" s="187">
        <v>71324</v>
      </c>
    </row>
    <row r="821" spans="1:2" x14ac:dyDescent="0.25">
      <c r="A821" t="s">
        <v>1016</v>
      </c>
      <c r="B821" s="187">
        <v>65636</v>
      </c>
    </row>
    <row r="822" spans="1:2" x14ac:dyDescent="0.25">
      <c r="A822" t="s">
        <v>1017</v>
      </c>
      <c r="B822" s="187">
        <v>66875</v>
      </c>
    </row>
    <row r="823" spans="1:2" x14ac:dyDescent="0.25">
      <c r="A823" t="s">
        <v>1018</v>
      </c>
      <c r="B823" s="187">
        <v>72204</v>
      </c>
    </row>
    <row r="824" spans="1:2" x14ac:dyDescent="0.25">
      <c r="A824" t="s">
        <v>1019</v>
      </c>
      <c r="B824" s="187">
        <v>86250</v>
      </c>
    </row>
    <row r="825" spans="1:2" x14ac:dyDescent="0.25">
      <c r="A825" t="s">
        <v>1020</v>
      </c>
      <c r="B825" s="187">
        <v>58990</v>
      </c>
    </row>
    <row r="826" spans="1:2" x14ac:dyDescent="0.25">
      <c r="A826" t="s">
        <v>1021</v>
      </c>
      <c r="B826" s="187">
        <v>42211</v>
      </c>
    </row>
    <row r="827" spans="1:2" x14ac:dyDescent="0.25">
      <c r="A827" t="s">
        <v>1022</v>
      </c>
      <c r="B827" s="187">
        <v>65125</v>
      </c>
    </row>
    <row r="828" spans="1:2" x14ac:dyDescent="0.25">
      <c r="A828" t="s">
        <v>1023</v>
      </c>
      <c r="B828" s="187">
        <v>30395</v>
      </c>
    </row>
    <row r="829" spans="1:2" x14ac:dyDescent="0.25">
      <c r="A829" t="s">
        <v>1024</v>
      </c>
      <c r="B829" s="187">
        <v>50720</v>
      </c>
    </row>
    <row r="830" spans="1:2" x14ac:dyDescent="0.25">
      <c r="A830" t="s">
        <v>1025</v>
      </c>
      <c r="B830" s="187">
        <v>35833</v>
      </c>
    </row>
    <row r="831" spans="1:2" x14ac:dyDescent="0.25">
      <c r="A831" t="s">
        <v>1026</v>
      </c>
      <c r="B831" s="187">
        <v>63489</v>
      </c>
    </row>
    <row r="832" spans="1:2" x14ac:dyDescent="0.25">
      <c r="A832" t="s">
        <v>1027</v>
      </c>
      <c r="B832" s="187">
        <v>75636</v>
      </c>
    </row>
    <row r="833" spans="1:2" x14ac:dyDescent="0.25">
      <c r="A833" t="s">
        <v>1028</v>
      </c>
      <c r="B833" s="187">
        <v>34167</v>
      </c>
    </row>
    <row r="834" spans="1:2" x14ac:dyDescent="0.25">
      <c r="A834" t="s">
        <v>1029</v>
      </c>
      <c r="B834" s="187">
        <v>56958</v>
      </c>
    </row>
    <row r="835" spans="1:2" x14ac:dyDescent="0.25">
      <c r="A835" t="s">
        <v>1030</v>
      </c>
      <c r="B835" s="187">
        <v>95435</v>
      </c>
    </row>
    <row r="836" spans="1:2" x14ac:dyDescent="0.25">
      <c r="A836" t="s">
        <v>1031</v>
      </c>
      <c r="B836" s="187">
        <v>51850</v>
      </c>
    </row>
    <row r="837" spans="1:2" x14ac:dyDescent="0.25">
      <c r="A837" t="s">
        <v>1032</v>
      </c>
      <c r="B837" s="187">
        <v>48810</v>
      </c>
    </row>
    <row r="838" spans="1:2" x14ac:dyDescent="0.25">
      <c r="A838" t="s">
        <v>1033</v>
      </c>
      <c r="B838" s="187">
        <v>71750</v>
      </c>
    </row>
    <row r="839" spans="1:2" x14ac:dyDescent="0.25">
      <c r="A839" t="s">
        <v>1034</v>
      </c>
      <c r="B839" s="187">
        <v>80361</v>
      </c>
    </row>
    <row r="840" spans="1:2" x14ac:dyDescent="0.25">
      <c r="A840" t="s">
        <v>1035</v>
      </c>
      <c r="B840" s="187">
        <v>73281</v>
      </c>
    </row>
    <row r="841" spans="1:2" x14ac:dyDescent="0.25">
      <c r="A841" t="s">
        <v>1036</v>
      </c>
      <c r="B841" s="187">
        <v>66102</v>
      </c>
    </row>
    <row r="842" spans="1:2" x14ac:dyDescent="0.25">
      <c r="A842" t="s">
        <v>1037</v>
      </c>
      <c r="B842" s="187">
        <v>67834</v>
      </c>
    </row>
    <row r="843" spans="1:2" x14ac:dyDescent="0.25">
      <c r="A843" t="s">
        <v>1038</v>
      </c>
      <c r="B843" s="187">
        <v>61287</v>
      </c>
    </row>
    <row r="844" spans="1:2" x14ac:dyDescent="0.25">
      <c r="A844" t="s">
        <v>1039</v>
      </c>
      <c r="B844" s="187">
        <v>33973</v>
      </c>
    </row>
    <row r="845" spans="1:2" x14ac:dyDescent="0.25">
      <c r="A845" t="s">
        <v>1040</v>
      </c>
      <c r="B845" s="187">
        <v>38205</v>
      </c>
    </row>
    <row r="846" spans="1:2" x14ac:dyDescent="0.25">
      <c r="A846" t="s">
        <v>1041</v>
      </c>
      <c r="B846" s="187">
        <v>46923</v>
      </c>
    </row>
    <row r="847" spans="1:2" x14ac:dyDescent="0.25">
      <c r="A847" t="s">
        <v>1042</v>
      </c>
      <c r="B847" s="187">
        <v>50921</v>
      </c>
    </row>
    <row r="848" spans="1:2" x14ac:dyDescent="0.25">
      <c r="A848" t="s">
        <v>1043</v>
      </c>
      <c r="B848" s="187">
        <v>49779</v>
      </c>
    </row>
    <row r="849" spans="1:2" x14ac:dyDescent="0.25">
      <c r="A849" t="s">
        <v>1044</v>
      </c>
      <c r="B849" s="187">
        <v>63697</v>
      </c>
    </row>
    <row r="850" spans="1:2" x14ac:dyDescent="0.25">
      <c r="A850" t="s">
        <v>1045</v>
      </c>
      <c r="B850" s="187">
        <v>40990</v>
      </c>
    </row>
    <row r="851" spans="1:2" x14ac:dyDescent="0.25">
      <c r="A851" t="s">
        <v>1046</v>
      </c>
      <c r="B851" s="187">
        <v>34450</v>
      </c>
    </row>
    <row r="852" spans="1:2" x14ac:dyDescent="0.25">
      <c r="A852" t="s">
        <v>1047</v>
      </c>
      <c r="B852" s="187">
        <v>30544</v>
      </c>
    </row>
    <row r="853" spans="1:2" x14ac:dyDescent="0.25">
      <c r="A853" t="s">
        <v>1048</v>
      </c>
      <c r="B853" s="187">
        <v>22656</v>
      </c>
    </row>
    <row r="854" spans="1:2" x14ac:dyDescent="0.25">
      <c r="A854" t="s">
        <v>1049</v>
      </c>
      <c r="B854" s="187">
        <v>27778</v>
      </c>
    </row>
    <row r="855" spans="1:2" x14ac:dyDescent="0.25">
      <c r="A855" t="s">
        <v>1050</v>
      </c>
      <c r="B855" s="187">
        <v>31827</v>
      </c>
    </row>
    <row r="856" spans="1:2" x14ac:dyDescent="0.25">
      <c r="A856" t="s">
        <v>1051</v>
      </c>
      <c r="B856" s="187">
        <v>40250</v>
      </c>
    </row>
    <row r="857" spans="1:2" x14ac:dyDescent="0.25">
      <c r="A857" t="s">
        <v>1052</v>
      </c>
      <c r="B857" s="187">
        <v>28169</v>
      </c>
    </row>
    <row r="858" spans="1:2" x14ac:dyDescent="0.25">
      <c r="A858" t="s">
        <v>1053</v>
      </c>
      <c r="B858" s="187">
        <v>45193</v>
      </c>
    </row>
    <row r="859" spans="1:2" x14ac:dyDescent="0.25">
      <c r="A859" t="s">
        <v>1054</v>
      </c>
      <c r="B859" s="187">
        <v>58204</v>
      </c>
    </row>
    <row r="860" spans="1:2" x14ac:dyDescent="0.25">
      <c r="A860" t="s">
        <v>1055</v>
      </c>
      <c r="B860" s="187">
        <v>31214</v>
      </c>
    </row>
    <row r="861" spans="1:2" x14ac:dyDescent="0.25">
      <c r="A861" t="s">
        <v>1056</v>
      </c>
      <c r="B861" s="187">
        <v>60217</v>
      </c>
    </row>
    <row r="862" spans="1:2" x14ac:dyDescent="0.25">
      <c r="A862" t="s">
        <v>1057</v>
      </c>
      <c r="B862" s="187">
        <v>74338</v>
      </c>
    </row>
    <row r="863" spans="1:2" x14ac:dyDescent="0.25">
      <c r="A863" t="s">
        <v>1058</v>
      </c>
      <c r="B863" s="187">
        <v>47766</v>
      </c>
    </row>
    <row r="864" spans="1:2" x14ac:dyDescent="0.25">
      <c r="A864" t="s">
        <v>1059</v>
      </c>
      <c r="B864" s="187">
        <v>47930</v>
      </c>
    </row>
    <row r="865" spans="1:2" x14ac:dyDescent="0.25">
      <c r="A865" t="s">
        <v>1060</v>
      </c>
      <c r="B865" s="187">
        <v>35248</v>
      </c>
    </row>
    <row r="866" spans="1:2" x14ac:dyDescent="0.25">
      <c r="A866" t="s">
        <v>1061</v>
      </c>
      <c r="B866" s="187">
        <v>47321</v>
      </c>
    </row>
    <row r="867" spans="1:2" x14ac:dyDescent="0.25">
      <c r="A867" t="s">
        <v>1062</v>
      </c>
      <c r="B867" s="187">
        <v>28908</v>
      </c>
    </row>
    <row r="868" spans="1:2" x14ac:dyDescent="0.25">
      <c r="A868" t="s">
        <v>1063</v>
      </c>
      <c r="B868" s="187">
        <v>45893</v>
      </c>
    </row>
    <row r="869" spans="1:2" x14ac:dyDescent="0.25">
      <c r="A869" t="s">
        <v>1064</v>
      </c>
      <c r="B869" s="187">
        <v>64668</v>
      </c>
    </row>
    <row r="870" spans="1:2" x14ac:dyDescent="0.25">
      <c r="A870" t="s">
        <v>1065</v>
      </c>
      <c r="B870" s="187">
        <v>43656</v>
      </c>
    </row>
    <row r="871" spans="1:2" x14ac:dyDescent="0.25">
      <c r="A871" t="s">
        <v>1066</v>
      </c>
      <c r="B871" s="187">
        <v>56375</v>
      </c>
    </row>
    <row r="872" spans="1:2" x14ac:dyDescent="0.25">
      <c r="A872" t="s">
        <v>1067</v>
      </c>
      <c r="B872" s="187">
        <v>53875</v>
      </c>
    </row>
    <row r="873" spans="1:2" x14ac:dyDescent="0.25">
      <c r="A873" t="s">
        <v>1068</v>
      </c>
      <c r="B873" s="187">
        <v>51364</v>
      </c>
    </row>
    <row r="874" spans="1:2" x14ac:dyDescent="0.25">
      <c r="A874" t="s">
        <v>1069</v>
      </c>
      <c r="B874" s="187">
        <v>70042</v>
      </c>
    </row>
    <row r="875" spans="1:2" x14ac:dyDescent="0.25">
      <c r="A875" t="s">
        <v>1070</v>
      </c>
      <c r="B875" s="187">
        <v>58220</v>
      </c>
    </row>
    <row r="876" spans="1:2" x14ac:dyDescent="0.25">
      <c r="A876" t="s">
        <v>1071</v>
      </c>
      <c r="B876" s="187">
        <v>57989</v>
      </c>
    </row>
    <row r="877" spans="1:2" x14ac:dyDescent="0.25">
      <c r="A877" t="s">
        <v>1072</v>
      </c>
      <c r="B877" s="187">
        <v>54125</v>
      </c>
    </row>
    <row r="878" spans="1:2" x14ac:dyDescent="0.25">
      <c r="A878" t="s">
        <v>1073</v>
      </c>
      <c r="B878" s="187">
        <v>70650</v>
      </c>
    </row>
    <row r="879" spans="1:2" x14ac:dyDescent="0.25">
      <c r="A879" t="s">
        <v>1074</v>
      </c>
      <c r="B879" s="187">
        <v>67750</v>
      </c>
    </row>
    <row r="880" spans="1:2" x14ac:dyDescent="0.25">
      <c r="A880" t="s">
        <v>1075</v>
      </c>
      <c r="B880" s="187">
        <v>65214</v>
      </c>
    </row>
    <row r="881" spans="1:2" x14ac:dyDescent="0.25">
      <c r="A881" t="s">
        <v>1076</v>
      </c>
      <c r="B881" s="187">
        <v>44688</v>
      </c>
    </row>
    <row r="882" spans="1:2" x14ac:dyDescent="0.25">
      <c r="A882" t="s">
        <v>1077</v>
      </c>
      <c r="B882" s="187">
        <v>71131</v>
      </c>
    </row>
    <row r="883" spans="1:2" x14ac:dyDescent="0.25">
      <c r="A883" t="s">
        <v>1078</v>
      </c>
      <c r="B883" s="187">
        <v>65221</v>
      </c>
    </row>
    <row r="884" spans="1:2" x14ac:dyDescent="0.25">
      <c r="A884" t="s">
        <v>1079</v>
      </c>
      <c r="B884" s="187">
        <v>81953</v>
      </c>
    </row>
    <row r="885" spans="1:2" x14ac:dyDescent="0.25">
      <c r="A885" t="s">
        <v>1080</v>
      </c>
      <c r="B885" s="186">
        <v>0</v>
      </c>
    </row>
    <row r="886" spans="1:2" x14ac:dyDescent="0.25">
      <c r="A886" t="s">
        <v>1081</v>
      </c>
      <c r="B886" s="187">
        <v>71250</v>
      </c>
    </row>
    <row r="887" spans="1:2" x14ac:dyDescent="0.25">
      <c r="A887" t="s">
        <v>1082</v>
      </c>
      <c r="B887" s="187">
        <v>69668</v>
      </c>
    </row>
    <row r="888" spans="1:2" x14ac:dyDescent="0.25">
      <c r="A888" t="s">
        <v>1083</v>
      </c>
      <c r="B888" s="187">
        <v>26637</v>
      </c>
    </row>
    <row r="889" spans="1:2" x14ac:dyDescent="0.25">
      <c r="A889" t="s">
        <v>1084</v>
      </c>
      <c r="B889" s="187">
        <v>23005</v>
      </c>
    </row>
    <row r="890" spans="1:2" x14ac:dyDescent="0.25">
      <c r="A890" t="s">
        <v>1085</v>
      </c>
      <c r="B890" s="187">
        <v>51264</v>
      </c>
    </row>
    <row r="891" spans="1:2" x14ac:dyDescent="0.25">
      <c r="A891" t="s">
        <v>1086</v>
      </c>
      <c r="B891" s="187">
        <v>54766</v>
      </c>
    </row>
    <row r="892" spans="1:2" x14ac:dyDescent="0.25">
      <c r="A892" t="s">
        <v>1087</v>
      </c>
      <c r="B892" s="187">
        <v>41974</v>
      </c>
    </row>
    <row r="893" spans="1:2" x14ac:dyDescent="0.25">
      <c r="A893" t="s">
        <v>1088</v>
      </c>
      <c r="B893" s="187">
        <v>115417</v>
      </c>
    </row>
    <row r="894" spans="1:2" x14ac:dyDescent="0.25">
      <c r="A894" t="s">
        <v>1089</v>
      </c>
      <c r="B894" s="187">
        <v>52218</v>
      </c>
    </row>
    <row r="895" spans="1:2" x14ac:dyDescent="0.25">
      <c r="A895" t="s">
        <v>1090</v>
      </c>
      <c r="B895" s="187">
        <v>43347</v>
      </c>
    </row>
    <row r="896" spans="1:2" x14ac:dyDescent="0.25">
      <c r="A896" t="s">
        <v>1091</v>
      </c>
      <c r="B896" s="187">
        <v>139690</v>
      </c>
    </row>
    <row r="897" spans="1:2" x14ac:dyDescent="0.25">
      <c r="A897" t="s">
        <v>1092</v>
      </c>
      <c r="B897" s="187">
        <v>122714</v>
      </c>
    </row>
    <row r="898" spans="1:2" x14ac:dyDescent="0.25">
      <c r="A898" t="s">
        <v>1093</v>
      </c>
      <c r="B898" s="187">
        <v>56500</v>
      </c>
    </row>
    <row r="899" spans="1:2" x14ac:dyDescent="0.25">
      <c r="A899" t="s">
        <v>1094</v>
      </c>
      <c r="B899" s="187">
        <v>62373</v>
      </c>
    </row>
    <row r="900" spans="1:2" x14ac:dyDescent="0.25">
      <c r="A900" t="s">
        <v>1095</v>
      </c>
      <c r="B900" s="187">
        <v>69390</v>
      </c>
    </row>
    <row r="901" spans="1:2" x14ac:dyDescent="0.25">
      <c r="A901" t="s">
        <v>1096</v>
      </c>
      <c r="B901" s="187">
        <v>39891</v>
      </c>
    </row>
    <row r="902" spans="1:2" x14ac:dyDescent="0.25">
      <c r="A902" t="s">
        <v>1097</v>
      </c>
      <c r="B902" s="187">
        <v>43377</v>
      </c>
    </row>
    <row r="903" spans="1:2" x14ac:dyDescent="0.25">
      <c r="A903" t="s">
        <v>1098</v>
      </c>
      <c r="B903" s="187">
        <v>60027</v>
      </c>
    </row>
    <row r="904" spans="1:2" x14ac:dyDescent="0.25">
      <c r="A904" t="s">
        <v>1099</v>
      </c>
      <c r="B904" s="187">
        <v>44483</v>
      </c>
    </row>
    <row r="905" spans="1:2" x14ac:dyDescent="0.25">
      <c r="A905" t="s">
        <v>1100</v>
      </c>
      <c r="B905" s="187">
        <v>57621</v>
      </c>
    </row>
    <row r="906" spans="1:2" x14ac:dyDescent="0.25">
      <c r="A906" t="s">
        <v>1101</v>
      </c>
      <c r="B906" s="187">
        <v>69673</v>
      </c>
    </row>
    <row r="907" spans="1:2" x14ac:dyDescent="0.25">
      <c r="A907" t="s">
        <v>1102</v>
      </c>
      <c r="B907" s="187">
        <v>43484</v>
      </c>
    </row>
    <row r="908" spans="1:2" x14ac:dyDescent="0.25">
      <c r="A908" t="s">
        <v>1103</v>
      </c>
      <c r="B908" s="187">
        <v>60238</v>
      </c>
    </row>
    <row r="909" spans="1:2" x14ac:dyDescent="0.25">
      <c r="A909" t="s">
        <v>1104</v>
      </c>
      <c r="B909" s="187">
        <v>61618</v>
      </c>
    </row>
    <row r="910" spans="1:2" x14ac:dyDescent="0.25">
      <c r="A910" t="s">
        <v>1105</v>
      </c>
      <c r="B910" s="187">
        <v>104276</v>
      </c>
    </row>
    <row r="911" spans="1:2" x14ac:dyDescent="0.25">
      <c r="A911" t="s">
        <v>1106</v>
      </c>
      <c r="B911" s="187">
        <v>32868</v>
      </c>
    </row>
    <row r="912" spans="1:2" x14ac:dyDescent="0.25">
      <c r="A912" t="s">
        <v>1107</v>
      </c>
      <c r="B912" s="187">
        <v>56486</v>
      </c>
    </row>
    <row r="913" spans="1:2" x14ac:dyDescent="0.25">
      <c r="A913" t="s">
        <v>1108</v>
      </c>
      <c r="B913" s="187">
        <v>82500</v>
      </c>
    </row>
    <row r="914" spans="1:2" x14ac:dyDescent="0.25">
      <c r="A914" t="s">
        <v>1109</v>
      </c>
      <c r="B914" s="187">
        <v>44309</v>
      </c>
    </row>
    <row r="915" spans="1:2" x14ac:dyDescent="0.25">
      <c r="A915" t="s">
        <v>1110</v>
      </c>
      <c r="B915" s="187">
        <v>43589</v>
      </c>
    </row>
    <row r="916" spans="1:2" x14ac:dyDescent="0.25">
      <c r="A916" t="s">
        <v>1111</v>
      </c>
      <c r="B916" s="187">
        <v>33808</v>
      </c>
    </row>
    <row r="917" spans="1:2" x14ac:dyDescent="0.25">
      <c r="A917" t="s">
        <v>1112</v>
      </c>
      <c r="B917" s="187">
        <v>81179</v>
      </c>
    </row>
    <row r="918" spans="1:2" x14ac:dyDescent="0.25">
      <c r="A918" t="s">
        <v>1113</v>
      </c>
      <c r="B918" s="187">
        <v>52415</v>
      </c>
    </row>
    <row r="919" spans="1:2" x14ac:dyDescent="0.25">
      <c r="A919" t="s">
        <v>1114</v>
      </c>
      <c r="B919" s="187">
        <v>107780</v>
      </c>
    </row>
    <row r="920" spans="1:2" x14ac:dyDescent="0.25">
      <c r="A920" t="s">
        <v>1115</v>
      </c>
      <c r="B920" s="187">
        <v>61707</v>
      </c>
    </row>
    <row r="921" spans="1:2" x14ac:dyDescent="0.25">
      <c r="A921" t="s">
        <v>1116</v>
      </c>
      <c r="B921" s="187">
        <v>55000</v>
      </c>
    </row>
    <row r="922" spans="1:2" x14ac:dyDescent="0.25">
      <c r="A922" t="s">
        <v>1117</v>
      </c>
      <c r="B922" s="187">
        <v>58345</v>
      </c>
    </row>
    <row r="923" spans="1:2" x14ac:dyDescent="0.25">
      <c r="A923" t="s">
        <v>1118</v>
      </c>
      <c r="B923" s="187">
        <v>63300</v>
      </c>
    </row>
    <row r="924" spans="1:2" x14ac:dyDescent="0.25">
      <c r="A924" t="s">
        <v>1119</v>
      </c>
      <c r="B924" s="187">
        <v>95865</v>
      </c>
    </row>
    <row r="925" spans="1:2" x14ac:dyDescent="0.25">
      <c r="A925" t="s">
        <v>1120</v>
      </c>
      <c r="B925" s="187">
        <v>153677</v>
      </c>
    </row>
    <row r="926" spans="1:2" x14ac:dyDescent="0.25">
      <c r="A926" t="s">
        <v>1121</v>
      </c>
      <c r="B926" s="187">
        <v>76298</v>
      </c>
    </row>
    <row r="927" spans="1:2" x14ac:dyDescent="0.25">
      <c r="A927" t="s">
        <v>1122</v>
      </c>
      <c r="B927" s="187">
        <v>36659</v>
      </c>
    </row>
    <row r="928" spans="1:2" x14ac:dyDescent="0.25">
      <c r="A928" t="s">
        <v>1123</v>
      </c>
      <c r="B928" s="187">
        <v>33447</v>
      </c>
    </row>
    <row r="929" spans="1:2" x14ac:dyDescent="0.25">
      <c r="A929" t="s">
        <v>1124</v>
      </c>
      <c r="B929" s="187">
        <v>63258</v>
      </c>
    </row>
    <row r="930" spans="1:2" x14ac:dyDescent="0.25">
      <c r="A930" t="s">
        <v>1125</v>
      </c>
      <c r="B930" s="187">
        <v>77857</v>
      </c>
    </row>
    <row r="931" spans="1:2" x14ac:dyDescent="0.25">
      <c r="A931" t="s">
        <v>1126</v>
      </c>
      <c r="B931" s="187">
        <v>75143</v>
      </c>
    </row>
    <row r="932" spans="1:2" x14ac:dyDescent="0.25">
      <c r="A932" t="s">
        <v>1127</v>
      </c>
      <c r="B932" s="187">
        <v>142557</v>
      </c>
    </row>
    <row r="933" spans="1:2" x14ac:dyDescent="0.25">
      <c r="A933" t="s">
        <v>1128</v>
      </c>
      <c r="B933" s="187">
        <v>90179</v>
      </c>
    </row>
    <row r="934" spans="1:2" x14ac:dyDescent="0.25">
      <c r="A934" t="s">
        <v>1129</v>
      </c>
      <c r="B934" s="187">
        <v>62929</v>
      </c>
    </row>
    <row r="935" spans="1:2" x14ac:dyDescent="0.25">
      <c r="A935" t="s">
        <v>1130</v>
      </c>
      <c r="B935" s="187">
        <v>51481</v>
      </c>
    </row>
    <row r="936" spans="1:2" x14ac:dyDescent="0.25">
      <c r="A936" t="s">
        <v>1131</v>
      </c>
      <c r="B936" s="187">
        <v>62779</v>
      </c>
    </row>
    <row r="937" spans="1:2" x14ac:dyDescent="0.25">
      <c r="A937" t="s">
        <v>1132</v>
      </c>
      <c r="B937" s="187">
        <v>126920</v>
      </c>
    </row>
    <row r="938" spans="1:2" x14ac:dyDescent="0.25">
      <c r="A938" t="s">
        <v>1133</v>
      </c>
      <c r="B938" s="187">
        <v>116875</v>
      </c>
    </row>
    <row r="939" spans="1:2" x14ac:dyDescent="0.25">
      <c r="A939" t="s">
        <v>1134</v>
      </c>
      <c r="B939" s="187">
        <v>51498</v>
      </c>
    </row>
    <row r="940" spans="1:2" x14ac:dyDescent="0.25">
      <c r="A940" t="s">
        <v>1135</v>
      </c>
      <c r="B940" s="187">
        <v>69070</v>
      </c>
    </row>
    <row r="941" spans="1:2" x14ac:dyDescent="0.25">
      <c r="A941" t="s">
        <v>1136</v>
      </c>
      <c r="B941" s="187">
        <v>82448</v>
      </c>
    </row>
    <row r="942" spans="1:2" x14ac:dyDescent="0.25">
      <c r="A942" t="s">
        <v>1137</v>
      </c>
      <c r="B942" s="187">
        <v>91875</v>
      </c>
    </row>
    <row r="943" spans="1:2" x14ac:dyDescent="0.25">
      <c r="A943" t="s">
        <v>1138</v>
      </c>
      <c r="B943" s="187">
        <v>51721</v>
      </c>
    </row>
    <row r="944" spans="1:2" x14ac:dyDescent="0.25">
      <c r="A944" t="s">
        <v>1139</v>
      </c>
      <c r="B944" s="187">
        <v>26250</v>
      </c>
    </row>
    <row r="945" spans="1:2" x14ac:dyDescent="0.25">
      <c r="A945" t="s">
        <v>1140</v>
      </c>
      <c r="B945" s="187">
        <v>13009</v>
      </c>
    </row>
    <row r="946" spans="1:2" x14ac:dyDescent="0.25">
      <c r="A946" t="s">
        <v>1141</v>
      </c>
      <c r="B946" s="187">
        <v>54038</v>
      </c>
    </row>
    <row r="947" spans="1:2" x14ac:dyDescent="0.25">
      <c r="A947" t="s">
        <v>1142</v>
      </c>
      <c r="B947" s="187">
        <v>49107</v>
      </c>
    </row>
    <row r="948" spans="1:2" x14ac:dyDescent="0.25">
      <c r="A948" t="s">
        <v>1143</v>
      </c>
      <c r="B948" s="187">
        <v>59071</v>
      </c>
    </row>
    <row r="949" spans="1:2" x14ac:dyDescent="0.25">
      <c r="A949" t="s">
        <v>1144</v>
      </c>
      <c r="B949" s="187">
        <v>53673</v>
      </c>
    </row>
    <row r="950" spans="1:2" x14ac:dyDescent="0.25">
      <c r="A950" t="s">
        <v>1145</v>
      </c>
      <c r="B950" s="187">
        <v>37114</v>
      </c>
    </row>
    <row r="951" spans="1:2" x14ac:dyDescent="0.25">
      <c r="A951" t="s">
        <v>1146</v>
      </c>
      <c r="B951" s="187">
        <v>91587</v>
      </c>
    </row>
    <row r="952" spans="1:2" x14ac:dyDescent="0.25">
      <c r="A952" t="s">
        <v>1147</v>
      </c>
      <c r="B952" s="187">
        <v>130804</v>
      </c>
    </row>
    <row r="953" spans="1:2" x14ac:dyDescent="0.25">
      <c r="A953" t="s">
        <v>1148</v>
      </c>
      <c r="B953" s="187">
        <v>74545</v>
      </c>
    </row>
    <row r="954" spans="1:2" x14ac:dyDescent="0.25">
      <c r="A954" t="s">
        <v>1149</v>
      </c>
      <c r="B954" s="187">
        <v>165405</v>
      </c>
    </row>
    <row r="955" spans="1:2" x14ac:dyDescent="0.25">
      <c r="A955" t="s">
        <v>1150</v>
      </c>
      <c r="B955" s="187">
        <v>116760</v>
      </c>
    </row>
    <row r="956" spans="1:2" x14ac:dyDescent="0.25">
      <c r="A956" t="s">
        <v>1151</v>
      </c>
      <c r="B956" s="187">
        <v>100781</v>
      </c>
    </row>
    <row r="957" spans="1:2" x14ac:dyDescent="0.25">
      <c r="A957" t="s">
        <v>1152</v>
      </c>
      <c r="B957" s="187">
        <v>81736</v>
      </c>
    </row>
    <row r="958" spans="1:2" x14ac:dyDescent="0.25">
      <c r="A958" t="s">
        <v>1153</v>
      </c>
      <c r="B958" s="187">
        <v>72545</v>
      </c>
    </row>
    <row r="959" spans="1:2" x14ac:dyDescent="0.25">
      <c r="A959" t="s">
        <v>1154</v>
      </c>
      <c r="B959" s="187">
        <v>26593</v>
      </c>
    </row>
    <row r="960" spans="1:2" x14ac:dyDescent="0.25">
      <c r="A960" t="s">
        <v>1155</v>
      </c>
      <c r="B960" s="187">
        <v>63714</v>
      </c>
    </row>
    <row r="961" spans="1:2" x14ac:dyDescent="0.25">
      <c r="A961" t="s">
        <v>1156</v>
      </c>
      <c r="B961" s="187">
        <v>87973</v>
      </c>
    </row>
    <row r="962" spans="1:2" x14ac:dyDescent="0.25">
      <c r="A962" t="s">
        <v>1157</v>
      </c>
      <c r="B962" s="187">
        <v>89022</v>
      </c>
    </row>
    <row r="963" spans="1:2" x14ac:dyDescent="0.25">
      <c r="A963" t="s">
        <v>1158</v>
      </c>
      <c r="B963" s="187">
        <v>52471</v>
      </c>
    </row>
    <row r="964" spans="1:2" x14ac:dyDescent="0.25">
      <c r="A964" t="s">
        <v>1159</v>
      </c>
      <c r="B964" s="187">
        <v>37066</v>
      </c>
    </row>
    <row r="965" spans="1:2" x14ac:dyDescent="0.25">
      <c r="A965" t="s">
        <v>1160</v>
      </c>
      <c r="B965" s="187">
        <v>37424</v>
      </c>
    </row>
    <row r="966" spans="1:2" x14ac:dyDescent="0.25">
      <c r="A966" t="s">
        <v>1161</v>
      </c>
      <c r="B966" s="187">
        <v>38231</v>
      </c>
    </row>
    <row r="967" spans="1:2" x14ac:dyDescent="0.25">
      <c r="A967" t="s">
        <v>1162</v>
      </c>
      <c r="B967" s="187">
        <v>31935</v>
      </c>
    </row>
    <row r="968" spans="1:2" x14ac:dyDescent="0.25">
      <c r="A968" t="s">
        <v>1163</v>
      </c>
      <c r="B968" s="187">
        <v>31776</v>
      </c>
    </row>
    <row r="969" spans="1:2" x14ac:dyDescent="0.25">
      <c r="A969" t="s">
        <v>1164</v>
      </c>
      <c r="B969" s="187">
        <v>24794</v>
      </c>
    </row>
    <row r="970" spans="1:2" x14ac:dyDescent="0.25">
      <c r="A970" t="s">
        <v>1165</v>
      </c>
      <c r="B970" s="187">
        <v>22917</v>
      </c>
    </row>
    <row r="971" spans="1:2" x14ac:dyDescent="0.25">
      <c r="A971" t="s">
        <v>1166</v>
      </c>
      <c r="B971" s="187">
        <v>33821</v>
      </c>
    </row>
    <row r="972" spans="1:2" x14ac:dyDescent="0.25">
      <c r="A972" t="s">
        <v>1167</v>
      </c>
      <c r="B972" s="187">
        <v>36354</v>
      </c>
    </row>
    <row r="973" spans="1:2" x14ac:dyDescent="0.25">
      <c r="A973" t="s">
        <v>1168</v>
      </c>
      <c r="B973" s="187">
        <v>49357</v>
      </c>
    </row>
    <row r="974" spans="1:2" x14ac:dyDescent="0.25">
      <c r="A974" t="s">
        <v>1169</v>
      </c>
      <c r="B974" s="187">
        <v>34924</v>
      </c>
    </row>
    <row r="975" spans="1:2" x14ac:dyDescent="0.25">
      <c r="A975" t="s">
        <v>1170</v>
      </c>
      <c r="B975" s="187">
        <v>37269</v>
      </c>
    </row>
    <row r="976" spans="1:2" x14ac:dyDescent="0.25">
      <c r="A976" t="s">
        <v>1171</v>
      </c>
      <c r="B976" s="187">
        <v>77328</v>
      </c>
    </row>
    <row r="977" spans="1:2" x14ac:dyDescent="0.25">
      <c r="A977" t="s">
        <v>1172</v>
      </c>
      <c r="B977" s="187">
        <v>44752</v>
      </c>
    </row>
    <row r="978" spans="1:2" x14ac:dyDescent="0.25">
      <c r="A978" t="s">
        <v>1173</v>
      </c>
      <c r="B978" s="187">
        <v>45711</v>
      </c>
    </row>
    <row r="979" spans="1:2" x14ac:dyDescent="0.25">
      <c r="A979" t="s">
        <v>1174</v>
      </c>
      <c r="B979" s="187">
        <v>79907</v>
      </c>
    </row>
    <row r="980" spans="1:2" x14ac:dyDescent="0.25">
      <c r="A980" t="s">
        <v>1175</v>
      </c>
      <c r="B980" s="187">
        <v>41244</v>
      </c>
    </row>
    <row r="981" spans="1:2" x14ac:dyDescent="0.25">
      <c r="A981" t="s">
        <v>1176</v>
      </c>
      <c r="B981" s="187">
        <v>52969</v>
      </c>
    </row>
    <row r="982" spans="1:2" x14ac:dyDescent="0.25">
      <c r="A982" t="s">
        <v>1177</v>
      </c>
      <c r="B982" s="187">
        <v>38205</v>
      </c>
    </row>
    <row r="983" spans="1:2" x14ac:dyDescent="0.25">
      <c r="A983" t="s">
        <v>1178</v>
      </c>
      <c r="B983" s="187">
        <v>38256</v>
      </c>
    </row>
    <row r="984" spans="1:2" x14ac:dyDescent="0.25">
      <c r="A984" t="s">
        <v>1179</v>
      </c>
      <c r="B984" s="187">
        <v>33680</v>
      </c>
    </row>
    <row r="985" spans="1:2" x14ac:dyDescent="0.25">
      <c r="A985" t="s">
        <v>1180</v>
      </c>
      <c r="B985" s="187">
        <v>43815</v>
      </c>
    </row>
    <row r="986" spans="1:2" x14ac:dyDescent="0.25">
      <c r="A986" t="s">
        <v>1181</v>
      </c>
      <c r="B986" s="187">
        <v>34670</v>
      </c>
    </row>
    <row r="987" spans="1:2" x14ac:dyDescent="0.25">
      <c r="A987" t="s">
        <v>1182</v>
      </c>
      <c r="B987" s="187">
        <v>44759</v>
      </c>
    </row>
    <row r="988" spans="1:2" x14ac:dyDescent="0.25">
      <c r="A988" t="s">
        <v>1183</v>
      </c>
      <c r="B988" s="187">
        <v>38656</v>
      </c>
    </row>
    <row r="989" spans="1:2" x14ac:dyDescent="0.25">
      <c r="A989" t="s">
        <v>1184</v>
      </c>
      <c r="B989" s="187">
        <v>58693</v>
      </c>
    </row>
    <row r="990" spans="1:2" x14ac:dyDescent="0.25">
      <c r="A990" t="s">
        <v>1185</v>
      </c>
      <c r="B990" s="187">
        <v>75357</v>
      </c>
    </row>
    <row r="991" spans="1:2" x14ac:dyDescent="0.25">
      <c r="A991" t="s">
        <v>1186</v>
      </c>
      <c r="B991" s="187">
        <v>47443</v>
      </c>
    </row>
    <row r="992" spans="1:2" x14ac:dyDescent="0.25">
      <c r="A992" t="s">
        <v>1187</v>
      </c>
      <c r="B992" s="187">
        <v>47190</v>
      </c>
    </row>
    <row r="993" spans="1:2" x14ac:dyDescent="0.25">
      <c r="A993" t="s">
        <v>1188</v>
      </c>
      <c r="B993" s="187">
        <v>65625</v>
      </c>
    </row>
    <row r="994" spans="1:2" x14ac:dyDescent="0.25">
      <c r="A994" t="s">
        <v>1189</v>
      </c>
      <c r="B994" s="187">
        <v>39023</v>
      </c>
    </row>
    <row r="995" spans="1:2" x14ac:dyDescent="0.25">
      <c r="A995" t="s">
        <v>1190</v>
      </c>
      <c r="B995" s="187">
        <v>32756</v>
      </c>
    </row>
    <row r="996" spans="1:2" x14ac:dyDescent="0.25">
      <c r="A996" t="s">
        <v>1191</v>
      </c>
      <c r="B996" s="187">
        <v>22965</v>
      </c>
    </row>
    <row r="997" spans="1:2" x14ac:dyDescent="0.25">
      <c r="A997" t="s">
        <v>1192</v>
      </c>
      <c r="B997" s="187">
        <v>22614</v>
      </c>
    </row>
    <row r="998" spans="1:2" x14ac:dyDescent="0.25">
      <c r="A998" t="s">
        <v>1193</v>
      </c>
      <c r="B998" s="187">
        <v>45195</v>
      </c>
    </row>
    <row r="999" spans="1:2" x14ac:dyDescent="0.25">
      <c r="A999" t="s">
        <v>1194</v>
      </c>
      <c r="B999" s="187">
        <v>58472</v>
      </c>
    </row>
    <row r="1000" spans="1:2" x14ac:dyDescent="0.25">
      <c r="A1000" t="s">
        <v>1195</v>
      </c>
      <c r="B1000" s="187">
        <v>34612</v>
      </c>
    </row>
    <row r="1001" spans="1:2" x14ac:dyDescent="0.25">
      <c r="A1001" t="s">
        <v>1196</v>
      </c>
      <c r="B1001" s="187">
        <v>36618</v>
      </c>
    </row>
    <row r="1002" spans="1:2" x14ac:dyDescent="0.25">
      <c r="A1002" t="s">
        <v>1197</v>
      </c>
      <c r="B1002" s="187">
        <v>59333</v>
      </c>
    </row>
    <row r="1003" spans="1:2" x14ac:dyDescent="0.25">
      <c r="A1003" t="s">
        <v>1198</v>
      </c>
      <c r="B1003" s="187">
        <v>54174</v>
      </c>
    </row>
    <row r="1004" spans="1:2" x14ac:dyDescent="0.25">
      <c r="A1004" t="s">
        <v>1199</v>
      </c>
      <c r="B1004" s="187">
        <v>41949</v>
      </c>
    </row>
    <row r="1005" spans="1:2" x14ac:dyDescent="0.25">
      <c r="A1005" t="s">
        <v>1200</v>
      </c>
      <c r="B1005" s="187">
        <v>44813</v>
      </c>
    </row>
    <row r="1006" spans="1:2" x14ac:dyDescent="0.25">
      <c r="A1006" t="s">
        <v>1201</v>
      </c>
      <c r="B1006" s="187">
        <v>54444</v>
      </c>
    </row>
    <row r="1007" spans="1:2" x14ac:dyDescent="0.25">
      <c r="A1007" t="s">
        <v>1202</v>
      </c>
      <c r="B1007" s="187">
        <v>35507</v>
      </c>
    </row>
    <row r="1008" spans="1:2" x14ac:dyDescent="0.25">
      <c r="A1008" t="s">
        <v>1203</v>
      </c>
      <c r="B1008" s="187">
        <v>31859</v>
      </c>
    </row>
    <row r="1009" spans="1:2" x14ac:dyDescent="0.25">
      <c r="A1009" t="s">
        <v>1204</v>
      </c>
      <c r="B1009" s="187">
        <v>41842</v>
      </c>
    </row>
    <row r="1010" spans="1:2" x14ac:dyDescent="0.25">
      <c r="A1010" t="s">
        <v>1205</v>
      </c>
      <c r="B1010" s="187">
        <v>25505</v>
      </c>
    </row>
    <row r="1011" spans="1:2" x14ac:dyDescent="0.25">
      <c r="A1011" t="s">
        <v>1206</v>
      </c>
      <c r="B1011" s="187">
        <v>47923</v>
      </c>
    </row>
    <row r="1012" spans="1:2" x14ac:dyDescent="0.25">
      <c r="A1012" t="s">
        <v>1207</v>
      </c>
      <c r="B1012" s="187">
        <v>26305</v>
      </c>
    </row>
    <row r="1013" spans="1:2" x14ac:dyDescent="0.25">
      <c r="A1013" t="s">
        <v>1208</v>
      </c>
      <c r="B1013" s="187">
        <v>27930</v>
      </c>
    </row>
    <row r="1014" spans="1:2" x14ac:dyDescent="0.25">
      <c r="A1014" t="s">
        <v>1209</v>
      </c>
      <c r="B1014" s="187">
        <v>15625</v>
      </c>
    </row>
    <row r="1015" spans="1:2" x14ac:dyDescent="0.25">
      <c r="A1015" t="s">
        <v>1210</v>
      </c>
      <c r="B1015" s="187">
        <v>19767</v>
      </c>
    </row>
    <row r="1016" spans="1:2" x14ac:dyDescent="0.25">
      <c r="A1016" t="s">
        <v>1211</v>
      </c>
      <c r="B1016" s="187">
        <v>37813</v>
      </c>
    </row>
    <row r="1017" spans="1:2" x14ac:dyDescent="0.25">
      <c r="A1017" t="s">
        <v>1212</v>
      </c>
      <c r="B1017" s="187">
        <v>27826</v>
      </c>
    </row>
    <row r="1018" spans="1:2" x14ac:dyDescent="0.25">
      <c r="A1018" t="s">
        <v>1213</v>
      </c>
      <c r="B1018" s="187">
        <v>33326</v>
      </c>
    </row>
    <row r="1019" spans="1:2" x14ac:dyDescent="0.25">
      <c r="A1019" t="s">
        <v>1214</v>
      </c>
      <c r="B1019" s="187">
        <v>41019</v>
      </c>
    </row>
    <row r="1020" spans="1:2" x14ac:dyDescent="0.25">
      <c r="A1020" t="s">
        <v>1215</v>
      </c>
      <c r="B1020" s="187">
        <v>76494</v>
      </c>
    </row>
    <row r="1021" spans="1:2" x14ac:dyDescent="0.25">
      <c r="A1021" t="s">
        <v>1216</v>
      </c>
      <c r="B1021" s="187">
        <v>72013</v>
      </c>
    </row>
    <row r="1022" spans="1:2" x14ac:dyDescent="0.25">
      <c r="A1022" t="s">
        <v>1217</v>
      </c>
      <c r="B1022" s="187">
        <v>35931</v>
      </c>
    </row>
    <row r="1023" spans="1:2" x14ac:dyDescent="0.25">
      <c r="A1023" t="s">
        <v>1218</v>
      </c>
      <c r="B1023" s="187">
        <v>27955</v>
      </c>
    </row>
    <row r="1024" spans="1:2" x14ac:dyDescent="0.25">
      <c r="A1024" t="s">
        <v>1219</v>
      </c>
      <c r="B1024" s="187">
        <v>29320</v>
      </c>
    </row>
    <row r="1025" spans="1:2" x14ac:dyDescent="0.25">
      <c r="A1025" t="s">
        <v>1220</v>
      </c>
      <c r="B1025" s="187">
        <v>32258</v>
      </c>
    </row>
    <row r="1026" spans="1:2" x14ac:dyDescent="0.25">
      <c r="A1026" t="s">
        <v>1221</v>
      </c>
      <c r="B1026" s="187">
        <v>33456</v>
      </c>
    </row>
    <row r="1027" spans="1:2" x14ac:dyDescent="0.25">
      <c r="A1027" t="s">
        <v>1222</v>
      </c>
      <c r="B1027" s="187">
        <v>27984</v>
      </c>
    </row>
    <row r="1028" spans="1:2" x14ac:dyDescent="0.25">
      <c r="A1028" t="s">
        <v>1223</v>
      </c>
      <c r="B1028" s="187">
        <v>32857</v>
      </c>
    </row>
    <row r="1029" spans="1:2" x14ac:dyDescent="0.25">
      <c r="A1029" t="s">
        <v>1224</v>
      </c>
      <c r="B1029" s="187">
        <v>34314</v>
      </c>
    </row>
    <row r="1030" spans="1:2" x14ac:dyDescent="0.25">
      <c r="A1030" t="s">
        <v>1225</v>
      </c>
      <c r="B1030" s="187">
        <v>43200</v>
      </c>
    </row>
    <row r="1031" spans="1:2" x14ac:dyDescent="0.25">
      <c r="A1031" t="s">
        <v>1226</v>
      </c>
      <c r="B1031" s="187">
        <v>31444</v>
      </c>
    </row>
    <row r="1032" spans="1:2" x14ac:dyDescent="0.25">
      <c r="A1032" t="s">
        <v>1227</v>
      </c>
      <c r="B1032" s="187">
        <v>33354</v>
      </c>
    </row>
    <row r="1033" spans="1:2" x14ac:dyDescent="0.25">
      <c r="A1033" t="s">
        <v>1228</v>
      </c>
      <c r="B1033" s="187">
        <v>73997</v>
      </c>
    </row>
    <row r="1034" spans="1:2" x14ac:dyDescent="0.25">
      <c r="A1034" t="s">
        <v>1229</v>
      </c>
      <c r="B1034" s="187">
        <v>61898</v>
      </c>
    </row>
    <row r="1035" spans="1:2" x14ac:dyDescent="0.25">
      <c r="A1035" t="s">
        <v>1230</v>
      </c>
      <c r="B1035" s="187">
        <v>61938</v>
      </c>
    </row>
    <row r="1036" spans="1:2" x14ac:dyDescent="0.25">
      <c r="A1036" t="s">
        <v>1231</v>
      </c>
      <c r="B1036" s="187">
        <v>40569</v>
      </c>
    </row>
    <row r="1037" spans="1:2" x14ac:dyDescent="0.25">
      <c r="A1037" t="s">
        <v>1232</v>
      </c>
      <c r="B1037" s="187">
        <v>25179</v>
      </c>
    </row>
    <row r="1038" spans="1:2" x14ac:dyDescent="0.25">
      <c r="A1038" t="s">
        <v>1233</v>
      </c>
      <c r="B1038" s="187">
        <v>37009</v>
      </c>
    </row>
    <row r="1039" spans="1:2" x14ac:dyDescent="0.25">
      <c r="A1039" t="s">
        <v>1234</v>
      </c>
      <c r="B1039" s="187">
        <v>27191</v>
      </c>
    </row>
    <row r="1040" spans="1:2" x14ac:dyDescent="0.25">
      <c r="A1040" t="s">
        <v>1235</v>
      </c>
      <c r="B1040" s="187">
        <v>26607</v>
      </c>
    </row>
    <row r="1041" spans="1:2" x14ac:dyDescent="0.25">
      <c r="A1041" t="s">
        <v>1236</v>
      </c>
      <c r="B1041" s="187">
        <v>13214</v>
      </c>
    </row>
    <row r="1042" spans="1:2" x14ac:dyDescent="0.25">
      <c r="A1042" t="s">
        <v>1237</v>
      </c>
      <c r="B1042" s="187">
        <v>37083</v>
      </c>
    </row>
    <row r="1043" spans="1:2" x14ac:dyDescent="0.25">
      <c r="A1043" t="s">
        <v>1238</v>
      </c>
      <c r="B1043" s="187">
        <v>33194</v>
      </c>
    </row>
    <row r="1044" spans="1:2" x14ac:dyDescent="0.25">
      <c r="A1044" t="s">
        <v>1239</v>
      </c>
      <c r="B1044" s="187">
        <v>49392</v>
      </c>
    </row>
    <row r="1045" spans="1:2" x14ac:dyDescent="0.25">
      <c r="A1045" t="s">
        <v>1240</v>
      </c>
      <c r="B1045" s="187">
        <v>28924</v>
      </c>
    </row>
    <row r="1046" spans="1:2" x14ac:dyDescent="0.25">
      <c r="A1046" t="s">
        <v>1241</v>
      </c>
      <c r="B1046" s="187">
        <v>27537</v>
      </c>
    </row>
    <row r="1047" spans="1:2" x14ac:dyDescent="0.25">
      <c r="A1047" t="s">
        <v>1242</v>
      </c>
      <c r="B1047" s="187">
        <v>66250</v>
      </c>
    </row>
    <row r="1048" spans="1:2" x14ac:dyDescent="0.25">
      <c r="A1048" t="s">
        <v>1243</v>
      </c>
      <c r="B1048" s="187">
        <v>76544</v>
      </c>
    </row>
    <row r="1049" spans="1:2" x14ac:dyDescent="0.25">
      <c r="A1049" t="s">
        <v>1244</v>
      </c>
      <c r="B1049" s="187">
        <v>33021</v>
      </c>
    </row>
    <row r="1050" spans="1:2" x14ac:dyDescent="0.25">
      <c r="A1050" t="s">
        <v>1245</v>
      </c>
      <c r="B1050" s="187">
        <v>32500</v>
      </c>
    </row>
    <row r="1051" spans="1:2" x14ac:dyDescent="0.25">
      <c r="A1051" t="s">
        <v>1246</v>
      </c>
      <c r="B1051" s="187">
        <v>39097</v>
      </c>
    </row>
    <row r="1052" spans="1:2" x14ac:dyDescent="0.25">
      <c r="A1052" t="s">
        <v>1247</v>
      </c>
      <c r="B1052" s="187">
        <v>70361</v>
      </c>
    </row>
    <row r="1053" spans="1:2" x14ac:dyDescent="0.25">
      <c r="A1053" t="s">
        <v>1248</v>
      </c>
      <c r="B1053" s="187">
        <v>32155</v>
      </c>
    </row>
    <row r="1054" spans="1:2" x14ac:dyDescent="0.25">
      <c r="A1054" t="s">
        <v>1249</v>
      </c>
      <c r="B1054" s="187">
        <v>22721</v>
      </c>
    </row>
    <row r="1055" spans="1:2" x14ac:dyDescent="0.25">
      <c r="A1055" t="s">
        <v>1250</v>
      </c>
      <c r="B1055" s="187">
        <v>29590</v>
      </c>
    </row>
    <row r="1056" spans="1:2" x14ac:dyDescent="0.25">
      <c r="A1056" t="s">
        <v>1251</v>
      </c>
      <c r="B1056" s="187">
        <v>49872</v>
      </c>
    </row>
    <row r="1057" spans="1:2" x14ac:dyDescent="0.25">
      <c r="A1057" t="s">
        <v>1252</v>
      </c>
      <c r="B1057" s="187">
        <v>31615</v>
      </c>
    </row>
    <row r="1058" spans="1:2" x14ac:dyDescent="0.25">
      <c r="A1058" t="s">
        <v>1253</v>
      </c>
      <c r="B1058" s="187">
        <v>39813</v>
      </c>
    </row>
    <row r="1059" spans="1:2" x14ac:dyDescent="0.25">
      <c r="A1059" t="s">
        <v>1254</v>
      </c>
      <c r="B1059" s="187">
        <v>36118</v>
      </c>
    </row>
    <row r="1060" spans="1:2" x14ac:dyDescent="0.25">
      <c r="A1060" t="s">
        <v>1255</v>
      </c>
      <c r="B1060" s="187">
        <v>47941</v>
      </c>
    </row>
    <row r="1061" spans="1:2" x14ac:dyDescent="0.25">
      <c r="A1061" t="s">
        <v>1256</v>
      </c>
      <c r="B1061" s="187">
        <v>22321</v>
      </c>
    </row>
    <row r="1062" spans="1:2" x14ac:dyDescent="0.25">
      <c r="A1062" t="s">
        <v>1257</v>
      </c>
      <c r="B1062" s="187">
        <v>42228</v>
      </c>
    </row>
    <row r="1063" spans="1:2" x14ac:dyDescent="0.25">
      <c r="A1063" t="s">
        <v>1258</v>
      </c>
      <c r="B1063" s="187">
        <v>24225</v>
      </c>
    </row>
    <row r="1064" spans="1:2" x14ac:dyDescent="0.25">
      <c r="A1064" t="s">
        <v>1259</v>
      </c>
      <c r="B1064" s="187">
        <v>25054</v>
      </c>
    </row>
    <row r="1065" spans="1:2" x14ac:dyDescent="0.25">
      <c r="A1065" t="s">
        <v>1260</v>
      </c>
      <c r="B1065" s="187">
        <v>33488</v>
      </c>
    </row>
    <row r="1066" spans="1:2" x14ac:dyDescent="0.25">
      <c r="A1066" t="s">
        <v>1261</v>
      </c>
      <c r="B1066" s="187">
        <v>31532</v>
      </c>
    </row>
    <row r="1067" spans="1:2" x14ac:dyDescent="0.25">
      <c r="A1067" t="s">
        <v>1262</v>
      </c>
      <c r="B1067" s="187">
        <v>37285</v>
      </c>
    </row>
    <row r="1068" spans="1:2" x14ac:dyDescent="0.25">
      <c r="A1068" t="s">
        <v>1263</v>
      </c>
      <c r="B1068" s="187">
        <v>26795</v>
      </c>
    </row>
    <row r="1069" spans="1:2" x14ac:dyDescent="0.25">
      <c r="A1069" t="s">
        <v>1264</v>
      </c>
      <c r="B1069" s="187">
        <v>37226</v>
      </c>
    </row>
    <row r="1070" spans="1:2" x14ac:dyDescent="0.25">
      <c r="A1070" t="s">
        <v>1265</v>
      </c>
      <c r="B1070" s="187">
        <v>25521</v>
      </c>
    </row>
    <row r="1071" spans="1:2" x14ac:dyDescent="0.25">
      <c r="A1071" t="s">
        <v>1266</v>
      </c>
      <c r="B1071" s="187">
        <v>53832</v>
      </c>
    </row>
    <row r="1072" spans="1:2" x14ac:dyDescent="0.25">
      <c r="A1072" t="s">
        <v>1267</v>
      </c>
      <c r="B1072" s="187">
        <v>28413</v>
      </c>
    </row>
    <row r="1073" spans="1:2" x14ac:dyDescent="0.25">
      <c r="A1073" t="s">
        <v>1268</v>
      </c>
      <c r="B1073" s="187">
        <v>51337</v>
      </c>
    </row>
    <row r="1074" spans="1:2" x14ac:dyDescent="0.25">
      <c r="A1074" t="s">
        <v>1269</v>
      </c>
      <c r="B1074" s="187">
        <v>57117</v>
      </c>
    </row>
    <row r="1075" spans="1:2" x14ac:dyDescent="0.25">
      <c r="A1075" t="s">
        <v>1270</v>
      </c>
      <c r="B1075" s="187">
        <v>50116</v>
      </c>
    </row>
    <row r="1076" spans="1:2" x14ac:dyDescent="0.25">
      <c r="A1076" t="s">
        <v>1271</v>
      </c>
      <c r="B1076" s="187">
        <v>60665</v>
      </c>
    </row>
    <row r="1077" spans="1:2" x14ac:dyDescent="0.25">
      <c r="A1077" t="s">
        <v>1272</v>
      </c>
      <c r="B1077" s="187">
        <v>33199</v>
      </c>
    </row>
    <row r="1078" spans="1:2" x14ac:dyDescent="0.25">
      <c r="A1078" t="s">
        <v>1273</v>
      </c>
      <c r="B1078" s="187">
        <v>71786</v>
      </c>
    </row>
    <row r="1079" spans="1:2" x14ac:dyDescent="0.25">
      <c r="A1079" t="s">
        <v>1274</v>
      </c>
      <c r="B1079" s="187">
        <v>32483</v>
      </c>
    </row>
    <row r="1080" spans="1:2" x14ac:dyDescent="0.25">
      <c r="A1080" t="s">
        <v>1275</v>
      </c>
      <c r="B1080" s="187">
        <v>30887</v>
      </c>
    </row>
    <row r="1081" spans="1:2" x14ac:dyDescent="0.25">
      <c r="A1081" t="s">
        <v>1276</v>
      </c>
      <c r="B1081" s="187">
        <v>86477</v>
      </c>
    </row>
    <row r="1082" spans="1:2" x14ac:dyDescent="0.25">
      <c r="A1082" t="s">
        <v>1277</v>
      </c>
      <c r="B1082" s="187">
        <v>52895</v>
      </c>
    </row>
    <row r="1083" spans="1:2" x14ac:dyDescent="0.25">
      <c r="A1083" t="s">
        <v>1278</v>
      </c>
      <c r="B1083" s="187">
        <v>47663</v>
      </c>
    </row>
    <row r="1084" spans="1:2" x14ac:dyDescent="0.25">
      <c r="A1084" t="s">
        <v>1279</v>
      </c>
      <c r="B1084" s="187">
        <v>47438</v>
      </c>
    </row>
    <row r="1085" spans="1:2" x14ac:dyDescent="0.25">
      <c r="A1085" t="s">
        <v>1280</v>
      </c>
      <c r="B1085" s="187">
        <v>51167</v>
      </c>
    </row>
    <row r="1086" spans="1:2" x14ac:dyDescent="0.25">
      <c r="A1086" t="s">
        <v>1281</v>
      </c>
      <c r="B1086" s="187">
        <v>56738</v>
      </c>
    </row>
    <row r="1087" spans="1:2" x14ac:dyDescent="0.25">
      <c r="A1087" t="s">
        <v>1282</v>
      </c>
      <c r="B1087" s="187">
        <v>80593</v>
      </c>
    </row>
    <row r="1088" spans="1:2" x14ac:dyDescent="0.25">
      <c r="A1088" t="s">
        <v>1283</v>
      </c>
      <c r="B1088" s="187">
        <v>89219</v>
      </c>
    </row>
    <row r="1089" spans="1:2" x14ac:dyDescent="0.25">
      <c r="A1089" t="s">
        <v>1284</v>
      </c>
      <c r="B1089" s="187">
        <v>48666</v>
      </c>
    </row>
    <row r="1090" spans="1:2" x14ac:dyDescent="0.25">
      <c r="A1090" t="s">
        <v>1285</v>
      </c>
      <c r="B1090" s="187">
        <v>28774</v>
      </c>
    </row>
    <row r="1091" spans="1:2" x14ac:dyDescent="0.25">
      <c r="A1091" t="s">
        <v>1286</v>
      </c>
      <c r="B1091" s="187">
        <v>38365</v>
      </c>
    </row>
    <row r="1092" spans="1:2" x14ac:dyDescent="0.25">
      <c r="A1092" t="s">
        <v>1287</v>
      </c>
      <c r="B1092" s="187">
        <v>71911</v>
      </c>
    </row>
    <row r="1093" spans="1:2" x14ac:dyDescent="0.25">
      <c r="A1093" t="s">
        <v>1288</v>
      </c>
      <c r="B1093" s="187">
        <v>72231</v>
      </c>
    </row>
    <row r="1094" spans="1:2" x14ac:dyDescent="0.25">
      <c r="A1094" t="s">
        <v>1289</v>
      </c>
      <c r="B1094" s="187">
        <v>37134</v>
      </c>
    </row>
    <row r="1095" spans="1:2" x14ac:dyDescent="0.25">
      <c r="A1095" t="s">
        <v>1290</v>
      </c>
      <c r="B1095" s="187">
        <v>76390</v>
      </c>
    </row>
    <row r="1096" spans="1:2" x14ac:dyDescent="0.25">
      <c r="A1096" t="s">
        <v>1291</v>
      </c>
      <c r="B1096" s="187">
        <v>104032</v>
      </c>
    </row>
    <row r="1097" spans="1:2" x14ac:dyDescent="0.25">
      <c r="A1097" t="s">
        <v>1292</v>
      </c>
      <c r="B1097" s="187">
        <v>62908</v>
      </c>
    </row>
    <row r="1098" spans="1:2" x14ac:dyDescent="0.25">
      <c r="A1098" t="s">
        <v>1293</v>
      </c>
      <c r="B1098" s="187">
        <v>78321</v>
      </c>
    </row>
    <row r="1099" spans="1:2" x14ac:dyDescent="0.25">
      <c r="A1099" t="s">
        <v>1294</v>
      </c>
      <c r="B1099" s="187">
        <v>39336</v>
      </c>
    </row>
    <row r="1100" spans="1:2" x14ac:dyDescent="0.25">
      <c r="A1100" t="s">
        <v>1295</v>
      </c>
      <c r="B1100" s="187">
        <v>33971</v>
      </c>
    </row>
    <row r="1101" spans="1:2" x14ac:dyDescent="0.25">
      <c r="A1101" t="s">
        <v>1296</v>
      </c>
      <c r="B1101" s="187">
        <v>26967</v>
      </c>
    </row>
    <row r="1102" spans="1:2" x14ac:dyDescent="0.25">
      <c r="A1102" t="s">
        <v>1297</v>
      </c>
      <c r="B1102" s="187">
        <v>40941</v>
      </c>
    </row>
    <row r="1103" spans="1:2" x14ac:dyDescent="0.25">
      <c r="A1103" t="s">
        <v>1298</v>
      </c>
      <c r="B1103" s="187">
        <v>60422</v>
      </c>
    </row>
    <row r="1104" spans="1:2" x14ac:dyDescent="0.25">
      <c r="A1104" t="s">
        <v>1299</v>
      </c>
      <c r="B1104" s="187">
        <v>49325</v>
      </c>
    </row>
    <row r="1105" spans="1:2" x14ac:dyDescent="0.25">
      <c r="A1105" t="s">
        <v>1300</v>
      </c>
      <c r="B1105" s="187">
        <v>43679</v>
      </c>
    </row>
    <row r="1106" spans="1:2" x14ac:dyDescent="0.25">
      <c r="A1106" t="s">
        <v>1301</v>
      </c>
      <c r="B1106" s="187">
        <v>42894</v>
      </c>
    </row>
    <row r="1107" spans="1:2" x14ac:dyDescent="0.25">
      <c r="A1107" t="s">
        <v>1302</v>
      </c>
      <c r="B1107" s="187">
        <v>58229</v>
      </c>
    </row>
    <row r="1108" spans="1:2" x14ac:dyDescent="0.25">
      <c r="A1108" t="s">
        <v>1303</v>
      </c>
      <c r="B1108" s="187">
        <v>50970</v>
      </c>
    </row>
    <row r="1109" spans="1:2" x14ac:dyDescent="0.25">
      <c r="A1109" t="s">
        <v>1304</v>
      </c>
      <c r="B1109" s="187">
        <v>48524</v>
      </c>
    </row>
    <row r="1110" spans="1:2" x14ac:dyDescent="0.25">
      <c r="A1110" t="s">
        <v>1305</v>
      </c>
      <c r="B1110" s="187">
        <v>59549</v>
      </c>
    </row>
    <row r="1111" spans="1:2" x14ac:dyDescent="0.25">
      <c r="A1111" t="s">
        <v>1306</v>
      </c>
      <c r="B1111" s="187">
        <v>70497</v>
      </c>
    </row>
    <row r="1112" spans="1:2" x14ac:dyDescent="0.25">
      <c r="A1112" t="s">
        <v>1307</v>
      </c>
      <c r="B1112" s="187">
        <v>80398</v>
      </c>
    </row>
    <row r="1113" spans="1:2" x14ac:dyDescent="0.25">
      <c r="A1113" t="s">
        <v>1308</v>
      </c>
      <c r="B1113" s="187">
        <v>45769</v>
      </c>
    </row>
    <row r="1114" spans="1:2" x14ac:dyDescent="0.25">
      <c r="A1114" t="s">
        <v>1309</v>
      </c>
      <c r="B1114" s="187">
        <v>30506</v>
      </c>
    </row>
    <row r="1115" spans="1:2" x14ac:dyDescent="0.25">
      <c r="A1115" t="s">
        <v>1310</v>
      </c>
      <c r="B1115" s="187">
        <v>63867</v>
      </c>
    </row>
    <row r="1116" spans="1:2" x14ac:dyDescent="0.25">
      <c r="A1116" t="s">
        <v>1311</v>
      </c>
      <c r="B1116" s="187">
        <v>49432</v>
      </c>
    </row>
    <row r="1117" spans="1:2" x14ac:dyDescent="0.25">
      <c r="A1117" t="s">
        <v>1312</v>
      </c>
      <c r="B1117" s="187">
        <v>29855</v>
      </c>
    </row>
    <row r="1118" spans="1:2" x14ac:dyDescent="0.25">
      <c r="A1118" t="s">
        <v>1313</v>
      </c>
      <c r="B1118" s="187">
        <v>29536</v>
      </c>
    </row>
    <row r="1119" spans="1:2" x14ac:dyDescent="0.25">
      <c r="A1119" t="s">
        <v>1314</v>
      </c>
      <c r="B1119" s="187">
        <v>51031</v>
      </c>
    </row>
    <row r="1120" spans="1:2" x14ac:dyDescent="0.25">
      <c r="A1120" t="s">
        <v>1315</v>
      </c>
      <c r="B1120" s="187">
        <v>66208</v>
      </c>
    </row>
    <row r="1121" spans="1:2" x14ac:dyDescent="0.25">
      <c r="A1121" t="s">
        <v>1316</v>
      </c>
      <c r="B1121" s="187">
        <v>59497</v>
      </c>
    </row>
    <row r="1122" spans="1:2" x14ac:dyDescent="0.25">
      <c r="A1122" t="s">
        <v>1317</v>
      </c>
      <c r="B1122" s="187">
        <v>37839</v>
      </c>
    </row>
    <row r="1123" spans="1:2" x14ac:dyDescent="0.25">
      <c r="A1123" t="s">
        <v>1318</v>
      </c>
      <c r="B1123" s="187">
        <v>50143</v>
      </c>
    </row>
    <row r="1124" spans="1:2" x14ac:dyDescent="0.25">
      <c r="A1124" t="s">
        <v>1319</v>
      </c>
      <c r="B1124" s="187">
        <v>76415</v>
      </c>
    </row>
    <row r="1125" spans="1:2" x14ac:dyDescent="0.25">
      <c r="A1125" t="s">
        <v>1320</v>
      </c>
      <c r="B1125" s="187">
        <v>81497</v>
      </c>
    </row>
    <row r="1126" spans="1:2" x14ac:dyDescent="0.25">
      <c r="A1126" t="s">
        <v>1321</v>
      </c>
      <c r="B1126" s="187">
        <v>90533</v>
      </c>
    </row>
    <row r="1127" spans="1:2" x14ac:dyDescent="0.25">
      <c r="A1127" t="s">
        <v>1322</v>
      </c>
      <c r="B1127" s="187">
        <v>86384</v>
      </c>
    </row>
    <row r="1128" spans="1:2" x14ac:dyDescent="0.25">
      <c r="A1128" t="s">
        <v>1323</v>
      </c>
      <c r="B1128" s="187">
        <v>98500</v>
      </c>
    </row>
    <row r="1129" spans="1:2" x14ac:dyDescent="0.25">
      <c r="A1129" t="s">
        <v>1324</v>
      </c>
      <c r="B1129" s="187">
        <v>127425</v>
      </c>
    </row>
    <row r="1130" spans="1:2" x14ac:dyDescent="0.25">
      <c r="A1130" t="s">
        <v>1325</v>
      </c>
      <c r="B1130" s="187">
        <v>80524</v>
      </c>
    </row>
    <row r="1131" spans="1:2" x14ac:dyDescent="0.25">
      <c r="A1131" t="s">
        <v>1326</v>
      </c>
      <c r="B1131" s="187">
        <v>106033</v>
      </c>
    </row>
    <row r="1132" spans="1:2" x14ac:dyDescent="0.25">
      <c r="A1132" t="s">
        <v>1327</v>
      </c>
      <c r="B1132" s="187">
        <v>77688</v>
      </c>
    </row>
    <row r="1133" spans="1:2" x14ac:dyDescent="0.25">
      <c r="A1133" t="s">
        <v>1328</v>
      </c>
      <c r="B1133" s="187">
        <v>59775</v>
      </c>
    </row>
    <row r="1134" spans="1:2" x14ac:dyDescent="0.25">
      <c r="A1134" t="s">
        <v>1329</v>
      </c>
      <c r="B1134" s="187">
        <v>33462</v>
      </c>
    </row>
    <row r="1135" spans="1:2" x14ac:dyDescent="0.25">
      <c r="A1135" t="s">
        <v>1330</v>
      </c>
      <c r="B1135" s="187">
        <v>55142</v>
      </c>
    </row>
    <row r="1136" spans="1:2" x14ac:dyDescent="0.25">
      <c r="A1136" t="s">
        <v>1331</v>
      </c>
      <c r="B1136" s="187">
        <v>52459</v>
      </c>
    </row>
    <row r="1137" spans="1:2" x14ac:dyDescent="0.25">
      <c r="A1137" t="s">
        <v>1332</v>
      </c>
      <c r="B1137" s="187">
        <v>50736</v>
      </c>
    </row>
    <row r="1138" spans="1:2" x14ac:dyDescent="0.25">
      <c r="A1138" t="s">
        <v>1333</v>
      </c>
      <c r="B1138" s="186">
        <v>0</v>
      </c>
    </row>
    <row r="1139" spans="1:2" x14ac:dyDescent="0.25">
      <c r="A1139" t="s">
        <v>1334</v>
      </c>
      <c r="B1139" s="187">
        <v>64127</v>
      </c>
    </row>
    <row r="1140" spans="1:2" x14ac:dyDescent="0.25">
      <c r="A1140" t="s">
        <v>1335</v>
      </c>
      <c r="B1140" s="187">
        <v>59449</v>
      </c>
    </row>
    <row r="1141" spans="1:2" x14ac:dyDescent="0.25">
      <c r="A1141" t="s">
        <v>1336</v>
      </c>
      <c r="B1141" s="187">
        <v>65096</v>
      </c>
    </row>
    <row r="1142" spans="1:2" x14ac:dyDescent="0.25">
      <c r="A1142" t="s">
        <v>1337</v>
      </c>
      <c r="B1142" s="187">
        <v>73287</v>
      </c>
    </row>
    <row r="1143" spans="1:2" x14ac:dyDescent="0.25">
      <c r="A1143" t="s">
        <v>1338</v>
      </c>
      <c r="B1143" s="187">
        <v>48405</v>
      </c>
    </row>
    <row r="1144" spans="1:2" x14ac:dyDescent="0.25">
      <c r="A1144" t="s">
        <v>1339</v>
      </c>
      <c r="B1144" s="187">
        <v>71579</v>
      </c>
    </row>
    <row r="1145" spans="1:2" x14ac:dyDescent="0.25">
      <c r="A1145" t="s">
        <v>1340</v>
      </c>
      <c r="B1145" s="187">
        <v>50212</v>
      </c>
    </row>
    <row r="1146" spans="1:2" x14ac:dyDescent="0.25">
      <c r="A1146" t="s">
        <v>1341</v>
      </c>
      <c r="B1146" s="187">
        <v>60625</v>
      </c>
    </row>
    <row r="1147" spans="1:2" x14ac:dyDescent="0.25">
      <c r="A1147" t="s">
        <v>1342</v>
      </c>
      <c r="B1147" s="187">
        <v>64736</v>
      </c>
    </row>
    <row r="1148" spans="1:2" x14ac:dyDescent="0.25">
      <c r="A1148" t="s">
        <v>1343</v>
      </c>
      <c r="B1148" s="187">
        <v>52986</v>
      </c>
    </row>
    <row r="1149" spans="1:2" x14ac:dyDescent="0.25">
      <c r="A1149" t="s">
        <v>1344</v>
      </c>
      <c r="B1149" s="187">
        <v>45656</v>
      </c>
    </row>
    <row r="1150" spans="1:2" x14ac:dyDescent="0.25">
      <c r="A1150" t="s">
        <v>1345</v>
      </c>
      <c r="B1150" s="187">
        <v>36667</v>
      </c>
    </row>
    <row r="1151" spans="1:2" x14ac:dyDescent="0.25">
      <c r="A1151" t="s">
        <v>1346</v>
      </c>
      <c r="B1151" s="187">
        <v>47130</v>
      </c>
    </row>
    <row r="1152" spans="1:2" x14ac:dyDescent="0.25">
      <c r="A1152" t="s">
        <v>1347</v>
      </c>
      <c r="B1152" s="187">
        <v>77031</v>
      </c>
    </row>
    <row r="1153" spans="1:2" x14ac:dyDescent="0.25">
      <c r="A1153" t="s">
        <v>1348</v>
      </c>
      <c r="B1153" s="187">
        <v>71667</v>
      </c>
    </row>
    <row r="1154" spans="1:2" x14ac:dyDescent="0.25">
      <c r="A1154" t="s">
        <v>1349</v>
      </c>
      <c r="B1154" s="187">
        <v>55900</v>
      </c>
    </row>
    <row r="1155" spans="1:2" x14ac:dyDescent="0.25">
      <c r="A1155" t="s">
        <v>1350</v>
      </c>
      <c r="B1155" s="187">
        <v>65361</v>
      </c>
    </row>
    <row r="1156" spans="1:2" x14ac:dyDescent="0.25">
      <c r="A1156" t="s">
        <v>1351</v>
      </c>
      <c r="B1156" s="187">
        <v>45893</v>
      </c>
    </row>
    <row r="1157" spans="1:2" x14ac:dyDescent="0.25">
      <c r="A1157" t="s">
        <v>1352</v>
      </c>
      <c r="B1157" s="187">
        <v>58108</v>
      </c>
    </row>
    <row r="1158" spans="1:2" x14ac:dyDescent="0.25">
      <c r="A1158" t="s">
        <v>1353</v>
      </c>
      <c r="B1158" s="187">
        <v>57527</v>
      </c>
    </row>
    <row r="1159" spans="1:2" x14ac:dyDescent="0.25">
      <c r="A1159" t="s">
        <v>1354</v>
      </c>
      <c r="B1159" s="187">
        <v>62075</v>
      </c>
    </row>
    <row r="1160" spans="1:2" x14ac:dyDescent="0.25">
      <c r="A1160" t="s">
        <v>1355</v>
      </c>
      <c r="B1160" s="187">
        <v>48466</v>
      </c>
    </row>
    <row r="1161" spans="1:2" x14ac:dyDescent="0.25">
      <c r="A1161" t="s">
        <v>1356</v>
      </c>
      <c r="B1161" s="187">
        <v>39583</v>
      </c>
    </row>
    <row r="1162" spans="1:2" x14ac:dyDescent="0.25">
      <c r="A1162" t="s">
        <v>1357</v>
      </c>
      <c r="B1162" s="187">
        <v>34516</v>
      </c>
    </row>
    <row r="1163" spans="1:2" x14ac:dyDescent="0.25">
      <c r="A1163" t="s">
        <v>1358</v>
      </c>
      <c r="B1163" s="187">
        <v>37572</v>
      </c>
    </row>
    <row r="1164" spans="1:2" x14ac:dyDescent="0.25">
      <c r="A1164" t="s">
        <v>1359</v>
      </c>
      <c r="B1164" s="187">
        <v>72760</v>
      </c>
    </row>
    <row r="1165" spans="1:2" x14ac:dyDescent="0.25">
      <c r="A1165" t="s">
        <v>1360</v>
      </c>
      <c r="B1165" s="187">
        <v>53228</v>
      </c>
    </row>
    <row r="1166" spans="1:2" x14ac:dyDescent="0.25">
      <c r="A1166" t="s">
        <v>1361</v>
      </c>
      <c r="B1166" s="187">
        <v>54909</v>
      </c>
    </row>
    <row r="1167" spans="1:2" x14ac:dyDescent="0.25">
      <c r="A1167" t="s">
        <v>1362</v>
      </c>
      <c r="B1167" s="187">
        <v>57292</v>
      </c>
    </row>
    <row r="1168" spans="1:2" x14ac:dyDescent="0.25">
      <c r="A1168" t="s">
        <v>1363</v>
      </c>
      <c r="B1168" s="187">
        <v>12917</v>
      </c>
    </row>
    <row r="1169" spans="1:2" x14ac:dyDescent="0.25">
      <c r="A1169" t="s">
        <v>1364</v>
      </c>
      <c r="B1169" s="187">
        <v>32250</v>
      </c>
    </row>
    <row r="1170" spans="1:2" x14ac:dyDescent="0.25">
      <c r="A1170" t="s">
        <v>1365</v>
      </c>
      <c r="B1170" s="187">
        <v>6635</v>
      </c>
    </row>
    <row r="1171" spans="1:2" x14ac:dyDescent="0.25">
      <c r="A1171" t="s">
        <v>1366</v>
      </c>
      <c r="B1171" s="187">
        <v>29944</v>
      </c>
    </row>
    <row r="1172" spans="1:2" x14ac:dyDescent="0.25">
      <c r="A1172" t="s">
        <v>1367</v>
      </c>
      <c r="B1172" s="187">
        <v>77571</v>
      </c>
    </row>
    <row r="1173" spans="1:2" x14ac:dyDescent="0.25">
      <c r="A1173" t="s">
        <v>1368</v>
      </c>
      <c r="B1173" s="187">
        <v>45204</v>
      </c>
    </row>
    <row r="1174" spans="1:2" x14ac:dyDescent="0.25">
      <c r="A1174" t="s">
        <v>1369</v>
      </c>
      <c r="B1174" s="187">
        <v>54063</v>
      </c>
    </row>
    <row r="1175" spans="1:2" x14ac:dyDescent="0.25">
      <c r="A1175" t="s">
        <v>1370</v>
      </c>
      <c r="B1175" s="187">
        <v>61622</v>
      </c>
    </row>
    <row r="1176" spans="1:2" x14ac:dyDescent="0.25">
      <c r="A1176" t="s">
        <v>1371</v>
      </c>
      <c r="B1176" s="187">
        <v>48063</v>
      </c>
    </row>
    <row r="1177" spans="1:2" x14ac:dyDescent="0.25">
      <c r="A1177" t="s">
        <v>1372</v>
      </c>
      <c r="B1177" s="187">
        <v>30513</v>
      </c>
    </row>
    <row r="1178" spans="1:2" x14ac:dyDescent="0.25">
      <c r="A1178" t="s">
        <v>1373</v>
      </c>
      <c r="B1178" s="187">
        <v>42742</v>
      </c>
    </row>
    <row r="1179" spans="1:2" x14ac:dyDescent="0.25">
      <c r="A1179" t="s">
        <v>1374</v>
      </c>
      <c r="B1179" s="187">
        <v>78502</v>
      </c>
    </row>
    <row r="1180" spans="1:2" x14ac:dyDescent="0.25">
      <c r="A1180" t="s">
        <v>1375</v>
      </c>
      <c r="B1180" s="187">
        <v>69588</v>
      </c>
    </row>
    <row r="1181" spans="1:2" x14ac:dyDescent="0.25">
      <c r="A1181" t="s">
        <v>1376</v>
      </c>
      <c r="B1181" s="187">
        <v>51953</v>
      </c>
    </row>
    <row r="1182" spans="1:2" x14ac:dyDescent="0.25">
      <c r="A1182" t="s">
        <v>1377</v>
      </c>
      <c r="B1182" s="187">
        <v>37138</v>
      </c>
    </row>
    <row r="1183" spans="1:2" x14ac:dyDescent="0.25">
      <c r="A1183" t="s">
        <v>1378</v>
      </c>
      <c r="B1183" s="187">
        <v>48682</v>
      </c>
    </row>
    <row r="1184" spans="1:2" x14ac:dyDescent="0.25">
      <c r="A1184" t="s">
        <v>1379</v>
      </c>
      <c r="B1184" s="187">
        <v>22265</v>
      </c>
    </row>
    <row r="1185" spans="1:2" x14ac:dyDescent="0.25">
      <c r="A1185" t="s">
        <v>1380</v>
      </c>
      <c r="B1185" s="187">
        <v>105531</v>
      </c>
    </row>
    <row r="1186" spans="1:2" x14ac:dyDescent="0.25">
      <c r="A1186" t="s">
        <v>1381</v>
      </c>
      <c r="B1186" s="187">
        <v>73206</v>
      </c>
    </row>
    <row r="1187" spans="1:2" x14ac:dyDescent="0.25">
      <c r="A1187" t="s">
        <v>1382</v>
      </c>
      <c r="B1187" s="187">
        <v>38912</v>
      </c>
    </row>
    <row r="1188" spans="1:2" x14ac:dyDescent="0.25">
      <c r="A1188" t="s">
        <v>1383</v>
      </c>
      <c r="B1188" s="187">
        <v>58902</v>
      </c>
    </row>
    <row r="1189" spans="1:2" x14ac:dyDescent="0.25">
      <c r="A1189" t="s">
        <v>1384</v>
      </c>
      <c r="B1189" s="187">
        <v>64233</v>
      </c>
    </row>
    <row r="1190" spans="1:2" x14ac:dyDescent="0.25">
      <c r="A1190" t="s">
        <v>1385</v>
      </c>
      <c r="B1190" s="187">
        <v>71198</v>
      </c>
    </row>
    <row r="1191" spans="1:2" x14ac:dyDescent="0.25">
      <c r="A1191" t="s">
        <v>1386</v>
      </c>
      <c r="B1191" s="187">
        <v>58640</v>
      </c>
    </row>
    <row r="1192" spans="1:2" x14ac:dyDescent="0.25">
      <c r="A1192" t="s">
        <v>1387</v>
      </c>
      <c r="B1192" s="187">
        <v>67201</v>
      </c>
    </row>
    <row r="1193" spans="1:2" x14ac:dyDescent="0.25">
      <c r="A1193" t="s">
        <v>1388</v>
      </c>
      <c r="B1193" s="187">
        <v>64868</v>
      </c>
    </row>
    <row r="1194" spans="1:2" x14ac:dyDescent="0.25">
      <c r="A1194" t="s">
        <v>1389</v>
      </c>
      <c r="B1194" s="187">
        <v>82264</v>
      </c>
    </row>
    <row r="1195" spans="1:2" x14ac:dyDescent="0.25">
      <c r="A1195" t="s">
        <v>1390</v>
      </c>
      <c r="B1195" s="187">
        <v>72422</v>
      </c>
    </row>
    <row r="1196" spans="1:2" x14ac:dyDescent="0.25">
      <c r="A1196" t="s">
        <v>1391</v>
      </c>
      <c r="B1196" s="187">
        <v>51250</v>
      </c>
    </row>
    <row r="1197" spans="1:2" x14ac:dyDescent="0.25">
      <c r="A1197" t="s">
        <v>1392</v>
      </c>
      <c r="B1197" s="187">
        <v>65357</v>
      </c>
    </row>
    <row r="1198" spans="1:2" x14ac:dyDescent="0.25">
      <c r="A1198" t="s">
        <v>1393</v>
      </c>
      <c r="B1198" s="187">
        <v>87412</v>
      </c>
    </row>
    <row r="1199" spans="1:2" x14ac:dyDescent="0.25">
      <c r="A1199" t="s">
        <v>1394</v>
      </c>
      <c r="B1199" s="187">
        <v>77833</v>
      </c>
    </row>
    <row r="1200" spans="1:2" x14ac:dyDescent="0.25">
      <c r="A1200" t="s">
        <v>1395</v>
      </c>
      <c r="B1200" s="187">
        <v>18326</v>
      </c>
    </row>
    <row r="1201" spans="1:2" x14ac:dyDescent="0.25">
      <c r="A1201" t="s">
        <v>1396</v>
      </c>
      <c r="B1201" s="187">
        <v>72530</v>
      </c>
    </row>
    <row r="1202" spans="1:2" x14ac:dyDescent="0.25">
      <c r="A1202" t="s">
        <v>1397</v>
      </c>
      <c r="B1202" s="187">
        <v>61875</v>
      </c>
    </row>
    <row r="1203" spans="1:2" x14ac:dyDescent="0.25">
      <c r="A1203" t="s">
        <v>1398</v>
      </c>
      <c r="B1203" s="187">
        <v>65423</v>
      </c>
    </row>
    <row r="1204" spans="1:2" x14ac:dyDescent="0.25">
      <c r="A1204" t="s">
        <v>1399</v>
      </c>
      <c r="B1204" s="187">
        <v>39646</v>
      </c>
    </row>
    <row r="1205" spans="1:2" x14ac:dyDescent="0.25">
      <c r="A1205" t="s">
        <v>1400</v>
      </c>
      <c r="B1205" s="187">
        <v>43882</v>
      </c>
    </row>
    <row r="1206" spans="1:2" x14ac:dyDescent="0.25">
      <c r="A1206" t="s">
        <v>1401</v>
      </c>
      <c r="B1206" s="187">
        <v>45644</v>
      </c>
    </row>
    <row r="1207" spans="1:2" x14ac:dyDescent="0.25">
      <c r="A1207" t="s">
        <v>1402</v>
      </c>
      <c r="B1207" s="187">
        <v>72574</v>
      </c>
    </row>
    <row r="1208" spans="1:2" x14ac:dyDescent="0.25">
      <c r="A1208" t="s">
        <v>1403</v>
      </c>
      <c r="B1208" s="187">
        <v>58656</v>
      </c>
    </row>
    <row r="1209" spans="1:2" x14ac:dyDescent="0.25">
      <c r="A1209" t="s">
        <v>1404</v>
      </c>
      <c r="B1209" s="187">
        <v>64864</v>
      </c>
    </row>
    <row r="1210" spans="1:2" x14ac:dyDescent="0.25">
      <c r="A1210" t="s">
        <v>1405</v>
      </c>
      <c r="B1210" s="187">
        <v>79573</v>
      </c>
    </row>
    <row r="1211" spans="1:2" x14ac:dyDescent="0.25">
      <c r="A1211" t="s">
        <v>1406</v>
      </c>
      <c r="B1211" s="187">
        <v>83297</v>
      </c>
    </row>
    <row r="1212" spans="1:2" x14ac:dyDescent="0.25">
      <c r="A1212" t="s">
        <v>1407</v>
      </c>
      <c r="B1212" s="187">
        <v>67105</v>
      </c>
    </row>
    <row r="1213" spans="1:2" x14ac:dyDescent="0.25">
      <c r="A1213" t="s">
        <v>1408</v>
      </c>
      <c r="B1213" s="187">
        <v>63627</v>
      </c>
    </row>
    <row r="1214" spans="1:2" x14ac:dyDescent="0.25">
      <c r="A1214" t="s">
        <v>1409</v>
      </c>
      <c r="B1214" s="187">
        <v>54663</v>
      </c>
    </row>
    <row r="1215" spans="1:2" x14ac:dyDescent="0.25">
      <c r="A1215" t="s">
        <v>1410</v>
      </c>
      <c r="B1215" s="187">
        <v>69450</v>
      </c>
    </row>
    <row r="1216" spans="1:2" x14ac:dyDescent="0.25">
      <c r="A1216" t="s">
        <v>1411</v>
      </c>
      <c r="B1216" s="187">
        <v>84818</v>
      </c>
    </row>
    <row r="1217" spans="1:2" x14ac:dyDescent="0.25">
      <c r="A1217" t="s">
        <v>1412</v>
      </c>
      <c r="B1217" s="187">
        <v>63519</v>
      </c>
    </row>
    <row r="1218" spans="1:2" x14ac:dyDescent="0.25">
      <c r="A1218" t="s">
        <v>1413</v>
      </c>
      <c r="B1218" s="187">
        <v>82161</v>
      </c>
    </row>
    <row r="1219" spans="1:2" x14ac:dyDescent="0.25">
      <c r="A1219" t="s">
        <v>1414</v>
      </c>
      <c r="B1219" s="187">
        <v>64112</v>
      </c>
    </row>
    <row r="1220" spans="1:2" x14ac:dyDescent="0.25">
      <c r="A1220" t="s">
        <v>1415</v>
      </c>
      <c r="B1220" s="187">
        <v>46838</v>
      </c>
    </row>
    <row r="1221" spans="1:2" x14ac:dyDescent="0.25">
      <c r="A1221" t="s">
        <v>1416</v>
      </c>
      <c r="B1221" s="187">
        <v>109276</v>
      </c>
    </row>
    <row r="1222" spans="1:2" x14ac:dyDescent="0.25">
      <c r="A1222" t="s">
        <v>1417</v>
      </c>
      <c r="B1222" s="187">
        <v>62552</v>
      </c>
    </row>
    <row r="1223" spans="1:2" x14ac:dyDescent="0.25">
      <c r="A1223" t="s">
        <v>1418</v>
      </c>
      <c r="B1223" s="187">
        <v>49514</v>
      </c>
    </row>
    <row r="1224" spans="1:2" x14ac:dyDescent="0.25">
      <c r="A1224" t="s">
        <v>1419</v>
      </c>
      <c r="B1224" s="187">
        <v>46667</v>
      </c>
    </row>
    <row r="1225" spans="1:2" x14ac:dyDescent="0.25">
      <c r="A1225" t="s">
        <v>1420</v>
      </c>
      <c r="B1225" s="187">
        <v>80559</v>
      </c>
    </row>
    <row r="1226" spans="1:2" x14ac:dyDescent="0.25">
      <c r="A1226" t="s">
        <v>1421</v>
      </c>
      <c r="B1226" s="187">
        <v>64583</v>
      </c>
    </row>
    <row r="1227" spans="1:2" x14ac:dyDescent="0.25">
      <c r="A1227" t="s">
        <v>1422</v>
      </c>
      <c r="B1227" s="187">
        <v>67129</v>
      </c>
    </row>
    <row r="1228" spans="1:2" x14ac:dyDescent="0.25">
      <c r="A1228" t="s">
        <v>1423</v>
      </c>
      <c r="B1228" s="187">
        <v>58250</v>
      </c>
    </row>
    <row r="1229" spans="1:2" x14ac:dyDescent="0.25">
      <c r="A1229" t="s">
        <v>1424</v>
      </c>
      <c r="B1229" s="187">
        <v>46106</v>
      </c>
    </row>
    <row r="1230" spans="1:2" x14ac:dyDescent="0.25">
      <c r="A1230" t="s">
        <v>1425</v>
      </c>
      <c r="B1230" s="187">
        <v>53992</v>
      </c>
    </row>
    <row r="1231" spans="1:2" x14ac:dyDescent="0.25">
      <c r="A1231" t="s">
        <v>1426</v>
      </c>
      <c r="B1231" s="187">
        <v>53893</v>
      </c>
    </row>
    <row r="1232" spans="1:2" x14ac:dyDescent="0.25">
      <c r="A1232" t="s">
        <v>1427</v>
      </c>
      <c r="B1232" s="187">
        <v>54025</v>
      </c>
    </row>
    <row r="1233" spans="1:2" x14ac:dyDescent="0.25">
      <c r="A1233" t="s">
        <v>1428</v>
      </c>
      <c r="B1233" s="187">
        <v>46199</v>
      </c>
    </row>
    <row r="1234" spans="1:2" x14ac:dyDescent="0.25">
      <c r="A1234" t="s">
        <v>1429</v>
      </c>
      <c r="B1234" s="187">
        <v>54384</v>
      </c>
    </row>
    <row r="1235" spans="1:2" x14ac:dyDescent="0.25">
      <c r="A1235" t="s">
        <v>1430</v>
      </c>
      <c r="B1235" s="187">
        <v>67287</v>
      </c>
    </row>
    <row r="1236" spans="1:2" x14ac:dyDescent="0.25">
      <c r="A1236" t="s">
        <v>1431</v>
      </c>
      <c r="B1236" s="187">
        <v>57159</v>
      </c>
    </row>
    <row r="1237" spans="1:2" x14ac:dyDescent="0.25">
      <c r="A1237" t="s">
        <v>1432</v>
      </c>
      <c r="B1237" s="187">
        <v>65525</v>
      </c>
    </row>
    <row r="1238" spans="1:2" x14ac:dyDescent="0.25">
      <c r="A1238" t="s">
        <v>1433</v>
      </c>
      <c r="B1238" s="187">
        <v>55082</v>
      </c>
    </row>
    <row r="1239" spans="1:2" x14ac:dyDescent="0.25">
      <c r="A1239" t="s">
        <v>1434</v>
      </c>
      <c r="B1239" s="187">
        <v>71016</v>
      </c>
    </row>
    <row r="1240" spans="1:2" x14ac:dyDescent="0.25">
      <c r="A1240" t="s">
        <v>1435</v>
      </c>
      <c r="B1240" s="187">
        <v>66250</v>
      </c>
    </row>
    <row r="1241" spans="1:2" x14ac:dyDescent="0.25">
      <c r="A1241" t="s">
        <v>1436</v>
      </c>
      <c r="B1241" s="187">
        <v>52835</v>
      </c>
    </row>
    <row r="1242" spans="1:2" x14ac:dyDescent="0.25">
      <c r="A1242" t="s">
        <v>1437</v>
      </c>
      <c r="B1242" s="187">
        <v>70403</v>
      </c>
    </row>
    <row r="1243" spans="1:2" x14ac:dyDescent="0.25">
      <c r="A1243" t="s">
        <v>1438</v>
      </c>
      <c r="B1243" s="187">
        <v>55247</v>
      </c>
    </row>
    <row r="1244" spans="1:2" x14ac:dyDescent="0.25">
      <c r="A1244" t="s">
        <v>1439</v>
      </c>
      <c r="B1244" s="187">
        <v>76477</v>
      </c>
    </row>
    <row r="1245" spans="1:2" x14ac:dyDescent="0.25">
      <c r="A1245" t="s">
        <v>1440</v>
      </c>
      <c r="B1245" s="187">
        <v>41611</v>
      </c>
    </row>
    <row r="1246" spans="1:2" x14ac:dyDescent="0.25">
      <c r="A1246" t="s">
        <v>1441</v>
      </c>
      <c r="B1246" s="187">
        <v>56544</v>
      </c>
    </row>
    <row r="1247" spans="1:2" x14ac:dyDescent="0.25">
      <c r="A1247" t="s">
        <v>1442</v>
      </c>
      <c r="B1247" s="187">
        <v>35280</v>
      </c>
    </row>
    <row r="1248" spans="1:2" x14ac:dyDescent="0.25">
      <c r="A1248" t="s">
        <v>1443</v>
      </c>
      <c r="B1248" s="187">
        <v>45078</v>
      </c>
    </row>
    <row r="1249" spans="1:2" x14ac:dyDescent="0.25">
      <c r="A1249" t="s">
        <v>1444</v>
      </c>
      <c r="B1249" s="187">
        <v>52935</v>
      </c>
    </row>
    <row r="1250" spans="1:2" x14ac:dyDescent="0.25">
      <c r="A1250" t="s">
        <v>1445</v>
      </c>
      <c r="B1250" s="187">
        <v>34375</v>
      </c>
    </row>
    <row r="1251" spans="1:2" x14ac:dyDescent="0.25">
      <c r="A1251" t="s">
        <v>1446</v>
      </c>
      <c r="B1251" s="187">
        <v>65096</v>
      </c>
    </row>
    <row r="1252" spans="1:2" x14ac:dyDescent="0.25">
      <c r="A1252" t="s">
        <v>1447</v>
      </c>
      <c r="B1252" s="187">
        <v>58300</v>
      </c>
    </row>
    <row r="1253" spans="1:2" x14ac:dyDescent="0.25">
      <c r="A1253" t="s">
        <v>1448</v>
      </c>
      <c r="B1253" s="187">
        <v>44246</v>
      </c>
    </row>
    <row r="1254" spans="1:2" x14ac:dyDescent="0.25">
      <c r="A1254" t="s">
        <v>1449</v>
      </c>
      <c r="B1254" s="187">
        <v>61823</v>
      </c>
    </row>
    <row r="1255" spans="1:2" x14ac:dyDescent="0.25">
      <c r="A1255" t="s">
        <v>1450</v>
      </c>
      <c r="B1255" s="187">
        <v>68048</v>
      </c>
    </row>
    <row r="1256" spans="1:2" x14ac:dyDescent="0.25">
      <c r="A1256" t="s">
        <v>1451</v>
      </c>
      <c r="B1256" s="187">
        <v>52786</v>
      </c>
    </row>
    <row r="1257" spans="1:2" x14ac:dyDescent="0.25">
      <c r="A1257" t="s">
        <v>1452</v>
      </c>
      <c r="B1257" s="187">
        <v>44743</v>
      </c>
    </row>
    <row r="1258" spans="1:2" x14ac:dyDescent="0.25">
      <c r="A1258" t="s">
        <v>1453</v>
      </c>
      <c r="B1258" s="187">
        <v>75795</v>
      </c>
    </row>
    <row r="1259" spans="1:2" x14ac:dyDescent="0.25">
      <c r="A1259" t="s">
        <v>1454</v>
      </c>
      <c r="B1259" s="187">
        <v>62431</v>
      </c>
    </row>
    <row r="1260" spans="1:2" x14ac:dyDescent="0.25">
      <c r="A1260" t="s">
        <v>1455</v>
      </c>
      <c r="B1260" s="187">
        <v>61700</v>
      </c>
    </row>
    <row r="1261" spans="1:2" x14ac:dyDescent="0.25">
      <c r="A1261" t="s">
        <v>1456</v>
      </c>
      <c r="B1261" s="187">
        <v>56382</v>
      </c>
    </row>
    <row r="1262" spans="1:2" x14ac:dyDescent="0.25">
      <c r="A1262" t="s">
        <v>1457</v>
      </c>
      <c r="B1262" s="187">
        <v>44412</v>
      </c>
    </row>
    <row r="1263" spans="1:2" x14ac:dyDescent="0.25">
      <c r="A1263" t="s">
        <v>1458</v>
      </c>
      <c r="B1263" s="187">
        <v>50753</v>
      </c>
    </row>
    <row r="1264" spans="1:2" x14ac:dyDescent="0.25">
      <c r="A1264" t="s">
        <v>1459</v>
      </c>
      <c r="B1264" s="187">
        <v>44816</v>
      </c>
    </row>
    <row r="1265" spans="1:2" x14ac:dyDescent="0.25">
      <c r="A1265" t="s">
        <v>1460</v>
      </c>
      <c r="B1265" s="187">
        <v>50625</v>
      </c>
    </row>
    <row r="1266" spans="1:2" x14ac:dyDescent="0.25">
      <c r="A1266" t="s">
        <v>1461</v>
      </c>
      <c r="B1266" s="187">
        <v>60536</v>
      </c>
    </row>
    <row r="1267" spans="1:2" x14ac:dyDescent="0.25">
      <c r="A1267" t="s">
        <v>1462</v>
      </c>
      <c r="B1267" s="187">
        <v>55774</v>
      </c>
    </row>
    <row r="1268" spans="1:2" x14ac:dyDescent="0.25">
      <c r="A1268" t="s">
        <v>1463</v>
      </c>
      <c r="B1268" s="187">
        <v>55000</v>
      </c>
    </row>
    <row r="1269" spans="1:2" x14ac:dyDescent="0.25">
      <c r="A1269" t="s">
        <v>1464</v>
      </c>
      <c r="B1269" s="187">
        <v>82159</v>
      </c>
    </row>
    <row r="1270" spans="1:2" x14ac:dyDescent="0.25">
      <c r="A1270" t="s">
        <v>1465</v>
      </c>
      <c r="B1270" s="187">
        <v>71023</v>
      </c>
    </row>
    <row r="1271" spans="1:2" x14ac:dyDescent="0.25">
      <c r="A1271" t="s">
        <v>1466</v>
      </c>
      <c r="B1271" s="187">
        <v>105793</v>
      </c>
    </row>
    <row r="1272" spans="1:2" x14ac:dyDescent="0.25">
      <c r="A1272" t="s">
        <v>1467</v>
      </c>
      <c r="B1272" s="187">
        <v>78208</v>
      </c>
    </row>
    <row r="1273" spans="1:2" x14ac:dyDescent="0.25">
      <c r="A1273" t="s">
        <v>1468</v>
      </c>
      <c r="B1273" s="187">
        <v>67011</v>
      </c>
    </row>
    <row r="1274" spans="1:2" x14ac:dyDescent="0.25">
      <c r="A1274" t="s">
        <v>1469</v>
      </c>
      <c r="B1274" s="187">
        <v>88750</v>
      </c>
    </row>
    <row r="1275" spans="1:2" x14ac:dyDescent="0.25">
      <c r="A1275" t="s">
        <v>1470</v>
      </c>
      <c r="B1275" s="187">
        <v>79800</v>
      </c>
    </row>
    <row r="1276" spans="1:2" x14ac:dyDescent="0.25">
      <c r="A1276" t="s">
        <v>1471</v>
      </c>
      <c r="B1276" s="187">
        <v>84130</v>
      </c>
    </row>
    <row r="1277" spans="1:2" x14ac:dyDescent="0.25">
      <c r="A1277" t="s">
        <v>1472</v>
      </c>
      <c r="B1277" s="187">
        <v>137083</v>
      </c>
    </row>
    <row r="1278" spans="1:2" x14ac:dyDescent="0.25">
      <c r="A1278" t="s">
        <v>1473</v>
      </c>
      <c r="B1278" s="187">
        <v>70824</v>
      </c>
    </row>
    <row r="1279" spans="1:2" x14ac:dyDescent="0.25">
      <c r="A1279" t="s">
        <v>1474</v>
      </c>
      <c r="B1279" s="187">
        <v>73500</v>
      </c>
    </row>
    <row r="1280" spans="1:2" x14ac:dyDescent="0.25">
      <c r="A1280" t="s">
        <v>1475</v>
      </c>
      <c r="B1280" s="187">
        <v>73350</v>
      </c>
    </row>
    <row r="1281" spans="1:2" x14ac:dyDescent="0.25">
      <c r="A1281" t="s">
        <v>1476</v>
      </c>
      <c r="B1281" s="187">
        <v>60278</v>
      </c>
    </row>
    <row r="1282" spans="1:2" x14ac:dyDescent="0.25">
      <c r="A1282" t="s">
        <v>1477</v>
      </c>
      <c r="B1282" s="187">
        <v>57930</v>
      </c>
    </row>
    <row r="1283" spans="1:2" x14ac:dyDescent="0.25">
      <c r="A1283" t="s">
        <v>1478</v>
      </c>
      <c r="B1283" s="187">
        <v>74103</v>
      </c>
    </row>
    <row r="1284" spans="1:2" x14ac:dyDescent="0.25">
      <c r="A1284" t="s">
        <v>1479</v>
      </c>
      <c r="B1284" s="187">
        <v>63393</v>
      </c>
    </row>
    <row r="1285" spans="1:2" x14ac:dyDescent="0.25">
      <c r="A1285" t="s">
        <v>1480</v>
      </c>
      <c r="B1285" s="187">
        <v>55102</v>
      </c>
    </row>
    <row r="1286" spans="1:2" x14ac:dyDescent="0.25">
      <c r="A1286" t="s">
        <v>1481</v>
      </c>
      <c r="B1286" s="187">
        <v>47528</v>
      </c>
    </row>
    <row r="1287" spans="1:2" x14ac:dyDescent="0.25">
      <c r="A1287" t="s">
        <v>1482</v>
      </c>
      <c r="B1287" s="187">
        <v>51888</v>
      </c>
    </row>
    <row r="1288" spans="1:2" x14ac:dyDescent="0.25">
      <c r="A1288" t="s">
        <v>1483</v>
      </c>
      <c r="B1288" s="187">
        <v>62337</v>
      </c>
    </row>
    <row r="1289" spans="1:2" x14ac:dyDescent="0.25">
      <c r="A1289" t="s">
        <v>1484</v>
      </c>
      <c r="B1289" s="187">
        <v>118990</v>
      </c>
    </row>
    <row r="1290" spans="1:2" x14ac:dyDescent="0.25">
      <c r="A1290" t="s">
        <v>1485</v>
      </c>
      <c r="B1290" s="187">
        <v>108158</v>
      </c>
    </row>
    <row r="1291" spans="1:2" x14ac:dyDescent="0.25">
      <c r="A1291" t="s">
        <v>1486</v>
      </c>
      <c r="B1291" s="187">
        <v>104709</v>
      </c>
    </row>
    <row r="1292" spans="1:2" x14ac:dyDescent="0.25">
      <c r="A1292" t="s">
        <v>1487</v>
      </c>
      <c r="B1292" s="187">
        <v>75093</v>
      </c>
    </row>
    <row r="1293" spans="1:2" x14ac:dyDescent="0.25">
      <c r="A1293" t="s">
        <v>1488</v>
      </c>
      <c r="B1293" s="187">
        <v>86413</v>
      </c>
    </row>
    <row r="1294" spans="1:2" x14ac:dyDescent="0.25">
      <c r="A1294" t="s">
        <v>1489</v>
      </c>
      <c r="B1294" s="187">
        <v>42262</v>
      </c>
    </row>
    <row r="1295" spans="1:2" x14ac:dyDescent="0.25">
      <c r="A1295" t="s">
        <v>1490</v>
      </c>
      <c r="B1295" s="187">
        <v>49333</v>
      </c>
    </row>
    <row r="1296" spans="1:2" x14ac:dyDescent="0.25">
      <c r="A1296" t="s">
        <v>1491</v>
      </c>
      <c r="B1296" s="187">
        <v>64856</v>
      </c>
    </row>
    <row r="1297" spans="1:2" x14ac:dyDescent="0.25">
      <c r="A1297" t="s">
        <v>1492</v>
      </c>
      <c r="B1297" s="187">
        <v>44633</v>
      </c>
    </row>
    <row r="1298" spans="1:2" x14ac:dyDescent="0.25">
      <c r="A1298" t="s">
        <v>1493</v>
      </c>
      <c r="B1298" s="187">
        <v>26742</v>
      </c>
    </row>
    <row r="1299" spans="1:2" x14ac:dyDescent="0.25">
      <c r="A1299" t="s">
        <v>1494</v>
      </c>
      <c r="B1299" s="186">
        <v>0</v>
      </c>
    </row>
    <row r="1300" spans="1:2" x14ac:dyDescent="0.25">
      <c r="A1300" t="s">
        <v>1495</v>
      </c>
      <c r="B1300" s="187">
        <v>123403</v>
      </c>
    </row>
    <row r="1301" spans="1:2" x14ac:dyDescent="0.25">
      <c r="A1301" t="s">
        <v>1496</v>
      </c>
      <c r="B1301" s="187">
        <v>72311</v>
      </c>
    </row>
    <row r="1302" spans="1:2" x14ac:dyDescent="0.25">
      <c r="A1302" t="s">
        <v>1497</v>
      </c>
      <c r="B1302" s="187">
        <v>85938</v>
      </c>
    </row>
    <row r="1303" spans="1:2" x14ac:dyDescent="0.25">
      <c r="A1303" t="s">
        <v>1498</v>
      </c>
      <c r="B1303" s="187">
        <v>83137</v>
      </c>
    </row>
    <row r="1304" spans="1:2" x14ac:dyDescent="0.25">
      <c r="A1304" t="s">
        <v>1499</v>
      </c>
      <c r="B1304" s="187">
        <v>94773</v>
      </c>
    </row>
    <row r="1305" spans="1:2" x14ac:dyDescent="0.25">
      <c r="A1305" t="s">
        <v>1500</v>
      </c>
      <c r="B1305" s="187">
        <v>101432</v>
      </c>
    </row>
    <row r="1306" spans="1:2" x14ac:dyDescent="0.25">
      <c r="A1306" t="s">
        <v>1501</v>
      </c>
      <c r="B1306" s="187">
        <v>99453</v>
      </c>
    </row>
    <row r="1307" spans="1:2" x14ac:dyDescent="0.25">
      <c r="A1307" t="s">
        <v>1502</v>
      </c>
      <c r="B1307" s="187">
        <v>71401</v>
      </c>
    </row>
    <row r="1308" spans="1:2" x14ac:dyDescent="0.25">
      <c r="A1308" t="s">
        <v>1503</v>
      </c>
      <c r="B1308" s="187">
        <v>70972</v>
      </c>
    </row>
    <row r="1309" spans="1:2" x14ac:dyDescent="0.25">
      <c r="A1309" t="s">
        <v>1504</v>
      </c>
      <c r="B1309" s="186">
        <v>0</v>
      </c>
    </row>
    <row r="1310" spans="1:2" x14ac:dyDescent="0.25">
      <c r="A1310" t="s">
        <v>1505</v>
      </c>
      <c r="B1310" s="186">
        <v>0</v>
      </c>
    </row>
    <row r="1311" spans="1:2" x14ac:dyDescent="0.25">
      <c r="A1311" t="s">
        <v>1506</v>
      </c>
      <c r="B1311" s="187">
        <v>62500</v>
      </c>
    </row>
    <row r="1312" spans="1:2" x14ac:dyDescent="0.25">
      <c r="A1312" t="s">
        <v>1507</v>
      </c>
      <c r="B1312" s="187">
        <v>63315</v>
      </c>
    </row>
    <row r="1313" spans="1:2" x14ac:dyDescent="0.25">
      <c r="A1313" t="s">
        <v>1508</v>
      </c>
      <c r="B1313" s="187">
        <v>79643</v>
      </c>
    </row>
    <row r="1314" spans="1:2" x14ac:dyDescent="0.25">
      <c r="A1314" t="s">
        <v>1509</v>
      </c>
      <c r="B1314" s="187">
        <v>90541</v>
      </c>
    </row>
    <row r="1315" spans="1:2" x14ac:dyDescent="0.25">
      <c r="A1315" t="s">
        <v>1510</v>
      </c>
      <c r="B1315" s="187">
        <v>84810</v>
      </c>
    </row>
    <row r="1316" spans="1:2" x14ac:dyDescent="0.25">
      <c r="A1316" t="s">
        <v>1511</v>
      </c>
      <c r="B1316" s="187">
        <v>48789</v>
      </c>
    </row>
    <row r="1317" spans="1:2" x14ac:dyDescent="0.25">
      <c r="A1317" t="s">
        <v>1512</v>
      </c>
      <c r="B1317" s="187">
        <v>51851</v>
      </c>
    </row>
    <row r="1318" spans="1:2" x14ac:dyDescent="0.25">
      <c r="A1318" t="s">
        <v>1513</v>
      </c>
      <c r="B1318" s="187">
        <v>48204</v>
      </c>
    </row>
    <row r="1319" spans="1:2" x14ac:dyDescent="0.25">
      <c r="A1319" t="s">
        <v>1514</v>
      </c>
      <c r="B1319" s="187">
        <v>46089</v>
      </c>
    </row>
    <row r="1320" spans="1:2" x14ac:dyDescent="0.25">
      <c r="A1320" t="s">
        <v>1515</v>
      </c>
      <c r="B1320" s="187">
        <v>49144</v>
      </c>
    </row>
    <row r="1321" spans="1:2" x14ac:dyDescent="0.25">
      <c r="A1321" t="s">
        <v>1516</v>
      </c>
      <c r="B1321" s="187">
        <v>58482</v>
      </c>
    </row>
    <row r="1322" spans="1:2" x14ac:dyDescent="0.25">
      <c r="A1322" t="s">
        <v>1517</v>
      </c>
      <c r="B1322" s="187">
        <v>74609</v>
      </c>
    </row>
    <row r="1323" spans="1:2" x14ac:dyDescent="0.25">
      <c r="A1323" t="s">
        <v>1518</v>
      </c>
      <c r="B1323" s="187">
        <v>63182</v>
      </c>
    </row>
    <row r="1324" spans="1:2" x14ac:dyDescent="0.25">
      <c r="A1324" t="s">
        <v>1519</v>
      </c>
      <c r="B1324" s="187">
        <v>54730</v>
      </c>
    </row>
    <row r="1325" spans="1:2" x14ac:dyDescent="0.25">
      <c r="A1325" t="s">
        <v>1520</v>
      </c>
      <c r="B1325" s="187">
        <v>47328</v>
      </c>
    </row>
    <row r="1326" spans="1:2" x14ac:dyDescent="0.25">
      <c r="A1326" t="s">
        <v>1521</v>
      </c>
      <c r="B1326" s="187">
        <v>53003</v>
      </c>
    </row>
    <row r="1327" spans="1:2" x14ac:dyDescent="0.25">
      <c r="A1327" t="s">
        <v>1522</v>
      </c>
      <c r="B1327" s="187">
        <v>70288</v>
      </c>
    </row>
    <row r="1328" spans="1:2" x14ac:dyDescent="0.25">
      <c r="A1328" t="s">
        <v>1523</v>
      </c>
      <c r="B1328" s="187">
        <v>69500</v>
      </c>
    </row>
    <row r="1329" spans="1:2" x14ac:dyDescent="0.25">
      <c r="A1329" t="s">
        <v>1524</v>
      </c>
      <c r="B1329" s="187">
        <v>63393</v>
      </c>
    </row>
    <row r="1330" spans="1:2" x14ac:dyDescent="0.25">
      <c r="A1330" t="s">
        <v>1525</v>
      </c>
      <c r="B1330" s="187">
        <v>67250</v>
      </c>
    </row>
    <row r="1331" spans="1:2" x14ac:dyDescent="0.25">
      <c r="A1331" t="s">
        <v>1526</v>
      </c>
      <c r="B1331" s="187">
        <v>67500</v>
      </c>
    </row>
    <row r="1332" spans="1:2" x14ac:dyDescent="0.25">
      <c r="A1332" t="s">
        <v>1527</v>
      </c>
      <c r="B1332" s="187">
        <v>67974</v>
      </c>
    </row>
    <row r="1333" spans="1:2" x14ac:dyDescent="0.25">
      <c r="A1333" t="s">
        <v>1528</v>
      </c>
      <c r="B1333" s="187">
        <v>35101</v>
      </c>
    </row>
    <row r="1334" spans="1:2" x14ac:dyDescent="0.25">
      <c r="A1334" t="s">
        <v>1529</v>
      </c>
      <c r="B1334" s="187">
        <v>48786</v>
      </c>
    </row>
    <row r="1335" spans="1:2" x14ac:dyDescent="0.25">
      <c r="A1335" t="s">
        <v>1530</v>
      </c>
      <c r="B1335" s="187">
        <v>55748</v>
      </c>
    </row>
    <row r="1336" spans="1:2" x14ac:dyDescent="0.25">
      <c r="A1336" t="s">
        <v>1531</v>
      </c>
      <c r="B1336" s="187">
        <v>52269</v>
      </c>
    </row>
    <row r="1337" spans="1:2" x14ac:dyDescent="0.25">
      <c r="A1337" t="s">
        <v>1532</v>
      </c>
      <c r="B1337" s="187">
        <v>56302</v>
      </c>
    </row>
    <row r="1338" spans="1:2" x14ac:dyDescent="0.25">
      <c r="A1338" t="s">
        <v>1533</v>
      </c>
      <c r="B1338" s="187">
        <v>57273</v>
      </c>
    </row>
    <row r="1339" spans="1:2" x14ac:dyDescent="0.25">
      <c r="A1339" t="s">
        <v>1534</v>
      </c>
      <c r="B1339" s="187">
        <v>63672</v>
      </c>
    </row>
    <row r="1340" spans="1:2" x14ac:dyDescent="0.25">
      <c r="A1340" t="s">
        <v>1535</v>
      </c>
      <c r="B1340" s="187">
        <v>62987</v>
      </c>
    </row>
    <row r="1341" spans="1:2" x14ac:dyDescent="0.25">
      <c r="A1341" t="s">
        <v>1536</v>
      </c>
      <c r="B1341" s="187">
        <v>51000</v>
      </c>
    </row>
    <row r="1342" spans="1:2" x14ac:dyDescent="0.25">
      <c r="A1342" t="s">
        <v>1537</v>
      </c>
      <c r="B1342" s="187">
        <v>55789</v>
      </c>
    </row>
    <row r="1343" spans="1:2" x14ac:dyDescent="0.25">
      <c r="A1343" t="s">
        <v>1538</v>
      </c>
      <c r="B1343" s="187">
        <v>62184</v>
      </c>
    </row>
    <row r="1344" spans="1:2" x14ac:dyDescent="0.25">
      <c r="A1344" t="s">
        <v>1539</v>
      </c>
      <c r="B1344" s="187">
        <v>56618</v>
      </c>
    </row>
    <row r="1345" spans="1:2" x14ac:dyDescent="0.25">
      <c r="A1345" t="s">
        <v>1540</v>
      </c>
      <c r="B1345" s="187">
        <v>64289</v>
      </c>
    </row>
    <row r="1346" spans="1:2" x14ac:dyDescent="0.25">
      <c r="A1346" t="s">
        <v>1541</v>
      </c>
      <c r="B1346" s="187">
        <v>54383</v>
      </c>
    </row>
    <row r="1347" spans="1:2" x14ac:dyDescent="0.25">
      <c r="A1347" t="s">
        <v>1542</v>
      </c>
      <c r="B1347" s="187">
        <v>72014</v>
      </c>
    </row>
    <row r="1348" spans="1:2" x14ac:dyDescent="0.25">
      <c r="A1348" t="s">
        <v>1543</v>
      </c>
      <c r="B1348" s="187">
        <v>55717</v>
      </c>
    </row>
    <row r="1349" spans="1:2" x14ac:dyDescent="0.25">
      <c r="A1349" t="s">
        <v>1544</v>
      </c>
      <c r="B1349" s="187">
        <v>51042</v>
      </c>
    </row>
    <row r="1350" spans="1:2" x14ac:dyDescent="0.25">
      <c r="A1350" t="s">
        <v>1545</v>
      </c>
      <c r="B1350" s="187">
        <v>61146</v>
      </c>
    </row>
    <row r="1351" spans="1:2" x14ac:dyDescent="0.25">
      <c r="A1351" t="s">
        <v>1546</v>
      </c>
      <c r="B1351" s="187">
        <v>32604</v>
      </c>
    </row>
    <row r="1352" spans="1:2" x14ac:dyDescent="0.25">
      <c r="A1352" t="s">
        <v>1547</v>
      </c>
      <c r="B1352" s="187">
        <v>41399</v>
      </c>
    </row>
    <row r="1353" spans="1:2" x14ac:dyDescent="0.25">
      <c r="A1353" t="s">
        <v>1548</v>
      </c>
      <c r="B1353" s="187">
        <v>43500</v>
      </c>
    </row>
    <row r="1354" spans="1:2" x14ac:dyDescent="0.25">
      <c r="A1354" t="s">
        <v>1549</v>
      </c>
      <c r="B1354" s="187">
        <v>36268</v>
      </c>
    </row>
    <row r="1355" spans="1:2" x14ac:dyDescent="0.25">
      <c r="A1355" t="s">
        <v>1550</v>
      </c>
      <c r="B1355" s="187">
        <v>15417</v>
      </c>
    </row>
    <row r="1356" spans="1:2" x14ac:dyDescent="0.25">
      <c r="A1356" t="s">
        <v>1551</v>
      </c>
      <c r="B1356" s="187">
        <v>38380</v>
      </c>
    </row>
    <row r="1357" spans="1:2" x14ac:dyDescent="0.25">
      <c r="A1357" t="s">
        <v>1552</v>
      </c>
      <c r="B1357" s="187">
        <v>31601</v>
      </c>
    </row>
    <row r="1358" spans="1:2" x14ac:dyDescent="0.25">
      <c r="A1358" t="s">
        <v>1553</v>
      </c>
      <c r="B1358" s="187">
        <v>55382</v>
      </c>
    </row>
    <row r="1359" spans="1:2" x14ac:dyDescent="0.25">
      <c r="A1359" t="s">
        <v>1554</v>
      </c>
      <c r="B1359" s="187">
        <v>88750</v>
      </c>
    </row>
    <row r="1360" spans="1:2" x14ac:dyDescent="0.25">
      <c r="A1360" t="s">
        <v>1555</v>
      </c>
      <c r="B1360" s="187">
        <v>51125</v>
      </c>
    </row>
    <row r="1361" spans="1:2" x14ac:dyDescent="0.25">
      <c r="A1361" t="s">
        <v>1556</v>
      </c>
      <c r="B1361" s="187">
        <v>46529</v>
      </c>
    </row>
    <row r="1362" spans="1:2" x14ac:dyDescent="0.25">
      <c r="A1362" t="s">
        <v>1557</v>
      </c>
      <c r="B1362" s="187">
        <v>39330</v>
      </c>
    </row>
    <row r="1363" spans="1:2" x14ac:dyDescent="0.25">
      <c r="A1363" t="s">
        <v>1558</v>
      </c>
      <c r="B1363" s="187">
        <v>91471</v>
      </c>
    </row>
    <row r="1364" spans="1:2" x14ac:dyDescent="0.25">
      <c r="A1364" t="s">
        <v>1559</v>
      </c>
      <c r="B1364" s="187">
        <v>50000</v>
      </c>
    </row>
    <row r="1365" spans="1:2" x14ac:dyDescent="0.25">
      <c r="A1365" t="s">
        <v>1560</v>
      </c>
      <c r="B1365" s="187">
        <v>44526</v>
      </c>
    </row>
    <row r="1366" spans="1:2" x14ac:dyDescent="0.25">
      <c r="A1366" t="s">
        <v>1561</v>
      </c>
      <c r="B1366" s="187">
        <v>35438</v>
      </c>
    </row>
    <row r="1367" spans="1:2" x14ac:dyDescent="0.25">
      <c r="A1367" t="s">
        <v>1562</v>
      </c>
      <c r="B1367" s="187">
        <v>95089</v>
      </c>
    </row>
    <row r="1368" spans="1:2" x14ac:dyDescent="0.25">
      <c r="A1368" t="s">
        <v>1563</v>
      </c>
      <c r="B1368" s="187">
        <v>21932</v>
      </c>
    </row>
    <row r="1369" spans="1:2" x14ac:dyDescent="0.25">
      <c r="A1369" t="s">
        <v>1564</v>
      </c>
      <c r="B1369" s="187">
        <v>36573</v>
      </c>
    </row>
    <row r="1370" spans="1:2" x14ac:dyDescent="0.25">
      <c r="A1370" t="s">
        <v>1565</v>
      </c>
      <c r="B1370" s="187">
        <v>15678</v>
      </c>
    </row>
    <row r="1371" spans="1:2" x14ac:dyDescent="0.25">
      <c r="A1371" t="s">
        <v>1566</v>
      </c>
      <c r="B1371" s="187">
        <v>19511</v>
      </c>
    </row>
    <row r="1372" spans="1:2" x14ac:dyDescent="0.25">
      <c r="A1372" t="s">
        <v>1567</v>
      </c>
      <c r="B1372" s="187">
        <v>40617</v>
      </c>
    </row>
    <row r="1373" spans="1:2" x14ac:dyDescent="0.25">
      <c r="A1373" t="s">
        <v>1568</v>
      </c>
      <c r="B1373" s="187">
        <v>13369</v>
      </c>
    </row>
    <row r="1374" spans="1:2" x14ac:dyDescent="0.25">
      <c r="A1374" t="s">
        <v>1569</v>
      </c>
      <c r="B1374" s="187">
        <v>31742</v>
      </c>
    </row>
    <row r="1375" spans="1:2" x14ac:dyDescent="0.25">
      <c r="A1375" t="s">
        <v>1570</v>
      </c>
      <c r="B1375" s="187">
        <v>46827</v>
      </c>
    </row>
    <row r="1376" spans="1:2" x14ac:dyDescent="0.25">
      <c r="A1376" t="s">
        <v>1571</v>
      </c>
      <c r="B1376" s="187">
        <v>39101</v>
      </c>
    </row>
    <row r="1377" spans="1:2" x14ac:dyDescent="0.25">
      <c r="A1377" t="s">
        <v>1572</v>
      </c>
      <c r="B1377" s="187">
        <v>25125</v>
      </c>
    </row>
    <row r="1378" spans="1:2" x14ac:dyDescent="0.25">
      <c r="A1378" t="s">
        <v>1573</v>
      </c>
      <c r="B1378" s="187">
        <v>42692</v>
      </c>
    </row>
    <row r="1379" spans="1:2" x14ac:dyDescent="0.25">
      <c r="A1379" t="s">
        <v>1574</v>
      </c>
      <c r="B1379" s="187">
        <v>39792</v>
      </c>
    </row>
    <row r="1380" spans="1:2" x14ac:dyDescent="0.25">
      <c r="A1380" t="s">
        <v>1575</v>
      </c>
      <c r="B1380" s="187">
        <v>27305</v>
      </c>
    </row>
    <row r="1381" spans="1:2" x14ac:dyDescent="0.25">
      <c r="A1381" t="s">
        <v>1576</v>
      </c>
      <c r="B1381" s="187">
        <v>37464</v>
      </c>
    </row>
    <row r="1382" spans="1:2" x14ac:dyDescent="0.25">
      <c r="A1382" t="s">
        <v>1577</v>
      </c>
      <c r="B1382" s="187">
        <v>66435</v>
      </c>
    </row>
    <row r="1383" spans="1:2" x14ac:dyDescent="0.25">
      <c r="A1383" t="s">
        <v>1578</v>
      </c>
      <c r="B1383" s="187">
        <v>50403</v>
      </c>
    </row>
    <row r="1384" spans="1:2" x14ac:dyDescent="0.25">
      <c r="A1384" t="s">
        <v>1579</v>
      </c>
      <c r="B1384" s="187">
        <v>39904</v>
      </c>
    </row>
    <row r="1385" spans="1:2" x14ac:dyDescent="0.25">
      <c r="A1385" t="s">
        <v>1580</v>
      </c>
      <c r="B1385" s="187">
        <v>40903</v>
      </c>
    </row>
    <row r="1386" spans="1:2" x14ac:dyDescent="0.25">
      <c r="A1386" t="s">
        <v>1581</v>
      </c>
      <c r="B1386" s="187">
        <v>40779</v>
      </c>
    </row>
    <row r="1387" spans="1:2" x14ac:dyDescent="0.25">
      <c r="A1387" t="s">
        <v>1582</v>
      </c>
      <c r="B1387" s="187">
        <v>43613</v>
      </c>
    </row>
    <row r="1388" spans="1:2" x14ac:dyDescent="0.25">
      <c r="A1388" t="s">
        <v>1583</v>
      </c>
      <c r="B1388" s="187">
        <v>33750</v>
      </c>
    </row>
    <row r="1389" spans="1:2" x14ac:dyDescent="0.25">
      <c r="A1389" t="s">
        <v>1584</v>
      </c>
      <c r="B1389" s="187">
        <v>40166</v>
      </c>
    </row>
    <row r="1390" spans="1:2" x14ac:dyDescent="0.25">
      <c r="A1390" t="s">
        <v>1585</v>
      </c>
      <c r="B1390" s="187">
        <v>52042</v>
      </c>
    </row>
    <row r="1391" spans="1:2" x14ac:dyDescent="0.25">
      <c r="A1391" t="s">
        <v>1586</v>
      </c>
      <c r="B1391" s="187">
        <v>58554</v>
      </c>
    </row>
    <row r="1392" spans="1:2" x14ac:dyDescent="0.25">
      <c r="A1392" t="s">
        <v>1587</v>
      </c>
      <c r="B1392" s="187">
        <v>40123</v>
      </c>
    </row>
    <row r="1393" spans="1:2" x14ac:dyDescent="0.25">
      <c r="A1393" t="s">
        <v>1588</v>
      </c>
      <c r="B1393" s="187">
        <v>58875</v>
      </c>
    </row>
    <row r="1394" spans="1:2" x14ac:dyDescent="0.25">
      <c r="A1394" t="s">
        <v>1589</v>
      </c>
      <c r="B1394" s="187">
        <v>64636</v>
      </c>
    </row>
    <row r="1395" spans="1:2" x14ac:dyDescent="0.25">
      <c r="A1395" t="s">
        <v>1590</v>
      </c>
      <c r="B1395" s="187">
        <v>62305</v>
      </c>
    </row>
    <row r="1396" spans="1:2" x14ac:dyDescent="0.25">
      <c r="A1396" t="s">
        <v>1591</v>
      </c>
      <c r="B1396" s="187">
        <v>90096</v>
      </c>
    </row>
    <row r="1397" spans="1:2" x14ac:dyDescent="0.25">
      <c r="A1397" t="s">
        <v>1592</v>
      </c>
      <c r="B1397" s="187">
        <v>79632</v>
      </c>
    </row>
    <row r="1398" spans="1:2" x14ac:dyDescent="0.25">
      <c r="A1398" t="s">
        <v>1593</v>
      </c>
      <c r="B1398" s="187">
        <v>76429</v>
      </c>
    </row>
    <row r="1399" spans="1:2" x14ac:dyDescent="0.25">
      <c r="A1399" t="s">
        <v>1594</v>
      </c>
      <c r="B1399" s="187">
        <v>43250</v>
      </c>
    </row>
    <row r="1400" spans="1:2" x14ac:dyDescent="0.25">
      <c r="A1400" t="s">
        <v>1595</v>
      </c>
      <c r="B1400" s="187">
        <v>36923</v>
      </c>
    </row>
    <row r="1401" spans="1:2" x14ac:dyDescent="0.25">
      <c r="A1401" t="s">
        <v>1596</v>
      </c>
      <c r="B1401" s="187">
        <v>55616</v>
      </c>
    </row>
    <row r="1402" spans="1:2" x14ac:dyDescent="0.25">
      <c r="A1402" t="s">
        <v>1597</v>
      </c>
      <c r="B1402" s="187">
        <v>126146</v>
      </c>
    </row>
    <row r="1403" spans="1:2" x14ac:dyDescent="0.25">
      <c r="A1403" t="s">
        <v>1598</v>
      </c>
      <c r="B1403" s="187">
        <v>83576</v>
      </c>
    </row>
    <row r="1404" spans="1:2" x14ac:dyDescent="0.25">
      <c r="A1404" t="s">
        <v>1599</v>
      </c>
      <c r="B1404" s="187">
        <v>103627</v>
      </c>
    </row>
    <row r="1405" spans="1:2" x14ac:dyDescent="0.25">
      <c r="A1405" t="s">
        <v>1600</v>
      </c>
      <c r="B1405" s="187">
        <v>64709</v>
      </c>
    </row>
    <row r="1406" spans="1:2" x14ac:dyDescent="0.25">
      <c r="A1406" t="s">
        <v>1601</v>
      </c>
      <c r="B1406" s="187">
        <v>89402</v>
      </c>
    </row>
    <row r="1407" spans="1:2" x14ac:dyDescent="0.25">
      <c r="A1407" t="s">
        <v>1602</v>
      </c>
      <c r="B1407" s="187">
        <v>41890</v>
      </c>
    </row>
    <row r="1408" spans="1:2" x14ac:dyDescent="0.25">
      <c r="A1408" t="s">
        <v>1603</v>
      </c>
      <c r="B1408" s="187">
        <v>45179</v>
      </c>
    </row>
    <row r="1409" spans="1:2" x14ac:dyDescent="0.25">
      <c r="A1409" t="s">
        <v>1604</v>
      </c>
      <c r="B1409" s="187">
        <v>104875</v>
      </c>
    </row>
    <row r="1410" spans="1:2" x14ac:dyDescent="0.25">
      <c r="A1410" t="s">
        <v>1605</v>
      </c>
      <c r="B1410" s="187">
        <v>121937</v>
      </c>
    </row>
    <row r="1411" spans="1:2" x14ac:dyDescent="0.25">
      <c r="A1411" t="s">
        <v>1606</v>
      </c>
      <c r="B1411" s="187">
        <v>101927</v>
      </c>
    </row>
    <row r="1412" spans="1:2" x14ac:dyDescent="0.25">
      <c r="A1412" t="s">
        <v>1607</v>
      </c>
      <c r="B1412" s="187">
        <v>89583</v>
      </c>
    </row>
    <row r="1413" spans="1:2" x14ac:dyDescent="0.25">
      <c r="A1413" t="s">
        <v>1608</v>
      </c>
      <c r="B1413" s="187">
        <v>32616</v>
      </c>
    </row>
    <row r="1414" spans="1:2" x14ac:dyDescent="0.25">
      <c r="A1414" t="s">
        <v>1609</v>
      </c>
      <c r="B1414" s="187">
        <v>70357</v>
      </c>
    </row>
    <row r="1415" spans="1:2" x14ac:dyDescent="0.25">
      <c r="A1415" t="s">
        <v>1610</v>
      </c>
      <c r="B1415" s="187">
        <v>83333</v>
      </c>
    </row>
    <row r="1416" spans="1:2" x14ac:dyDescent="0.25">
      <c r="A1416" t="s">
        <v>1611</v>
      </c>
      <c r="B1416" s="187">
        <v>54225</v>
      </c>
    </row>
    <row r="1417" spans="1:2" x14ac:dyDescent="0.25">
      <c r="A1417" t="s">
        <v>1612</v>
      </c>
      <c r="B1417" s="187">
        <v>39066</v>
      </c>
    </row>
    <row r="1418" spans="1:2" x14ac:dyDescent="0.25">
      <c r="A1418" t="s">
        <v>1613</v>
      </c>
      <c r="B1418" s="187">
        <v>60022</v>
      </c>
    </row>
    <row r="1419" spans="1:2" x14ac:dyDescent="0.25">
      <c r="A1419" t="s">
        <v>1614</v>
      </c>
      <c r="B1419" s="187">
        <v>93068</v>
      </c>
    </row>
    <row r="1420" spans="1:2" x14ac:dyDescent="0.25">
      <c r="A1420" t="s">
        <v>1615</v>
      </c>
      <c r="B1420" s="187">
        <v>93603</v>
      </c>
    </row>
    <row r="1421" spans="1:2" x14ac:dyDescent="0.25">
      <c r="A1421" t="s">
        <v>1616</v>
      </c>
      <c r="B1421" s="187">
        <v>69435</v>
      </c>
    </row>
    <row r="1422" spans="1:2" x14ac:dyDescent="0.25">
      <c r="A1422" t="s">
        <v>1617</v>
      </c>
      <c r="B1422" s="187">
        <v>41092</v>
      </c>
    </row>
    <row r="1423" spans="1:2" x14ac:dyDescent="0.25">
      <c r="A1423" t="s">
        <v>1618</v>
      </c>
      <c r="B1423" s="187">
        <v>64507</v>
      </c>
    </row>
    <row r="1424" spans="1:2" x14ac:dyDescent="0.25">
      <c r="A1424" t="s">
        <v>1619</v>
      </c>
      <c r="B1424" s="187">
        <v>77868</v>
      </c>
    </row>
    <row r="1425" spans="1:2" x14ac:dyDescent="0.25">
      <c r="A1425" t="s">
        <v>1620</v>
      </c>
      <c r="B1425" s="187">
        <v>62382</v>
      </c>
    </row>
    <row r="1426" spans="1:2" x14ac:dyDescent="0.25">
      <c r="A1426" t="s">
        <v>1621</v>
      </c>
      <c r="B1426" s="187">
        <v>69647</v>
      </c>
    </row>
    <row r="1427" spans="1:2" x14ac:dyDescent="0.25">
      <c r="A1427" t="s">
        <v>1622</v>
      </c>
      <c r="B1427" s="187">
        <v>56344</v>
      </c>
    </row>
    <row r="1428" spans="1:2" x14ac:dyDescent="0.25">
      <c r="A1428" t="s">
        <v>1623</v>
      </c>
      <c r="B1428" s="187">
        <v>60455</v>
      </c>
    </row>
    <row r="1429" spans="1:2" x14ac:dyDescent="0.25">
      <c r="A1429" t="s">
        <v>1624</v>
      </c>
      <c r="B1429" s="187">
        <v>61387</v>
      </c>
    </row>
    <row r="1430" spans="1:2" x14ac:dyDescent="0.25">
      <c r="A1430" t="s">
        <v>1625</v>
      </c>
      <c r="B1430" s="187">
        <v>58977</v>
      </c>
    </row>
    <row r="1431" spans="1:2" x14ac:dyDescent="0.25">
      <c r="A1431" t="s">
        <v>1626</v>
      </c>
      <c r="B1431" s="187">
        <v>63104</v>
      </c>
    </row>
    <row r="1432" spans="1:2" x14ac:dyDescent="0.25">
      <c r="A1432" t="s">
        <v>1627</v>
      </c>
      <c r="B1432" s="187">
        <v>89594</v>
      </c>
    </row>
    <row r="1433" spans="1:2" x14ac:dyDescent="0.25">
      <c r="A1433" t="s">
        <v>1628</v>
      </c>
      <c r="B1433" s="187">
        <v>66740</v>
      </c>
    </row>
    <row r="1434" spans="1:2" x14ac:dyDescent="0.25">
      <c r="A1434" t="s">
        <v>1629</v>
      </c>
      <c r="B1434" s="187">
        <v>26051</v>
      </c>
    </row>
    <row r="1435" spans="1:2" x14ac:dyDescent="0.25">
      <c r="A1435" t="s">
        <v>1630</v>
      </c>
      <c r="B1435" s="187">
        <v>53561</v>
      </c>
    </row>
    <row r="1436" spans="1:2" x14ac:dyDescent="0.25">
      <c r="A1436" t="s">
        <v>1631</v>
      </c>
      <c r="B1436" s="187">
        <v>42585</v>
      </c>
    </row>
    <row r="1437" spans="1:2" x14ac:dyDescent="0.25">
      <c r="A1437" t="s">
        <v>1632</v>
      </c>
      <c r="B1437" s="187">
        <v>53393</v>
      </c>
    </row>
    <row r="1438" spans="1:2" x14ac:dyDescent="0.25">
      <c r="A1438" t="s">
        <v>1633</v>
      </c>
      <c r="B1438" s="187">
        <v>64464</v>
      </c>
    </row>
    <row r="1439" spans="1:2" x14ac:dyDescent="0.25">
      <c r="A1439" t="s">
        <v>1634</v>
      </c>
      <c r="B1439" s="187">
        <v>67618</v>
      </c>
    </row>
    <row r="1440" spans="1:2" x14ac:dyDescent="0.25">
      <c r="A1440" t="s">
        <v>1635</v>
      </c>
      <c r="B1440" s="187">
        <v>70759</v>
      </c>
    </row>
    <row r="1441" spans="1:2" x14ac:dyDescent="0.25">
      <c r="A1441" t="s">
        <v>1636</v>
      </c>
      <c r="B1441" s="187">
        <v>49071</v>
      </c>
    </row>
    <row r="1442" spans="1:2" x14ac:dyDescent="0.25">
      <c r="A1442" t="s">
        <v>1637</v>
      </c>
      <c r="B1442" s="187">
        <v>57313</v>
      </c>
    </row>
    <row r="1443" spans="1:2" x14ac:dyDescent="0.25">
      <c r="A1443" t="s">
        <v>1638</v>
      </c>
      <c r="B1443" s="187">
        <v>38299</v>
      </c>
    </row>
    <row r="1444" spans="1:2" x14ac:dyDescent="0.25">
      <c r="A1444" t="s">
        <v>1639</v>
      </c>
      <c r="B1444" s="187">
        <v>46613</v>
      </c>
    </row>
    <row r="1445" spans="1:2" x14ac:dyDescent="0.25">
      <c r="A1445" t="s">
        <v>1640</v>
      </c>
      <c r="B1445" s="187">
        <v>63613</v>
      </c>
    </row>
    <row r="1446" spans="1:2" x14ac:dyDescent="0.25">
      <c r="A1446" t="s">
        <v>1641</v>
      </c>
      <c r="B1446" s="187">
        <v>72857</v>
      </c>
    </row>
    <row r="1447" spans="1:2" x14ac:dyDescent="0.25">
      <c r="A1447" t="s">
        <v>1642</v>
      </c>
      <c r="B1447" s="187">
        <v>71182</v>
      </c>
    </row>
    <row r="1448" spans="1:2" x14ac:dyDescent="0.25">
      <c r="A1448" t="s">
        <v>1643</v>
      </c>
      <c r="B1448" s="187">
        <v>81797</v>
      </c>
    </row>
    <row r="1449" spans="1:2" x14ac:dyDescent="0.25">
      <c r="A1449" t="s">
        <v>1644</v>
      </c>
      <c r="B1449" s="187">
        <v>60385</v>
      </c>
    </row>
    <row r="1450" spans="1:2" x14ac:dyDescent="0.25">
      <c r="A1450" t="s">
        <v>1645</v>
      </c>
      <c r="B1450" s="187">
        <v>57065</v>
      </c>
    </row>
    <row r="1451" spans="1:2" x14ac:dyDescent="0.25">
      <c r="A1451" t="s">
        <v>1646</v>
      </c>
      <c r="B1451" s="187">
        <v>49545</v>
      </c>
    </row>
    <row r="1452" spans="1:2" x14ac:dyDescent="0.25">
      <c r="A1452" t="s">
        <v>1647</v>
      </c>
      <c r="B1452" s="187">
        <v>53464</v>
      </c>
    </row>
    <row r="1453" spans="1:2" x14ac:dyDescent="0.25">
      <c r="A1453" t="s">
        <v>1648</v>
      </c>
      <c r="B1453" s="187">
        <v>44116</v>
      </c>
    </row>
    <row r="1454" spans="1:2" x14ac:dyDescent="0.25">
      <c r="A1454" t="s">
        <v>1649</v>
      </c>
      <c r="B1454" s="187">
        <v>58661</v>
      </c>
    </row>
    <row r="1455" spans="1:2" x14ac:dyDescent="0.25">
      <c r="A1455" t="s">
        <v>1650</v>
      </c>
      <c r="B1455" s="187">
        <v>60875</v>
      </c>
    </row>
    <row r="1456" spans="1:2" x14ac:dyDescent="0.25">
      <c r="A1456" t="s">
        <v>1651</v>
      </c>
      <c r="B1456" s="187">
        <v>40923</v>
      </c>
    </row>
    <row r="1457" spans="1:2" x14ac:dyDescent="0.25">
      <c r="A1457" t="s">
        <v>1652</v>
      </c>
      <c r="B1457" s="187">
        <v>63008</v>
      </c>
    </row>
    <row r="1458" spans="1:2" x14ac:dyDescent="0.25">
      <c r="A1458" t="s">
        <v>1653</v>
      </c>
      <c r="B1458" s="187">
        <v>38240</v>
      </c>
    </row>
    <row r="1459" spans="1:2" x14ac:dyDescent="0.25">
      <c r="A1459" t="s">
        <v>1654</v>
      </c>
      <c r="B1459" s="187">
        <v>53880</v>
      </c>
    </row>
    <row r="1460" spans="1:2" x14ac:dyDescent="0.25">
      <c r="A1460" t="s">
        <v>1655</v>
      </c>
      <c r="B1460" s="187">
        <v>47358</v>
      </c>
    </row>
    <row r="1461" spans="1:2" x14ac:dyDescent="0.25">
      <c r="A1461" t="s">
        <v>1656</v>
      </c>
      <c r="B1461" s="187">
        <v>51845</v>
      </c>
    </row>
    <row r="1462" spans="1:2" x14ac:dyDescent="0.25">
      <c r="A1462" t="s">
        <v>1657</v>
      </c>
      <c r="B1462" s="187">
        <v>66272</v>
      </c>
    </row>
    <row r="1463" spans="1:2" x14ac:dyDescent="0.25">
      <c r="A1463" t="s">
        <v>1658</v>
      </c>
      <c r="B1463" s="187">
        <v>53950</v>
      </c>
    </row>
    <row r="1464" spans="1:2" x14ac:dyDescent="0.25">
      <c r="A1464" t="s">
        <v>1659</v>
      </c>
      <c r="B1464" s="187">
        <v>83484</v>
      </c>
    </row>
    <row r="1465" spans="1:2" x14ac:dyDescent="0.25">
      <c r="A1465" t="s">
        <v>1660</v>
      </c>
      <c r="B1465" s="187">
        <v>62500</v>
      </c>
    </row>
    <row r="1466" spans="1:2" x14ac:dyDescent="0.25">
      <c r="A1466" t="s">
        <v>1661</v>
      </c>
      <c r="B1466" s="187">
        <v>46008</v>
      </c>
    </row>
    <row r="1467" spans="1:2" x14ac:dyDescent="0.25">
      <c r="A1467" t="s">
        <v>1662</v>
      </c>
      <c r="B1467" s="187">
        <v>59205</v>
      </c>
    </row>
    <row r="1468" spans="1:2" x14ac:dyDescent="0.25">
      <c r="A1468" t="s">
        <v>1663</v>
      </c>
      <c r="B1468" s="187">
        <v>58795</v>
      </c>
    </row>
    <row r="1469" spans="1:2" x14ac:dyDescent="0.25">
      <c r="A1469" t="s">
        <v>1664</v>
      </c>
      <c r="B1469" s="187">
        <v>63378</v>
      </c>
    </row>
    <row r="1470" spans="1:2" x14ac:dyDescent="0.25">
      <c r="A1470" t="s">
        <v>1665</v>
      </c>
      <c r="B1470" s="187">
        <v>45652</v>
      </c>
    </row>
    <row r="1471" spans="1:2" x14ac:dyDescent="0.25">
      <c r="A1471" t="s">
        <v>1666</v>
      </c>
      <c r="B1471" s="187">
        <v>45208</v>
      </c>
    </row>
    <row r="1472" spans="1:2" x14ac:dyDescent="0.25">
      <c r="A1472" t="s">
        <v>1667</v>
      </c>
      <c r="B1472" s="187">
        <v>66250</v>
      </c>
    </row>
    <row r="1473" spans="1:2" x14ac:dyDescent="0.25">
      <c r="A1473" t="s">
        <v>1668</v>
      </c>
      <c r="B1473" s="187">
        <v>42857</v>
      </c>
    </row>
    <row r="1474" spans="1:2" x14ac:dyDescent="0.25">
      <c r="A1474" t="s">
        <v>1669</v>
      </c>
      <c r="B1474" s="187">
        <v>46661</v>
      </c>
    </row>
    <row r="1475" spans="1:2" x14ac:dyDescent="0.25">
      <c r="A1475" t="s">
        <v>1670</v>
      </c>
      <c r="B1475" s="187">
        <v>53500</v>
      </c>
    </row>
    <row r="1476" spans="1:2" x14ac:dyDescent="0.25">
      <c r="A1476" t="s">
        <v>1671</v>
      </c>
      <c r="B1476" s="187">
        <v>42138</v>
      </c>
    </row>
    <row r="1477" spans="1:2" x14ac:dyDescent="0.25">
      <c r="A1477" t="s">
        <v>1672</v>
      </c>
      <c r="B1477" s="187">
        <v>66500</v>
      </c>
    </row>
    <row r="1478" spans="1:2" x14ac:dyDescent="0.25">
      <c r="A1478" t="s">
        <v>1673</v>
      </c>
      <c r="B1478" s="187">
        <v>52667</v>
      </c>
    </row>
    <row r="1479" spans="1:2" x14ac:dyDescent="0.25">
      <c r="A1479" t="s">
        <v>1674</v>
      </c>
      <c r="B1479" s="187">
        <v>62847</v>
      </c>
    </row>
    <row r="1480" spans="1:2" x14ac:dyDescent="0.25">
      <c r="A1480" t="s">
        <v>1675</v>
      </c>
      <c r="B1480" s="187">
        <v>41968</v>
      </c>
    </row>
    <row r="1481" spans="1:2" x14ac:dyDescent="0.25">
      <c r="A1481" t="s">
        <v>1676</v>
      </c>
      <c r="B1481" s="187">
        <v>36910</v>
      </c>
    </row>
    <row r="1482" spans="1:2" x14ac:dyDescent="0.25">
      <c r="A1482" t="s">
        <v>1677</v>
      </c>
      <c r="B1482" s="187">
        <v>41063</v>
      </c>
    </row>
    <row r="1483" spans="1:2" x14ac:dyDescent="0.25">
      <c r="A1483" t="s">
        <v>1678</v>
      </c>
      <c r="B1483" s="187">
        <v>41387</v>
      </c>
    </row>
    <row r="1484" spans="1:2" x14ac:dyDescent="0.25">
      <c r="A1484" t="s">
        <v>1679</v>
      </c>
      <c r="B1484" s="187">
        <v>26771</v>
      </c>
    </row>
    <row r="1485" spans="1:2" x14ac:dyDescent="0.25">
      <c r="A1485" t="s">
        <v>1680</v>
      </c>
      <c r="B1485" s="187">
        <v>38019</v>
      </c>
    </row>
    <row r="1486" spans="1:2" x14ac:dyDescent="0.25">
      <c r="A1486" t="s">
        <v>1681</v>
      </c>
      <c r="B1486" s="187">
        <v>41813</v>
      </c>
    </row>
    <row r="1487" spans="1:2" x14ac:dyDescent="0.25">
      <c r="A1487" t="s">
        <v>1682</v>
      </c>
      <c r="B1487" s="187">
        <v>85045</v>
      </c>
    </row>
    <row r="1488" spans="1:2" x14ac:dyDescent="0.25">
      <c r="A1488" t="s">
        <v>1683</v>
      </c>
      <c r="B1488" s="187">
        <v>50982</v>
      </c>
    </row>
    <row r="1489" spans="1:2" x14ac:dyDescent="0.25">
      <c r="A1489" t="s">
        <v>1684</v>
      </c>
      <c r="B1489" s="187">
        <v>38630</v>
      </c>
    </row>
    <row r="1490" spans="1:2" x14ac:dyDescent="0.25">
      <c r="A1490" t="s">
        <v>1685</v>
      </c>
      <c r="B1490" s="187">
        <v>53465</v>
      </c>
    </row>
    <row r="1491" spans="1:2" x14ac:dyDescent="0.25">
      <c r="A1491" t="s">
        <v>1686</v>
      </c>
      <c r="B1491" s="187">
        <v>47614</v>
      </c>
    </row>
    <row r="1492" spans="1:2" x14ac:dyDescent="0.25">
      <c r="A1492" t="s">
        <v>1687</v>
      </c>
      <c r="B1492" s="187">
        <v>41711</v>
      </c>
    </row>
    <row r="1493" spans="1:2" x14ac:dyDescent="0.25">
      <c r="A1493" t="s">
        <v>1688</v>
      </c>
      <c r="B1493" s="187">
        <v>60521</v>
      </c>
    </row>
    <row r="1494" spans="1:2" x14ac:dyDescent="0.25">
      <c r="A1494" t="s">
        <v>1689</v>
      </c>
      <c r="B1494" s="187">
        <v>110898</v>
      </c>
    </row>
    <row r="1495" spans="1:2" x14ac:dyDescent="0.25">
      <c r="A1495" t="s">
        <v>1690</v>
      </c>
      <c r="B1495" s="187">
        <v>51685</v>
      </c>
    </row>
    <row r="1496" spans="1:2" x14ac:dyDescent="0.25">
      <c r="A1496" t="s">
        <v>1691</v>
      </c>
      <c r="B1496" s="187">
        <v>91250</v>
      </c>
    </row>
    <row r="1497" spans="1:2" x14ac:dyDescent="0.25">
      <c r="A1497" t="s">
        <v>1692</v>
      </c>
      <c r="B1497" s="187">
        <v>31053</v>
      </c>
    </row>
    <row r="1498" spans="1:2" x14ac:dyDescent="0.25">
      <c r="A1498" t="s">
        <v>1693</v>
      </c>
      <c r="B1498" s="187">
        <v>45526</v>
      </c>
    </row>
    <row r="1499" spans="1:2" x14ac:dyDescent="0.25">
      <c r="A1499" t="s">
        <v>1694</v>
      </c>
      <c r="B1499" s="187">
        <v>40179</v>
      </c>
    </row>
    <row r="1500" spans="1:2" x14ac:dyDescent="0.25">
      <c r="A1500" t="s">
        <v>1695</v>
      </c>
      <c r="B1500" s="187">
        <v>67679</v>
      </c>
    </row>
    <row r="1501" spans="1:2" x14ac:dyDescent="0.25">
      <c r="A1501" t="s">
        <v>1696</v>
      </c>
      <c r="B1501" s="187">
        <v>47019</v>
      </c>
    </row>
    <row r="1502" spans="1:2" x14ac:dyDescent="0.25">
      <c r="A1502" t="s">
        <v>1697</v>
      </c>
      <c r="B1502" s="187">
        <v>96786</v>
      </c>
    </row>
    <row r="1503" spans="1:2" x14ac:dyDescent="0.25">
      <c r="A1503" t="s">
        <v>1698</v>
      </c>
      <c r="B1503" s="187">
        <v>69703</v>
      </c>
    </row>
    <row r="1504" spans="1:2" x14ac:dyDescent="0.25">
      <c r="A1504" t="s">
        <v>1699</v>
      </c>
      <c r="B1504" s="187">
        <v>18969</v>
      </c>
    </row>
    <row r="1505" spans="1:2" x14ac:dyDescent="0.25">
      <c r="A1505" t="s">
        <v>1700</v>
      </c>
      <c r="B1505" s="187">
        <v>14643</v>
      </c>
    </row>
    <row r="1506" spans="1:2" x14ac:dyDescent="0.25">
      <c r="A1506" t="s">
        <v>1701</v>
      </c>
      <c r="B1506" s="187">
        <v>9992</v>
      </c>
    </row>
    <row r="1507" spans="1:2" x14ac:dyDescent="0.25">
      <c r="A1507" t="s">
        <v>1702</v>
      </c>
      <c r="B1507" s="187">
        <v>80357</v>
      </c>
    </row>
    <row r="1508" spans="1:2" x14ac:dyDescent="0.25">
      <c r="A1508" t="s">
        <v>1703</v>
      </c>
      <c r="B1508" s="187">
        <v>77246</v>
      </c>
    </row>
    <row r="1509" spans="1:2" x14ac:dyDescent="0.25">
      <c r="A1509" t="s">
        <v>1704</v>
      </c>
      <c r="B1509" s="187">
        <v>60793</v>
      </c>
    </row>
    <row r="1510" spans="1:2" x14ac:dyDescent="0.25">
      <c r="A1510" t="s">
        <v>1705</v>
      </c>
      <c r="B1510" s="187">
        <v>40694</v>
      </c>
    </row>
    <row r="1511" spans="1:2" x14ac:dyDescent="0.25">
      <c r="A1511" t="s">
        <v>1706</v>
      </c>
      <c r="B1511" s="187">
        <v>117577</v>
      </c>
    </row>
    <row r="1512" spans="1:2" x14ac:dyDescent="0.25">
      <c r="A1512" t="s">
        <v>1707</v>
      </c>
      <c r="B1512" s="187">
        <v>30283</v>
      </c>
    </row>
    <row r="1513" spans="1:2" x14ac:dyDescent="0.25">
      <c r="A1513" t="s">
        <v>1708</v>
      </c>
      <c r="B1513" s="187">
        <v>56090</v>
      </c>
    </row>
    <row r="1514" spans="1:2" x14ac:dyDescent="0.25">
      <c r="A1514" t="s">
        <v>1709</v>
      </c>
      <c r="B1514" s="186">
        <v>0</v>
      </c>
    </row>
    <row r="1515" spans="1:2" x14ac:dyDescent="0.25">
      <c r="A1515" t="s">
        <v>1710</v>
      </c>
      <c r="B1515" s="186">
        <v>0</v>
      </c>
    </row>
    <row r="1516" spans="1:2" x14ac:dyDescent="0.25">
      <c r="A1516" t="s">
        <v>1711</v>
      </c>
      <c r="B1516" s="187">
        <v>90094</v>
      </c>
    </row>
    <row r="1517" spans="1:2" x14ac:dyDescent="0.25">
      <c r="A1517" t="s">
        <v>1712</v>
      </c>
      <c r="B1517" s="187">
        <v>91844</v>
      </c>
    </row>
    <row r="1518" spans="1:2" x14ac:dyDescent="0.25">
      <c r="A1518" t="s">
        <v>1713</v>
      </c>
      <c r="B1518" s="187">
        <v>72601</v>
      </c>
    </row>
    <row r="1519" spans="1:2" x14ac:dyDescent="0.25">
      <c r="A1519" t="s">
        <v>1714</v>
      </c>
      <c r="B1519" s="187">
        <v>75475</v>
      </c>
    </row>
    <row r="1520" spans="1:2" x14ac:dyDescent="0.25">
      <c r="A1520" t="s">
        <v>1715</v>
      </c>
      <c r="B1520" s="187">
        <v>64274</v>
      </c>
    </row>
    <row r="1521" spans="1:2" x14ac:dyDescent="0.25">
      <c r="A1521" t="s">
        <v>1716</v>
      </c>
      <c r="B1521" s="187">
        <v>65043</v>
      </c>
    </row>
    <row r="1522" spans="1:2" x14ac:dyDescent="0.25">
      <c r="A1522" t="s">
        <v>1717</v>
      </c>
      <c r="B1522" s="187">
        <v>45962</v>
      </c>
    </row>
    <row r="1523" spans="1:2" x14ac:dyDescent="0.25">
      <c r="A1523" t="s">
        <v>1718</v>
      </c>
      <c r="B1523" s="187">
        <v>15918</v>
      </c>
    </row>
    <row r="1524" spans="1:2" x14ac:dyDescent="0.25">
      <c r="A1524" t="s">
        <v>1719</v>
      </c>
      <c r="B1524" s="187">
        <v>66806</v>
      </c>
    </row>
    <row r="1525" spans="1:2" x14ac:dyDescent="0.25">
      <c r="A1525" t="s">
        <v>1720</v>
      </c>
      <c r="B1525" s="187">
        <v>82649</v>
      </c>
    </row>
    <row r="1526" spans="1:2" x14ac:dyDescent="0.25">
      <c r="A1526" t="s">
        <v>1721</v>
      </c>
      <c r="B1526" s="187">
        <v>82500</v>
      </c>
    </row>
    <row r="1527" spans="1:2" x14ac:dyDescent="0.25">
      <c r="A1527" t="s">
        <v>1722</v>
      </c>
      <c r="B1527" s="187">
        <v>63433</v>
      </c>
    </row>
    <row r="1528" spans="1:2" x14ac:dyDescent="0.25">
      <c r="A1528" t="s">
        <v>1723</v>
      </c>
      <c r="B1528" s="187">
        <v>48469</v>
      </c>
    </row>
    <row r="1529" spans="1:2" x14ac:dyDescent="0.25">
      <c r="A1529" t="s">
        <v>1724</v>
      </c>
      <c r="B1529" s="187">
        <v>54972</v>
      </c>
    </row>
    <row r="1530" spans="1:2" x14ac:dyDescent="0.25">
      <c r="A1530" t="s">
        <v>1725</v>
      </c>
      <c r="B1530" s="187">
        <v>55789</v>
      </c>
    </row>
    <row r="1531" spans="1:2" x14ac:dyDescent="0.25">
      <c r="A1531" t="s">
        <v>1726</v>
      </c>
      <c r="B1531" s="187">
        <v>44926</v>
      </c>
    </row>
    <row r="1532" spans="1:2" x14ac:dyDescent="0.25">
      <c r="A1532" t="s">
        <v>1727</v>
      </c>
      <c r="B1532" s="187">
        <v>76875</v>
      </c>
    </row>
    <row r="1533" spans="1:2" x14ac:dyDescent="0.25">
      <c r="A1533" t="s">
        <v>1728</v>
      </c>
      <c r="B1533" s="187">
        <v>46236</v>
      </c>
    </row>
    <row r="1534" spans="1:2" x14ac:dyDescent="0.25">
      <c r="A1534" t="s">
        <v>1729</v>
      </c>
      <c r="B1534" s="187">
        <v>51797</v>
      </c>
    </row>
    <row r="1535" spans="1:2" x14ac:dyDescent="0.25">
      <c r="A1535" t="s">
        <v>1730</v>
      </c>
      <c r="B1535" s="187">
        <v>37212</v>
      </c>
    </row>
    <row r="1536" spans="1:2" x14ac:dyDescent="0.25">
      <c r="A1536" t="s">
        <v>1731</v>
      </c>
      <c r="B1536" s="187">
        <v>66339</v>
      </c>
    </row>
    <row r="1537" spans="1:2" x14ac:dyDescent="0.25">
      <c r="A1537" t="s">
        <v>1732</v>
      </c>
      <c r="B1537" s="187">
        <v>57055</v>
      </c>
    </row>
    <row r="1538" spans="1:2" x14ac:dyDescent="0.25">
      <c r="A1538" t="s">
        <v>1733</v>
      </c>
      <c r="B1538" s="187">
        <v>61131</v>
      </c>
    </row>
    <row r="1539" spans="1:2" x14ac:dyDescent="0.25">
      <c r="A1539" t="s">
        <v>1734</v>
      </c>
      <c r="B1539" s="187">
        <v>53464</v>
      </c>
    </row>
    <row r="1540" spans="1:2" x14ac:dyDescent="0.25">
      <c r="A1540" t="s">
        <v>1735</v>
      </c>
      <c r="B1540" s="187">
        <v>46105</v>
      </c>
    </row>
    <row r="1541" spans="1:2" x14ac:dyDescent="0.25">
      <c r="A1541" t="s">
        <v>1736</v>
      </c>
      <c r="B1541" s="187">
        <v>37632</v>
      </c>
    </row>
    <row r="1542" spans="1:2" x14ac:dyDescent="0.25">
      <c r="A1542" t="s">
        <v>1737</v>
      </c>
      <c r="B1542" s="187">
        <v>29784</v>
      </c>
    </row>
    <row r="1543" spans="1:2" x14ac:dyDescent="0.25">
      <c r="A1543" t="s">
        <v>1738</v>
      </c>
      <c r="B1543" s="187">
        <v>26500</v>
      </c>
    </row>
    <row r="1544" spans="1:2" x14ac:dyDescent="0.25">
      <c r="A1544" t="s">
        <v>1739</v>
      </c>
      <c r="B1544" s="187">
        <v>33011</v>
      </c>
    </row>
    <row r="1545" spans="1:2" x14ac:dyDescent="0.25">
      <c r="A1545" t="s">
        <v>1740</v>
      </c>
      <c r="B1545" s="187">
        <v>27292</v>
      </c>
    </row>
    <row r="1546" spans="1:2" x14ac:dyDescent="0.25">
      <c r="A1546" t="s">
        <v>1741</v>
      </c>
      <c r="B1546" s="187">
        <v>38219</v>
      </c>
    </row>
    <row r="1547" spans="1:2" x14ac:dyDescent="0.25">
      <c r="A1547" t="s">
        <v>1742</v>
      </c>
      <c r="B1547" s="187">
        <v>35250</v>
      </c>
    </row>
    <row r="1548" spans="1:2" x14ac:dyDescent="0.25">
      <c r="A1548" t="s">
        <v>1743</v>
      </c>
      <c r="B1548" s="187">
        <v>77083</v>
      </c>
    </row>
    <row r="1549" spans="1:2" x14ac:dyDescent="0.25">
      <c r="A1549" t="s">
        <v>1744</v>
      </c>
      <c r="B1549" s="187">
        <v>26442</v>
      </c>
    </row>
    <row r="1550" spans="1:2" x14ac:dyDescent="0.25">
      <c r="A1550" t="s">
        <v>1745</v>
      </c>
      <c r="B1550" s="187">
        <v>16912</v>
      </c>
    </row>
    <row r="1551" spans="1:2" x14ac:dyDescent="0.25">
      <c r="A1551" t="s">
        <v>1746</v>
      </c>
      <c r="B1551" s="187">
        <v>37774</v>
      </c>
    </row>
    <row r="1552" spans="1:2" x14ac:dyDescent="0.25">
      <c r="A1552" t="s">
        <v>1747</v>
      </c>
      <c r="B1552" s="187">
        <v>32639</v>
      </c>
    </row>
    <row r="1553" spans="1:2" x14ac:dyDescent="0.25">
      <c r="A1553" t="s">
        <v>1748</v>
      </c>
      <c r="B1553" s="187">
        <v>40114</v>
      </c>
    </row>
    <row r="1554" spans="1:2" x14ac:dyDescent="0.25">
      <c r="A1554" t="s">
        <v>1749</v>
      </c>
      <c r="B1554" s="187">
        <v>29122</v>
      </c>
    </row>
    <row r="1555" spans="1:2" x14ac:dyDescent="0.25">
      <c r="A1555" t="s">
        <v>1750</v>
      </c>
      <c r="B1555" s="187">
        <v>26094</v>
      </c>
    </row>
    <row r="1556" spans="1:2" x14ac:dyDescent="0.25">
      <c r="A1556" t="s">
        <v>1751</v>
      </c>
      <c r="B1556" s="187">
        <v>50032</v>
      </c>
    </row>
    <row r="1557" spans="1:2" x14ac:dyDescent="0.25">
      <c r="A1557" t="s">
        <v>1752</v>
      </c>
      <c r="B1557" s="187">
        <v>52857</v>
      </c>
    </row>
    <row r="1558" spans="1:2" x14ac:dyDescent="0.25">
      <c r="A1558" t="s">
        <v>1753</v>
      </c>
      <c r="B1558" s="187">
        <v>43728</v>
      </c>
    </row>
    <row r="1559" spans="1:2" x14ac:dyDescent="0.25">
      <c r="A1559" t="s">
        <v>1754</v>
      </c>
      <c r="B1559" s="187">
        <v>31950</v>
      </c>
    </row>
    <row r="1560" spans="1:2" x14ac:dyDescent="0.25">
      <c r="A1560" t="s">
        <v>1755</v>
      </c>
      <c r="B1560" s="187">
        <v>49457</v>
      </c>
    </row>
    <row r="1561" spans="1:2" x14ac:dyDescent="0.25">
      <c r="A1561" t="s">
        <v>1756</v>
      </c>
      <c r="B1561" s="187">
        <v>54438</v>
      </c>
    </row>
    <row r="1562" spans="1:2" x14ac:dyDescent="0.25">
      <c r="A1562" t="s">
        <v>1757</v>
      </c>
      <c r="B1562" s="187">
        <v>34572</v>
      </c>
    </row>
    <row r="1563" spans="1:2" x14ac:dyDescent="0.25">
      <c r="A1563" t="s">
        <v>1758</v>
      </c>
      <c r="B1563" s="187">
        <v>65926</v>
      </c>
    </row>
    <row r="1564" spans="1:2" x14ac:dyDescent="0.25">
      <c r="A1564" t="s">
        <v>1759</v>
      </c>
      <c r="B1564" s="187">
        <v>38113</v>
      </c>
    </row>
    <row r="1565" spans="1:2" x14ac:dyDescent="0.25">
      <c r="A1565" t="s">
        <v>1760</v>
      </c>
      <c r="B1565" s="187">
        <v>42576</v>
      </c>
    </row>
    <row r="1566" spans="1:2" x14ac:dyDescent="0.25">
      <c r="A1566" t="s">
        <v>1761</v>
      </c>
      <c r="B1566" s="187">
        <v>78649</v>
      </c>
    </row>
    <row r="1567" spans="1:2" x14ac:dyDescent="0.25">
      <c r="A1567" t="s">
        <v>1762</v>
      </c>
      <c r="B1567" s="187">
        <v>55938</v>
      </c>
    </row>
    <row r="1568" spans="1:2" x14ac:dyDescent="0.25">
      <c r="A1568" t="s">
        <v>1763</v>
      </c>
      <c r="B1568" s="187">
        <v>53809</v>
      </c>
    </row>
    <row r="1569" spans="1:2" x14ac:dyDescent="0.25">
      <c r="A1569" t="s">
        <v>1764</v>
      </c>
      <c r="B1569" s="187">
        <v>38981</v>
      </c>
    </row>
    <row r="1570" spans="1:2" x14ac:dyDescent="0.25">
      <c r="A1570" t="s">
        <v>1765</v>
      </c>
      <c r="B1570" s="187">
        <v>31371</v>
      </c>
    </row>
    <row r="1571" spans="1:2" x14ac:dyDescent="0.25">
      <c r="A1571" t="s">
        <v>1766</v>
      </c>
      <c r="B1571" s="187">
        <v>105658</v>
      </c>
    </row>
    <row r="1572" spans="1:2" x14ac:dyDescent="0.25">
      <c r="A1572" t="s">
        <v>1767</v>
      </c>
      <c r="B1572" s="187">
        <v>38717</v>
      </c>
    </row>
    <row r="1573" spans="1:2" x14ac:dyDescent="0.25">
      <c r="A1573" t="s">
        <v>1768</v>
      </c>
      <c r="B1573" s="187">
        <v>80926</v>
      </c>
    </row>
    <row r="1574" spans="1:2" x14ac:dyDescent="0.25">
      <c r="A1574" t="s">
        <v>1769</v>
      </c>
      <c r="B1574" s="187">
        <v>66786</v>
      </c>
    </row>
    <row r="1575" spans="1:2" x14ac:dyDescent="0.25">
      <c r="A1575" t="s">
        <v>1770</v>
      </c>
      <c r="B1575" s="187">
        <v>89200</v>
      </c>
    </row>
    <row r="1576" spans="1:2" x14ac:dyDescent="0.25">
      <c r="A1576" t="s">
        <v>1771</v>
      </c>
      <c r="B1576" s="187">
        <v>97071</v>
      </c>
    </row>
    <row r="1577" spans="1:2" x14ac:dyDescent="0.25">
      <c r="A1577" t="s">
        <v>1772</v>
      </c>
      <c r="B1577" s="187">
        <v>43955</v>
      </c>
    </row>
    <row r="1578" spans="1:2" x14ac:dyDescent="0.25">
      <c r="A1578" t="s">
        <v>1773</v>
      </c>
      <c r="B1578" s="187">
        <v>64688</v>
      </c>
    </row>
    <row r="1579" spans="1:2" x14ac:dyDescent="0.25">
      <c r="A1579" t="s">
        <v>1774</v>
      </c>
      <c r="B1579" s="187">
        <v>67292</v>
      </c>
    </row>
    <row r="1580" spans="1:2" x14ac:dyDescent="0.25">
      <c r="A1580" t="s">
        <v>1775</v>
      </c>
      <c r="B1580" s="187">
        <v>85189</v>
      </c>
    </row>
    <row r="1581" spans="1:2" x14ac:dyDescent="0.25">
      <c r="A1581" t="s">
        <v>1776</v>
      </c>
      <c r="B1581" s="187">
        <v>72386</v>
      </c>
    </row>
    <row r="1582" spans="1:2" x14ac:dyDescent="0.25">
      <c r="A1582" t="s">
        <v>1777</v>
      </c>
      <c r="B1582" s="187">
        <v>84712</v>
      </c>
    </row>
    <row r="1583" spans="1:2" x14ac:dyDescent="0.25">
      <c r="A1583" t="s">
        <v>1778</v>
      </c>
      <c r="B1583" s="187">
        <v>95996</v>
      </c>
    </row>
    <row r="1584" spans="1:2" x14ac:dyDescent="0.25">
      <c r="A1584" t="s">
        <v>1779</v>
      </c>
      <c r="B1584" s="187">
        <v>40340</v>
      </c>
    </row>
    <row r="1585" spans="1:2" x14ac:dyDescent="0.25">
      <c r="A1585" t="s">
        <v>1780</v>
      </c>
      <c r="B1585" s="186">
        <v>0</v>
      </c>
    </row>
    <row r="1586" spans="1:2" x14ac:dyDescent="0.25">
      <c r="A1586" t="s">
        <v>1781</v>
      </c>
      <c r="B1586" s="186">
        <v>0</v>
      </c>
    </row>
    <row r="1587" spans="1:2" x14ac:dyDescent="0.25">
      <c r="A1587" t="s">
        <v>1782</v>
      </c>
      <c r="B1587" s="186">
        <v>0</v>
      </c>
    </row>
    <row r="1588" spans="1:2" x14ac:dyDescent="0.25">
      <c r="A1588" t="s">
        <v>1783</v>
      </c>
      <c r="B1588" s="186">
        <v>0</v>
      </c>
    </row>
    <row r="1589" spans="1:2" x14ac:dyDescent="0.25">
      <c r="A1589" t="s">
        <v>1784</v>
      </c>
      <c r="B1589" s="186">
        <v>0</v>
      </c>
    </row>
    <row r="1590" spans="1:2" x14ac:dyDescent="0.25">
      <c r="A1590" t="s">
        <v>1785</v>
      </c>
      <c r="B1590" s="187">
        <v>64519</v>
      </c>
    </row>
    <row r="1591" spans="1:2" x14ac:dyDescent="0.25">
      <c r="A1591" t="s">
        <v>1786</v>
      </c>
      <c r="B1591" s="187">
        <v>54643</v>
      </c>
    </row>
    <row r="1592" spans="1:2" x14ac:dyDescent="0.25">
      <c r="A1592" t="s">
        <v>1787</v>
      </c>
      <c r="B1592" s="187">
        <v>56500</v>
      </c>
    </row>
    <row r="1593" spans="1:2" x14ac:dyDescent="0.25">
      <c r="A1593" t="s">
        <v>1788</v>
      </c>
      <c r="B1593" s="187">
        <v>64559</v>
      </c>
    </row>
    <row r="1594" spans="1:2" x14ac:dyDescent="0.25">
      <c r="A1594" t="s">
        <v>1789</v>
      </c>
      <c r="B1594" s="187">
        <v>41114</v>
      </c>
    </row>
    <row r="1595" spans="1:2" x14ac:dyDescent="0.25">
      <c r="A1595" t="s">
        <v>1790</v>
      </c>
      <c r="B1595" s="187">
        <v>24306</v>
      </c>
    </row>
    <row r="1596" spans="1:2" x14ac:dyDescent="0.25">
      <c r="A1596" t="s">
        <v>1791</v>
      </c>
      <c r="B1596" s="187">
        <v>34297</v>
      </c>
    </row>
    <row r="1597" spans="1:2" x14ac:dyDescent="0.25">
      <c r="A1597" t="s">
        <v>1792</v>
      </c>
      <c r="B1597" s="187">
        <v>20561</v>
      </c>
    </row>
    <row r="1598" spans="1:2" x14ac:dyDescent="0.25">
      <c r="A1598" t="s">
        <v>1793</v>
      </c>
      <c r="B1598" s="187">
        <v>23542</v>
      </c>
    </row>
    <row r="1599" spans="1:2" x14ac:dyDescent="0.25">
      <c r="A1599" t="s">
        <v>1794</v>
      </c>
      <c r="B1599" s="187">
        <v>32841</v>
      </c>
    </row>
    <row r="1600" spans="1:2" x14ac:dyDescent="0.25">
      <c r="A1600" t="s">
        <v>1795</v>
      </c>
      <c r="B1600" s="187">
        <v>40938</v>
      </c>
    </row>
    <row r="1601" spans="1:2" x14ac:dyDescent="0.25">
      <c r="A1601" t="s">
        <v>1796</v>
      </c>
      <c r="B1601" s="187">
        <v>49161</v>
      </c>
    </row>
    <row r="1602" spans="1:2" x14ac:dyDescent="0.25">
      <c r="A1602" t="s">
        <v>1797</v>
      </c>
      <c r="B1602" s="187">
        <v>25755</v>
      </c>
    </row>
    <row r="1603" spans="1:2" x14ac:dyDescent="0.25">
      <c r="A1603" t="s">
        <v>1798</v>
      </c>
      <c r="B1603" s="187">
        <v>33323</v>
      </c>
    </row>
    <row r="1604" spans="1:2" x14ac:dyDescent="0.25">
      <c r="A1604" t="s">
        <v>1799</v>
      </c>
      <c r="B1604" s="187">
        <v>40905</v>
      </c>
    </row>
    <row r="1605" spans="1:2" x14ac:dyDescent="0.25">
      <c r="A1605" t="s">
        <v>1800</v>
      </c>
      <c r="B1605" s="187">
        <v>64583</v>
      </c>
    </row>
    <row r="1606" spans="1:2" x14ac:dyDescent="0.25">
      <c r="A1606" t="s">
        <v>1801</v>
      </c>
      <c r="B1606" s="187">
        <v>43059</v>
      </c>
    </row>
    <row r="1607" spans="1:2" x14ac:dyDescent="0.25">
      <c r="A1607" t="s">
        <v>1802</v>
      </c>
      <c r="B1607" s="187">
        <v>75489</v>
      </c>
    </row>
    <row r="1608" spans="1:2" x14ac:dyDescent="0.25">
      <c r="A1608" t="s">
        <v>1803</v>
      </c>
      <c r="B1608" s="187">
        <v>34869</v>
      </c>
    </row>
    <row r="1609" spans="1:2" x14ac:dyDescent="0.25">
      <c r="A1609" t="s">
        <v>1804</v>
      </c>
      <c r="B1609" s="187">
        <v>34408</v>
      </c>
    </row>
    <row r="1610" spans="1:2" x14ac:dyDescent="0.25">
      <c r="A1610" t="s">
        <v>1805</v>
      </c>
      <c r="B1610" s="187">
        <v>22990</v>
      </c>
    </row>
    <row r="1611" spans="1:2" x14ac:dyDescent="0.25">
      <c r="A1611" t="s">
        <v>1806</v>
      </c>
      <c r="B1611" s="187">
        <v>74787</v>
      </c>
    </row>
    <row r="1612" spans="1:2" x14ac:dyDescent="0.25">
      <c r="A1612" t="s">
        <v>1807</v>
      </c>
      <c r="B1612" s="187">
        <v>61489</v>
      </c>
    </row>
    <row r="1613" spans="1:2" x14ac:dyDescent="0.25">
      <c r="A1613" t="s">
        <v>1808</v>
      </c>
      <c r="B1613" s="187">
        <v>51711</v>
      </c>
    </row>
    <row r="1614" spans="1:2" x14ac:dyDescent="0.25">
      <c r="A1614" t="s">
        <v>1809</v>
      </c>
      <c r="B1614" s="187">
        <v>68176</v>
      </c>
    </row>
    <row r="1615" spans="1:2" x14ac:dyDescent="0.25">
      <c r="A1615" t="s">
        <v>1810</v>
      </c>
      <c r="B1615" s="187">
        <v>44113</v>
      </c>
    </row>
    <row r="1616" spans="1:2" x14ac:dyDescent="0.25">
      <c r="A1616" t="s">
        <v>1811</v>
      </c>
      <c r="B1616" s="187">
        <v>45240</v>
      </c>
    </row>
    <row r="1617" spans="1:2" x14ac:dyDescent="0.25">
      <c r="A1617" t="s">
        <v>1812</v>
      </c>
      <c r="B1617" s="187">
        <v>66588</v>
      </c>
    </row>
    <row r="1618" spans="1:2" x14ac:dyDescent="0.25">
      <c r="A1618" t="s">
        <v>1813</v>
      </c>
      <c r="B1618" s="187">
        <v>54671</v>
      </c>
    </row>
    <row r="1619" spans="1:2" x14ac:dyDescent="0.25">
      <c r="A1619" t="s">
        <v>1814</v>
      </c>
      <c r="B1619" s="187">
        <v>64444</v>
      </c>
    </row>
    <row r="1620" spans="1:2" x14ac:dyDescent="0.25">
      <c r="A1620" t="s">
        <v>1815</v>
      </c>
      <c r="B1620" s="187">
        <v>39268</v>
      </c>
    </row>
    <row r="1621" spans="1:2" x14ac:dyDescent="0.25">
      <c r="A1621" t="s">
        <v>1816</v>
      </c>
      <c r="B1621" s="187">
        <v>69620</v>
      </c>
    </row>
    <row r="1622" spans="1:2" x14ac:dyDescent="0.25">
      <c r="A1622" t="s">
        <v>1817</v>
      </c>
      <c r="B1622" s="187">
        <v>67904</v>
      </c>
    </row>
    <row r="1623" spans="1:2" x14ac:dyDescent="0.25">
      <c r="A1623" t="s">
        <v>1818</v>
      </c>
      <c r="B1623" s="187">
        <v>27945</v>
      </c>
    </row>
    <row r="1624" spans="1:2" x14ac:dyDescent="0.25">
      <c r="A1624" t="s">
        <v>1819</v>
      </c>
      <c r="B1624" s="187">
        <v>12982</v>
      </c>
    </row>
    <row r="1625" spans="1:2" x14ac:dyDescent="0.25">
      <c r="A1625" t="s">
        <v>1820</v>
      </c>
      <c r="B1625" s="187">
        <v>52446</v>
      </c>
    </row>
    <row r="1626" spans="1:2" x14ac:dyDescent="0.25">
      <c r="A1626" t="s">
        <v>1821</v>
      </c>
      <c r="B1626" s="187">
        <v>54537</v>
      </c>
    </row>
    <row r="1627" spans="1:2" x14ac:dyDescent="0.25">
      <c r="A1627" t="s">
        <v>1822</v>
      </c>
      <c r="B1627" s="187">
        <v>59189</v>
      </c>
    </row>
    <row r="1628" spans="1:2" x14ac:dyDescent="0.25">
      <c r="A1628" t="s">
        <v>1823</v>
      </c>
      <c r="B1628" s="187">
        <v>57415</v>
      </c>
    </row>
    <row r="1629" spans="1:2" x14ac:dyDescent="0.25">
      <c r="A1629" t="s">
        <v>1824</v>
      </c>
      <c r="B1629" s="187">
        <v>59421</v>
      </c>
    </row>
    <row r="1630" spans="1:2" x14ac:dyDescent="0.25">
      <c r="A1630" t="s">
        <v>1825</v>
      </c>
      <c r="B1630" s="187">
        <v>71301</v>
      </c>
    </row>
    <row r="1631" spans="1:2" x14ac:dyDescent="0.25">
      <c r="A1631" t="s">
        <v>1826</v>
      </c>
      <c r="B1631" s="187">
        <v>46019</v>
      </c>
    </row>
    <row r="1632" spans="1:2" x14ac:dyDescent="0.25">
      <c r="A1632" t="s">
        <v>1827</v>
      </c>
      <c r="B1632" s="187">
        <v>47639</v>
      </c>
    </row>
    <row r="1633" spans="1:2" x14ac:dyDescent="0.25">
      <c r="A1633" t="s">
        <v>1828</v>
      </c>
      <c r="B1633" s="187">
        <v>44663</v>
      </c>
    </row>
    <row r="1634" spans="1:2" x14ac:dyDescent="0.25">
      <c r="A1634" t="s">
        <v>1829</v>
      </c>
      <c r="B1634" s="187">
        <v>61978</v>
      </c>
    </row>
    <row r="1635" spans="1:2" x14ac:dyDescent="0.25">
      <c r="A1635" t="s">
        <v>1830</v>
      </c>
      <c r="B1635" s="187">
        <v>65066</v>
      </c>
    </row>
    <row r="1636" spans="1:2" x14ac:dyDescent="0.25">
      <c r="A1636" t="s">
        <v>1831</v>
      </c>
      <c r="B1636" s="187">
        <v>50357</v>
      </c>
    </row>
    <row r="1637" spans="1:2" x14ac:dyDescent="0.25">
      <c r="A1637" t="s">
        <v>1832</v>
      </c>
      <c r="B1637" s="187">
        <v>72167</v>
      </c>
    </row>
    <row r="1638" spans="1:2" x14ac:dyDescent="0.25">
      <c r="A1638" t="s">
        <v>1833</v>
      </c>
      <c r="B1638" s="187">
        <v>69583</v>
      </c>
    </row>
    <row r="1639" spans="1:2" x14ac:dyDescent="0.25">
      <c r="A1639" t="s">
        <v>1834</v>
      </c>
      <c r="B1639" s="187">
        <v>81932</v>
      </c>
    </row>
    <row r="1640" spans="1:2" x14ac:dyDescent="0.25">
      <c r="A1640" t="s">
        <v>1835</v>
      </c>
      <c r="B1640" s="187">
        <v>66920</v>
      </c>
    </row>
    <row r="1641" spans="1:2" x14ac:dyDescent="0.25">
      <c r="A1641" t="s">
        <v>1836</v>
      </c>
      <c r="B1641" s="187">
        <v>49070</v>
      </c>
    </row>
    <row r="1642" spans="1:2" x14ac:dyDescent="0.25">
      <c r="A1642" t="s">
        <v>1837</v>
      </c>
      <c r="B1642" s="187">
        <v>84375</v>
      </c>
    </row>
    <row r="1643" spans="1:2" x14ac:dyDescent="0.25">
      <c r="A1643" t="s">
        <v>1838</v>
      </c>
      <c r="B1643" s="187">
        <v>80912</v>
      </c>
    </row>
    <row r="1644" spans="1:2" x14ac:dyDescent="0.25">
      <c r="A1644" t="s">
        <v>1839</v>
      </c>
      <c r="B1644" s="187">
        <v>65139</v>
      </c>
    </row>
    <row r="1645" spans="1:2" x14ac:dyDescent="0.25">
      <c r="A1645" t="s">
        <v>1840</v>
      </c>
      <c r="B1645" s="187">
        <v>52353</v>
      </c>
    </row>
    <row r="1646" spans="1:2" x14ac:dyDescent="0.25">
      <c r="A1646" t="s">
        <v>1841</v>
      </c>
      <c r="B1646" s="187">
        <v>78502</v>
      </c>
    </row>
    <row r="1647" spans="1:2" x14ac:dyDescent="0.25">
      <c r="A1647" t="s">
        <v>1842</v>
      </c>
      <c r="B1647" s="187">
        <v>99198</v>
      </c>
    </row>
    <row r="1648" spans="1:2" x14ac:dyDescent="0.25">
      <c r="A1648" t="s">
        <v>1843</v>
      </c>
      <c r="B1648" s="187">
        <v>92163</v>
      </c>
    </row>
    <row r="1649" spans="1:2" x14ac:dyDescent="0.25">
      <c r="A1649" t="s">
        <v>1844</v>
      </c>
      <c r="B1649" s="187">
        <v>91275</v>
      </c>
    </row>
    <row r="1650" spans="1:2" x14ac:dyDescent="0.25">
      <c r="A1650" t="s">
        <v>1845</v>
      </c>
      <c r="B1650" s="187">
        <v>101354</v>
      </c>
    </row>
    <row r="1651" spans="1:2" x14ac:dyDescent="0.25">
      <c r="A1651" t="s">
        <v>1846</v>
      </c>
      <c r="B1651" s="187">
        <v>99063</v>
      </c>
    </row>
    <row r="1652" spans="1:2" x14ac:dyDescent="0.25">
      <c r="A1652" t="s">
        <v>1847</v>
      </c>
      <c r="B1652" s="187">
        <v>90504</v>
      </c>
    </row>
    <row r="1653" spans="1:2" x14ac:dyDescent="0.25">
      <c r="A1653" t="s">
        <v>1848</v>
      </c>
      <c r="B1653" s="187">
        <v>64854</v>
      </c>
    </row>
    <row r="1654" spans="1:2" x14ac:dyDescent="0.25">
      <c r="A1654" t="s">
        <v>1849</v>
      </c>
      <c r="B1654" s="187">
        <v>54191</v>
      </c>
    </row>
    <row r="1655" spans="1:2" x14ac:dyDescent="0.25">
      <c r="A1655" t="s">
        <v>1850</v>
      </c>
      <c r="B1655" s="187">
        <v>48201</v>
      </c>
    </row>
    <row r="1656" spans="1:2" x14ac:dyDescent="0.25">
      <c r="A1656" t="s">
        <v>1851</v>
      </c>
      <c r="B1656" s="187">
        <v>58154</v>
      </c>
    </row>
    <row r="1657" spans="1:2" x14ac:dyDescent="0.25">
      <c r="A1657" t="s">
        <v>1852</v>
      </c>
      <c r="B1657" s="187">
        <v>34028</v>
      </c>
    </row>
    <row r="1658" spans="1:2" x14ac:dyDescent="0.25">
      <c r="A1658" t="s">
        <v>1853</v>
      </c>
      <c r="B1658" s="187">
        <v>58000</v>
      </c>
    </row>
    <row r="1659" spans="1:2" x14ac:dyDescent="0.25">
      <c r="A1659" t="s">
        <v>1854</v>
      </c>
      <c r="B1659" s="187">
        <v>50581</v>
      </c>
    </row>
    <row r="1660" spans="1:2" x14ac:dyDescent="0.25">
      <c r="A1660" t="s">
        <v>1855</v>
      </c>
      <c r="B1660" s="187">
        <v>60189</v>
      </c>
    </row>
    <row r="1661" spans="1:2" x14ac:dyDescent="0.25">
      <c r="A1661" t="s">
        <v>1856</v>
      </c>
      <c r="B1661" s="187">
        <v>24065</v>
      </c>
    </row>
    <row r="1662" spans="1:2" x14ac:dyDescent="0.25">
      <c r="A1662" t="s">
        <v>1857</v>
      </c>
      <c r="B1662" s="187">
        <v>42236</v>
      </c>
    </row>
    <row r="1663" spans="1:2" x14ac:dyDescent="0.25">
      <c r="A1663" t="s">
        <v>1858</v>
      </c>
      <c r="B1663" s="187">
        <v>34179</v>
      </c>
    </row>
    <row r="1664" spans="1:2" x14ac:dyDescent="0.25">
      <c r="A1664" t="s">
        <v>1859</v>
      </c>
      <c r="B1664" s="187">
        <v>28828</v>
      </c>
    </row>
    <row r="1665" spans="1:2" x14ac:dyDescent="0.25">
      <c r="A1665" t="s">
        <v>1860</v>
      </c>
      <c r="B1665" s="187">
        <v>51152</v>
      </c>
    </row>
    <row r="1666" spans="1:2" x14ac:dyDescent="0.25">
      <c r="A1666" t="s">
        <v>1861</v>
      </c>
      <c r="B1666" s="187">
        <v>46517</v>
      </c>
    </row>
    <row r="1667" spans="1:2" x14ac:dyDescent="0.25">
      <c r="A1667" t="s">
        <v>1862</v>
      </c>
      <c r="B1667" s="187">
        <v>37440</v>
      </c>
    </row>
    <row r="1668" spans="1:2" x14ac:dyDescent="0.25">
      <c r="A1668" t="s">
        <v>1863</v>
      </c>
      <c r="B1668" s="187">
        <v>43021</v>
      </c>
    </row>
    <row r="1669" spans="1:2" x14ac:dyDescent="0.25">
      <c r="A1669" t="s">
        <v>1864</v>
      </c>
      <c r="B1669" s="187">
        <v>67368</v>
      </c>
    </row>
    <row r="1670" spans="1:2" x14ac:dyDescent="0.25">
      <c r="A1670" t="s">
        <v>1865</v>
      </c>
      <c r="B1670" s="187">
        <v>61121</v>
      </c>
    </row>
    <row r="1671" spans="1:2" x14ac:dyDescent="0.25">
      <c r="A1671" t="s">
        <v>1866</v>
      </c>
      <c r="B1671" s="187">
        <v>62950</v>
      </c>
    </row>
    <row r="1672" spans="1:2" x14ac:dyDescent="0.25">
      <c r="A1672" t="s">
        <v>1867</v>
      </c>
      <c r="B1672" s="187">
        <v>72120</v>
      </c>
    </row>
    <row r="1673" spans="1:2" x14ac:dyDescent="0.25">
      <c r="A1673" t="s">
        <v>1868</v>
      </c>
      <c r="B1673" s="187">
        <v>65825</v>
      </c>
    </row>
    <row r="1674" spans="1:2" x14ac:dyDescent="0.25">
      <c r="A1674" t="s">
        <v>1869</v>
      </c>
      <c r="B1674" s="187">
        <v>53313</v>
      </c>
    </row>
    <row r="1675" spans="1:2" x14ac:dyDescent="0.25">
      <c r="A1675" t="s">
        <v>1870</v>
      </c>
      <c r="B1675" s="187">
        <v>73412</v>
      </c>
    </row>
    <row r="1676" spans="1:2" x14ac:dyDescent="0.25">
      <c r="A1676" t="s">
        <v>1871</v>
      </c>
      <c r="B1676" s="187">
        <v>42625</v>
      </c>
    </row>
    <row r="1677" spans="1:2" x14ac:dyDescent="0.25">
      <c r="A1677" t="s">
        <v>1872</v>
      </c>
      <c r="B1677" s="187">
        <v>72888</v>
      </c>
    </row>
    <row r="1678" spans="1:2" x14ac:dyDescent="0.25">
      <c r="A1678" t="s">
        <v>1873</v>
      </c>
      <c r="B1678" s="187">
        <v>46786</v>
      </c>
    </row>
    <row r="1679" spans="1:2" x14ac:dyDescent="0.25">
      <c r="A1679" t="s">
        <v>1874</v>
      </c>
      <c r="B1679" s="187">
        <v>59483</v>
      </c>
    </row>
    <row r="1680" spans="1:2" x14ac:dyDescent="0.25">
      <c r="A1680" t="s">
        <v>1875</v>
      </c>
      <c r="B1680" s="187">
        <v>69634</v>
      </c>
    </row>
    <row r="1681" spans="1:2" x14ac:dyDescent="0.25">
      <c r="A1681" t="s">
        <v>1876</v>
      </c>
      <c r="B1681" s="187">
        <v>70045</v>
      </c>
    </row>
    <row r="1682" spans="1:2" x14ac:dyDescent="0.25">
      <c r="A1682" t="s">
        <v>1877</v>
      </c>
      <c r="B1682" s="187">
        <v>45337</v>
      </c>
    </row>
    <row r="1683" spans="1:2" x14ac:dyDescent="0.25">
      <c r="A1683" t="s">
        <v>1878</v>
      </c>
      <c r="B1683" s="187">
        <v>60201</v>
      </c>
    </row>
    <row r="1684" spans="1:2" x14ac:dyDescent="0.25">
      <c r="A1684" t="s">
        <v>1879</v>
      </c>
      <c r="B1684" s="187">
        <v>46359</v>
      </c>
    </row>
    <row r="1685" spans="1:2" x14ac:dyDescent="0.25">
      <c r="A1685" t="s">
        <v>1880</v>
      </c>
      <c r="B1685" s="187">
        <v>75000</v>
      </c>
    </row>
    <row r="1686" spans="1:2" x14ac:dyDescent="0.25">
      <c r="A1686" t="s">
        <v>1881</v>
      </c>
      <c r="B1686" s="187">
        <v>74821</v>
      </c>
    </row>
    <row r="1687" spans="1:2" x14ac:dyDescent="0.25">
      <c r="A1687" t="s">
        <v>1882</v>
      </c>
      <c r="B1687" s="187">
        <v>47448</v>
      </c>
    </row>
    <row r="1688" spans="1:2" x14ac:dyDescent="0.25">
      <c r="A1688" t="s">
        <v>1883</v>
      </c>
      <c r="B1688" s="187">
        <v>66000</v>
      </c>
    </row>
    <row r="1689" spans="1:2" x14ac:dyDescent="0.25">
      <c r="A1689" t="s">
        <v>1884</v>
      </c>
      <c r="B1689" s="187">
        <v>64402</v>
      </c>
    </row>
    <row r="1690" spans="1:2" x14ac:dyDescent="0.25">
      <c r="A1690" t="s">
        <v>1885</v>
      </c>
      <c r="B1690" s="187">
        <v>44728</v>
      </c>
    </row>
    <row r="1691" spans="1:2" x14ac:dyDescent="0.25">
      <c r="A1691" t="s">
        <v>1886</v>
      </c>
      <c r="B1691" s="187">
        <v>61366</v>
      </c>
    </row>
    <row r="1692" spans="1:2" x14ac:dyDescent="0.25">
      <c r="A1692" t="s">
        <v>1887</v>
      </c>
      <c r="B1692" s="187">
        <v>39864</v>
      </c>
    </row>
    <row r="1693" spans="1:2" x14ac:dyDescent="0.25">
      <c r="A1693" t="s">
        <v>1888</v>
      </c>
      <c r="B1693" s="187">
        <v>61422</v>
      </c>
    </row>
    <row r="1694" spans="1:2" x14ac:dyDescent="0.25">
      <c r="A1694" t="s">
        <v>1889</v>
      </c>
      <c r="B1694" s="187">
        <v>64392</v>
      </c>
    </row>
    <row r="1695" spans="1:2" x14ac:dyDescent="0.25">
      <c r="A1695" t="s">
        <v>1890</v>
      </c>
      <c r="B1695" s="187">
        <v>65037</v>
      </c>
    </row>
    <row r="1696" spans="1:2" x14ac:dyDescent="0.25">
      <c r="A1696" t="s">
        <v>1891</v>
      </c>
      <c r="B1696" s="187">
        <v>78618</v>
      </c>
    </row>
    <row r="1697" spans="1:2" x14ac:dyDescent="0.25">
      <c r="A1697" t="s">
        <v>1892</v>
      </c>
      <c r="B1697" s="187">
        <v>66630</v>
      </c>
    </row>
    <row r="1698" spans="1:2" x14ac:dyDescent="0.25">
      <c r="A1698" t="s">
        <v>1893</v>
      </c>
      <c r="B1698" s="187">
        <v>47126</v>
      </c>
    </row>
    <row r="1699" spans="1:2" x14ac:dyDescent="0.25">
      <c r="A1699" t="s">
        <v>1894</v>
      </c>
      <c r="B1699" s="187">
        <v>68951</v>
      </c>
    </row>
    <row r="1700" spans="1:2" x14ac:dyDescent="0.25">
      <c r="A1700" t="s">
        <v>1895</v>
      </c>
      <c r="B1700" s="187">
        <v>48750</v>
      </c>
    </row>
    <row r="1701" spans="1:2" x14ac:dyDescent="0.25">
      <c r="A1701" t="s">
        <v>1896</v>
      </c>
      <c r="B1701" s="187">
        <v>64683</v>
      </c>
    </row>
    <row r="1702" spans="1:2" x14ac:dyDescent="0.25">
      <c r="A1702" t="s">
        <v>1897</v>
      </c>
      <c r="B1702" s="187">
        <v>85795</v>
      </c>
    </row>
  </sheetData>
  <sheetProtection algorithmName="SHA-512" hashValue="8m1BmrsGcD9oJOZ4NWVZW7JnhGg0HN9zwCZE4xUah/WsNYyrijDLkvc5Aa4URcOYoUIW+fYotjrWNxkOl3NHxQ==" saltValue="tSdQ0g8CydmF8F0u5JuuuQ==" spinCount="100000" sheet="1" objects="1" scenarios="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35"/>
  <sheetViews>
    <sheetView showGridLines="0" workbookViewId="0">
      <selection activeCell="C25" sqref="C25"/>
    </sheetView>
  </sheetViews>
  <sheetFormatPr defaultRowHeight="15" x14ac:dyDescent="0.25"/>
  <cols>
    <col min="1" max="1" width="5.5703125" customWidth="1"/>
    <col min="2" max="2" width="56.42578125" bestFit="1" customWidth="1"/>
    <col min="3" max="3" width="27.42578125" bestFit="1" customWidth="1"/>
    <col min="4" max="4" width="7.85546875" customWidth="1"/>
    <col min="5" max="5" width="72.42578125" customWidth="1"/>
    <col min="6" max="6" width="26.7109375" bestFit="1" customWidth="1"/>
    <col min="8" max="8" width="21" bestFit="1" customWidth="1"/>
  </cols>
  <sheetData>
    <row r="1" spans="1:8" x14ac:dyDescent="0.25">
      <c r="A1" s="395" t="s">
        <v>2164</v>
      </c>
      <c r="B1" s="396"/>
      <c r="C1" s="397"/>
      <c r="D1" s="439" t="s">
        <v>2175</v>
      </c>
      <c r="E1" s="440"/>
      <c r="F1" s="441"/>
      <c r="H1" s="23" t="s">
        <v>134</v>
      </c>
    </row>
    <row r="2" spans="1:8" x14ac:dyDescent="0.25">
      <c r="A2" s="398"/>
      <c r="B2" s="399"/>
      <c r="C2" s="400"/>
      <c r="D2" s="442"/>
      <c r="E2" s="443"/>
      <c r="F2" s="444"/>
    </row>
    <row r="3" spans="1:8" x14ac:dyDescent="0.25">
      <c r="A3" s="398"/>
      <c r="B3" s="399"/>
      <c r="C3" s="400"/>
      <c r="D3" s="442"/>
      <c r="E3" s="443"/>
      <c r="F3" s="444"/>
    </row>
    <row r="4" spans="1:8" x14ac:dyDescent="0.25">
      <c r="A4" s="398"/>
      <c r="B4" s="399"/>
      <c r="C4" s="400"/>
      <c r="D4" s="442"/>
      <c r="E4" s="443"/>
      <c r="F4" s="444"/>
    </row>
    <row r="5" spans="1:8" x14ac:dyDescent="0.25">
      <c r="A5" s="398"/>
      <c r="B5" s="399"/>
      <c r="C5" s="400"/>
      <c r="D5" s="442"/>
      <c r="E5" s="443"/>
      <c r="F5" s="444"/>
    </row>
    <row r="6" spans="1:8" ht="15.75" thickBot="1" x14ac:dyDescent="0.3">
      <c r="A6" s="401"/>
      <c r="B6" s="402"/>
      <c r="C6" s="403"/>
      <c r="D6" s="445"/>
      <c r="E6" s="446"/>
      <c r="F6" s="447"/>
    </row>
    <row r="7" spans="1:8" ht="15.75" thickBot="1" x14ac:dyDescent="0.3"/>
    <row r="8" spans="1:8" ht="18.75" x14ac:dyDescent="0.25">
      <c r="B8" s="95" t="s">
        <v>1898</v>
      </c>
      <c r="C8" s="133" t="s">
        <v>1899</v>
      </c>
      <c r="E8" s="500" t="s">
        <v>185</v>
      </c>
      <c r="F8" s="500"/>
    </row>
    <row r="9" spans="1:8" ht="19.5" thickBot="1" x14ac:dyDescent="0.3">
      <c r="B9" s="97"/>
      <c r="C9" s="94">
        <f>IFERROR(VLOOKUP(B9,'Factor 8 Calculations'!A1:B6,2,FALSE),0)</f>
        <v>0</v>
      </c>
      <c r="E9" s="80" t="s">
        <v>186</v>
      </c>
      <c r="F9" s="80" t="s">
        <v>1899</v>
      </c>
    </row>
    <row r="10" spans="1:8" x14ac:dyDescent="0.25">
      <c r="B10" s="505" t="str">
        <f>IF(C9&gt;0,"NOTE: Documentation must be uploaded to PW4 as part of project submission","")</f>
        <v/>
      </c>
      <c r="C10" s="505"/>
      <c r="E10" s="84" t="s">
        <v>1900</v>
      </c>
      <c r="F10" s="84">
        <v>0</v>
      </c>
    </row>
    <row r="11" spans="1:8" x14ac:dyDescent="0.25">
      <c r="B11" s="505"/>
      <c r="C11" s="505"/>
      <c r="E11" s="84" t="s">
        <v>1901</v>
      </c>
      <c r="F11" s="84">
        <v>5</v>
      </c>
    </row>
    <row r="12" spans="1:8" x14ac:dyDescent="0.25">
      <c r="E12" s="84" t="s">
        <v>1902</v>
      </c>
      <c r="F12" s="84">
        <v>10</v>
      </c>
    </row>
    <row r="13" spans="1:8" x14ac:dyDescent="0.25">
      <c r="E13" s="84" t="s">
        <v>1903</v>
      </c>
      <c r="F13" s="84">
        <v>15</v>
      </c>
    </row>
    <row r="14" spans="1:8" x14ac:dyDescent="0.25">
      <c r="E14" s="84" t="s">
        <v>1904</v>
      </c>
      <c r="F14" s="84">
        <v>20</v>
      </c>
    </row>
    <row r="15" spans="1:8" x14ac:dyDescent="0.25">
      <c r="E15" s="84" t="s">
        <v>1905</v>
      </c>
      <c r="F15" s="84">
        <v>25</v>
      </c>
    </row>
    <row r="29" spans="1:13" x14ac:dyDescent="0.25">
      <c r="A29" s="9"/>
      <c r="B29" s="9"/>
      <c r="C29" s="9"/>
      <c r="D29" s="9"/>
      <c r="E29" s="9"/>
      <c r="F29" s="9"/>
      <c r="G29" s="9"/>
      <c r="H29" s="9"/>
      <c r="I29" s="9"/>
      <c r="J29" s="9"/>
      <c r="K29" s="9"/>
      <c r="L29" s="9"/>
      <c r="M29" s="9"/>
    </row>
    <row r="30" spans="1:13" x14ac:dyDescent="0.25">
      <c r="A30" s="9"/>
      <c r="B30" s="9"/>
      <c r="C30" s="9"/>
      <c r="D30" s="9"/>
      <c r="E30" s="9"/>
      <c r="F30" s="9"/>
      <c r="G30" s="9"/>
      <c r="H30" s="9"/>
      <c r="I30" s="9"/>
      <c r="J30" s="9"/>
      <c r="K30" s="9"/>
      <c r="L30" s="9"/>
      <c r="M30" s="9"/>
    </row>
    <row r="31" spans="1:13" x14ac:dyDescent="0.25">
      <c r="A31" s="9"/>
      <c r="B31" s="9"/>
      <c r="C31" s="9"/>
      <c r="D31" s="9"/>
      <c r="E31" s="9"/>
      <c r="F31" s="9"/>
      <c r="G31" s="9"/>
      <c r="H31" s="9"/>
      <c r="I31" s="9"/>
      <c r="J31" s="9"/>
      <c r="K31" s="9"/>
      <c r="L31" s="9"/>
      <c r="M31" s="9"/>
    </row>
    <row r="32" spans="1:13" x14ac:dyDescent="0.25">
      <c r="A32" s="9"/>
      <c r="B32" s="9"/>
      <c r="C32" s="9"/>
      <c r="D32" s="9"/>
      <c r="E32" s="9"/>
      <c r="F32" s="9"/>
      <c r="G32" s="9"/>
      <c r="H32" s="9"/>
      <c r="I32" s="9"/>
      <c r="J32" s="9"/>
      <c r="K32" s="9"/>
      <c r="L32" s="9"/>
      <c r="M32" s="9"/>
    </row>
    <row r="33" spans="1:13" x14ac:dyDescent="0.25">
      <c r="A33" s="9"/>
      <c r="B33" s="9"/>
      <c r="C33" s="9"/>
      <c r="D33" s="9"/>
      <c r="E33" s="9"/>
      <c r="F33" s="9"/>
      <c r="G33" s="9"/>
      <c r="H33" s="9"/>
      <c r="I33" s="9"/>
      <c r="J33" s="9"/>
      <c r="K33" s="9"/>
      <c r="L33" s="9"/>
      <c r="M33" s="9"/>
    </row>
    <row r="34" spans="1:13" x14ac:dyDescent="0.25">
      <c r="A34" s="9"/>
      <c r="B34" s="9"/>
      <c r="C34" s="9"/>
      <c r="D34" s="9"/>
      <c r="E34" s="9"/>
      <c r="F34" s="9"/>
      <c r="G34" s="9"/>
      <c r="H34" s="9"/>
      <c r="I34" s="9"/>
      <c r="J34" s="9"/>
      <c r="K34" s="9"/>
      <c r="L34" s="9"/>
      <c r="M34" s="9"/>
    </row>
    <row r="35" spans="1:13" x14ac:dyDescent="0.25">
      <c r="A35" s="9"/>
      <c r="B35" s="9"/>
      <c r="C35" s="9"/>
      <c r="D35" s="9"/>
      <c r="E35" s="9"/>
      <c r="F35" s="9"/>
      <c r="G35" s="9"/>
      <c r="H35" s="9"/>
      <c r="I35" s="9"/>
      <c r="J35" s="9"/>
      <c r="K35" s="9"/>
      <c r="L35" s="9"/>
      <c r="M35" s="9"/>
    </row>
  </sheetData>
  <sheetProtection algorithmName="SHA-512" hashValue="LZbjunK7vDsalhCc3dqCEIxSb+onEI4fy9nO/tnAoAg1I5fVZkvxEcLnrs9s9HVx4JZ9+BJO+Ox4quk8mweq8w==" saltValue="LZhETq0YZr+xn5OkP6blfw==" spinCount="100000" sheet="1" objects="1" scenarios="1"/>
  <protectedRanges>
    <protectedRange sqref="B9" name="Input"/>
  </protectedRanges>
  <mergeCells count="4">
    <mergeCell ref="E8:F8"/>
    <mergeCell ref="A1:C6"/>
    <mergeCell ref="D1:F6"/>
    <mergeCell ref="B10:C11"/>
  </mergeCells>
  <conditionalFormatting sqref="B10:C11">
    <cfRule type="expression" dxfId="1" priority="1">
      <formula>$C$9&gt;0</formula>
    </cfRule>
  </conditionalFormatting>
  <conditionalFormatting sqref="E10:F15">
    <cfRule type="expression" dxfId="0" priority="35">
      <formula>$E10=$B$9</formula>
    </cfRule>
  </conditionalFormatting>
  <hyperlinks>
    <hyperlink ref="H1" location="'Cover Sheet'!B24" display="BACK TO COVER SHEET" xr:uid="{710C315D-B0B7-45A1-824A-745F91D264DD}"/>
  </hyperlinks>
  <pageMargins left="0.7" right="0.7" top="0.75" bottom="0.75" header="0.3" footer="0.3"/>
  <pageSetup scale="6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D7DA2AB-0BF9-40EF-A625-D6E152C78E62}">
          <x14:formula1>
            <xm:f>'Factor 8 Calculations'!$A$1:$A$6</xm:f>
          </x14:formula1>
          <xm:sqref>B9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EDBC9-C6C1-4D43-8639-9EC174CC3A0A}">
  <dimension ref="A1:B6"/>
  <sheetViews>
    <sheetView workbookViewId="0">
      <selection activeCell="M28" sqref="M28"/>
    </sheetView>
  </sheetViews>
  <sheetFormatPr defaultRowHeight="15" x14ac:dyDescent="0.25"/>
  <cols>
    <col min="1" max="1" width="44.85546875" bestFit="1" customWidth="1"/>
  </cols>
  <sheetData>
    <row r="1" spans="1:2" x14ac:dyDescent="0.25">
      <c r="A1" t="s">
        <v>1900</v>
      </c>
      <c r="B1">
        <v>0</v>
      </c>
    </row>
    <row r="2" spans="1:2" x14ac:dyDescent="0.25">
      <c r="A2" t="s">
        <v>1901</v>
      </c>
      <c r="B2">
        <v>5</v>
      </c>
    </row>
    <row r="3" spans="1:2" x14ac:dyDescent="0.25">
      <c r="A3" t="s">
        <v>1902</v>
      </c>
      <c r="B3">
        <v>10</v>
      </c>
    </row>
    <row r="4" spans="1:2" x14ac:dyDescent="0.25">
      <c r="A4" t="s">
        <v>1903</v>
      </c>
      <c r="B4">
        <v>15</v>
      </c>
    </row>
    <row r="5" spans="1:2" x14ac:dyDescent="0.25">
      <c r="A5" t="s">
        <v>1904</v>
      </c>
      <c r="B5">
        <v>20</v>
      </c>
    </row>
    <row r="6" spans="1:2" x14ac:dyDescent="0.25">
      <c r="A6" t="s">
        <v>1905</v>
      </c>
      <c r="B6">
        <v>25</v>
      </c>
    </row>
  </sheetData>
  <sheetProtection algorithmName="SHA-512" hashValue="Twxxx54YLUkupXgBc2uRBx8ZlwEnCl0E/6o/ahqWfgVy1egXhu7SfMn65gvO1UeMLGK5960DbnEnDHVk8eNJBQ==" saltValue="A1YzxpKD7fiWT13x2p/A0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FEF6E-760A-4C96-A5F7-6D823953A638}">
  <sheetPr>
    <pageSetUpPr fitToPage="1"/>
  </sheetPr>
  <dimension ref="A1:Q24"/>
  <sheetViews>
    <sheetView showGridLines="0" zoomScaleNormal="100" workbookViewId="0">
      <selection activeCell="G23" sqref="G23"/>
    </sheetView>
  </sheetViews>
  <sheetFormatPr defaultRowHeight="15" x14ac:dyDescent="0.25"/>
  <cols>
    <col min="1" max="1" width="5.5703125" customWidth="1"/>
    <col min="2" max="2" width="26.85546875" bestFit="1" customWidth="1"/>
    <col min="3" max="3" width="23.42578125" bestFit="1" customWidth="1"/>
    <col min="4" max="4" width="45.42578125" customWidth="1"/>
    <col min="5" max="5" width="23.42578125" bestFit="1" customWidth="1"/>
    <col min="7" max="7" width="58.140625" bestFit="1" customWidth="1"/>
    <col min="8" max="9" width="32.42578125" customWidth="1"/>
  </cols>
  <sheetData>
    <row r="1" spans="1:17" ht="15" customHeight="1" x14ac:dyDescent="0.25">
      <c r="A1" s="395" t="s">
        <v>2244</v>
      </c>
      <c r="B1" s="396"/>
      <c r="C1" s="396"/>
      <c r="D1" s="396"/>
      <c r="E1" s="397"/>
      <c r="F1" s="88"/>
      <c r="G1" s="88"/>
      <c r="H1" s="88"/>
      <c r="I1" s="88"/>
      <c r="J1" s="23" t="s">
        <v>134</v>
      </c>
      <c r="K1" s="88"/>
      <c r="L1" s="249"/>
      <c r="M1" s="249"/>
      <c r="N1" s="249"/>
      <c r="O1" s="249"/>
      <c r="P1" s="249"/>
      <c r="Q1" s="249"/>
    </row>
    <row r="2" spans="1:17" ht="15" customHeight="1" x14ac:dyDescent="0.25">
      <c r="A2" s="398"/>
      <c r="B2" s="399"/>
      <c r="C2" s="399"/>
      <c r="D2" s="399"/>
      <c r="E2" s="400"/>
      <c r="F2" s="88"/>
      <c r="G2" s="88"/>
      <c r="H2" s="88"/>
      <c r="I2" s="88"/>
      <c r="J2" s="88"/>
      <c r="K2" s="88"/>
      <c r="L2" s="88"/>
      <c r="M2" s="88"/>
      <c r="N2" s="88"/>
      <c r="O2" s="88"/>
      <c r="P2" s="88"/>
      <c r="Q2" s="88"/>
    </row>
    <row r="3" spans="1:17" ht="15" customHeight="1" x14ac:dyDescent="0.25">
      <c r="A3" s="398"/>
      <c r="B3" s="399"/>
      <c r="C3" s="399"/>
      <c r="D3" s="399"/>
      <c r="E3" s="400"/>
      <c r="F3" s="88"/>
      <c r="G3" s="88"/>
      <c r="H3" s="88"/>
      <c r="I3" s="88"/>
      <c r="J3" s="88"/>
      <c r="K3" s="88"/>
      <c r="L3" s="88"/>
      <c r="M3" s="88"/>
      <c r="N3" s="88"/>
      <c r="O3" s="88"/>
      <c r="P3" s="88"/>
      <c r="Q3" s="88"/>
    </row>
    <row r="4" spans="1:17" ht="15" customHeight="1" x14ac:dyDescent="0.25">
      <c r="A4" s="398"/>
      <c r="B4" s="399"/>
      <c r="C4" s="399"/>
      <c r="D4" s="399"/>
      <c r="E4" s="400"/>
      <c r="F4" s="88"/>
      <c r="G4" s="88"/>
      <c r="H4" s="88"/>
      <c r="I4" s="88"/>
      <c r="J4" s="88"/>
      <c r="K4" s="88"/>
      <c r="L4" s="88"/>
      <c r="M4" s="88"/>
      <c r="N4" s="88"/>
      <c r="O4" s="88"/>
      <c r="P4" s="88"/>
      <c r="Q4" s="88"/>
    </row>
    <row r="5" spans="1:17" ht="15" customHeight="1" x14ac:dyDescent="0.25">
      <c r="A5" s="398"/>
      <c r="B5" s="399"/>
      <c r="C5" s="399"/>
      <c r="D5" s="399"/>
      <c r="E5" s="400"/>
      <c r="F5" s="88"/>
      <c r="G5" s="88"/>
      <c r="H5" s="88"/>
      <c r="I5" s="88"/>
      <c r="J5" s="88"/>
      <c r="K5" s="88"/>
      <c r="L5" s="88"/>
      <c r="M5" s="88"/>
      <c r="N5" s="88"/>
      <c r="O5" s="88"/>
      <c r="P5" s="88"/>
      <c r="Q5" s="88"/>
    </row>
    <row r="6" spans="1:17" ht="15.75" customHeight="1" thickBot="1" x14ac:dyDescent="0.3">
      <c r="A6" s="401"/>
      <c r="B6" s="402"/>
      <c r="C6" s="402"/>
      <c r="D6" s="402"/>
      <c r="E6" s="403"/>
      <c r="F6" s="88"/>
      <c r="G6" s="88"/>
      <c r="H6" s="88"/>
      <c r="I6" s="88"/>
      <c r="J6" s="88"/>
      <c r="K6" s="88"/>
      <c r="L6" s="88"/>
      <c r="M6" s="88"/>
      <c r="N6" s="88"/>
      <c r="O6" s="88"/>
      <c r="P6" s="88"/>
      <c r="Q6" s="88"/>
    </row>
    <row r="7" spans="1:17" ht="15.75" thickBot="1" x14ac:dyDescent="0.3"/>
    <row r="8" spans="1:17" ht="19.5" thickBot="1" x14ac:dyDescent="0.3">
      <c r="B8" s="387" t="s">
        <v>144</v>
      </c>
      <c r="C8" s="388"/>
      <c r="D8" s="388"/>
      <c r="E8" s="389"/>
      <c r="H8" s="86" t="s">
        <v>2167</v>
      </c>
      <c r="I8" s="241" t="s">
        <v>2168</v>
      </c>
      <c r="J8" s="8"/>
    </row>
    <row r="9" spans="1:17" ht="19.5" thickBot="1" x14ac:dyDescent="0.3">
      <c r="B9" s="384" t="s">
        <v>2236</v>
      </c>
      <c r="C9" s="385"/>
      <c r="D9" s="411"/>
      <c r="E9" s="412"/>
      <c r="G9" s="86" t="s">
        <v>2208</v>
      </c>
      <c r="H9" s="302" t="str">
        <f>IF($C$13="","",IF($C$13="Segment",'Systemic BC Calculations'!J2,IF($C$13="Intersection",'Systemic BC Calculations'!K2,"")))</f>
        <v/>
      </c>
      <c r="I9" s="303" t="str">
        <f>IF($C$13="","",IF($C$13="Segment",'Systemic BC Calculations'!J4,IF($C$13="Intersection",'Systemic BC Calculations'!K4,"")))</f>
        <v/>
      </c>
      <c r="J9" s="8"/>
    </row>
    <row r="10" spans="1:17" ht="19.5" thickBot="1" x14ac:dyDescent="0.3">
      <c r="B10" s="390" t="s">
        <v>2183</v>
      </c>
      <c r="C10" s="391"/>
      <c r="D10" s="392"/>
      <c r="E10" s="309"/>
      <c r="G10" s="257" t="s">
        <v>2209</v>
      </c>
      <c r="H10" s="302" t="str">
        <f>IF($C$13="","",IF($C$13="Segment",'Systemic BC Calculations'!J3,IF($C$13="Intersection",'Systemic BC Calculations'!K3,"")))</f>
        <v/>
      </c>
      <c r="I10" s="303" t="str">
        <f>IF($C$13="","",IF($C$13="Segment",'Systemic BC Calculations'!J5,IF($C$13="Intersection",'Systemic BC Calculations'!K5,"")))</f>
        <v/>
      </c>
    </row>
    <row r="11" spans="1:17" ht="18" thickBot="1" x14ac:dyDescent="0.3">
      <c r="B11" s="406" t="s">
        <v>2184</v>
      </c>
      <c r="C11" s="407"/>
      <c r="D11" s="408"/>
      <c r="E11" s="258"/>
    </row>
    <row r="12" spans="1:17" ht="19.5" thickBot="1" x14ac:dyDescent="0.3">
      <c r="B12" s="413" t="s">
        <v>2053</v>
      </c>
      <c r="C12" s="388"/>
      <c r="D12" s="388"/>
      <c r="E12" s="389"/>
      <c r="G12" s="257" t="s">
        <v>2210</v>
      </c>
      <c r="H12" s="404" t="str">
        <f>IF($C$13="","",IF($C$13="Segment",'Systemic BC Calculations'!J7,IF($C$13="Intersection",'Systemic BC Calculations'!K7,"")))</f>
        <v/>
      </c>
      <c r="I12" s="405"/>
    </row>
    <row r="13" spans="1:17" ht="19.5" thickBot="1" x14ac:dyDescent="0.3">
      <c r="B13" s="230" t="s">
        <v>2054</v>
      </c>
      <c r="C13" s="414"/>
      <c r="D13" s="415"/>
      <c r="E13" s="416"/>
      <c r="G13" s="257" t="s">
        <v>2211</v>
      </c>
      <c r="H13" s="409" t="str">
        <f>'Systemic BC Calculations'!J8</f>
        <v/>
      </c>
      <c r="I13" s="410"/>
    </row>
    <row r="14" spans="1:17" ht="18" thickBot="1" x14ac:dyDescent="0.3">
      <c r="B14" s="393" t="s">
        <v>2059</v>
      </c>
      <c r="C14" s="394"/>
      <c r="D14" s="393" t="s">
        <v>2060</v>
      </c>
      <c r="E14" s="394"/>
    </row>
    <row r="15" spans="1:17" ht="17.25" x14ac:dyDescent="0.25">
      <c r="B15" s="52" t="s">
        <v>2181</v>
      </c>
      <c r="C15" s="55"/>
      <c r="D15" s="254" t="s">
        <v>2083</v>
      </c>
      <c r="E15" s="55"/>
    </row>
    <row r="16" spans="1:17" ht="17.25" x14ac:dyDescent="0.25">
      <c r="B16" s="14" t="s">
        <v>2065</v>
      </c>
      <c r="C16" s="43"/>
      <c r="D16" s="255" t="s">
        <v>2116</v>
      </c>
      <c r="E16" s="43"/>
    </row>
    <row r="17" spans="2:7" ht="17.25" x14ac:dyDescent="0.25">
      <c r="B17" s="14" t="s">
        <v>2066</v>
      </c>
      <c r="C17" s="43"/>
      <c r="D17" s="255" t="s">
        <v>2055</v>
      </c>
      <c r="E17" s="43"/>
    </row>
    <row r="18" spans="2:7" ht="17.25" x14ac:dyDescent="0.25">
      <c r="B18" s="14" t="s">
        <v>2055</v>
      </c>
      <c r="C18" s="43"/>
      <c r="D18" s="255" t="s">
        <v>2056</v>
      </c>
      <c r="E18" s="43"/>
    </row>
    <row r="19" spans="2:7" ht="17.25" x14ac:dyDescent="0.25">
      <c r="B19" s="14" t="s">
        <v>2056</v>
      </c>
      <c r="C19" s="43"/>
      <c r="D19" s="255" t="s">
        <v>2057</v>
      </c>
      <c r="E19" s="43"/>
    </row>
    <row r="20" spans="2:7" ht="18" thickBot="1" x14ac:dyDescent="0.3">
      <c r="B20" s="15" t="s">
        <v>2082</v>
      </c>
      <c r="C20" s="45"/>
      <c r="D20" s="255" t="s">
        <v>2076</v>
      </c>
      <c r="E20" s="43"/>
    </row>
    <row r="21" spans="2:7" ht="18" thickBot="1" x14ac:dyDescent="0.3">
      <c r="B21" s="229"/>
      <c r="C21" s="18"/>
      <c r="D21" s="15" t="s">
        <v>2058</v>
      </c>
      <c r="E21" s="45"/>
    </row>
    <row r="22" spans="2:7" ht="18.75" thickBot="1" x14ac:dyDescent="0.3">
      <c r="B22" s="387" t="s">
        <v>2180</v>
      </c>
      <c r="C22" s="388"/>
      <c r="D22" s="388"/>
      <c r="E22" s="389"/>
      <c r="G22" t="s">
        <v>2223</v>
      </c>
    </row>
    <row r="23" spans="2:7" ht="18" thickBot="1" x14ac:dyDescent="0.3">
      <c r="B23" s="384" t="s">
        <v>2185</v>
      </c>
      <c r="C23" s="385"/>
      <c r="D23" s="386"/>
      <c r="E23" s="256"/>
    </row>
    <row r="24" spans="2:7" ht="18" thickBot="1" x14ac:dyDescent="0.3">
      <c r="B24" s="384" t="s">
        <v>2182</v>
      </c>
      <c r="C24" s="385"/>
      <c r="D24" s="386"/>
      <c r="E24" s="256"/>
    </row>
  </sheetData>
  <sheetProtection algorithmName="SHA-512" hashValue="j8wLdjJQWpAV94OrcQTS+fjjBKNN8alHpRmxX2YZvKX5ojoLSd3qA1dL7fPpQ4JyjwQSY25eFE7gmFr1NmIVzw==" saltValue="JyPkRwPCAH6Igrh9+jSx2g==" spinCount="100000" sheet="1" objects="1" scenarios="1"/>
  <mergeCells count="15">
    <mergeCell ref="A1:E6"/>
    <mergeCell ref="H12:I12"/>
    <mergeCell ref="B11:D11"/>
    <mergeCell ref="H13:I13"/>
    <mergeCell ref="D9:E9"/>
    <mergeCell ref="B9:C9"/>
    <mergeCell ref="B12:E12"/>
    <mergeCell ref="C13:E13"/>
    <mergeCell ref="B24:D24"/>
    <mergeCell ref="B22:E22"/>
    <mergeCell ref="B23:D23"/>
    <mergeCell ref="B8:E8"/>
    <mergeCell ref="B10:D10"/>
    <mergeCell ref="B14:C14"/>
    <mergeCell ref="D14:E14"/>
  </mergeCells>
  <conditionalFormatting sqref="B14:C20">
    <cfRule type="expression" dxfId="24" priority="7">
      <formula>$C$13="Segment"</formula>
    </cfRule>
  </conditionalFormatting>
  <conditionalFormatting sqref="B14:E21">
    <cfRule type="expression" dxfId="23" priority="5">
      <formula>$C$13=""</formula>
    </cfRule>
  </conditionalFormatting>
  <conditionalFormatting sqref="D14:E21">
    <cfRule type="expression" dxfId="22" priority="6">
      <formula>$C$13="Intersection"</formula>
    </cfRule>
  </conditionalFormatting>
  <hyperlinks>
    <hyperlink ref="J1" location="'Cover Sheet'!B13" display="BACK TO COVER SHEET" xr:uid="{7D342EE2-F0E0-40F9-B144-F3B31E77E691}"/>
  </hyperlinks>
  <pageMargins left="0.7" right="0.7" top="0.75" bottom="0.75" header="0.3" footer="0.3"/>
  <pageSetup scale="47" fitToHeight="0" orientation="landscape"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EB3D348E-3E85-4DDA-9D75-01AE754D75B3}">
          <x14:formula1>
            <xm:f>'TSAT Lookups'!$G$1:$G$2</xm:f>
          </x14:formula1>
          <xm:sqref>E21</xm:sqref>
        </x14:dataValidation>
        <x14:dataValidation type="list" allowBlank="1" showInputMessage="1" showErrorMessage="1" xr:uid="{FCDC0186-A6A8-4F1A-BEF0-8576EA440C24}">
          <x14:formula1>
            <xm:f>'TSAT Lookups'!$D$1:$D$3</xm:f>
          </x14:formula1>
          <xm:sqref>E20</xm:sqref>
        </x14:dataValidation>
        <x14:dataValidation type="list" allowBlank="1" showInputMessage="1" showErrorMessage="1" xr:uid="{7FBCBDDE-26DA-47E6-A8A6-8E8E639C1C46}">
          <x14:formula1>
            <xm:f>'TSAT Lookups'!$E$1:$E$2</xm:f>
          </x14:formula1>
          <xm:sqref>E19</xm:sqref>
        </x14:dataValidation>
        <x14:dataValidation type="list" allowBlank="1" showInputMessage="1" showErrorMessage="1" xr:uid="{49E75938-6354-4B96-9793-9EFC37138B94}">
          <x14:formula1>
            <xm:f>'TSAT Lookups'!$C$1:$C$2</xm:f>
          </x14:formula1>
          <xm:sqref>C19 E18</xm:sqref>
        </x14:dataValidation>
        <x14:dataValidation type="list" allowBlank="1" showInputMessage="1" showErrorMessage="1" xr:uid="{89F4A52D-DBBF-422F-89C3-AAF29496E003}">
          <x14:formula1>
            <xm:f>'TSAT Lookups'!$B$1:$B$2</xm:f>
          </x14:formula1>
          <xm:sqref>C18 E17</xm:sqref>
        </x14:dataValidation>
        <x14:dataValidation type="list" allowBlank="1" showInputMessage="1" showErrorMessage="1" xr:uid="{8B8C2165-130B-41BD-83A7-3A18C1102AA0}">
          <x14:formula1>
            <xm:f>'TSAT Lookups'!$A$1:$A$2</xm:f>
          </x14:formula1>
          <xm:sqref>C13</xm:sqref>
        </x14:dataValidation>
        <x14:dataValidation type="list" allowBlank="1" showInputMessage="1" showErrorMessage="1" xr:uid="{3F18250F-E6B1-4AE7-A249-E71983CD73E9}">
          <x14:formula1>
            <xm:f>'TSAT Lookups'!$F$1:$F$2</xm:f>
          </x14:formula1>
          <xm:sqref>C20</xm:sqref>
        </x14:dataValidation>
        <x14:dataValidation type="list" allowBlank="1" showInputMessage="1" showErrorMessage="1" xr:uid="{06D78A1B-5EFC-4FCA-B875-0BE9A79E8102}">
          <x14:formula1>
            <xm:f>'Systemic BC Lookups'!$A$1:$A$2</xm:f>
          </x14:formula1>
          <xm:sqref>E23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91224-CCEE-48C9-BF97-AAD4523635AD}">
  <dimension ref="A1:BF58"/>
  <sheetViews>
    <sheetView topLeftCell="A24" zoomScaleNormal="100" workbookViewId="0">
      <pane xSplit="1" topLeftCell="N1" activePane="topRight" state="frozen"/>
      <selection pane="topRight" activeCell="V59" sqref="V59"/>
    </sheetView>
  </sheetViews>
  <sheetFormatPr defaultRowHeight="15" x14ac:dyDescent="0.25"/>
  <cols>
    <col min="1" max="1" width="40.42578125" bestFit="1" customWidth="1"/>
    <col min="2" max="2" width="18.28515625" bestFit="1" customWidth="1"/>
    <col min="3" max="3" width="5.42578125" bestFit="1" customWidth="1"/>
    <col min="4" max="4" width="12" bestFit="1" customWidth="1"/>
    <col min="5" max="5" width="12.7109375" bestFit="1" customWidth="1"/>
    <col min="6" max="6" width="12" bestFit="1" customWidth="1"/>
    <col min="7" max="7" width="12.7109375" bestFit="1" customWidth="1"/>
    <col min="8" max="8" width="8" bestFit="1" customWidth="1"/>
    <col min="9" max="9" width="34.28515625" bestFit="1" customWidth="1"/>
    <col min="10" max="10" width="8.85546875" bestFit="1" customWidth="1"/>
    <col min="11" max="11" width="15.28515625" bestFit="1" customWidth="1"/>
    <col min="12" max="12" width="6" bestFit="1" customWidth="1"/>
    <col min="13" max="13" width="31" bestFit="1" customWidth="1"/>
    <col min="14" max="14" width="12" bestFit="1" customWidth="1"/>
    <col min="15" max="15" width="25" bestFit="1" customWidth="1"/>
    <col min="16" max="16" width="12" bestFit="1" customWidth="1"/>
    <col min="17" max="17" width="7.140625" bestFit="1" customWidth="1"/>
    <col min="18" max="18" width="12" bestFit="1" customWidth="1"/>
    <col min="19" max="19" width="12.7109375" bestFit="1" customWidth="1"/>
    <col min="20" max="20" width="21.5703125" bestFit="1" customWidth="1"/>
    <col min="21" max="21" width="25" bestFit="1" customWidth="1"/>
    <col min="22" max="22" width="33.5703125" bestFit="1" customWidth="1"/>
    <col min="23" max="28" width="12" bestFit="1" customWidth="1"/>
    <col min="29" max="29" width="25" bestFit="1" customWidth="1"/>
    <col min="30" max="31" width="12" bestFit="1" customWidth="1"/>
    <col min="32" max="32" width="25" bestFit="1" customWidth="1"/>
    <col min="33" max="35" width="14.28515625" bestFit="1" customWidth="1"/>
    <col min="36" max="36" width="21.5703125" bestFit="1" customWidth="1"/>
    <col min="37" max="37" width="19.42578125" bestFit="1" customWidth="1"/>
    <col min="38" max="38" width="25.7109375" bestFit="1" customWidth="1"/>
    <col min="39" max="39" width="15.28515625" bestFit="1" customWidth="1"/>
    <col min="40" max="40" width="8.42578125" bestFit="1" customWidth="1"/>
    <col min="41" max="41" width="25.7109375" bestFit="1" customWidth="1"/>
    <col min="42" max="47" width="8.42578125" bestFit="1" customWidth="1"/>
    <col min="48" max="48" width="11" bestFit="1" customWidth="1"/>
    <col min="49" max="56" width="12.5703125" bestFit="1" customWidth="1"/>
    <col min="57" max="57" width="11.5703125" bestFit="1" customWidth="1"/>
  </cols>
  <sheetData>
    <row r="1" spans="1:17" x14ac:dyDescent="0.25">
      <c r="A1" s="225" t="s">
        <v>2084</v>
      </c>
      <c r="J1" t="s">
        <v>2060</v>
      </c>
      <c r="K1" t="s">
        <v>2059</v>
      </c>
    </row>
    <row r="2" spans="1:17" x14ac:dyDescent="0.25">
      <c r="A2" t="s">
        <v>2085</v>
      </c>
      <c r="B2" t="str">
        <f>IF('Systemic Safety BC'!E15="","",'Systemic Safety BC'!E15)</f>
        <v/>
      </c>
      <c r="I2" t="s">
        <v>2214</v>
      </c>
      <c r="J2" cm="1">
        <f t="array" ref="J2">IFERROR(INDEX(C31:BF42,_xlfn.XMATCH("Yes",C31:C42),_xlfn.XMATCH("Totalp",C30:BF30)),0)</f>
        <v>0</v>
      </c>
      <c r="K2" cm="1">
        <f t="array" ref="K2">IFERROR(INDEX(C48:AM56,_xlfn.XMATCH("Yes",C48:C56),_xlfn.XMATCH("Totalp",C48:AM48)),0)</f>
        <v>0</v>
      </c>
    </row>
    <row r="3" spans="1:17" x14ac:dyDescent="0.25">
      <c r="A3" t="s">
        <v>2117</v>
      </c>
      <c r="B3" t="str">
        <f>IF('Systemic Safety BC'!E16="","",'Systemic Safety BC'!E16)</f>
        <v/>
      </c>
      <c r="I3" t="s">
        <v>2215</v>
      </c>
      <c r="J3">
        <f>J2*$B$27</f>
        <v>0</v>
      </c>
      <c r="K3">
        <f>K2*$B$27</f>
        <v>0</v>
      </c>
    </row>
    <row r="4" spans="1:17" x14ac:dyDescent="0.25">
      <c r="A4" t="s">
        <v>2055</v>
      </c>
      <c r="B4" t="str">
        <f>IF('Systemic Safety BC'!E17="","",'Systemic Safety BC'!E17)</f>
        <v/>
      </c>
      <c r="I4" t="s">
        <v>2216</v>
      </c>
      <c r="J4">
        <f>(1-$B$25/100)*J2</f>
        <v>0</v>
      </c>
      <c r="K4">
        <f>(1-$B$25/100)*K2</f>
        <v>0</v>
      </c>
    </row>
    <row r="5" spans="1:17" x14ac:dyDescent="0.25">
      <c r="A5" t="s">
        <v>2056</v>
      </c>
      <c r="B5" t="str">
        <f>IF('Systemic Safety BC'!E18="","",'Systemic Safety BC'!E18)</f>
        <v/>
      </c>
      <c r="I5" t="s">
        <v>2217</v>
      </c>
      <c r="J5">
        <f>(1-$B$25/100)*J3</f>
        <v>0</v>
      </c>
      <c r="K5">
        <f>(1-$B$25/100)*K3</f>
        <v>0</v>
      </c>
    </row>
    <row r="6" spans="1:17" x14ac:dyDescent="0.25">
      <c r="A6" t="s">
        <v>2076</v>
      </c>
      <c r="B6" t="str">
        <f>IF('Systemic Safety BC'!E20="","",'Systemic Safety BC'!E20)</f>
        <v/>
      </c>
      <c r="I6" s="268" t="s">
        <v>2207</v>
      </c>
      <c r="J6" s="420">
        <f>'Systemic Safety BC'!E10</f>
        <v>0</v>
      </c>
      <c r="K6" s="420"/>
    </row>
    <row r="7" spans="1:17" x14ac:dyDescent="0.25">
      <c r="A7" t="s">
        <v>2057</v>
      </c>
      <c r="B7" t="str">
        <f>IF('Systemic Safety BC'!E20&lt;&gt;"Non-Freeway","",IF('Systemic Safety BC'!E19="","",'Systemic Safety BC'!E19))</f>
        <v/>
      </c>
      <c r="H7" s="232"/>
      <c r="I7" s="268" t="s">
        <v>2212</v>
      </c>
      <c r="J7" s="228" cm="1">
        <f t="array" ref="J7">IFERROR(INDEX(C31:BF42,_xlfn.XMATCH("Yes",C31:C42),_xlfn.XMATCH("Total$",C30:BF30)),0)</f>
        <v>0</v>
      </c>
      <c r="K7" s="228" cm="1">
        <f t="array" ref="K7">IFERROR(INDEX(C48:AM56,_xlfn.XMATCH("Yes",C48:C56),_xlfn.XMATCH("Total$",C48:AM48)),0)</f>
        <v>0</v>
      </c>
      <c r="L7" s="232"/>
      <c r="M7" s="232"/>
      <c r="N7" s="232"/>
      <c r="O7" s="232"/>
      <c r="P7" s="232"/>
      <c r="Q7" s="232"/>
    </row>
    <row r="8" spans="1:17" x14ac:dyDescent="0.25">
      <c r="A8" t="s">
        <v>2058</v>
      </c>
      <c r="B8" t="str">
        <f>IF('Systemic Safety BC'!E20&lt;&gt;"Freeway","",IF('Systemic Safety BC'!E21="","",'Systemic Safety BC'!E21))</f>
        <v/>
      </c>
      <c r="I8" s="268" t="s">
        <v>181</v>
      </c>
      <c r="J8" s="421" t="str">
        <f>IF('Systemic Safety BC'!C13="","",IF('Systemic Safety BC'!C13="Segment",'Systemic BC Calculations'!J7/'Systemic BC Calculations'!J6,IF('Systemic Safety BC'!C13="Intersection",'Systemic BC Calculations'!K7/'Systemic BC Calculations'!J6,"")))</f>
        <v/>
      </c>
      <c r="K8" s="421"/>
    </row>
    <row r="9" spans="1:17" x14ac:dyDescent="0.25">
      <c r="H9" s="225"/>
      <c r="L9" s="105"/>
    </row>
    <row r="10" spans="1:17" x14ac:dyDescent="0.25">
      <c r="A10" t="str">
        <f>_xlfn.CONCAT(B4:B8)</f>
        <v/>
      </c>
      <c r="L10" s="105"/>
    </row>
    <row r="13" spans="1:17" s="245" customFormat="1" ht="15.75" thickBot="1" x14ac:dyDescent="0.3">
      <c r="H13"/>
      <c r="I13"/>
      <c r="J13"/>
      <c r="K13"/>
      <c r="L13"/>
      <c r="M13"/>
      <c r="N13"/>
      <c r="O13"/>
      <c r="P13"/>
      <c r="Q13"/>
    </row>
    <row r="14" spans="1:17" ht="15.75" thickTop="1" x14ac:dyDescent="0.25"/>
    <row r="15" spans="1:17" x14ac:dyDescent="0.25">
      <c r="A15" s="225" t="s">
        <v>2121</v>
      </c>
    </row>
    <row r="16" spans="1:17" x14ac:dyDescent="0.25">
      <c r="A16" t="s">
        <v>2181</v>
      </c>
      <c r="B16" t="str">
        <f>IF('Systemic Safety BC'!C15="","",'Systemic Safety BC'!C15)</f>
        <v/>
      </c>
      <c r="I16" s="25"/>
    </row>
    <row r="17" spans="1:58" x14ac:dyDescent="0.25">
      <c r="A17" t="s">
        <v>2122</v>
      </c>
      <c r="B17" t="str">
        <f>IF('Systemic Safety BC'!C16="","",'Systemic Safety BC'!C16)</f>
        <v/>
      </c>
      <c r="I17" s="25"/>
    </row>
    <row r="18" spans="1:58" x14ac:dyDescent="0.25">
      <c r="A18" t="s">
        <v>2123</v>
      </c>
      <c r="B18" t="str">
        <f>IF('Systemic Safety BC'!C17="","",'Systemic Safety BC'!C17)</f>
        <v/>
      </c>
      <c r="I18" s="25"/>
    </row>
    <row r="19" spans="1:58" x14ac:dyDescent="0.25">
      <c r="A19" t="s">
        <v>2055</v>
      </c>
      <c r="B19" t="str">
        <f>IF('Systemic Safety BC'!C18="","",'Systemic Safety BC'!C18)</f>
        <v/>
      </c>
      <c r="I19" s="25"/>
    </row>
    <row r="20" spans="1:58" x14ac:dyDescent="0.25">
      <c r="A20" t="s">
        <v>2056</v>
      </c>
      <c r="B20" t="str">
        <f>IF('Systemic Safety BC'!C19="","",'Systemic Safety BC'!C19)</f>
        <v/>
      </c>
      <c r="I20" s="25"/>
    </row>
    <row r="21" spans="1:58" x14ac:dyDescent="0.25">
      <c r="A21" t="s">
        <v>2082</v>
      </c>
      <c r="B21" t="str">
        <f>IF('Systemic Safety BC'!C20="","",'Systemic Safety BC'!C20)</f>
        <v/>
      </c>
      <c r="H21" s="232"/>
      <c r="K21" s="232"/>
      <c r="L21" s="232"/>
      <c r="M21" s="232"/>
      <c r="N21" s="232"/>
      <c r="O21" s="232"/>
      <c r="P21" s="232"/>
      <c r="Q21" s="232"/>
    </row>
    <row r="22" spans="1:58" x14ac:dyDescent="0.25">
      <c r="A22" t="str">
        <f>_xlfn.CONCAT(B19:B21)</f>
        <v/>
      </c>
    </row>
    <row r="23" spans="1:58" x14ac:dyDescent="0.25">
      <c r="H23" s="225"/>
      <c r="L23" s="105"/>
    </row>
    <row r="24" spans="1:58" x14ac:dyDescent="0.25">
      <c r="L24" s="105"/>
    </row>
    <row r="25" spans="1:58" x14ac:dyDescent="0.25">
      <c r="A25" t="s">
        <v>2186</v>
      </c>
      <c r="B25">
        <f>'Systemic Safety BC'!E24</f>
        <v>0</v>
      </c>
    </row>
    <row r="26" spans="1:58" x14ac:dyDescent="0.25">
      <c r="A26" t="s">
        <v>2187</v>
      </c>
      <c r="B26">
        <f>'Systemic Safety BC'!E23</f>
        <v>0</v>
      </c>
    </row>
    <row r="27" spans="1:58" s="245" customFormat="1" ht="15.75" thickBot="1" x14ac:dyDescent="0.3">
      <c r="A27" s="245" t="s">
        <v>2205</v>
      </c>
      <c r="B27" s="245">
        <f>'Systemic Safety BC'!E11</f>
        <v>0</v>
      </c>
      <c r="H27"/>
      <c r="I27"/>
      <c r="J27"/>
      <c r="K27"/>
      <c r="L27"/>
      <c r="M27"/>
      <c r="N27"/>
      <c r="O27"/>
      <c r="P27"/>
      <c r="Q27"/>
    </row>
    <row r="28" spans="1:58" ht="16.5" thickTop="1" thickBot="1" x14ac:dyDescent="0.3">
      <c r="AZ28" t="s">
        <v>2206</v>
      </c>
      <c r="BA28" s="228">
        <v>857956</v>
      </c>
      <c r="BB28" s="228">
        <v>857956</v>
      </c>
      <c r="BC28" s="228">
        <v>212262</v>
      </c>
      <c r="BD28" s="228">
        <v>124600</v>
      </c>
      <c r="BE28" s="228">
        <v>15587</v>
      </c>
    </row>
    <row r="29" spans="1:58" ht="15.75" thickBot="1" x14ac:dyDescent="0.3">
      <c r="AP29" s="417" t="s">
        <v>2195</v>
      </c>
      <c r="AQ29" s="418"/>
      <c r="AR29" s="418"/>
      <c r="AS29" s="418"/>
      <c r="AT29" s="418"/>
      <c r="AU29" s="419"/>
      <c r="AV29" s="417" t="s">
        <v>2196</v>
      </c>
      <c r="AW29" s="418"/>
      <c r="AX29" s="418"/>
      <c r="AY29" s="418"/>
      <c r="AZ29" s="419"/>
      <c r="BA29" s="417" t="s">
        <v>2197</v>
      </c>
      <c r="BB29" s="418"/>
      <c r="BC29" s="418"/>
      <c r="BD29" s="418"/>
      <c r="BE29" s="418"/>
      <c r="BF29" s="419"/>
    </row>
    <row r="30" spans="1:58" ht="15.75" thickBot="1" x14ac:dyDescent="0.3">
      <c r="A30" s="210" t="s">
        <v>2067</v>
      </c>
      <c r="B30" s="214" t="s">
        <v>2095</v>
      </c>
      <c r="C30" s="214" t="s">
        <v>2096</v>
      </c>
      <c r="D30" s="208" t="s">
        <v>2029</v>
      </c>
      <c r="E30" s="209" t="s">
        <v>2030</v>
      </c>
      <c r="F30" s="209" t="s">
        <v>2031</v>
      </c>
      <c r="G30" s="209" t="s">
        <v>2032</v>
      </c>
      <c r="H30" s="221" t="s">
        <v>2042</v>
      </c>
      <c r="I30" s="210" t="s">
        <v>2194</v>
      </c>
      <c r="J30" s="208" t="s">
        <v>2043</v>
      </c>
      <c r="K30" s="209" t="s">
        <v>2044</v>
      </c>
      <c r="L30" s="209" t="s">
        <v>2045</v>
      </c>
      <c r="M30" s="209" t="s">
        <v>2046</v>
      </c>
      <c r="N30" s="221" t="s">
        <v>2047</v>
      </c>
      <c r="O30" s="210" t="s">
        <v>2194</v>
      </c>
      <c r="P30" s="209" t="s">
        <v>2048</v>
      </c>
      <c r="Q30" s="209" t="s">
        <v>2049</v>
      </c>
      <c r="R30" s="209" t="s">
        <v>2050</v>
      </c>
      <c r="S30" s="209" t="s">
        <v>2051</v>
      </c>
      <c r="T30" s="221" t="s">
        <v>2052</v>
      </c>
      <c r="U30" s="210" t="s">
        <v>2194</v>
      </c>
      <c r="V30" s="208" t="s">
        <v>2171</v>
      </c>
      <c r="W30" s="209" t="s">
        <v>2172</v>
      </c>
      <c r="X30" s="209" t="s">
        <v>2029</v>
      </c>
      <c r="Y30" s="209" t="s">
        <v>2030</v>
      </c>
      <c r="Z30" s="209" t="s">
        <v>2031</v>
      </c>
      <c r="AA30" s="209" t="s">
        <v>2032</v>
      </c>
      <c r="AB30" s="209" t="s">
        <v>2042</v>
      </c>
      <c r="AC30" s="210" t="s">
        <v>2194</v>
      </c>
      <c r="AD30" s="208" t="s">
        <v>2043</v>
      </c>
      <c r="AE30" s="209" t="s">
        <v>2044</v>
      </c>
      <c r="AF30" s="209" t="s">
        <v>2194</v>
      </c>
      <c r="AG30" s="210" t="s">
        <v>2038</v>
      </c>
      <c r="AH30" s="208" t="s">
        <v>2039</v>
      </c>
      <c r="AI30" s="209" t="s">
        <v>142</v>
      </c>
      <c r="AJ30" s="209" t="s">
        <v>143</v>
      </c>
      <c r="AK30" s="209" t="s">
        <v>2040</v>
      </c>
      <c r="AL30" s="210" t="s">
        <v>2041</v>
      </c>
      <c r="AM30" s="210" t="s">
        <v>2099</v>
      </c>
      <c r="AN30" s="210" t="s">
        <v>2100</v>
      </c>
      <c r="AO30" s="208" t="s">
        <v>2170</v>
      </c>
      <c r="AP30" s="208" t="s">
        <v>2102</v>
      </c>
      <c r="AQ30" s="209" t="s">
        <v>2103</v>
      </c>
      <c r="AR30" s="209" t="s">
        <v>2104</v>
      </c>
      <c r="AS30" s="209" t="s">
        <v>2105</v>
      </c>
      <c r="AT30" s="210" t="s">
        <v>2106</v>
      </c>
      <c r="AU30" s="209" t="s">
        <v>2213</v>
      </c>
      <c r="AV30" s="208" t="s">
        <v>2189</v>
      </c>
      <c r="AW30" s="209" t="s">
        <v>2190</v>
      </c>
      <c r="AX30" s="209" t="s">
        <v>2191</v>
      </c>
      <c r="AY30" s="209" t="s">
        <v>2192</v>
      </c>
      <c r="AZ30" s="210" t="s">
        <v>2193</v>
      </c>
      <c r="BA30" s="281" t="s">
        <v>2198</v>
      </c>
      <c r="BB30" s="282" t="s">
        <v>2199</v>
      </c>
      <c r="BC30" s="282" t="s">
        <v>2200</v>
      </c>
      <c r="BD30" s="282" t="s">
        <v>2201</v>
      </c>
      <c r="BE30" s="283" t="s">
        <v>2202</v>
      </c>
      <c r="BF30" s="284" t="s">
        <v>2203</v>
      </c>
    </row>
    <row r="31" spans="1:58" x14ac:dyDescent="0.25">
      <c r="A31" s="50" t="s">
        <v>2090</v>
      </c>
      <c r="B31" s="226">
        <f t="shared" ref="B31:B42" si="0">IFERROR(FIND(A31,$A$10,1),0)</f>
        <v>0</v>
      </c>
      <c r="C31" s="226" t="str">
        <f t="shared" ref="C31:C42" si="1">IF(B31=MAX($B$31:$B$42),"Yes","No")</f>
        <v>Yes</v>
      </c>
      <c r="D31" s="47"/>
      <c r="H31" s="222"/>
      <c r="I31" s="50" t="e">
        <f>(D31)/(1+EXP(-1*((E31*10^-F31)*($B$2-G31))))+H31</f>
        <v>#VALUE!</v>
      </c>
      <c r="J31" s="47"/>
      <c r="N31" s="222"/>
      <c r="O31" s="50" t="e">
        <f t="shared" ref="O31:O42" si="2">(J31*(10^-K31)*($B$2^2))+(L31*(10^-M31)*$B$2)+N31</f>
        <v>#VALUE!</v>
      </c>
      <c r="T31" s="222"/>
      <c r="U31" t="e">
        <f>(P31*(10^-Q31)*($B$2^R31)*EXP((S31*(10^-T31)*$B$2)))</f>
        <v>#VALUE!</v>
      </c>
      <c r="V31" s="47"/>
      <c r="AC31" s="253" t="e">
        <f>(V31*(10^W31)*($B$2^3))+(X31*(10^Y31)*($B$2^2))+(Z31*(10^AA31)*$B$2)+AB31</f>
        <v>#VALUE!</v>
      </c>
      <c r="AD31" s="47">
        <v>-8.6039999999999992</v>
      </c>
      <c r="AE31">
        <v>1.04</v>
      </c>
      <c r="AF31" t="e">
        <f>EXP(AD31)*($B$2^AE31)</f>
        <v>#VALUE!</v>
      </c>
      <c r="AG31" s="226">
        <v>3.0075409356100402</v>
      </c>
      <c r="AH31" s="211">
        <v>4.4999999999999997E-3</v>
      </c>
      <c r="AI31" s="212">
        <v>1.77E-2</v>
      </c>
      <c r="AJ31" s="212">
        <v>0.11269999999999999</v>
      </c>
      <c r="AK31" s="212">
        <v>4.5999999999999999E-2</v>
      </c>
      <c r="AL31" s="220">
        <v>0.81910000000000005</v>
      </c>
      <c r="AM31" s="231">
        <v>20.024072835797199</v>
      </c>
      <c r="AN31" s="311">
        <v>126.410706321353</v>
      </c>
      <c r="AO31" s="243">
        <v>46241</v>
      </c>
      <c r="AP31" s="260" t="e">
        <f>MAX($I31,$O31,$U31,$AC31,$AF31)*AH31*$B$3</f>
        <v>#VALUE!</v>
      </c>
      <c r="AQ31" s="261" t="e">
        <f t="shared" ref="AQ31:AU31" si="3">MAX($I31,$O31,$U31,$AC31,$AF31)*AI31*$B$3</f>
        <v>#VALUE!</v>
      </c>
      <c r="AR31" s="261" t="e">
        <f t="shared" si="3"/>
        <v>#VALUE!</v>
      </c>
      <c r="AS31" s="261" t="e">
        <f t="shared" si="3"/>
        <v>#VALUE!</v>
      </c>
      <c r="AT31" s="261" t="e">
        <f t="shared" si="3"/>
        <v>#VALUE!</v>
      </c>
      <c r="AU31" s="262" t="e">
        <f t="shared" si="3"/>
        <v>#VALUE!</v>
      </c>
      <c r="AV31" s="269" t="e">
        <f t="shared" ref="AV31:AV42" si="4">AP31*$B$25/100</f>
        <v>#VALUE!</v>
      </c>
      <c r="AW31" s="261" t="e">
        <f t="shared" ref="AW31:AW42" si="5">AQ31*$B$25/100</f>
        <v>#VALUE!</v>
      </c>
      <c r="AX31" s="261" t="e">
        <f t="shared" ref="AX31:AX42" si="6">AR31*$B$25/100</f>
        <v>#VALUE!</v>
      </c>
      <c r="AY31" s="261" t="e">
        <f t="shared" ref="AY31:AY42" si="7">AS31*$B$25/100</f>
        <v>#VALUE!</v>
      </c>
      <c r="AZ31" s="262" t="str">
        <f t="shared" ref="AZ31:AZ42" si="8">IF($B$26="All Crash Severities",AT31*$B$25/100,IF($B$26="KABC Crashes",0,"Enter type of CRF"))</f>
        <v>Enter type of CRF</v>
      </c>
      <c r="BA31" s="273" t="e">
        <f t="shared" ref="BA31:BA42" si="9">AV31*BA$28*$B$27</f>
        <v>#VALUE!</v>
      </c>
      <c r="BB31" s="274" t="e">
        <f t="shared" ref="BB31:BB42" si="10">AW31*BB$28*$B$27</f>
        <v>#VALUE!</v>
      </c>
      <c r="BC31" s="274" t="e">
        <f t="shared" ref="BC31:BC42" si="11">AX31*BC$28*$B$27</f>
        <v>#VALUE!</v>
      </c>
      <c r="BD31" s="274" t="e">
        <f t="shared" ref="BD31:BD42" si="12">AY31*BD$28*$B$27</f>
        <v>#VALUE!</v>
      </c>
      <c r="BE31" s="274" t="e">
        <f t="shared" ref="BE31:BE42" si="13">AZ31*BE$28*$B$27</f>
        <v>#VALUE!</v>
      </c>
      <c r="BF31" s="275" t="e">
        <f>SUM(BA31:BE31)</f>
        <v>#VALUE!</v>
      </c>
    </row>
    <row r="32" spans="1:58" x14ac:dyDescent="0.25">
      <c r="A32" s="50" t="s">
        <v>2091</v>
      </c>
      <c r="B32" s="226">
        <f t="shared" si="0"/>
        <v>0</v>
      </c>
      <c r="C32" s="226" t="str">
        <f t="shared" si="1"/>
        <v>Yes</v>
      </c>
      <c r="D32" s="47"/>
      <c r="H32" s="222"/>
      <c r="I32" s="50" t="e">
        <f>(D32)/(1+EXP(-1*((E32*10^-F32)*($B$2-G32))))+H32</f>
        <v>#VALUE!</v>
      </c>
      <c r="J32" s="47"/>
      <c r="N32" s="222"/>
      <c r="O32" s="50" t="e">
        <f t="shared" si="2"/>
        <v>#VALUE!</v>
      </c>
      <c r="T32" s="222"/>
      <c r="U32" t="e">
        <f t="shared" ref="U32:U42" si="14">(P32*(10^-Q32)*($B$2^R32)*EXP((S32*(10^-T32)*$B$2)))</f>
        <v>#VALUE!</v>
      </c>
      <c r="V32" s="47"/>
      <c r="AC32" s="253" t="e">
        <f>(V32*(10^W32)*($B$2^3))+(X32*(10^Y32)*($B$2^2))+(Z32*(10^AA32)*$B$2)+AB32</f>
        <v>#VALUE!</v>
      </c>
      <c r="AD32" s="47">
        <v>-5.4560000000000004</v>
      </c>
      <c r="AE32">
        <v>0.73399999999999999</v>
      </c>
      <c r="AF32" t="e">
        <f t="shared" ref="AF32:AF42" si="15">EXP(AD32)*($B$2^AE32)</f>
        <v>#VALUE!</v>
      </c>
      <c r="AG32" s="226">
        <v>4.38106107924302</v>
      </c>
      <c r="AH32" s="218">
        <v>5.3E-3</v>
      </c>
      <c r="AI32" s="219">
        <v>2.1000000000000001E-2</v>
      </c>
      <c r="AJ32" s="219">
        <v>0.1152</v>
      </c>
      <c r="AK32" s="219">
        <v>4.48E-2</v>
      </c>
      <c r="AL32" s="220">
        <v>0.81369999999999998</v>
      </c>
      <c r="AM32" s="231">
        <v>21.419472003427</v>
      </c>
      <c r="AN32" s="231">
        <v>100.474038549959</v>
      </c>
      <c r="AO32" s="243">
        <v>46241</v>
      </c>
      <c r="AP32" s="263" t="e">
        <f t="shared" ref="AP32:AP42" si="16">MAX($I32,$O32,$U32,$AC32,$AF32)*AH32*$B$3</f>
        <v>#VALUE!</v>
      </c>
      <c r="AQ32" s="259" t="e">
        <f t="shared" ref="AQ32:AQ42" si="17">MAX($I32,$O32,$U32,$AC32,$AF32)*AI32*$B$3</f>
        <v>#VALUE!</v>
      </c>
      <c r="AR32" s="259" t="e">
        <f t="shared" ref="AR32:AR42" si="18">MAX($I32,$O32,$U32,$AC32,$AF32)*AJ32*$B$3</f>
        <v>#VALUE!</v>
      </c>
      <c r="AS32" s="259" t="e">
        <f t="shared" ref="AS32:AS42" si="19">MAX($I32,$O32,$U32,$AC32,$AF32)*AK32*$B$3</f>
        <v>#VALUE!</v>
      </c>
      <c r="AT32" s="259" t="e">
        <f t="shared" ref="AT32:AT42" si="20">MAX($I32,$O32,$U32,$AC32,$AF32)*AL32*$B$3</f>
        <v>#VALUE!</v>
      </c>
      <c r="AU32" s="264" t="e">
        <f t="shared" ref="AU32:AU42" si="21">MAX($I32,$O32,$U32,$AC32,$AF32)*AM32*$B$3</f>
        <v>#VALUE!</v>
      </c>
      <c r="AV32" s="270" t="e">
        <f t="shared" si="4"/>
        <v>#VALUE!</v>
      </c>
      <c r="AW32" s="259" t="e">
        <f t="shared" si="5"/>
        <v>#VALUE!</v>
      </c>
      <c r="AX32" s="259" t="e">
        <f t="shared" si="6"/>
        <v>#VALUE!</v>
      </c>
      <c r="AY32" s="259" t="e">
        <f t="shared" si="7"/>
        <v>#VALUE!</v>
      </c>
      <c r="AZ32" s="264" t="str">
        <f t="shared" si="8"/>
        <v>Enter type of CRF</v>
      </c>
      <c r="BA32" s="276" t="e">
        <f t="shared" si="9"/>
        <v>#VALUE!</v>
      </c>
      <c r="BB32" s="272" t="e">
        <f t="shared" si="10"/>
        <v>#VALUE!</v>
      </c>
      <c r="BC32" s="272" t="e">
        <f t="shared" si="11"/>
        <v>#VALUE!</v>
      </c>
      <c r="BD32" s="272" t="e">
        <f t="shared" si="12"/>
        <v>#VALUE!</v>
      </c>
      <c r="BE32" s="272" t="e">
        <f t="shared" si="13"/>
        <v>#VALUE!</v>
      </c>
      <c r="BF32" s="277" t="e">
        <f t="shared" ref="BF32:BF42" si="22">SUM(BA32:BE32)</f>
        <v>#VALUE!</v>
      </c>
    </row>
    <row r="33" spans="1:58" x14ac:dyDescent="0.25">
      <c r="A33" s="50" t="s">
        <v>2098</v>
      </c>
      <c r="B33" s="226">
        <f t="shared" si="0"/>
        <v>0</v>
      </c>
      <c r="C33" s="226" t="str">
        <f t="shared" si="1"/>
        <v>Yes</v>
      </c>
      <c r="D33" s="47"/>
      <c r="H33" s="222"/>
      <c r="I33" s="50" t="e">
        <f t="shared" ref="I33:I42" si="23">(D33)/(1+EXP(-1*((E33*10^-F33)*($B$2-G33))))+H33</f>
        <v>#VALUE!</v>
      </c>
      <c r="J33" s="47"/>
      <c r="N33" s="222"/>
      <c r="O33" s="50" t="e">
        <f t="shared" si="2"/>
        <v>#VALUE!</v>
      </c>
      <c r="T33" s="222"/>
      <c r="U33" t="e">
        <f t="shared" si="14"/>
        <v>#VALUE!</v>
      </c>
      <c r="V33" s="47"/>
      <c r="AC33" s="253" t="e">
        <f t="shared" ref="AC33:AC42" si="24">(V33*(10^W33)*($B$2^3))+(X33*(10^Y33)*($B$2^2))+(Z33*(10^AA33)*$B$2)+AB33</f>
        <v>#VALUE!</v>
      </c>
      <c r="AD33" s="47">
        <v>-5.5350000000000001</v>
      </c>
      <c r="AE33">
        <v>0.68579999999999997</v>
      </c>
      <c r="AF33" t="e">
        <f t="shared" si="15"/>
        <v>#VALUE!</v>
      </c>
      <c r="AG33" s="226">
        <v>1.53597186109109</v>
      </c>
      <c r="AH33" s="211">
        <v>9.1000000000000004E-3</v>
      </c>
      <c r="AI33" s="212">
        <v>2.81E-2</v>
      </c>
      <c r="AJ33" s="212">
        <v>9.7900000000000001E-2</v>
      </c>
      <c r="AK33" s="212">
        <v>4.1500000000000002E-2</v>
      </c>
      <c r="AL33" s="213">
        <v>0.82350000000000001</v>
      </c>
      <c r="AM33" s="231">
        <v>8.7261341115952007</v>
      </c>
      <c r="AN33" s="231">
        <v>18.813892494356999</v>
      </c>
      <c r="AO33" s="243">
        <v>46241</v>
      </c>
      <c r="AP33" s="263" t="e">
        <f t="shared" si="16"/>
        <v>#VALUE!</v>
      </c>
      <c r="AQ33" s="259" t="e">
        <f t="shared" si="17"/>
        <v>#VALUE!</v>
      </c>
      <c r="AR33" s="259" t="e">
        <f t="shared" si="18"/>
        <v>#VALUE!</v>
      </c>
      <c r="AS33" s="259" t="e">
        <f t="shared" si="19"/>
        <v>#VALUE!</v>
      </c>
      <c r="AT33" s="259" t="e">
        <f t="shared" si="20"/>
        <v>#VALUE!</v>
      </c>
      <c r="AU33" s="264" t="e">
        <f t="shared" si="21"/>
        <v>#VALUE!</v>
      </c>
      <c r="AV33" s="270" t="e">
        <f t="shared" si="4"/>
        <v>#VALUE!</v>
      </c>
      <c r="AW33" s="259" t="e">
        <f t="shared" si="5"/>
        <v>#VALUE!</v>
      </c>
      <c r="AX33" s="259" t="e">
        <f t="shared" si="6"/>
        <v>#VALUE!</v>
      </c>
      <c r="AY33" s="259" t="e">
        <f t="shared" si="7"/>
        <v>#VALUE!</v>
      </c>
      <c r="AZ33" s="264" t="str">
        <f t="shared" si="8"/>
        <v>Enter type of CRF</v>
      </c>
      <c r="BA33" s="276" t="e">
        <f t="shared" si="9"/>
        <v>#VALUE!</v>
      </c>
      <c r="BB33" s="272" t="e">
        <f t="shared" si="10"/>
        <v>#VALUE!</v>
      </c>
      <c r="BC33" s="272" t="e">
        <f t="shared" si="11"/>
        <v>#VALUE!</v>
      </c>
      <c r="BD33" s="272" t="e">
        <f t="shared" si="12"/>
        <v>#VALUE!</v>
      </c>
      <c r="BE33" s="272" t="e">
        <f t="shared" si="13"/>
        <v>#VALUE!</v>
      </c>
      <c r="BF33" s="277" t="e">
        <f t="shared" si="22"/>
        <v>#VALUE!</v>
      </c>
    </row>
    <row r="34" spans="1:58" x14ac:dyDescent="0.25">
      <c r="A34" s="50" t="s">
        <v>2097</v>
      </c>
      <c r="B34" s="226">
        <f t="shared" si="0"/>
        <v>0</v>
      </c>
      <c r="C34" s="226" t="str">
        <f t="shared" si="1"/>
        <v>Yes</v>
      </c>
      <c r="D34" s="47"/>
      <c r="H34" s="222"/>
      <c r="I34" s="50" t="e">
        <f t="shared" si="23"/>
        <v>#VALUE!</v>
      </c>
      <c r="J34" s="47"/>
      <c r="N34" s="222"/>
      <c r="O34" s="50" t="e">
        <f t="shared" si="2"/>
        <v>#VALUE!</v>
      </c>
      <c r="T34" s="222"/>
      <c r="U34" t="e">
        <f t="shared" si="14"/>
        <v>#VALUE!</v>
      </c>
      <c r="V34" s="47"/>
      <c r="AC34" s="253" t="e">
        <f t="shared" si="24"/>
        <v>#VALUE!</v>
      </c>
      <c r="AD34" s="47">
        <v>-4.3879999999999999</v>
      </c>
      <c r="AE34">
        <v>0.65200000000000002</v>
      </c>
      <c r="AF34" t="e">
        <f t="shared" si="15"/>
        <v>#VALUE!</v>
      </c>
      <c r="AG34" s="226">
        <v>3.33552723761365</v>
      </c>
      <c r="AH34" s="211">
        <v>3.8E-3</v>
      </c>
      <c r="AI34" s="212">
        <v>1.5800000000000002E-2</v>
      </c>
      <c r="AJ34" s="212">
        <v>0.1105</v>
      </c>
      <c r="AK34" s="212">
        <v>3.9399999999999998E-2</v>
      </c>
      <c r="AL34" s="213">
        <v>0.8306</v>
      </c>
      <c r="AM34" s="231">
        <v>27.929276883142599</v>
      </c>
      <c r="AN34" s="312">
        <v>130.19871386383201</v>
      </c>
      <c r="AO34" s="243">
        <v>46241</v>
      </c>
      <c r="AP34" s="263" t="e">
        <f t="shared" si="16"/>
        <v>#VALUE!</v>
      </c>
      <c r="AQ34" s="259" t="e">
        <f t="shared" si="17"/>
        <v>#VALUE!</v>
      </c>
      <c r="AR34" s="259" t="e">
        <f t="shared" si="18"/>
        <v>#VALUE!</v>
      </c>
      <c r="AS34" s="259" t="e">
        <f t="shared" si="19"/>
        <v>#VALUE!</v>
      </c>
      <c r="AT34" s="259" t="e">
        <f t="shared" si="20"/>
        <v>#VALUE!</v>
      </c>
      <c r="AU34" s="264" t="e">
        <f t="shared" si="21"/>
        <v>#VALUE!</v>
      </c>
      <c r="AV34" s="270" t="e">
        <f t="shared" si="4"/>
        <v>#VALUE!</v>
      </c>
      <c r="AW34" s="259" t="e">
        <f t="shared" si="5"/>
        <v>#VALUE!</v>
      </c>
      <c r="AX34" s="259" t="e">
        <f t="shared" si="6"/>
        <v>#VALUE!</v>
      </c>
      <c r="AY34" s="259" t="e">
        <f t="shared" si="7"/>
        <v>#VALUE!</v>
      </c>
      <c r="AZ34" s="264" t="str">
        <f t="shared" si="8"/>
        <v>Enter type of CRF</v>
      </c>
      <c r="BA34" s="276" t="e">
        <f t="shared" si="9"/>
        <v>#VALUE!</v>
      </c>
      <c r="BB34" s="272" t="e">
        <f t="shared" si="10"/>
        <v>#VALUE!</v>
      </c>
      <c r="BC34" s="272" t="e">
        <f t="shared" si="11"/>
        <v>#VALUE!</v>
      </c>
      <c r="BD34" s="272" t="e">
        <f t="shared" si="12"/>
        <v>#VALUE!</v>
      </c>
      <c r="BE34" s="272" t="e">
        <f t="shared" si="13"/>
        <v>#VALUE!</v>
      </c>
      <c r="BF34" s="277" t="e">
        <f t="shared" si="22"/>
        <v>#VALUE!</v>
      </c>
    </row>
    <row r="35" spans="1:58" x14ac:dyDescent="0.25">
      <c r="A35" s="50" t="s">
        <v>2092</v>
      </c>
      <c r="B35" s="226">
        <f t="shared" si="0"/>
        <v>0</v>
      </c>
      <c r="C35" s="226" t="str">
        <f t="shared" si="1"/>
        <v>Yes</v>
      </c>
      <c r="D35" s="47"/>
      <c r="H35" s="222"/>
      <c r="I35" s="50" t="e">
        <f t="shared" si="23"/>
        <v>#VALUE!</v>
      </c>
      <c r="J35" s="47"/>
      <c r="N35" s="222"/>
      <c r="O35" s="50" t="e">
        <f t="shared" si="2"/>
        <v>#VALUE!</v>
      </c>
      <c r="T35" s="222"/>
      <c r="U35" t="e">
        <f>(P35*(10^-Q35)*($B$2^R35)*EXP((S35*(10^-T35)*$B$2)))</f>
        <v>#VALUE!</v>
      </c>
      <c r="V35" s="47"/>
      <c r="AC35" s="253" t="e">
        <f t="shared" si="24"/>
        <v>#VALUE!</v>
      </c>
      <c r="AD35" s="47">
        <v>-10.39</v>
      </c>
      <c r="AE35">
        <v>1.1619999999999999</v>
      </c>
      <c r="AF35" t="e">
        <f t="shared" si="15"/>
        <v>#VALUE!</v>
      </c>
      <c r="AG35" s="226">
        <v>16.653421393643399</v>
      </c>
      <c r="AH35" s="211">
        <v>3.5999999999999999E-3</v>
      </c>
      <c r="AI35" s="212">
        <v>1.7500000000000002E-2</v>
      </c>
      <c r="AJ35" s="212">
        <v>9.3899999999999997E-2</v>
      </c>
      <c r="AK35" s="212">
        <v>3.5499999999999997E-2</v>
      </c>
      <c r="AL35" s="213">
        <v>0.84950000000000003</v>
      </c>
      <c r="AM35" s="231">
        <v>4.7216649238126696</v>
      </c>
      <c r="AN35" s="231">
        <v>22.540194967098799</v>
      </c>
      <c r="AO35" s="243">
        <v>46241</v>
      </c>
      <c r="AP35" s="263" t="e">
        <f t="shared" si="16"/>
        <v>#VALUE!</v>
      </c>
      <c r="AQ35" s="259" t="e">
        <f t="shared" si="17"/>
        <v>#VALUE!</v>
      </c>
      <c r="AR35" s="259" t="e">
        <f t="shared" si="18"/>
        <v>#VALUE!</v>
      </c>
      <c r="AS35" s="259" t="e">
        <f t="shared" si="19"/>
        <v>#VALUE!</v>
      </c>
      <c r="AT35" s="259" t="e">
        <f t="shared" si="20"/>
        <v>#VALUE!</v>
      </c>
      <c r="AU35" s="264" t="e">
        <f t="shared" si="21"/>
        <v>#VALUE!</v>
      </c>
      <c r="AV35" s="270" t="e">
        <f t="shared" si="4"/>
        <v>#VALUE!</v>
      </c>
      <c r="AW35" s="259" t="e">
        <f t="shared" si="5"/>
        <v>#VALUE!</v>
      </c>
      <c r="AX35" s="259" t="e">
        <f t="shared" si="6"/>
        <v>#VALUE!</v>
      </c>
      <c r="AY35" s="259" t="e">
        <f t="shared" si="7"/>
        <v>#VALUE!</v>
      </c>
      <c r="AZ35" s="264" t="str">
        <f t="shared" si="8"/>
        <v>Enter type of CRF</v>
      </c>
      <c r="BA35" s="276" t="e">
        <f t="shared" si="9"/>
        <v>#VALUE!</v>
      </c>
      <c r="BB35" s="272" t="e">
        <f t="shared" si="10"/>
        <v>#VALUE!</v>
      </c>
      <c r="BC35" s="272" t="e">
        <f t="shared" si="11"/>
        <v>#VALUE!</v>
      </c>
      <c r="BD35" s="272" t="e">
        <f t="shared" si="12"/>
        <v>#VALUE!</v>
      </c>
      <c r="BE35" s="272" t="e">
        <f t="shared" si="13"/>
        <v>#VALUE!</v>
      </c>
      <c r="BF35" s="277" t="e">
        <f t="shared" si="22"/>
        <v>#VALUE!</v>
      </c>
    </row>
    <row r="36" spans="1:58" x14ac:dyDescent="0.25">
      <c r="A36" s="50" t="s">
        <v>2093</v>
      </c>
      <c r="B36" s="226">
        <f t="shared" si="0"/>
        <v>0</v>
      </c>
      <c r="C36" s="226" t="str">
        <f t="shared" si="1"/>
        <v>Yes</v>
      </c>
      <c r="D36" s="47"/>
      <c r="H36" s="222"/>
      <c r="I36" s="50" t="e">
        <f t="shared" si="23"/>
        <v>#VALUE!</v>
      </c>
      <c r="J36" s="47"/>
      <c r="N36" s="222"/>
      <c r="O36" s="50" t="e">
        <f t="shared" si="2"/>
        <v>#VALUE!</v>
      </c>
      <c r="T36" s="222"/>
      <c r="U36" t="e">
        <f t="shared" si="14"/>
        <v>#VALUE!</v>
      </c>
      <c r="V36" s="47"/>
      <c r="AC36" s="253" t="e">
        <f t="shared" si="24"/>
        <v>#VALUE!</v>
      </c>
      <c r="AD36" s="47">
        <v>-8.9090000000000007</v>
      </c>
      <c r="AE36">
        <v>0.94633999999999996</v>
      </c>
      <c r="AF36" t="e">
        <f t="shared" si="15"/>
        <v>#VALUE!</v>
      </c>
      <c r="AG36" s="226">
        <v>10.086831007889</v>
      </c>
      <c r="AH36" s="218">
        <v>9.4000000000000004E-3</v>
      </c>
      <c r="AI36" s="219">
        <v>3.3500000000000002E-2</v>
      </c>
      <c r="AJ36" s="219">
        <v>0.1014</v>
      </c>
      <c r="AK36" s="219">
        <v>4.1500000000000002E-2</v>
      </c>
      <c r="AL36" s="220">
        <v>0.81430000000000002</v>
      </c>
      <c r="AM36" s="231">
        <v>2.3908959966069001</v>
      </c>
      <c r="AN36" s="311">
        <v>6.5063072852270798</v>
      </c>
      <c r="AO36" s="243">
        <v>46241</v>
      </c>
      <c r="AP36" s="263" t="e">
        <f t="shared" si="16"/>
        <v>#VALUE!</v>
      </c>
      <c r="AQ36" s="259" t="e">
        <f t="shared" si="17"/>
        <v>#VALUE!</v>
      </c>
      <c r="AR36" s="259" t="e">
        <f t="shared" si="18"/>
        <v>#VALUE!</v>
      </c>
      <c r="AS36" s="259" t="e">
        <f t="shared" si="19"/>
        <v>#VALUE!</v>
      </c>
      <c r="AT36" s="259" t="e">
        <f t="shared" si="20"/>
        <v>#VALUE!</v>
      </c>
      <c r="AU36" s="264" t="e">
        <f t="shared" si="21"/>
        <v>#VALUE!</v>
      </c>
      <c r="AV36" s="270" t="e">
        <f t="shared" si="4"/>
        <v>#VALUE!</v>
      </c>
      <c r="AW36" s="259" t="e">
        <f t="shared" si="5"/>
        <v>#VALUE!</v>
      </c>
      <c r="AX36" s="259" t="e">
        <f t="shared" si="6"/>
        <v>#VALUE!</v>
      </c>
      <c r="AY36" s="259" t="e">
        <f t="shared" si="7"/>
        <v>#VALUE!</v>
      </c>
      <c r="AZ36" s="264" t="str">
        <f t="shared" si="8"/>
        <v>Enter type of CRF</v>
      </c>
      <c r="BA36" s="276" t="e">
        <f t="shared" si="9"/>
        <v>#VALUE!</v>
      </c>
      <c r="BB36" s="272" t="e">
        <f t="shared" si="10"/>
        <v>#VALUE!</v>
      </c>
      <c r="BC36" s="272" t="e">
        <f t="shared" si="11"/>
        <v>#VALUE!</v>
      </c>
      <c r="BD36" s="272" t="e">
        <f t="shared" si="12"/>
        <v>#VALUE!</v>
      </c>
      <c r="BE36" s="272" t="e">
        <f t="shared" si="13"/>
        <v>#VALUE!</v>
      </c>
      <c r="BF36" s="277" t="e">
        <f t="shared" si="22"/>
        <v>#VALUE!</v>
      </c>
    </row>
    <row r="37" spans="1:58" x14ac:dyDescent="0.25">
      <c r="A37" s="50" t="s">
        <v>2086</v>
      </c>
      <c r="B37" s="226">
        <f t="shared" si="0"/>
        <v>0</v>
      </c>
      <c r="C37" s="226" t="str">
        <f t="shared" si="1"/>
        <v>Yes</v>
      </c>
      <c r="D37" s="47"/>
      <c r="H37" s="222"/>
      <c r="I37" s="50" t="e">
        <f t="shared" si="23"/>
        <v>#VALUE!</v>
      </c>
      <c r="J37" s="47"/>
      <c r="N37" s="222"/>
      <c r="O37" s="50" t="e">
        <f t="shared" si="2"/>
        <v>#VALUE!</v>
      </c>
      <c r="T37" s="222"/>
      <c r="U37" t="e">
        <f t="shared" si="14"/>
        <v>#VALUE!</v>
      </c>
      <c r="V37" s="47"/>
      <c r="AC37" s="253" t="e">
        <f t="shared" si="24"/>
        <v>#VALUE!</v>
      </c>
      <c r="AD37" s="47">
        <v>-15.57</v>
      </c>
      <c r="AE37">
        <v>1.627</v>
      </c>
      <c r="AF37" t="e">
        <f t="shared" si="15"/>
        <v>#VALUE!</v>
      </c>
      <c r="AG37" s="226">
        <v>3.0827992968327398</v>
      </c>
      <c r="AH37" s="211">
        <v>3.5999999999999999E-3</v>
      </c>
      <c r="AI37" s="212">
        <v>1.61E-2</v>
      </c>
      <c r="AJ37" s="212">
        <v>0.1019</v>
      </c>
      <c r="AK37" s="212">
        <v>2.2200000000000001E-2</v>
      </c>
      <c r="AL37" s="220">
        <v>0.85619999999999996</v>
      </c>
      <c r="AM37" s="231">
        <v>28.4178873478158</v>
      </c>
      <c r="AN37" s="311">
        <v>175.92634685947601</v>
      </c>
      <c r="AO37" s="243">
        <v>46241</v>
      </c>
      <c r="AP37" s="263" t="e">
        <f t="shared" si="16"/>
        <v>#VALUE!</v>
      </c>
      <c r="AQ37" s="259" t="e">
        <f t="shared" si="17"/>
        <v>#VALUE!</v>
      </c>
      <c r="AR37" s="259" t="e">
        <f t="shared" si="18"/>
        <v>#VALUE!</v>
      </c>
      <c r="AS37" s="259" t="e">
        <f t="shared" si="19"/>
        <v>#VALUE!</v>
      </c>
      <c r="AT37" s="259" t="e">
        <f t="shared" si="20"/>
        <v>#VALUE!</v>
      </c>
      <c r="AU37" s="264" t="e">
        <f t="shared" si="21"/>
        <v>#VALUE!</v>
      </c>
      <c r="AV37" s="270" t="e">
        <f t="shared" si="4"/>
        <v>#VALUE!</v>
      </c>
      <c r="AW37" s="259" t="e">
        <f t="shared" si="5"/>
        <v>#VALUE!</v>
      </c>
      <c r="AX37" s="259" t="e">
        <f t="shared" si="6"/>
        <v>#VALUE!</v>
      </c>
      <c r="AY37" s="259" t="e">
        <f t="shared" si="7"/>
        <v>#VALUE!</v>
      </c>
      <c r="AZ37" s="264" t="str">
        <f t="shared" si="8"/>
        <v>Enter type of CRF</v>
      </c>
      <c r="BA37" s="276" t="e">
        <f t="shared" si="9"/>
        <v>#VALUE!</v>
      </c>
      <c r="BB37" s="272" t="e">
        <f t="shared" si="10"/>
        <v>#VALUE!</v>
      </c>
      <c r="BC37" s="272" t="e">
        <f t="shared" si="11"/>
        <v>#VALUE!</v>
      </c>
      <c r="BD37" s="272" t="e">
        <f t="shared" si="12"/>
        <v>#VALUE!</v>
      </c>
      <c r="BE37" s="272" t="e">
        <f t="shared" si="13"/>
        <v>#VALUE!</v>
      </c>
      <c r="BF37" s="277" t="e">
        <f t="shared" si="22"/>
        <v>#VALUE!</v>
      </c>
    </row>
    <row r="38" spans="1:58" x14ac:dyDescent="0.25">
      <c r="A38" s="50" t="s">
        <v>2087</v>
      </c>
      <c r="B38" s="226">
        <f t="shared" si="0"/>
        <v>0</v>
      </c>
      <c r="C38" s="226" t="str">
        <f t="shared" si="1"/>
        <v>Yes</v>
      </c>
      <c r="D38" s="47"/>
      <c r="H38" s="222"/>
      <c r="I38" s="50" t="e">
        <f t="shared" si="23"/>
        <v>#VALUE!</v>
      </c>
      <c r="J38" s="47"/>
      <c r="N38" s="222"/>
      <c r="O38" s="50" t="e">
        <f t="shared" si="2"/>
        <v>#VALUE!</v>
      </c>
      <c r="T38" s="222"/>
      <c r="U38" t="e">
        <f t="shared" si="14"/>
        <v>#VALUE!</v>
      </c>
      <c r="V38" s="47"/>
      <c r="AC38" s="253" t="e">
        <f t="shared" si="24"/>
        <v>#VALUE!</v>
      </c>
      <c r="AD38" s="47">
        <v>-18.75</v>
      </c>
      <c r="AE38">
        <v>1.917</v>
      </c>
      <c r="AF38" t="e">
        <f t="shared" si="15"/>
        <v>#VALUE!</v>
      </c>
      <c r="AG38" s="226">
        <v>3.0341679740009599</v>
      </c>
      <c r="AH38" s="218">
        <v>4.1000000000000003E-3</v>
      </c>
      <c r="AI38" s="219">
        <v>1.7899999999999999E-2</v>
      </c>
      <c r="AJ38" s="219">
        <v>0.1069</v>
      </c>
      <c r="AK38" s="219">
        <v>2.3300000000000001E-2</v>
      </c>
      <c r="AL38" s="220">
        <v>0.8478</v>
      </c>
      <c r="AM38" s="231">
        <v>41.208279236669</v>
      </c>
      <c r="AN38" s="311">
        <v>163.547434337173</v>
      </c>
      <c r="AO38" s="243">
        <v>46241</v>
      </c>
      <c r="AP38" s="263" t="e">
        <f t="shared" si="16"/>
        <v>#VALUE!</v>
      </c>
      <c r="AQ38" s="259" t="e">
        <f t="shared" si="17"/>
        <v>#VALUE!</v>
      </c>
      <c r="AR38" s="259" t="e">
        <f t="shared" si="18"/>
        <v>#VALUE!</v>
      </c>
      <c r="AS38" s="259" t="e">
        <f t="shared" si="19"/>
        <v>#VALUE!</v>
      </c>
      <c r="AT38" s="259" t="e">
        <f t="shared" si="20"/>
        <v>#VALUE!</v>
      </c>
      <c r="AU38" s="264" t="e">
        <f t="shared" si="21"/>
        <v>#VALUE!</v>
      </c>
      <c r="AV38" s="270" t="e">
        <f t="shared" si="4"/>
        <v>#VALUE!</v>
      </c>
      <c r="AW38" s="259" t="e">
        <f t="shared" si="5"/>
        <v>#VALUE!</v>
      </c>
      <c r="AX38" s="259" t="e">
        <f t="shared" si="6"/>
        <v>#VALUE!</v>
      </c>
      <c r="AY38" s="259" t="e">
        <f t="shared" si="7"/>
        <v>#VALUE!</v>
      </c>
      <c r="AZ38" s="264" t="str">
        <f t="shared" si="8"/>
        <v>Enter type of CRF</v>
      </c>
      <c r="BA38" s="276" t="e">
        <f t="shared" si="9"/>
        <v>#VALUE!</v>
      </c>
      <c r="BB38" s="272" t="e">
        <f t="shared" si="10"/>
        <v>#VALUE!</v>
      </c>
      <c r="BC38" s="272" t="e">
        <f t="shared" si="11"/>
        <v>#VALUE!</v>
      </c>
      <c r="BD38" s="272" t="e">
        <f t="shared" si="12"/>
        <v>#VALUE!</v>
      </c>
      <c r="BE38" s="272" t="e">
        <f t="shared" si="13"/>
        <v>#VALUE!</v>
      </c>
      <c r="BF38" s="277" t="e">
        <f t="shared" si="22"/>
        <v>#VALUE!</v>
      </c>
    </row>
    <row r="39" spans="1:58" x14ac:dyDescent="0.25">
      <c r="A39" s="50" t="s">
        <v>2088</v>
      </c>
      <c r="B39" s="226">
        <f t="shared" si="0"/>
        <v>0</v>
      </c>
      <c r="C39" s="226" t="str">
        <f t="shared" si="1"/>
        <v>Yes</v>
      </c>
      <c r="D39" s="47"/>
      <c r="H39" s="222"/>
      <c r="I39" s="50" t="e">
        <f t="shared" si="23"/>
        <v>#VALUE!</v>
      </c>
      <c r="J39" s="47"/>
      <c r="N39" s="222"/>
      <c r="O39" s="50" t="e">
        <f t="shared" si="2"/>
        <v>#VALUE!</v>
      </c>
      <c r="T39" s="222"/>
      <c r="U39" t="e">
        <f t="shared" si="14"/>
        <v>#VALUE!</v>
      </c>
      <c r="V39" s="47"/>
      <c r="AC39" s="253" t="e">
        <f t="shared" si="24"/>
        <v>#VALUE!</v>
      </c>
      <c r="AD39" s="47">
        <v>-18.09</v>
      </c>
      <c r="AE39">
        <v>1.827</v>
      </c>
      <c r="AF39" t="e">
        <f t="shared" si="15"/>
        <v>#VALUE!</v>
      </c>
      <c r="AG39" s="226">
        <v>3.8779771009320898</v>
      </c>
      <c r="AH39" s="211">
        <v>6.1999999999999998E-3</v>
      </c>
      <c r="AI39" s="212">
        <v>2.0299999999999999E-2</v>
      </c>
      <c r="AJ39" s="212">
        <v>9.2399999999999996E-2</v>
      </c>
      <c r="AK39" s="212">
        <v>3.6600000000000001E-2</v>
      </c>
      <c r="AL39" s="213">
        <v>0.84440000000000004</v>
      </c>
      <c r="AM39" s="231">
        <v>8.8990406336294399</v>
      </c>
      <c r="AN39" s="231">
        <v>50.755453814350503</v>
      </c>
      <c r="AO39" s="243">
        <v>46241</v>
      </c>
      <c r="AP39" s="263" t="e">
        <f t="shared" si="16"/>
        <v>#VALUE!</v>
      </c>
      <c r="AQ39" s="259" t="e">
        <f t="shared" si="17"/>
        <v>#VALUE!</v>
      </c>
      <c r="AR39" s="259" t="e">
        <f t="shared" si="18"/>
        <v>#VALUE!</v>
      </c>
      <c r="AS39" s="259" t="e">
        <f t="shared" si="19"/>
        <v>#VALUE!</v>
      </c>
      <c r="AT39" s="259" t="e">
        <f t="shared" si="20"/>
        <v>#VALUE!</v>
      </c>
      <c r="AU39" s="264" t="e">
        <f t="shared" si="21"/>
        <v>#VALUE!</v>
      </c>
      <c r="AV39" s="270" t="e">
        <f t="shared" si="4"/>
        <v>#VALUE!</v>
      </c>
      <c r="AW39" s="259" t="e">
        <f t="shared" si="5"/>
        <v>#VALUE!</v>
      </c>
      <c r="AX39" s="259" t="e">
        <f t="shared" si="6"/>
        <v>#VALUE!</v>
      </c>
      <c r="AY39" s="259" t="e">
        <f t="shared" si="7"/>
        <v>#VALUE!</v>
      </c>
      <c r="AZ39" s="264" t="str">
        <f t="shared" si="8"/>
        <v>Enter type of CRF</v>
      </c>
      <c r="BA39" s="276" t="e">
        <f t="shared" si="9"/>
        <v>#VALUE!</v>
      </c>
      <c r="BB39" s="272" t="e">
        <f t="shared" si="10"/>
        <v>#VALUE!</v>
      </c>
      <c r="BC39" s="272" t="e">
        <f t="shared" si="11"/>
        <v>#VALUE!</v>
      </c>
      <c r="BD39" s="272" t="e">
        <f t="shared" si="12"/>
        <v>#VALUE!</v>
      </c>
      <c r="BE39" s="272" t="e">
        <f t="shared" si="13"/>
        <v>#VALUE!</v>
      </c>
      <c r="BF39" s="277" t="e">
        <f t="shared" si="22"/>
        <v>#VALUE!</v>
      </c>
    </row>
    <row r="40" spans="1:58" x14ac:dyDescent="0.25">
      <c r="A40" s="50" t="s">
        <v>2089</v>
      </c>
      <c r="B40" s="226">
        <f t="shared" si="0"/>
        <v>0</v>
      </c>
      <c r="C40" s="226" t="str">
        <f t="shared" si="1"/>
        <v>Yes</v>
      </c>
      <c r="D40" s="47"/>
      <c r="H40" s="222"/>
      <c r="I40" s="50" t="e">
        <f t="shared" si="23"/>
        <v>#VALUE!</v>
      </c>
      <c r="J40" s="47"/>
      <c r="N40" s="222"/>
      <c r="O40" s="50" t="e">
        <f t="shared" si="2"/>
        <v>#VALUE!</v>
      </c>
      <c r="T40" s="222"/>
      <c r="U40" t="e">
        <f t="shared" si="14"/>
        <v>#VALUE!</v>
      </c>
      <c r="V40" s="47"/>
      <c r="AC40" s="253" t="e">
        <f t="shared" si="24"/>
        <v>#VALUE!</v>
      </c>
      <c r="AD40" s="47">
        <v>-15.72</v>
      </c>
      <c r="AE40">
        <v>1.6319999999999999</v>
      </c>
      <c r="AF40" t="e">
        <f t="shared" si="15"/>
        <v>#VALUE!</v>
      </c>
      <c r="AG40" s="226">
        <v>0.83640175897905</v>
      </c>
      <c r="AH40" s="218">
        <v>7.4999999999999997E-3</v>
      </c>
      <c r="AI40" s="219">
        <v>2.2700000000000001E-2</v>
      </c>
      <c r="AJ40" s="219">
        <v>0.10150000000000001</v>
      </c>
      <c r="AK40" s="219">
        <v>3.4500000000000003E-2</v>
      </c>
      <c r="AL40" s="220">
        <v>0.8337</v>
      </c>
      <c r="AM40" s="311">
        <v>24.307773462640899</v>
      </c>
      <c r="AN40" s="231">
        <v>26.4347148129008</v>
      </c>
      <c r="AO40" s="243">
        <v>46241</v>
      </c>
      <c r="AP40" s="263" t="e">
        <f t="shared" si="16"/>
        <v>#VALUE!</v>
      </c>
      <c r="AQ40" s="259" t="e">
        <f t="shared" si="17"/>
        <v>#VALUE!</v>
      </c>
      <c r="AR40" s="259" t="e">
        <f t="shared" si="18"/>
        <v>#VALUE!</v>
      </c>
      <c r="AS40" s="259" t="e">
        <f t="shared" si="19"/>
        <v>#VALUE!</v>
      </c>
      <c r="AT40" s="259" t="e">
        <f t="shared" si="20"/>
        <v>#VALUE!</v>
      </c>
      <c r="AU40" s="264" t="e">
        <f t="shared" si="21"/>
        <v>#VALUE!</v>
      </c>
      <c r="AV40" s="270" t="e">
        <f t="shared" si="4"/>
        <v>#VALUE!</v>
      </c>
      <c r="AW40" s="259" t="e">
        <f t="shared" si="5"/>
        <v>#VALUE!</v>
      </c>
      <c r="AX40" s="259" t="e">
        <f t="shared" si="6"/>
        <v>#VALUE!</v>
      </c>
      <c r="AY40" s="259" t="e">
        <f t="shared" si="7"/>
        <v>#VALUE!</v>
      </c>
      <c r="AZ40" s="264" t="str">
        <f t="shared" si="8"/>
        <v>Enter type of CRF</v>
      </c>
      <c r="BA40" s="276" t="e">
        <f t="shared" si="9"/>
        <v>#VALUE!</v>
      </c>
      <c r="BB40" s="272" t="e">
        <f t="shared" si="10"/>
        <v>#VALUE!</v>
      </c>
      <c r="BC40" s="272" t="e">
        <f t="shared" si="11"/>
        <v>#VALUE!</v>
      </c>
      <c r="BD40" s="272" t="e">
        <f t="shared" si="12"/>
        <v>#VALUE!</v>
      </c>
      <c r="BE40" s="272" t="e">
        <f t="shared" si="13"/>
        <v>#VALUE!</v>
      </c>
      <c r="BF40" s="277" t="e">
        <f t="shared" si="22"/>
        <v>#VALUE!</v>
      </c>
    </row>
    <row r="41" spans="1:58" x14ac:dyDescent="0.25">
      <c r="A41" s="50" t="s">
        <v>2094</v>
      </c>
      <c r="B41" s="226">
        <f t="shared" si="0"/>
        <v>0</v>
      </c>
      <c r="C41" s="226" t="str">
        <f t="shared" si="1"/>
        <v>Yes</v>
      </c>
      <c r="D41" s="47"/>
      <c r="H41" s="222"/>
      <c r="I41" s="50" t="e">
        <f t="shared" si="23"/>
        <v>#VALUE!</v>
      </c>
      <c r="J41" s="47"/>
      <c r="N41" s="222"/>
      <c r="O41" s="50" t="e">
        <f t="shared" si="2"/>
        <v>#VALUE!</v>
      </c>
      <c r="T41" s="222"/>
      <c r="U41" t="e">
        <f t="shared" si="14"/>
        <v>#VALUE!</v>
      </c>
      <c r="V41" s="47"/>
      <c r="AC41" s="253" t="e">
        <f t="shared" si="24"/>
        <v>#VALUE!</v>
      </c>
      <c r="AD41" s="47">
        <v>-6.4359999999999999</v>
      </c>
      <c r="AE41">
        <v>0.73839999999999995</v>
      </c>
      <c r="AF41" t="e">
        <f t="shared" si="15"/>
        <v>#VALUE!</v>
      </c>
      <c r="AG41" s="226">
        <v>3.06881030874839</v>
      </c>
      <c r="AH41" s="211">
        <v>1.04E-2</v>
      </c>
      <c r="AI41" s="212">
        <v>2.8400000000000002E-2</v>
      </c>
      <c r="AJ41" s="212">
        <v>0.10539999999999999</v>
      </c>
      <c r="AK41" s="212">
        <v>4.19E-2</v>
      </c>
      <c r="AL41" s="213">
        <v>0.81379999999999997</v>
      </c>
      <c r="AM41" s="311">
        <v>6.7715223265180002</v>
      </c>
      <c r="AN41" s="231">
        <v>42.120162262287998</v>
      </c>
      <c r="AO41" s="243">
        <v>46241</v>
      </c>
      <c r="AP41" s="263" t="e">
        <f t="shared" si="16"/>
        <v>#VALUE!</v>
      </c>
      <c r="AQ41" s="259" t="e">
        <f t="shared" si="17"/>
        <v>#VALUE!</v>
      </c>
      <c r="AR41" s="259" t="e">
        <f t="shared" si="18"/>
        <v>#VALUE!</v>
      </c>
      <c r="AS41" s="259" t="e">
        <f t="shared" si="19"/>
        <v>#VALUE!</v>
      </c>
      <c r="AT41" s="259" t="e">
        <f t="shared" si="20"/>
        <v>#VALUE!</v>
      </c>
      <c r="AU41" s="264" t="e">
        <f t="shared" si="21"/>
        <v>#VALUE!</v>
      </c>
      <c r="AV41" s="270" t="e">
        <f t="shared" si="4"/>
        <v>#VALUE!</v>
      </c>
      <c r="AW41" s="259" t="e">
        <f t="shared" si="5"/>
        <v>#VALUE!</v>
      </c>
      <c r="AX41" s="259" t="e">
        <f t="shared" si="6"/>
        <v>#VALUE!</v>
      </c>
      <c r="AY41" s="259" t="e">
        <f t="shared" si="7"/>
        <v>#VALUE!</v>
      </c>
      <c r="AZ41" s="264" t="str">
        <f t="shared" si="8"/>
        <v>Enter type of CRF</v>
      </c>
      <c r="BA41" s="276" t="e">
        <f t="shared" si="9"/>
        <v>#VALUE!</v>
      </c>
      <c r="BB41" s="272" t="e">
        <f t="shared" si="10"/>
        <v>#VALUE!</v>
      </c>
      <c r="BC41" s="272" t="e">
        <f t="shared" si="11"/>
        <v>#VALUE!</v>
      </c>
      <c r="BD41" s="272" t="e">
        <f t="shared" si="12"/>
        <v>#VALUE!</v>
      </c>
      <c r="BE41" s="272" t="e">
        <f t="shared" si="13"/>
        <v>#VALUE!</v>
      </c>
      <c r="BF41" s="277" t="e">
        <f t="shared" si="22"/>
        <v>#VALUE!</v>
      </c>
    </row>
    <row r="42" spans="1:58" ht="15.75" thickBot="1" x14ac:dyDescent="0.3">
      <c r="A42" s="31" t="s">
        <v>2037</v>
      </c>
      <c r="B42" s="227">
        <f t="shared" si="0"/>
        <v>0</v>
      </c>
      <c r="C42" s="227" t="str">
        <f t="shared" si="1"/>
        <v>Yes</v>
      </c>
      <c r="D42" s="29"/>
      <c r="E42" s="30"/>
      <c r="F42" s="30"/>
      <c r="G42" s="30"/>
      <c r="H42" s="223"/>
      <c r="I42" s="50" t="e">
        <f t="shared" si="23"/>
        <v>#VALUE!</v>
      </c>
      <c r="J42" s="29"/>
      <c r="K42" s="30"/>
      <c r="L42" s="30"/>
      <c r="M42" s="30"/>
      <c r="N42" s="223"/>
      <c r="O42" s="50" t="e">
        <f t="shared" si="2"/>
        <v>#VALUE!</v>
      </c>
      <c r="P42" s="30"/>
      <c r="Q42" s="30"/>
      <c r="R42" s="30"/>
      <c r="S42" s="30"/>
      <c r="T42" s="223"/>
      <c r="U42" t="e">
        <f t="shared" si="14"/>
        <v>#VALUE!</v>
      </c>
      <c r="V42" s="29"/>
      <c r="W42" s="30"/>
      <c r="X42" s="30"/>
      <c r="Y42" s="30"/>
      <c r="Z42" s="30"/>
      <c r="AA42" s="30"/>
      <c r="AB42" s="30"/>
      <c r="AC42" s="253" t="e">
        <f t="shared" si="24"/>
        <v>#VALUE!</v>
      </c>
      <c r="AD42" s="29">
        <v>-3.218</v>
      </c>
      <c r="AE42" s="30">
        <v>0.50490000000000002</v>
      </c>
      <c r="AF42" t="e">
        <f t="shared" si="15"/>
        <v>#VALUE!</v>
      </c>
      <c r="AG42" s="227">
        <v>10.6875187463309</v>
      </c>
      <c r="AH42" s="215">
        <v>4.4000000000000003E-3</v>
      </c>
      <c r="AI42" s="216">
        <v>2.0400000000000001E-2</v>
      </c>
      <c r="AJ42" s="216">
        <v>0.1011</v>
      </c>
      <c r="AK42" s="216">
        <v>2.93E-2</v>
      </c>
      <c r="AL42" s="217">
        <v>0.8448</v>
      </c>
      <c r="AM42" s="313">
        <v>6.1541381803799098</v>
      </c>
      <c r="AN42" s="313">
        <v>98.286746787535805</v>
      </c>
      <c r="AO42" s="244">
        <v>46241</v>
      </c>
      <c r="AP42" s="265" t="e">
        <f t="shared" si="16"/>
        <v>#VALUE!</v>
      </c>
      <c r="AQ42" s="266" t="e">
        <f t="shared" si="17"/>
        <v>#VALUE!</v>
      </c>
      <c r="AR42" s="266" t="e">
        <f t="shared" si="18"/>
        <v>#VALUE!</v>
      </c>
      <c r="AS42" s="266" t="e">
        <f t="shared" si="19"/>
        <v>#VALUE!</v>
      </c>
      <c r="AT42" s="266" t="e">
        <f t="shared" si="20"/>
        <v>#VALUE!</v>
      </c>
      <c r="AU42" s="267" t="e">
        <f t="shared" si="21"/>
        <v>#VALUE!</v>
      </c>
      <c r="AV42" s="271" t="e">
        <f t="shared" si="4"/>
        <v>#VALUE!</v>
      </c>
      <c r="AW42" s="266" t="e">
        <f t="shared" si="5"/>
        <v>#VALUE!</v>
      </c>
      <c r="AX42" s="266" t="e">
        <f t="shared" si="6"/>
        <v>#VALUE!</v>
      </c>
      <c r="AY42" s="266" t="e">
        <f t="shared" si="7"/>
        <v>#VALUE!</v>
      </c>
      <c r="AZ42" s="267" t="str">
        <f t="shared" si="8"/>
        <v>Enter type of CRF</v>
      </c>
      <c r="BA42" s="278" t="e">
        <f t="shared" si="9"/>
        <v>#VALUE!</v>
      </c>
      <c r="BB42" s="279" t="e">
        <f t="shared" si="10"/>
        <v>#VALUE!</v>
      </c>
      <c r="BC42" s="279" t="e">
        <f t="shared" si="11"/>
        <v>#VALUE!</v>
      </c>
      <c r="BD42" s="279" t="e">
        <f t="shared" si="12"/>
        <v>#VALUE!</v>
      </c>
      <c r="BE42" s="279" t="e">
        <f t="shared" si="13"/>
        <v>#VALUE!</v>
      </c>
      <c r="BF42" s="280" t="e">
        <f t="shared" si="22"/>
        <v>#VALUE!</v>
      </c>
    </row>
    <row r="43" spans="1:58" x14ac:dyDescent="0.25">
      <c r="D43" s="46"/>
      <c r="E43" s="27"/>
      <c r="F43" s="27"/>
      <c r="G43" s="27"/>
      <c r="H43" s="27"/>
      <c r="I43" s="28"/>
      <c r="J43" s="46"/>
      <c r="K43" s="27"/>
      <c r="L43" s="27"/>
      <c r="M43" s="27"/>
      <c r="N43" s="27"/>
      <c r="O43" s="28"/>
      <c r="P43" s="46"/>
      <c r="Q43" s="27"/>
      <c r="R43" s="27"/>
      <c r="S43" s="27"/>
      <c r="T43" s="27"/>
      <c r="U43" s="28"/>
      <c r="V43" s="46"/>
      <c r="W43" s="27"/>
      <c r="X43" s="27"/>
      <c r="Y43" s="27"/>
      <c r="Z43" s="27"/>
      <c r="AA43" s="27"/>
      <c r="AB43" s="27"/>
      <c r="AC43" s="28"/>
      <c r="AD43" s="46"/>
      <c r="AE43" s="27"/>
      <c r="AF43" s="28"/>
    </row>
    <row r="44" spans="1:58" ht="15.75" thickBot="1" x14ac:dyDescent="0.3">
      <c r="D44" s="29"/>
      <c r="E44" s="30"/>
      <c r="F44" s="30"/>
      <c r="G44" s="30"/>
      <c r="H44" s="30"/>
      <c r="I44" s="31"/>
      <c r="J44" s="29"/>
      <c r="K44" s="30"/>
      <c r="L44" s="30"/>
      <c r="M44" s="30"/>
      <c r="N44" s="30"/>
      <c r="O44" s="31"/>
      <c r="P44" s="29"/>
      <c r="Q44" s="30"/>
      <c r="R44" s="30"/>
      <c r="S44" s="30"/>
      <c r="T44" s="30"/>
      <c r="U44" s="31"/>
      <c r="V44" s="29"/>
      <c r="W44" s="30"/>
      <c r="X44" s="30"/>
      <c r="Y44" s="30"/>
      <c r="Z44" s="30"/>
      <c r="AA44" s="30"/>
      <c r="AB44" s="30"/>
      <c r="AC44" s="31"/>
      <c r="AD44" s="29"/>
      <c r="AE44" s="30"/>
      <c r="AF44" s="31"/>
    </row>
    <row r="45" spans="1:58" s="245" customFormat="1" ht="15.75" thickBot="1" x14ac:dyDescent="0.3"/>
    <row r="46" spans="1:58" ht="16.5" thickTop="1" thickBot="1" x14ac:dyDescent="0.3">
      <c r="AG46" t="s">
        <v>2206</v>
      </c>
      <c r="AH46" s="228">
        <v>857956</v>
      </c>
      <c r="AI46" s="228">
        <v>857956</v>
      </c>
      <c r="AJ46" s="228">
        <v>212262</v>
      </c>
      <c r="AK46" s="228">
        <v>124600</v>
      </c>
      <c r="AL46" s="228">
        <v>15587</v>
      </c>
    </row>
    <row r="47" spans="1:58" ht="15.75" thickBot="1" x14ac:dyDescent="0.3">
      <c r="W47" s="417" t="s">
        <v>2195</v>
      </c>
      <c r="X47" s="418"/>
      <c r="Y47" s="418"/>
      <c r="Z47" s="418"/>
      <c r="AA47" s="418"/>
      <c r="AB47" s="419"/>
      <c r="AC47" s="422" t="s">
        <v>2196</v>
      </c>
      <c r="AD47" s="423"/>
      <c r="AE47" s="423"/>
      <c r="AF47" s="423"/>
      <c r="AG47" s="423"/>
      <c r="AH47" s="424" t="s">
        <v>2197</v>
      </c>
      <c r="AI47" s="425"/>
      <c r="AJ47" s="425"/>
      <c r="AK47" s="425"/>
      <c r="AL47" s="425"/>
      <c r="AM47" s="426"/>
    </row>
    <row r="48" spans="1:58" ht="15.75" thickBot="1" x14ac:dyDescent="0.3">
      <c r="A48" s="214" t="s">
        <v>2067</v>
      </c>
      <c r="B48" s="214" t="s">
        <v>2095</v>
      </c>
      <c r="C48" s="214" t="s">
        <v>2096</v>
      </c>
      <c r="D48" s="208" t="s">
        <v>2029</v>
      </c>
      <c r="E48" s="209" t="s">
        <v>2030</v>
      </c>
      <c r="F48" s="209" t="s">
        <v>2031</v>
      </c>
      <c r="G48" s="209" t="s">
        <v>2032</v>
      </c>
      <c r="H48" s="221" t="s">
        <v>2042</v>
      </c>
      <c r="I48" s="210" t="s">
        <v>2204</v>
      </c>
      <c r="J48" s="208" t="s">
        <v>2043</v>
      </c>
      <c r="K48" s="209" t="s">
        <v>2044</v>
      </c>
      <c r="L48" s="221" t="s">
        <v>2077</v>
      </c>
      <c r="M48" s="210" t="s">
        <v>2204</v>
      </c>
      <c r="N48" s="214" t="s">
        <v>2038</v>
      </c>
      <c r="O48" s="209" t="s">
        <v>2039</v>
      </c>
      <c r="P48" s="209" t="s">
        <v>142</v>
      </c>
      <c r="Q48" s="209" t="s">
        <v>143</v>
      </c>
      <c r="R48" s="209" t="s">
        <v>2040</v>
      </c>
      <c r="S48" s="209" t="s">
        <v>2041</v>
      </c>
      <c r="T48" s="214" t="s">
        <v>2099</v>
      </c>
      <c r="U48" s="210" t="s">
        <v>2100</v>
      </c>
      <c r="V48" s="208" t="s">
        <v>2064</v>
      </c>
      <c r="W48" s="299" t="s">
        <v>2102</v>
      </c>
      <c r="X48" s="300" t="s">
        <v>2103</v>
      </c>
      <c r="Y48" s="300" t="s">
        <v>2104</v>
      </c>
      <c r="Z48" s="300" t="s">
        <v>2105</v>
      </c>
      <c r="AA48" s="300" t="s">
        <v>2106</v>
      </c>
      <c r="AB48" s="301" t="s">
        <v>2213</v>
      </c>
      <c r="AC48" s="221" t="s">
        <v>2189</v>
      </c>
      <c r="AD48" s="294" t="s">
        <v>2190</v>
      </c>
      <c r="AE48" s="294" t="s">
        <v>2191</v>
      </c>
      <c r="AF48" s="294" t="s">
        <v>2192</v>
      </c>
      <c r="AG48" s="295" t="s">
        <v>2193</v>
      </c>
      <c r="AH48" s="287" t="s">
        <v>2198</v>
      </c>
      <c r="AI48" s="285" t="s">
        <v>2199</v>
      </c>
      <c r="AJ48" s="285" t="s">
        <v>2200</v>
      </c>
      <c r="AK48" s="285" t="s">
        <v>2201</v>
      </c>
      <c r="AL48" s="285" t="s">
        <v>2202</v>
      </c>
      <c r="AM48" s="288" t="s">
        <v>2203</v>
      </c>
    </row>
    <row r="49" spans="1:39" x14ac:dyDescent="0.25">
      <c r="A49" s="226" t="s">
        <v>2131</v>
      </c>
      <c r="B49" s="226">
        <f t="shared" ref="B49:B56" si="25">IFERROR(FIND(A49,$A$22,1),0)</f>
        <v>0</v>
      </c>
      <c r="C49" s="226" t="str">
        <f t="shared" ref="C49:C56" si="26">IF(B49=MAX($B$49:$B$56),"Yes","No")</f>
        <v>Yes</v>
      </c>
      <c r="D49" s="47">
        <f>6.29652764590517*10^-4</f>
        <v>6.2965276459051695E-4</v>
      </c>
      <c r="E49">
        <v>0.169783260872614</v>
      </c>
      <c r="F49">
        <v>0.64687610606813595</v>
      </c>
      <c r="G49">
        <v>-9.5304698717862593</v>
      </c>
      <c r="H49" s="222">
        <v>7</v>
      </c>
      <c r="I49" s="50" t="e">
        <f t="shared" ref="I49:I56" si="27">D49*($B$18^E49)*($B$17^F49)*EXP(G49*(10^-H49)*$B$18)</f>
        <v>#VALUE!</v>
      </c>
      <c r="J49" s="47"/>
      <c r="L49" s="222"/>
      <c r="M49" s="50" t="e">
        <f t="shared" ref="M49:M56" si="28">J49*($B$18^K49)*($B$17^L49)</f>
        <v>#VALUE!</v>
      </c>
      <c r="N49" s="226">
        <v>2.8863300441756299</v>
      </c>
      <c r="O49" s="219">
        <v>3.5999999999999999E-3</v>
      </c>
      <c r="P49" s="219">
        <v>1.95E-2</v>
      </c>
      <c r="Q49" s="219">
        <v>0.1147</v>
      </c>
      <c r="R49" s="219">
        <v>4.36E-2</v>
      </c>
      <c r="S49" s="219">
        <v>0.8206</v>
      </c>
      <c r="T49" s="226">
        <v>8.1458129050500396</v>
      </c>
      <c r="U49" s="246">
        <v>32.087990340183097</v>
      </c>
      <c r="V49" s="243">
        <v>46241</v>
      </c>
      <c r="W49" s="296" t="e">
        <f>MAX($I49,$M49)*O49*$B$16</f>
        <v>#VALUE!</v>
      </c>
      <c r="X49" s="297" t="e">
        <f t="shared" ref="X49:AA56" si="29">MAX($I49,$M49)*P49*$B$16</f>
        <v>#VALUE!</v>
      </c>
      <c r="Y49" s="297" t="e">
        <f t="shared" si="29"/>
        <v>#VALUE!</v>
      </c>
      <c r="Z49" s="297" t="e">
        <f t="shared" si="29"/>
        <v>#VALUE!</v>
      </c>
      <c r="AA49" s="297" t="e">
        <f t="shared" si="29"/>
        <v>#VALUE!</v>
      </c>
      <c r="AB49" s="298" t="e">
        <f>SUM(W49:AA49)</f>
        <v>#VALUE!</v>
      </c>
      <c r="AC49" s="269" t="e">
        <f t="shared" ref="AC49:AF56" si="30">W49*$B$25/100</f>
        <v>#VALUE!</v>
      </c>
      <c r="AD49" s="261" t="e">
        <f t="shared" si="30"/>
        <v>#VALUE!</v>
      </c>
      <c r="AE49" s="261" t="e">
        <f t="shared" si="30"/>
        <v>#VALUE!</v>
      </c>
      <c r="AF49" s="261" t="e">
        <f t="shared" si="30"/>
        <v>#VALUE!</v>
      </c>
      <c r="AG49" s="262" t="str">
        <f t="shared" ref="AG49:AG56" si="31">IF($B$26="All Crash Severities",AA49*$B$25/100,IF($B$26="KABC Crashes",0,"Enter type of CRF"))</f>
        <v>Enter type of CRF</v>
      </c>
      <c r="AH49" s="289" t="e">
        <f t="shared" ref="AH49:AL56" si="32">AC49*AH$46*$B$27</f>
        <v>#VALUE!</v>
      </c>
      <c r="AI49" s="286" t="e">
        <f t="shared" si="32"/>
        <v>#VALUE!</v>
      </c>
      <c r="AJ49" s="286" t="e">
        <f t="shared" si="32"/>
        <v>#VALUE!</v>
      </c>
      <c r="AK49" s="286" t="e">
        <f t="shared" si="32"/>
        <v>#VALUE!</v>
      </c>
      <c r="AL49" s="286" t="e">
        <f t="shared" si="32"/>
        <v>#VALUE!</v>
      </c>
      <c r="AM49" s="290" t="e">
        <f>SUM(AH49:AL49)</f>
        <v>#VALUE!</v>
      </c>
    </row>
    <row r="50" spans="1:39" x14ac:dyDescent="0.25">
      <c r="A50" s="226" t="s">
        <v>2134</v>
      </c>
      <c r="B50" s="226">
        <f t="shared" si="25"/>
        <v>0</v>
      </c>
      <c r="C50" s="226" t="str">
        <f t="shared" si="26"/>
        <v>Yes</v>
      </c>
      <c r="D50" s="47">
        <f>3.77366814757066*10^-4</f>
        <v>3.7736681475706603E-4</v>
      </c>
      <c r="E50">
        <v>0.40554833691984898</v>
      </c>
      <c r="F50">
        <v>0.64182229054200302</v>
      </c>
      <c r="G50">
        <v>-4.0190765173197196</v>
      </c>
      <c r="H50" s="222">
        <v>5</v>
      </c>
      <c r="I50" s="50" t="e">
        <f t="shared" si="27"/>
        <v>#VALUE!</v>
      </c>
      <c r="J50" s="47"/>
      <c r="L50" s="222"/>
      <c r="M50" s="50" t="e">
        <f t="shared" si="28"/>
        <v>#VALUE!</v>
      </c>
      <c r="N50" s="226">
        <v>2.1755226705004902</v>
      </c>
      <c r="O50" s="212">
        <v>2.7000000000000001E-3</v>
      </c>
      <c r="P50" s="212">
        <v>1.7999999999999999E-2</v>
      </c>
      <c r="Q50" s="212">
        <v>0.1273</v>
      </c>
      <c r="R50" s="212">
        <v>5.0900000000000001E-2</v>
      </c>
      <c r="S50" s="212">
        <v>0.80210000000000004</v>
      </c>
      <c r="T50" s="226">
        <v>21.738740043998501</v>
      </c>
      <c r="U50" s="246">
        <v>87.459961062668896</v>
      </c>
      <c r="V50" s="243" t="s">
        <v>2241</v>
      </c>
      <c r="W50" s="263" t="e">
        <f t="shared" ref="W50:W56" si="33">MAX($I50,$M50)*O50*$B$16</f>
        <v>#VALUE!</v>
      </c>
      <c r="X50" s="259" t="e">
        <f t="shared" si="29"/>
        <v>#VALUE!</v>
      </c>
      <c r="Y50" s="259" t="e">
        <f t="shared" si="29"/>
        <v>#VALUE!</v>
      </c>
      <c r="Z50" s="259" t="e">
        <f t="shared" si="29"/>
        <v>#VALUE!</v>
      </c>
      <c r="AA50" s="259" t="e">
        <f t="shared" si="29"/>
        <v>#VALUE!</v>
      </c>
      <c r="AB50" s="264" t="e">
        <f t="shared" ref="AB50:AB56" si="34">SUM(W50:AA50)</f>
        <v>#VALUE!</v>
      </c>
      <c r="AC50" s="270" t="e">
        <f t="shared" si="30"/>
        <v>#VALUE!</v>
      </c>
      <c r="AD50" s="259" t="e">
        <f t="shared" si="30"/>
        <v>#VALUE!</v>
      </c>
      <c r="AE50" s="259" t="e">
        <f t="shared" si="30"/>
        <v>#VALUE!</v>
      </c>
      <c r="AF50" s="259" t="e">
        <f t="shared" si="30"/>
        <v>#VALUE!</v>
      </c>
      <c r="AG50" s="264" t="str">
        <f t="shared" si="31"/>
        <v>Enter type of CRF</v>
      </c>
      <c r="AH50" s="289" t="e">
        <f t="shared" si="32"/>
        <v>#VALUE!</v>
      </c>
      <c r="AI50" s="286" t="e">
        <f t="shared" si="32"/>
        <v>#VALUE!</v>
      </c>
      <c r="AJ50" s="286" t="e">
        <f t="shared" si="32"/>
        <v>#VALUE!</v>
      </c>
      <c r="AK50" s="286" t="e">
        <f t="shared" si="32"/>
        <v>#VALUE!</v>
      </c>
      <c r="AL50" s="286" t="e">
        <f t="shared" si="32"/>
        <v>#VALUE!</v>
      </c>
      <c r="AM50" s="290" t="e">
        <f t="shared" ref="AM50:AM56" si="35">SUM(AH50:AL50)</f>
        <v>#VALUE!</v>
      </c>
    </row>
    <row r="51" spans="1:39" x14ac:dyDescent="0.25">
      <c r="A51" s="226" t="s">
        <v>2132</v>
      </c>
      <c r="B51" s="226">
        <f t="shared" si="25"/>
        <v>0</v>
      </c>
      <c r="C51" s="226" t="str">
        <f t="shared" si="26"/>
        <v>Yes</v>
      </c>
      <c r="D51" s="47">
        <v>1.84192737501879E-3</v>
      </c>
      <c r="E51">
        <v>0.14045815881340401</v>
      </c>
      <c r="F51">
        <v>0.55368897502344305</v>
      </c>
      <c r="G51">
        <v>-1.2217696581815201</v>
      </c>
      <c r="H51" s="222">
        <v>5</v>
      </c>
      <c r="I51" s="50" t="e">
        <f t="shared" si="27"/>
        <v>#VALUE!</v>
      </c>
      <c r="J51" s="47"/>
      <c r="L51" s="222"/>
      <c r="M51" s="50" t="e">
        <f t="shared" si="28"/>
        <v>#VALUE!</v>
      </c>
      <c r="N51" s="226">
        <v>2.1474020043222999</v>
      </c>
      <c r="O51" s="212">
        <v>7.3000000000000001E-3</v>
      </c>
      <c r="P51" s="212">
        <v>2.9499999999999998E-2</v>
      </c>
      <c r="Q51" s="212">
        <v>0.107</v>
      </c>
      <c r="R51" s="212">
        <v>4.6300000000000001E-2</v>
      </c>
      <c r="S51" s="212">
        <v>0.81040000000000001</v>
      </c>
      <c r="T51" s="226">
        <v>2.59638756158791</v>
      </c>
      <c r="U51" s="246">
        <v>12.074019305402899</v>
      </c>
      <c r="V51" s="243">
        <v>46241</v>
      </c>
      <c r="W51" s="263" t="e">
        <f t="shared" si="33"/>
        <v>#VALUE!</v>
      </c>
      <c r="X51" s="259" t="e">
        <f t="shared" si="29"/>
        <v>#VALUE!</v>
      </c>
      <c r="Y51" s="259" t="e">
        <f t="shared" si="29"/>
        <v>#VALUE!</v>
      </c>
      <c r="Z51" s="259" t="e">
        <f t="shared" si="29"/>
        <v>#VALUE!</v>
      </c>
      <c r="AA51" s="259" t="e">
        <f t="shared" si="29"/>
        <v>#VALUE!</v>
      </c>
      <c r="AB51" s="264" t="e">
        <f t="shared" si="34"/>
        <v>#VALUE!</v>
      </c>
      <c r="AC51" s="270" t="e">
        <f t="shared" si="30"/>
        <v>#VALUE!</v>
      </c>
      <c r="AD51" s="259" t="e">
        <f t="shared" si="30"/>
        <v>#VALUE!</v>
      </c>
      <c r="AE51" s="259" t="e">
        <f t="shared" si="30"/>
        <v>#VALUE!</v>
      </c>
      <c r="AF51" s="259" t="e">
        <f t="shared" si="30"/>
        <v>#VALUE!</v>
      </c>
      <c r="AG51" s="264" t="str">
        <f t="shared" si="31"/>
        <v>Enter type of CRF</v>
      </c>
      <c r="AH51" s="289" t="e">
        <f t="shared" si="32"/>
        <v>#VALUE!</v>
      </c>
      <c r="AI51" s="286" t="e">
        <f t="shared" si="32"/>
        <v>#VALUE!</v>
      </c>
      <c r="AJ51" s="286" t="e">
        <f t="shared" si="32"/>
        <v>#VALUE!</v>
      </c>
      <c r="AK51" s="286" t="e">
        <f t="shared" si="32"/>
        <v>#VALUE!</v>
      </c>
      <c r="AL51" s="286" t="e">
        <f t="shared" si="32"/>
        <v>#VALUE!</v>
      </c>
      <c r="AM51" s="290" t="e">
        <f t="shared" si="35"/>
        <v>#VALUE!</v>
      </c>
    </row>
    <row r="52" spans="1:39" x14ac:dyDescent="0.25">
      <c r="A52" s="226" t="s">
        <v>2133</v>
      </c>
      <c r="B52" s="226">
        <f t="shared" si="25"/>
        <v>0</v>
      </c>
      <c r="C52" s="226" t="str">
        <f t="shared" si="26"/>
        <v>Yes</v>
      </c>
      <c r="D52" s="47">
        <f>1.6116914117599*10^-5</f>
        <v>1.6116914117599001E-5</v>
      </c>
      <c r="E52">
        <v>0.37101282157932503</v>
      </c>
      <c r="F52">
        <v>1.0111281895714599</v>
      </c>
      <c r="G52">
        <v>-1.2318315571460201</v>
      </c>
      <c r="H52" s="222">
        <v>4</v>
      </c>
      <c r="I52" s="50" t="e">
        <f t="shared" si="27"/>
        <v>#VALUE!</v>
      </c>
      <c r="J52" s="47"/>
      <c r="L52" s="222"/>
      <c r="M52" s="50" t="e">
        <f t="shared" si="28"/>
        <v>#VALUE!</v>
      </c>
      <c r="N52" s="226">
        <v>2.9610030215735099</v>
      </c>
      <c r="O52" s="219">
        <v>9.4000000000000004E-3</v>
      </c>
      <c r="P52" s="219">
        <v>3.6400000000000002E-2</v>
      </c>
      <c r="Q52" s="219">
        <v>0.1399</v>
      </c>
      <c r="R52" s="219">
        <v>5.4699999999999999E-2</v>
      </c>
      <c r="S52" s="219">
        <v>0.75990000000000002</v>
      </c>
      <c r="T52" s="226">
        <v>6.1003855296090599</v>
      </c>
      <c r="U52" s="246">
        <v>34.186657208914397</v>
      </c>
      <c r="V52" s="243" t="s">
        <v>2241</v>
      </c>
      <c r="W52" s="263" t="e">
        <f t="shared" si="33"/>
        <v>#VALUE!</v>
      </c>
      <c r="X52" s="259" t="e">
        <f t="shared" si="29"/>
        <v>#VALUE!</v>
      </c>
      <c r="Y52" s="259" t="e">
        <f t="shared" si="29"/>
        <v>#VALUE!</v>
      </c>
      <c r="Z52" s="259" t="e">
        <f t="shared" si="29"/>
        <v>#VALUE!</v>
      </c>
      <c r="AA52" s="259" t="e">
        <f t="shared" si="29"/>
        <v>#VALUE!</v>
      </c>
      <c r="AB52" s="264" t="e">
        <f t="shared" si="34"/>
        <v>#VALUE!</v>
      </c>
      <c r="AC52" s="270" t="e">
        <f t="shared" si="30"/>
        <v>#VALUE!</v>
      </c>
      <c r="AD52" s="259" t="e">
        <f t="shared" si="30"/>
        <v>#VALUE!</v>
      </c>
      <c r="AE52" s="259" t="e">
        <f t="shared" si="30"/>
        <v>#VALUE!</v>
      </c>
      <c r="AF52" s="259" t="e">
        <f t="shared" si="30"/>
        <v>#VALUE!</v>
      </c>
      <c r="AG52" s="264" t="str">
        <f t="shared" si="31"/>
        <v>Enter type of CRF</v>
      </c>
      <c r="AH52" s="289" t="e">
        <f t="shared" si="32"/>
        <v>#VALUE!</v>
      </c>
      <c r="AI52" s="286" t="e">
        <f t="shared" si="32"/>
        <v>#VALUE!</v>
      </c>
      <c r="AJ52" s="286" t="e">
        <f t="shared" si="32"/>
        <v>#VALUE!</v>
      </c>
      <c r="AK52" s="286" t="e">
        <f t="shared" si="32"/>
        <v>#VALUE!</v>
      </c>
      <c r="AL52" s="286" t="e">
        <f t="shared" si="32"/>
        <v>#VALUE!</v>
      </c>
      <c r="AM52" s="290" t="e">
        <f t="shared" si="35"/>
        <v>#VALUE!</v>
      </c>
    </row>
    <row r="53" spans="1:39" x14ac:dyDescent="0.25">
      <c r="A53" s="226" t="s">
        <v>2135</v>
      </c>
      <c r="B53" s="226">
        <f t="shared" si="25"/>
        <v>0</v>
      </c>
      <c r="C53" s="226" t="str">
        <f t="shared" si="26"/>
        <v>Yes</v>
      </c>
      <c r="D53" s="47">
        <f>2.40550555414895*10^-5</f>
        <v>2.4055055541489501E-5</v>
      </c>
      <c r="E53">
        <v>-2.6333429471042901E-2</v>
      </c>
      <c r="F53">
        <v>1.22825860529463</v>
      </c>
      <c r="G53">
        <v>-3.1439694632625499</v>
      </c>
      <c r="H53" s="222">
        <v>5</v>
      </c>
      <c r="I53" s="50" t="e">
        <f t="shared" si="27"/>
        <v>#VALUE!</v>
      </c>
      <c r="J53" s="47"/>
      <c r="L53" s="222"/>
      <c r="M53" s="50" t="e">
        <f t="shared" si="28"/>
        <v>#VALUE!</v>
      </c>
      <c r="N53" s="226">
        <v>4.3909983547268396</v>
      </c>
      <c r="O53" s="219">
        <v>3.2000000000000002E-3</v>
      </c>
      <c r="P53" s="219">
        <v>1.7500000000000002E-2</v>
      </c>
      <c r="Q53" s="219">
        <v>0.1094</v>
      </c>
      <c r="R53" s="219">
        <v>4.1399999999999999E-2</v>
      </c>
      <c r="S53" s="219">
        <v>0.82920000000000005</v>
      </c>
      <c r="T53" s="226">
        <v>5.3247839208323304</v>
      </c>
      <c r="U53" s="246">
        <v>11.532548309349799</v>
      </c>
      <c r="V53" s="243">
        <v>46241</v>
      </c>
      <c r="W53" s="263" t="e">
        <f t="shared" si="33"/>
        <v>#VALUE!</v>
      </c>
      <c r="X53" s="259" t="e">
        <f t="shared" si="29"/>
        <v>#VALUE!</v>
      </c>
      <c r="Y53" s="259" t="e">
        <f t="shared" si="29"/>
        <v>#VALUE!</v>
      </c>
      <c r="Z53" s="259" t="e">
        <f t="shared" si="29"/>
        <v>#VALUE!</v>
      </c>
      <c r="AA53" s="259" t="e">
        <f t="shared" si="29"/>
        <v>#VALUE!</v>
      </c>
      <c r="AB53" s="264" t="e">
        <f t="shared" si="34"/>
        <v>#VALUE!</v>
      </c>
      <c r="AC53" s="270" t="e">
        <f t="shared" si="30"/>
        <v>#VALUE!</v>
      </c>
      <c r="AD53" s="259" t="e">
        <f t="shared" si="30"/>
        <v>#VALUE!</v>
      </c>
      <c r="AE53" s="259" t="e">
        <f t="shared" si="30"/>
        <v>#VALUE!</v>
      </c>
      <c r="AF53" s="259" t="e">
        <f t="shared" si="30"/>
        <v>#VALUE!</v>
      </c>
      <c r="AG53" s="264" t="str">
        <f t="shared" si="31"/>
        <v>Enter type of CRF</v>
      </c>
      <c r="AH53" s="289" t="e">
        <f t="shared" si="32"/>
        <v>#VALUE!</v>
      </c>
      <c r="AI53" s="286" t="e">
        <f t="shared" si="32"/>
        <v>#VALUE!</v>
      </c>
      <c r="AJ53" s="286" t="e">
        <f t="shared" si="32"/>
        <v>#VALUE!</v>
      </c>
      <c r="AK53" s="286" t="e">
        <f t="shared" si="32"/>
        <v>#VALUE!</v>
      </c>
      <c r="AL53" s="286" t="e">
        <f t="shared" si="32"/>
        <v>#VALUE!</v>
      </c>
      <c r="AM53" s="290" t="e">
        <f t="shared" si="35"/>
        <v>#VALUE!</v>
      </c>
    </row>
    <row r="54" spans="1:39" x14ac:dyDescent="0.25">
      <c r="A54" s="226" t="s">
        <v>2136</v>
      </c>
      <c r="B54" s="226">
        <f t="shared" si="25"/>
        <v>0</v>
      </c>
      <c r="C54" s="226" t="str">
        <f t="shared" si="26"/>
        <v>Yes</v>
      </c>
      <c r="D54" s="47">
        <f>1.65295793381876*10^-4</f>
        <v>1.6529579338187602E-4</v>
      </c>
      <c r="E54">
        <v>6.7838287649427495E-2</v>
      </c>
      <c r="F54">
        <v>1.0038336306022999</v>
      </c>
      <c r="G54">
        <v>-3.33998051620331</v>
      </c>
      <c r="H54" s="222">
        <v>5</v>
      </c>
      <c r="I54" s="50" t="e">
        <f t="shared" si="27"/>
        <v>#VALUE!</v>
      </c>
      <c r="J54" s="47"/>
      <c r="L54" s="222"/>
      <c r="M54" s="50" t="e">
        <f t="shared" si="28"/>
        <v>#VALUE!</v>
      </c>
      <c r="N54" s="226">
        <v>4.8182192955458003</v>
      </c>
      <c r="O54" s="212">
        <v>2.3E-3</v>
      </c>
      <c r="P54" s="219">
        <v>1.7399999999999999E-2</v>
      </c>
      <c r="Q54" s="212">
        <v>0.12839999999999999</v>
      </c>
      <c r="R54" s="212">
        <v>4.7500000000000001E-2</v>
      </c>
      <c r="S54" s="212">
        <v>0.80559999999999998</v>
      </c>
      <c r="T54" s="226">
        <v>10.7705602099331</v>
      </c>
      <c r="U54" s="246">
        <v>26.2757949820395</v>
      </c>
      <c r="V54" s="243" t="s">
        <v>2241</v>
      </c>
      <c r="W54" s="263" t="e">
        <f t="shared" si="33"/>
        <v>#VALUE!</v>
      </c>
      <c r="X54" s="259" t="e">
        <f t="shared" si="29"/>
        <v>#VALUE!</v>
      </c>
      <c r="Y54" s="259" t="e">
        <f t="shared" si="29"/>
        <v>#VALUE!</v>
      </c>
      <c r="Z54" s="259" t="e">
        <f t="shared" si="29"/>
        <v>#VALUE!</v>
      </c>
      <c r="AA54" s="259" t="e">
        <f t="shared" si="29"/>
        <v>#VALUE!</v>
      </c>
      <c r="AB54" s="264" t="e">
        <f t="shared" si="34"/>
        <v>#VALUE!</v>
      </c>
      <c r="AC54" s="270" t="e">
        <f t="shared" si="30"/>
        <v>#VALUE!</v>
      </c>
      <c r="AD54" s="259" t="e">
        <f t="shared" si="30"/>
        <v>#VALUE!</v>
      </c>
      <c r="AE54" s="259" t="e">
        <f t="shared" si="30"/>
        <v>#VALUE!</v>
      </c>
      <c r="AF54" s="259" t="e">
        <f t="shared" si="30"/>
        <v>#VALUE!</v>
      </c>
      <c r="AG54" s="264" t="str">
        <f t="shared" si="31"/>
        <v>Enter type of CRF</v>
      </c>
      <c r="AH54" s="289" t="e">
        <f t="shared" si="32"/>
        <v>#VALUE!</v>
      </c>
      <c r="AI54" s="286" t="e">
        <f t="shared" si="32"/>
        <v>#VALUE!</v>
      </c>
      <c r="AJ54" s="286" t="e">
        <f t="shared" si="32"/>
        <v>#VALUE!</v>
      </c>
      <c r="AK54" s="286" t="e">
        <f t="shared" si="32"/>
        <v>#VALUE!</v>
      </c>
      <c r="AL54" s="286" t="e">
        <f t="shared" si="32"/>
        <v>#VALUE!</v>
      </c>
      <c r="AM54" s="290" t="e">
        <f t="shared" si="35"/>
        <v>#VALUE!</v>
      </c>
    </row>
    <row r="55" spans="1:39" x14ac:dyDescent="0.25">
      <c r="A55" s="226" t="s">
        <v>2137</v>
      </c>
      <c r="B55" s="226">
        <f t="shared" si="25"/>
        <v>0</v>
      </c>
      <c r="C55" s="226" t="str">
        <f t="shared" si="26"/>
        <v>Yes</v>
      </c>
      <c r="D55" s="47">
        <v>1.2686465790272201E-3</v>
      </c>
      <c r="E55">
        <v>9.9708649237106206E-2</v>
      </c>
      <c r="F55">
        <v>0.64607462910903102</v>
      </c>
      <c r="G55">
        <v>-1.54531964630144</v>
      </c>
      <c r="H55" s="222">
        <v>4</v>
      </c>
      <c r="I55" s="50" t="e">
        <f t="shared" si="27"/>
        <v>#VALUE!</v>
      </c>
      <c r="J55" s="47"/>
      <c r="L55" s="222"/>
      <c r="M55" s="50" t="e">
        <f t="shared" si="28"/>
        <v>#VALUE!</v>
      </c>
      <c r="N55" s="226">
        <v>2.9528057433294999</v>
      </c>
      <c r="O55" s="212">
        <v>6.8999999999999999E-3</v>
      </c>
      <c r="P55" s="212">
        <v>3.1199999999999999E-2</v>
      </c>
      <c r="Q55" s="212">
        <v>9.8900000000000002E-2</v>
      </c>
      <c r="R55" s="212">
        <v>4.3400000000000001E-2</v>
      </c>
      <c r="S55" s="212">
        <v>0.82040000000000002</v>
      </c>
      <c r="T55" s="226">
        <v>1.01157107868534</v>
      </c>
      <c r="U55" s="246">
        <v>2.66395037950622</v>
      </c>
      <c r="V55" s="243">
        <v>46241</v>
      </c>
      <c r="W55" s="263" t="e">
        <f t="shared" si="33"/>
        <v>#VALUE!</v>
      </c>
      <c r="X55" s="259" t="e">
        <f t="shared" si="29"/>
        <v>#VALUE!</v>
      </c>
      <c r="Y55" s="259" t="e">
        <f t="shared" si="29"/>
        <v>#VALUE!</v>
      </c>
      <c r="Z55" s="259" t="e">
        <f t="shared" si="29"/>
        <v>#VALUE!</v>
      </c>
      <c r="AA55" s="259" t="e">
        <f t="shared" si="29"/>
        <v>#VALUE!</v>
      </c>
      <c r="AB55" s="264" t="e">
        <f t="shared" si="34"/>
        <v>#VALUE!</v>
      </c>
      <c r="AC55" s="270" t="e">
        <f t="shared" si="30"/>
        <v>#VALUE!</v>
      </c>
      <c r="AD55" s="259" t="e">
        <f t="shared" si="30"/>
        <v>#VALUE!</v>
      </c>
      <c r="AE55" s="259" t="e">
        <f t="shared" si="30"/>
        <v>#VALUE!</v>
      </c>
      <c r="AF55" s="259" t="e">
        <f t="shared" si="30"/>
        <v>#VALUE!</v>
      </c>
      <c r="AG55" s="264" t="str">
        <f t="shared" si="31"/>
        <v>Enter type of CRF</v>
      </c>
      <c r="AH55" s="289" t="e">
        <f t="shared" si="32"/>
        <v>#VALUE!</v>
      </c>
      <c r="AI55" s="286" t="e">
        <f t="shared" si="32"/>
        <v>#VALUE!</v>
      </c>
      <c r="AJ55" s="286" t="e">
        <f t="shared" si="32"/>
        <v>#VALUE!</v>
      </c>
      <c r="AK55" s="286" t="e">
        <f t="shared" si="32"/>
        <v>#VALUE!</v>
      </c>
      <c r="AL55" s="286" t="e">
        <f t="shared" si="32"/>
        <v>#VALUE!</v>
      </c>
      <c r="AM55" s="290" t="e">
        <f t="shared" si="35"/>
        <v>#VALUE!</v>
      </c>
    </row>
    <row r="56" spans="1:39" s="30" customFormat="1" ht="15.75" thickBot="1" x14ac:dyDescent="0.3">
      <c r="A56" s="227" t="s">
        <v>2138</v>
      </c>
      <c r="B56" s="227">
        <f t="shared" si="25"/>
        <v>0</v>
      </c>
      <c r="C56" s="227" t="str">
        <f t="shared" si="26"/>
        <v>Yes</v>
      </c>
      <c r="D56" s="29">
        <v>1.0707435436928001E-3</v>
      </c>
      <c r="E56" s="30">
        <v>0.157109185470134</v>
      </c>
      <c r="F56" s="30">
        <v>0.64920078239595103</v>
      </c>
      <c r="G56" s="30">
        <v>-1.1566505106874601</v>
      </c>
      <c r="H56" s="223">
        <v>4</v>
      </c>
      <c r="I56" s="50" t="e">
        <f t="shared" si="27"/>
        <v>#VALUE!</v>
      </c>
      <c r="J56" s="29"/>
      <c r="L56" s="223"/>
      <c r="M56" s="50" t="e">
        <f t="shared" si="28"/>
        <v>#VALUE!</v>
      </c>
      <c r="N56" s="227">
        <v>4.4092933045593004</v>
      </c>
      <c r="O56" s="216">
        <v>7.0000000000000001E-3</v>
      </c>
      <c r="P56" s="216">
        <v>3.1699999999999999E-2</v>
      </c>
      <c r="Q56" s="216">
        <v>0.1288</v>
      </c>
      <c r="R56" s="216">
        <v>4.8500000000000001E-2</v>
      </c>
      <c r="S56" s="216">
        <v>0.78469999999999995</v>
      </c>
      <c r="T56" s="227">
        <v>1.9691990133214801</v>
      </c>
      <c r="U56" s="30">
        <v>6.0054073572909799</v>
      </c>
      <c r="V56" s="243" t="s">
        <v>2241</v>
      </c>
      <c r="W56" s="265" t="e">
        <f t="shared" si="33"/>
        <v>#VALUE!</v>
      </c>
      <c r="X56" s="266" t="e">
        <f t="shared" si="29"/>
        <v>#VALUE!</v>
      </c>
      <c r="Y56" s="266" t="e">
        <f t="shared" si="29"/>
        <v>#VALUE!</v>
      </c>
      <c r="Z56" s="266" t="e">
        <f t="shared" si="29"/>
        <v>#VALUE!</v>
      </c>
      <c r="AA56" s="266" t="e">
        <f t="shared" si="29"/>
        <v>#VALUE!</v>
      </c>
      <c r="AB56" s="267" t="e">
        <f t="shared" si="34"/>
        <v>#VALUE!</v>
      </c>
      <c r="AC56" s="271" t="e">
        <f t="shared" si="30"/>
        <v>#VALUE!</v>
      </c>
      <c r="AD56" s="266" t="e">
        <f t="shared" si="30"/>
        <v>#VALUE!</v>
      </c>
      <c r="AE56" s="266" t="e">
        <f t="shared" si="30"/>
        <v>#VALUE!</v>
      </c>
      <c r="AF56" s="266" t="e">
        <f t="shared" si="30"/>
        <v>#VALUE!</v>
      </c>
      <c r="AG56" s="267" t="str">
        <f t="shared" si="31"/>
        <v>Enter type of CRF</v>
      </c>
      <c r="AH56" s="291" t="e">
        <f t="shared" si="32"/>
        <v>#VALUE!</v>
      </c>
      <c r="AI56" s="292" t="e">
        <f t="shared" si="32"/>
        <v>#VALUE!</v>
      </c>
      <c r="AJ56" s="292" t="e">
        <f t="shared" si="32"/>
        <v>#VALUE!</v>
      </c>
      <c r="AK56" s="292" t="e">
        <f t="shared" si="32"/>
        <v>#VALUE!</v>
      </c>
      <c r="AL56" s="292" t="e">
        <f t="shared" si="32"/>
        <v>#VALUE!</v>
      </c>
      <c r="AM56" s="293" t="e">
        <f t="shared" si="35"/>
        <v>#VALUE!</v>
      </c>
    </row>
    <row r="57" spans="1:39" x14ac:dyDescent="0.25">
      <c r="D57" s="46"/>
      <c r="E57" s="27"/>
      <c r="F57" s="27"/>
      <c r="G57" s="27"/>
      <c r="H57" s="27"/>
      <c r="I57" s="28"/>
      <c r="J57" s="46"/>
      <c r="K57" s="27"/>
      <c r="L57" s="27"/>
      <c r="M57" s="28"/>
    </row>
    <row r="58" spans="1:39" ht="15.75" thickBot="1" x14ac:dyDescent="0.3">
      <c r="D58" s="29"/>
      <c r="E58" s="30"/>
      <c r="F58" s="30"/>
      <c r="G58" s="30"/>
      <c r="H58" s="30"/>
      <c r="I58" s="31"/>
      <c r="J58" s="29"/>
      <c r="K58" s="30"/>
      <c r="L58" s="30"/>
      <c r="M58" s="31"/>
    </row>
  </sheetData>
  <sheetProtection algorithmName="SHA-512" hashValue="IVab3XxYnRTKnZaf64aVj0RJGi3L33c3HtudMMJs7Kt2N3PJc3ymzTCltE+ss8rMRclKemGWu23kwUi6dI9e6A==" saltValue="Hq/r1Gw+hW4efDxmdYGmUA==" spinCount="100000" sheet="1" objects="1" scenarios="1"/>
  <mergeCells count="8">
    <mergeCell ref="BA29:BF29"/>
    <mergeCell ref="J6:K6"/>
    <mergeCell ref="J8:K8"/>
    <mergeCell ref="AC47:AG47"/>
    <mergeCell ref="AH47:AM47"/>
    <mergeCell ref="AP29:AU29"/>
    <mergeCell ref="W47:AB47"/>
    <mergeCell ref="AV29:AZ29"/>
  </mergeCells>
  <conditionalFormatting sqref="A31:A42">
    <cfRule type="cellIs" dxfId="21" priority="1" operator="equal">
      <formula>#REF!</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AA23E-A8FB-435C-8383-64CB9318CCDA}">
  <dimension ref="A1:A2"/>
  <sheetViews>
    <sheetView workbookViewId="0">
      <selection activeCell="F18" sqref="F18"/>
    </sheetView>
  </sheetViews>
  <sheetFormatPr defaultRowHeight="15" x14ac:dyDescent="0.25"/>
  <sheetData>
    <row r="1" spans="1:1" x14ac:dyDescent="0.25">
      <c r="A1" t="s">
        <v>179</v>
      </c>
    </row>
    <row r="2" spans="1:1" x14ac:dyDescent="0.25">
      <c r="A2" t="s">
        <v>180</v>
      </c>
    </row>
  </sheetData>
  <sheetProtection algorithmName="SHA-512" hashValue="8aJgqJcDpDnYCBxrQn06v5nQC7hZbeQDqu0VzgQF9GhTFY8jY3O5RZAjitAO1Fw6WgFvlc9jorEIe0ysLO6ZKA==" saltValue="OOPdO+zVMT65u1WYtxBUG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4D989-8C6A-4853-86CE-59D4CD8783E5}">
  <sheetPr>
    <pageSetUpPr fitToPage="1"/>
  </sheetPr>
  <dimension ref="A1:Q28"/>
  <sheetViews>
    <sheetView showGridLines="0" zoomScaleNormal="100" workbookViewId="0">
      <selection activeCell="E50" sqref="E50"/>
    </sheetView>
  </sheetViews>
  <sheetFormatPr defaultRowHeight="15" x14ac:dyDescent="0.25"/>
  <cols>
    <col min="1" max="1" width="5.5703125" customWidth="1"/>
    <col min="2" max="2" width="26.85546875" bestFit="1" customWidth="1"/>
    <col min="3" max="3" width="23.42578125" bestFit="1" customWidth="1"/>
    <col min="4" max="4" width="45.42578125" customWidth="1"/>
    <col min="5" max="5" width="23.42578125" bestFit="1" customWidth="1"/>
    <col min="8" max="8" width="34.5703125" bestFit="1" customWidth="1"/>
    <col min="9" max="9" width="32.42578125" customWidth="1"/>
    <col min="10" max="10" width="30.42578125" bestFit="1" customWidth="1"/>
  </cols>
  <sheetData>
    <row r="1" spans="1:17" ht="15" customHeight="1" x14ac:dyDescent="0.25">
      <c r="A1" s="395" t="s">
        <v>2243</v>
      </c>
      <c r="B1" s="396"/>
      <c r="C1" s="396"/>
      <c r="D1" s="396"/>
      <c r="E1" s="397"/>
      <c r="F1" s="439" t="s">
        <v>2235</v>
      </c>
      <c r="G1" s="440"/>
      <c r="H1" s="440"/>
      <c r="I1" s="440"/>
      <c r="J1" s="440"/>
      <c r="K1" s="441"/>
      <c r="L1" s="249"/>
      <c r="M1" s="23" t="s">
        <v>134</v>
      </c>
      <c r="N1" s="249"/>
      <c r="O1" s="249"/>
      <c r="P1" s="249"/>
      <c r="Q1" s="249"/>
    </row>
    <row r="2" spans="1:17" ht="15" customHeight="1" x14ac:dyDescent="0.25">
      <c r="A2" s="398"/>
      <c r="B2" s="399"/>
      <c r="C2" s="399"/>
      <c r="D2" s="399"/>
      <c r="E2" s="400"/>
      <c r="F2" s="442"/>
      <c r="G2" s="443"/>
      <c r="H2" s="443"/>
      <c r="I2" s="443"/>
      <c r="J2" s="443"/>
      <c r="K2" s="444"/>
      <c r="L2" s="88"/>
      <c r="M2" s="88"/>
      <c r="N2" s="88"/>
      <c r="O2" s="88"/>
      <c r="P2" s="88"/>
      <c r="Q2" s="88"/>
    </row>
    <row r="3" spans="1:17" ht="15" customHeight="1" x14ac:dyDescent="0.25">
      <c r="A3" s="398"/>
      <c r="B3" s="399"/>
      <c r="C3" s="399"/>
      <c r="D3" s="399"/>
      <c r="E3" s="400"/>
      <c r="F3" s="442"/>
      <c r="G3" s="443"/>
      <c r="H3" s="443"/>
      <c r="I3" s="443"/>
      <c r="J3" s="443"/>
      <c r="K3" s="444"/>
      <c r="L3" s="88"/>
      <c r="N3" s="88"/>
      <c r="O3" s="88"/>
      <c r="P3" s="88"/>
      <c r="Q3" s="88"/>
    </row>
    <row r="4" spans="1:17" ht="15" customHeight="1" x14ac:dyDescent="0.25">
      <c r="A4" s="398"/>
      <c r="B4" s="399"/>
      <c r="C4" s="399"/>
      <c r="D4" s="399"/>
      <c r="E4" s="400"/>
      <c r="F4" s="442"/>
      <c r="G4" s="443"/>
      <c r="H4" s="443"/>
      <c r="I4" s="443"/>
      <c r="J4" s="443"/>
      <c r="K4" s="444"/>
      <c r="L4" s="88"/>
      <c r="N4" s="88"/>
      <c r="O4" s="88"/>
      <c r="P4" s="88"/>
      <c r="Q4" s="88"/>
    </row>
    <row r="5" spans="1:17" ht="15" customHeight="1" x14ac:dyDescent="0.25">
      <c r="A5" s="398"/>
      <c r="B5" s="399"/>
      <c r="C5" s="399"/>
      <c r="D5" s="399"/>
      <c r="E5" s="400"/>
      <c r="F5" s="442"/>
      <c r="G5" s="443"/>
      <c r="H5" s="443"/>
      <c r="I5" s="443"/>
      <c r="J5" s="443"/>
      <c r="K5" s="444"/>
      <c r="L5" s="88"/>
      <c r="M5" s="88"/>
      <c r="N5" s="88"/>
      <c r="O5" s="88"/>
      <c r="P5" s="88"/>
      <c r="Q5" s="88"/>
    </row>
    <row r="6" spans="1:17" ht="15.75" customHeight="1" thickBot="1" x14ac:dyDescent="0.3">
      <c r="A6" s="401"/>
      <c r="B6" s="402"/>
      <c r="C6" s="402"/>
      <c r="D6" s="402"/>
      <c r="E6" s="403"/>
      <c r="F6" s="445"/>
      <c r="G6" s="446"/>
      <c r="H6" s="446"/>
      <c r="I6" s="446"/>
      <c r="J6" s="446"/>
      <c r="K6" s="447"/>
      <c r="L6" s="250"/>
      <c r="M6" s="88"/>
      <c r="N6" s="88"/>
      <c r="O6" s="88"/>
      <c r="P6" s="88"/>
      <c r="Q6" s="88"/>
    </row>
    <row r="7" spans="1:17" ht="15.75" customHeight="1" x14ac:dyDescent="0.25">
      <c r="A7" s="310"/>
      <c r="B7" s="310"/>
      <c r="C7" s="310"/>
      <c r="D7" s="310"/>
      <c r="E7" s="310"/>
      <c r="F7" s="181"/>
      <c r="G7" s="181"/>
      <c r="H7" s="181"/>
      <c r="I7" s="181"/>
      <c r="J7" s="181"/>
      <c r="K7" s="181"/>
      <c r="L7" s="88"/>
      <c r="M7" s="88"/>
      <c r="N7" s="88"/>
      <c r="O7" s="88"/>
      <c r="P7" s="88"/>
      <c r="Q7" s="88"/>
    </row>
    <row r="8" spans="1:17" ht="15.75" customHeight="1" thickBot="1" x14ac:dyDescent="0.3">
      <c r="A8" s="310"/>
      <c r="B8" s="310"/>
      <c r="C8" s="310"/>
      <c r="D8" s="310"/>
      <c r="E8" s="310"/>
      <c r="F8" s="181"/>
      <c r="G8" s="181"/>
      <c r="H8" s="181"/>
      <c r="I8" s="181"/>
      <c r="J8" s="181"/>
      <c r="K8" s="181"/>
      <c r="L8" s="88"/>
      <c r="M8" s="88"/>
      <c r="N8" s="88"/>
      <c r="O8" s="88"/>
      <c r="P8" s="88"/>
      <c r="Q8" s="88"/>
    </row>
    <row r="9" spans="1:17" ht="18" thickBot="1" x14ac:dyDescent="0.3">
      <c r="B9" s="314" t="s">
        <v>2245</v>
      </c>
      <c r="C9" s="454" t="str">
        <f>IF('Cover Sheet'!D6="","Enter on Cover Sheet",'Cover Sheet'!D6)</f>
        <v>Enter on Cover Sheet</v>
      </c>
      <c r="D9" s="415"/>
      <c r="E9" s="416"/>
    </row>
    <row r="10" spans="1:17" ht="19.5" thickBot="1" x14ac:dyDescent="0.3">
      <c r="B10" s="387" t="s">
        <v>2068</v>
      </c>
      <c r="C10" s="388"/>
      <c r="D10" s="388"/>
      <c r="E10" s="389"/>
      <c r="I10" s="241" t="s">
        <v>135</v>
      </c>
      <c r="J10" s="241" t="s">
        <v>139</v>
      </c>
      <c r="K10" s="8" t="str">
        <f>IF(OR(D11="",D13="",D14="",D15="",D16="",D17="",AND(OR(E21="",E22="",E23="",E24="",E25="",E26="",E27=""),OR(C21="",C22="",C23="",C24="",C25=""))),"no","yes")</f>
        <v>no</v>
      </c>
    </row>
    <row r="11" spans="1:17" ht="18" thickBot="1" x14ac:dyDescent="0.3">
      <c r="B11" s="455" t="s">
        <v>2069</v>
      </c>
      <c r="C11" s="456"/>
      <c r="D11" s="448"/>
      <c r="E11" s="449"/>
      <c r="I11" s="242" t="str">
        <f>IF(K10="no","",IFERROR(IF(C19="Segment",'TSAT Calculations'!L10,IF(C19="Intersection",'TSAT Calculations'!L24,"")),""))</f>
        <v/>
      </c>
      <c r="J11" s="242" t="str">
        <f>IF(K10="no","",IFERROR(IF(C19="Segment",'TSAT Calculations'!L9,IF(C19="Intersection",'TSAT Calculations'!L23,"")),""))</f>
        <v/>
      </c>
    </row>
    <row r="12" spans="1:17" ht="18" thickBot="1" x14ac:dyDescent="0.3">
      <c r="B12" s="450" t="s">
        <v>2169</v>
      </c>
      <c r="C12" s="451"/>
      <c r="D12" s="452"/>
      <c r="E12" s="453"/>
      <c r="H12" s="252"/>
      <c r="I12" s="252"/>
    </row>
    <row r="13" spans="1:17" ht="19.5" thickBot="1" x14ac:dyDescent="0.3">
      <c r="B13" s="429" t="s">
        <v>2070</v>
      </c>
      <c r="C13" s="430"/>
      <c r="D13" s="435"/>
      <c r="E13" s="436"/>
      <c r="I13" s="241" t="s">
        <v>2221</v>
      </c>
      <c r="J13" s="86" t="s">
        <v>2222</v>
      </c>
    </row>
    <row r="14" spans="1:17" ht="19.5" thickBot="1" x14ac:dyDescent="0.3">
      <c r="B14" s="429" t="s">
        <v>2071</v>
      </c>
      <c r="C14" s="430"/>
      <c r="D14" s="435"/>
      <c r="E14" s="436"/>
      <c r="H14" s="86" t="str">
        <f>IF(C19="Segment", "Adjusted Crashes/Year/Mile","Adjusted Crashes/Year")</f>
        <v>Adjusted Crashes/Year</v>
      </c>
      <c r="I14" s="304" t="str">
        <f>IF(K10="no","",IFERROR(IF(C19="Segment",'TSAT Calculations'!Q7,IF(C19="Intersection",'TSAT Calculations'!Q21,"")),""))</f>
        <v/>
      </c>
      <c r="J14" s="304" t="str">
        <f>IF(K10="no","",IFERROR(IF(C19="Segment",'TSAT Calculations'!P7,IF(C19="Intersection",'TSAT Calculations'!P21,"")),""))</f>
        <v/>
      </c>
    </row>
    <row r="15" spans="1:17" ht="19.5" thickBot="1" x14ac:dyDescent="0.3">
      <c r="B15" s="429" t="s">
        <v>2072</v>
      </c>
      <c r="C15" s="430"/>
      <c r="D15" s="435"/>
      <c r="E15" s="436"/>
      <c r="H15" s="305" t="str">
        <f>IF(C19="Segment", "SPF Predicted/Year/Mile","SPF Predicted Crashes/Year")</f>
        <v>SPF Predicted Crashes/Year</v>
      </c>
      <c r="I15" s="242" t="str">
        <f>IF(K10="no","",IFERROR(IF(C19="Segment",'TSAT Calculations'!O7,IF(C19="Intersection",'TSAT Calculations'!O21,"")),""))</f>
        <v/>
      </c>
      <c r="J15" s="242" t="str">
        <f>IF(K10="no","",IFERROR(IF(C19="Segment",'TSAT Calculations'!N7,IF(C19="Intersection",'TSAT Calculations'!N21,"")),""))</f>
        <v/>
      </c>
    </row>
    <row r="16" spans="1:17" ht="17.25" x14ac:dyDescent="0.25">
      <c r="B16" s="429" t="s">
        <v>2073</v>
      </c>
      <c r="C16" s="430"/>
      <c r="D16" s="435"/>
      <c r="E16" s="436"/>
    </row>
    <row r="17" spans="2:9" ht="18" thickBot="1" x14ac:dyDescent="0.3">
      <c r="B17" s="427" t="s">
        <v>2074</v>
      </c>
      <c r="C17" s="428"/>
      <c r="D17" s="437"/>
      <c r="E17" s="438"/>
    </row>
    <row r="18" spans="2:9" ht="18.75" thickBot="1" x14ac:dyDescent="0.3">
      <c r="B18" s="413" t="s">
        <v>2053</v>
      </c>
      <c r="C18" s="388"/>
      <c r="D18" s="388"/>
      <c r="E18" s="389"/>
    </row>
    <row r="19" spans="2:9" ht="18" thickBot="1" x14ac:dyDescent="0.3">
      <c r="B19" s="230" t="s">
        <v>2054</v>
      </c>
      <c r="C19" s="414"/>
      <c r="D19" s="415"/>
      <c r="E19" s="416"/>
      <c r="F19" s="431" t="s">
        <v>2232</v>
      </c>
      <c r="G19" s="432"/>
      <c r="H19" s="432"/>
      <c r="I19" s="432"/>
    </row>
    <row r="20" spans="2:9" ht="18" thickBot="1" x14ac:dyDescent="0.3">
      <c r="B20" s="433" t="s">
        <v>2059</v>
      </c>
      <c r="C20" s="434"/>
      <c r="D20" s="393" t="s">
        <v>2060</v>
      </c>
      <c r="E20" s="394"/>
      <c r="F20" s="431"/>
      <c r="G20" s="432"/>
      <c r="H20" s="432"/>
      <c r="I20" s="432"/>
    </row>
    <row r="21" spans="2:9" ht="17.25" x14ac:dyDescent="0.25">
      <c r="B21" s="52" t="s">
        <v>2065</v>
      </c>
      <c r="C21" s="55"/>
      <c r="D21" s="52" t="s">
        <v>2083</v>
      </c>
      <c r="E21" s="55"/>
      <c r="F21" s="431"/>
      <c r="G21" s="432"/>
      <c r="H21" s="432"/>
      <c r="I21" s="432"/>
    </row>
    <row r="22" spans="2:9" ht="17.25" x14ac:dyDescent="0.25">
      <c r="B22" s="14" t="s">
        <v>2066</v>
      </c>
      <c r="C22" s="43"/>
      <c r="D22" s="14" t="s">
        <v>2116</v>
      </c>
      <c r="E22" s="43"/>
    </row>
    <row r="23" spans="2:9" ht="17.25" x14ac:dyDescent="0.25">
      <c r="B23" s="14" t="s">
        <v>2055</v>
      </c>
      <c r="C23" s="43"/>
      <c r="D23" s="14" t="s">
        <v>2055</v>
      </c>
      <c r="E23" s="43"/>
    </row>
    <row r="24" spans="2:9" ht="17.25" x14ac:dyDescent="0.25">
      <c r="B24" s="14" t="s">
        <v>2056</v>
      </c>
      <c r="C24" s="43"/>
      <c r="D24" s="14" t="s">
        <v>2056</v>
      </c>
      <c r="E24" s="43"/>
    </row>
    <row r="25" spans="2:9" ht="18" thickBot="1" x14ac:dyDescent="0.3">
      <c r="B25" s="15" t="s">
        <v>2082</v>
      </c>
      <c r="C25" s="45"/>
      <c r="D25" s="14" t="s">
        <v>2057</v>
      </c>
      <c r="E25" s="43"/>
    </row>
    <row r="26" spans="2:9" ht="17.25" x14ac:dyDescent="0.25">
      <c r="B26" s="229"/>
      <c r="C26" s="18"/>
      <c r="D26" s="14" t="s">
        <v>2076</v>
      </c>
      <c r="E26" s="43"/>
    </row>
    <row r="27" spans="2:9" ht="18" thickBot="1" x14ac:dyDescent="0.3">
      <c r="B27" s="229"/>
      <c r="C27" s="18"/>
      <c r="D27" s="15" t="s">
        <v>2058</v>
      </c>
      <c r="E27" s="45"/>
    </row>
    <row r="28" spans="2:9" ht="17.25" x14ac:dyDescent="0.25">
      <c r="B28" s="229"/>
      <c r="C28" s="18"/>
    </row>
  </sheetData>
  <sheetProtection algorithmName="SHA-512" hashValue="qw9cq0JcncthBeNxki42jCgPseelTHLfVSNHS4tn0WIqzhcQnKU6T/vsguoKHscpMAcW40XOaUa0EUk9MSUwzA==" saltValue="wUNGn+qTAh0zIF2Aqbfl8w==" spinCount="100000" sheet="1" objects="1" scenarios="1"/>
  <mergeCells count="23">
    <mergeCell ref="F1:K6"/>
    <mergeCell ref="D14:E14"/>
    <mergeCell ref="D13:E13"/>
    <mergeCell ref="D11:E11"/>
    <mergeCell ref="B10:E10"/>
    <mergeCell ref="B14:C14"/>
    <mergeCell ref="B12:C12"/>
    <mergeCell ref="D12:E12"/>
    <mergeCell ref="C9:E9"/>
    <mergeCell ref="B13:C13"/>
    <mergeCell ref="B11:C11"/>
    <mergeCell ref="A1:E6"/>
    <mergeCell ref="B18:E18"/>
    <mergeCell ref="B17:C17"/>
    <mergeCell ref="B16:C16"/>
    <mergeCell ref="B15:C15"/>
    <mergeCell ref="F19:I21"/>
    <mergeCell ref="B20:C20"/>
    <mergeCell ref="D20:E20"/>
    <mergeCell ref="C19:E19"/>
    <mergeCell ref="D16:E16"/>
    <mergeCell ref="D17:E17"/>
    <mergeCell ref="D15:E15"/>
  </mergeCells>
  <conditionalFormatting sqref="B20:C25">
    <cfRule type="expression" dxfId="20" priority="42">
      <formula>$C$19="Segment"</formula>
    </cfRule>
  </conditionalFormatting>
  <conditionalFormatting sqref="B20:E27">
    <cfRule type="expression" dxfId="19" priority="40">
      <formula>$C$19=""</formula>
    </cfRule>
  </conditionalFormatting>
  <conditionalFormatting sqref="D20:E27">
    <cfRule type="expression" dxfId="18" priority="41">
      <formula>$C$19="Intersection"</formula>
    </cfRule>
  </conditionalFormatting>
  <conditionalFormatting sqref="F19:I21">
    <cfRule type="expression" dxfId="17" priority="1">
      <formula>$C$19="Segment"</formula>
    </cfRule>
  </conditionalFormatting>
  <hyperlinks>
    <hyperlink ref="M1" location="'Cover Sheet'!B13" display="BACK TO COVER SHEET" xr:uid="{D848427D-B9E5-4A97-B45F-17D40863AEFC}"/>
  </hyperlinks>
  <pageMargins left="0.7" right="0.7" top="0.75" bottom="0.75" header="0.3" footer="0.3"/>
  <pageSetup scale="49" fitToHeight="0"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1B86E236-6B20-418C-84B0-3B95EBDFA525}">
          <x14:formula1>
            <xm:f>'TSAT Lookups'!$F$1:$F$2</xm:f>
          </x14:formula1>
          <xm:sqref>C25</xm:sqref>
        </x14:dataValidation>
        <x14:dataValidation type="list" allowBlank="1" showInputMessage="1" showErrorMessage="1" xr:uid="{845D8C19-EDCA-4D2D-8C4F-1E902F05746F}">
          <x14:formula1>
            <xm:f>'TSAT Lookups'!$A$1:$A$2</xm:f>
          </x14:formula1>
          <xm:sqref>C19</xm:sqref>
        </x14:dataValidation>
        <x14:dataValidation type="list" allowBlank="1" showInputMessage="1" showErrorMessage="1" xr:uid="{3942779F-357D-4C48-9ED0-86828AA1FB1F}">
          <x14:formula1>
            <xm:f>'TSAT Lookups'!$B$1:$B$2</xm:f>
          </x14:formula1>
          <xm:sqref>C23 E23</xm:sqref>
        </x14:dataValidation>
        <x14:dataValidation type="list" allowBlank="1" showInputMessage="1" showErrorMessage="1" xr:uid="{4D295545-C687-4B73-A73E-CB615B463D36}">
          <x14:formula1>
            <xm:f>'TSAT Lookups'!$C$1:$C$2</xm:f>
          </x14:formula1>
          <xm:sqref>C24 E24</xm:sqref>
        </x14:dataValidation>
        <x14:dataValidation type="list" allowBlank="1" showInputMessage="1" showErrorMessage="1" xr:uid="{8256E632-F05F-4985-8004-5167F58F0344}">
          <x14:formula1>
            <xm:f>'TSAT Lookups'!$E$1:$E$2</xm:f>
          </x14:formula1>
          <xm:sqref>E25</xm:sqref>
        </x14:dataValidation>
        <x14:dataValidation type="list" allowBlank="1" showInputMessage="1" showErrorMessage="1" xr:uid="{45E68D88-F093-49B8-B86E-158720A1BF2C}">
          <x14:formula1>
            <xm:f>'TSAT Lookups'!$D$1:$D$3</xm:f>
          </x14:formula1>
          <xm:sqref>E26</xm:sqref>
        </x14:dataValidation>
        <x14:dataValidation type="list" allowBlank="1" showInputMessage="1" showErrorMessage="1" xr:uid="{699C7841-F75E-4B03-94AE-5839099F79F2}">
          <x14:formula1>
            <xm:f>'TSAT Lookups'!$G$1:$G$2</xm:f>
          </x14:formula1>
          <xm:sqref>E27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5425-B17E-47D3-8D7B-4EAEC86D7D74}">
  <dimension ref="A1:AT58"/>
  <sheetViews>
    <sheetView topLeftCell="A33" zoomScaleNormal="100" workbookViewId="0">
      <pane xSplit="1" topLeftCell="Q1" activePane="topRight" state="frozen"/>
      <selection pane="topRight" activeCell="A51" sqref="A51:XFD51"/>
    </sheetView>
  </sheetViews>
  <sheetFormatPr defaultRowHeight="15" x14ac:dyDescent="0.25"/>
  <cols>
    <col min="1" max="1" width="80.5703125" bestFit="1" customWidth="1"/>
    <col min="2" max="2" width="4.85546875" bestFit="1" customWidth="1"/>
    <col min="3" max="3" width="5.42578125" bestFit="1" customWidth="1"/>
    <col min="4" max="4" width="12" bestFit="1" customWidth="1"/>
    <col min="5" max="5" width="12.7109375" bestFit="1" customWidth="1"/>
    <col min="6" max="6" width="12" bestFit="1" customWidth="1"/>
    <col min="7" max="7" width="12.7109375" bestFit="1" customWidth="1"/>
    <col min="8" max="8" width="21.5703125" bestFit="1" customWidth="1"/>
    <col min="9" max="9" width="22.28515625" bestFit="1" customWidth="1"/>
    <col min="10" max="10" width="12" bestFit="1" customWidth="1"/>
    <col min="11" max="11" width="26.140625" bestFit="1" customWidth="1"/>
    <col min="12" max="12" width="35.7109375" bestFit="1" customWidth="1"/>
    <col min="13" max="13" width="33.5703125" bestFit="1" customWidth="1"/>
    <col min="14" max="14" width="33.140625" bestFit="1" customWidth="1"/>
    <col min="15" max="15" width="31.140625" bestFit="1" customWidth="1"/>
    <col min="16" max="16" width="32.7109375" bestFit="1" customWidth="1"/>
    <col min="17" max="17" width="30.7109375" bestFit="1" customWidth="1"/>
    <col min="18" max="18" width="12" bestFit="1" customWidth="1"/>
    <col min="19" max="19" width="12.7109375" bestFit="1" customWidth="1"/>
    <col min="20" max="20" width="21.5703125" bestFit="1" customWidth="1"/>
    <col min="21" max="21" width="22.28515625" bestFit="1" customWidth="1"/>
    <col min="22" max="22" width="33.5703125" bestFit="1" customWidth="1"/>
    <col min="23" max="27" width="8.42578125" bestFit="1" customWidth="1"/>
    <col min="28" max="28" width="7" bestFit="1" customWidth="1"/>
    <col min="29" max="29" width="22.28515625" customWidth="1"/>
    <col min="30" max="30" width="12" bestFit="1" customWidth="1"/>
    <col min="31" max="31" width="8" bestFit="1" customWidth="1"/>
    <col min="32" max="32" width="25" bestFit="1" customWidth="1"/>
    <col min="33" max="35" width="7.140625" bestFit="1" customWidth="1"/>
    <col min="36" max="36" width="21.5703125" bestFit="1" customWidth="1"/>
    <col min="37" max="37" width="19.42578125" bestFit="1" customWidth="1"/>
    <col min="38" max="38" width="25.7109375" bestFit="1" customWidth="1"/>
    <col min="39" max="39" width="21.5703125" bestFit="1" customWidth="1"/>
    <col min="40" max="40" width="19.42578125" bestFit="1" customWidth="1"/>
    <col min="41" max="41" width="25.7109375" bestFit="1" customWidth="1"/>
    <col min="42" max="43" width="8.42578125" bestFit="1" customWidth="1"/>
    <col min="44" max="44" width="19.42578125" bestFit="1" customWidth="1"/>
    <col min="45" max="45" width="33.5703125" bestFit="1" customWidth="1"/>
    <col min="46" max="50" width="8.42578125" bestFit="1" customWidth="1"/>
    <col min="51" max="51" width="7.140625" bestFit="1" customWidth="1"/>
    <col min="52" max="55" width="12" bestFit="1" customWidth="1"/>
  </cols>
  <sheetData>
    <row r="1" spans="1:19" x14ac:dyDescent="0.25">
      <c r="A1" s="225" t="s">
        <v>2084</v>
      </c>
      <c r="I1" t="s">
        <v>2080</v>
      </c>
      <c r="J1" t="s">
        <v>2081</v>
      </c>
      <c r="K1" s="238" t="s">
        <v>2079</v>
      </c>
      <c r="L1" s="46" t="s">
        <v>2110</v>
      </c>
      <c r="M1" s="28" t="s">
        <v>2111</v>
      </c>
      <c r="N1" s="46" t="s">
        <v>2112</v>
      </c>
      <c r="O1" s="27" t="s">
        <v>2113</v>
      </c>
      <c r="P1" s="46" t="s">
        <v>2114</v>
      </c>
      <c r="Q1" s="28" t="s">
        <v>2115</v>
      </c>
      <c r="S1" t="s">
        <v>2219</v>
      </c>
    </row>
    <row r="2" spans="1:19" x14ac:dyDescent="0.25">
      <c r="A2" t="s">
        <v>2085</v>
      </c>
      <c r="B2" t="str">
        <f>IF(TSAT!E21="","",TSAT!E21)</f>
        <v/>
      </c>
      <c r="H2" t="s">
        <v>2039</v>
      </c>
      <c r="I2" s="228">
        <v>857956</v>
      </c>
      <c r="J2">
        <f>I2/$I$6</f>
        <v>55.04304869442484</v>
      </c>
      <c r="K2" s="226">
        <f>TSAT!D13</f>
        <v>0</v>
      </c>
      <c r="L2" s="47" t="e">
        <f>K2/TSAT!$D$11/TSAT!$E$22</f>
        <v>#DIV/0!</v>
      </c>
      <c r="M2" s="50" t="e">
        <f>J2*L2</f>
        <v>#DIV/0!</v>
      </c>
      <c r="N2" s="47" t="e" cm="1">
        <f t="array" ref="N2">INDEX($C$30:$AT$42,_xlfn.XMATCH("Yes",$C$30:$C$42),_xlfn.XMATCH("Kp",$C$30:$AT$30))</f>
        <v>#VALUE!</v>
      </c>
      <c r="O2" t="e">
        <f>J2*N2</f>
        <v>#VALUE!</v>
      </c>
      <c r="P2" s="47" t="e">
        <f>($I$13*N2)+((1-$I$13)*(L2))</f>
        <v>#VALUE!</v>
      </c>
      <c r="Q2" s="50" t="e">
        <f t="shared" ref="P2:Q6" si="0">($I$13*O2)+((1-$I$13)*(M2))</f>
        <v>#VALUE!</v>
      </c>
      <c r="S2" t="s">
        <v>2220</v>
      </c>
    </row>
    <row r="3" spans="1:19" x14ac:dyDescent="0.25">
      <c r="A3" t="s">
        <v>2117</v>
      </c>
      <c r="B3" t="str">
        <f>IF(TSAT!E22="","",TSAT!E22)</f>
        <v/>
      </c>
      <c r="H3" t="s">
        <v>142</v>
      </c>
      <c r="I3" s="228">
        <v>857956</v>
      </c>
      <c r="J3">
        <f>I3/$I$6</f>
        <v>55.04304869442484</v>
      </c>
      <c r="K3" s="226">
        <f>TSAT!D14</f>
        <v>0</v>
      </c>
      <c r="L3" s="47" t="e">
        <f>K3/TSAT!$D$11/TSAT!$E$22</f>
        <v>#DIV/0!</v>
      </c>
      <c r="M3" s="50" t="e">
        <f>J3*L3</f>
        <v>#DIV/0!</v>
      </c>
      <c r="N3" s="47" t="e" cm="1">
        <f t="array" ref="N3">INDEX($C$30:$AT$42,_xlfn.XMATCH("Yes",$C$30:$C$42),_xlfn.XMATCH("Ap",$C$30:$AT$30))</f>
        <v>#VALUE!</v>
      </c>
      <c r="O3" t="e">
        <f>J3*N3</f>
        <v>#VALUE!</v>
      </c>
      <c r="P3" s="47" t="e">
        <f t="shared" si="0"/>
        <v>#VALUE!</v>
      </c>
      <c r="Q3" s="50" t="e">
        <f t="shared" si="0"/>
        <v>#VALUE!</v>
      </c>
    </row>
    <row r="4" spans="1:19" x14ac:dyDescent="0.25">
      <c r="A4" t="s">
        <v>2055</v>
      </c>
      <c r="B4" t="str">
        <f>IF(TSAT!E23="","",TSAT!E23)</f>
        <v/>
      </c>
      <c r="H4" t="s">
        <v>143</v>
      </c>
      <c r="I4" s="228">
        <v>212262</v>
      </c>
      <c r="J4">
        <f>I4/$I$6</f>
        <v>13.617886700455507</v>
      </c>
      <c r="K4" s="226">
        <f>TSAT!D15</f>
        <v>0</v>
      </c>
      <c r="L4" s="47" t="e">
        <f>K4/TSAT!$D$11/TSAT!$E$22</f>
        <v>#DIV/0!</v>
      </c>
      <c r="M4" s="50" t="e">
        <f>J4*L4</f>
        <v>#DIV/0!</v>
      </c>
      <c r="N4" s="47" t="e" cm="1">
        <f t="array" ref="N4">INDEX($C$30:$AT$42,_xlfn.XMATCH("Yes",$C$30:$C$42),_xlfn.XMATCH("Bp",$C$30:$AT$30))</f>
        <v>#VALUE!</v>
      </c>
      <c r="O4" t="e">
        <f>J4*N4</f>
        <v>#VALUE!</v>
      </c>
      <c r="P4" s="47" t="e">
        <f t="shared" si="0"/>
        <v>#VALUE!</v>
      </c>
      <c r="Q4" s="50" t="e">
        <f t="shared" si="0"/>
        <v>#VALUE!</v>
      </c>
    </row>
    <row r="5" spans="1:19" x14ac:dyDescent="0.25">
      <c r="A5" t="s">
        <v>2056</v>
      </c>
      <c r="B5" t="str">
        <f>IF(TSAT!E24="","",TSAT!E24)</f>
        <v/>
      </c>
      <c r="H5" t="s">
        <v>2040</v>
      </c>
      <c r="I5" s="228">
        <v>125600</v>
      </c>
      <c r="J5">
        <f>I5/$I$6</f>
        <v>8.0579970488227364</v>
      </c>
      <c r="K5" s="226">
        <f>TSAT!D16</f>
        <v>0</v>
      </c>
      <c r="L5" s="47" t="e">
        <f>K5/TSAT!$D$11/TSAT!$E$22</f>
        <v>#DIV/0!</v>
      </c>
      <c r="M5" s="50" t="e">
        <f>J5*L5</f>
        <v>#DIV/0!</v>
      </c>
      <c r="N5" s="47" t="e" cm="1">
        <f t="array" ref="N5">INDEX($C$30:$AT$42,_xlfn.XMATCH("Yes",$C$30:$C$42),_xlfn.XMATCH("Cp",$C$30:$AT$30))</f>
        <v>#VALUE!</v>
      </c>
      <c r="O5" t="e">
        <f>J5*N5</f>
        <v>#VALUE!</v>
      </c>
      <c r="P5" s="47" t="e">
        <f t="shared" si="0"/>
        <v>#VALUE!</v>
      </c>
      <c r="Q5" s="50" t="e">
        <f t="shared" si="0"/>
        <v>#VALUE!</v>
      </c>
    </row>
    <row r="6" spans="1:19" x14ac:dyDescent="0.25">
      <c r="A6" t="s">
        <v>2076</v>
      </c>
      <c r="B6" t="str">
        <f>IF(TSAT!E26="","",TSAT!E26)</f>
        <v/>
      </c>
      <c r="H6" t="s">
        <v>2041</v>
      </c>
      <c r="I6" s="228">
        <v>15587</v>
      </c>
      <c r="J6">
        <f>I6/$I$6</f>
        <v>1</v>
      </c>
      <c r="K6" s="226">
        <f>TSAT!D17</f>
        <v>0</v>
      </c>
      <c r="L6" s="47" t="e">
        <f>K6/TSAT!$D$11/TSAT!$E$22</f>
        <v>#DIV/0!</v>
      </c>
      <c r="M6" s="50" t="e">
        <f>J6*L6</f>
        <v>#DIV/0!</v>
      </c>
      <c r="N6" s="47" t="e" cm="1">
        <f t="array" ref="N6">INDEX($C$30:$AT$42,_xlfn.XMATCH("Yes",$C$30:$C$42),_xlfn.XMATCH("Op",$C$30:$AT$30))</f>
        <v>#VALUE!</v>
      </c>
      <c r="O6" t="e">
        <f>J6*N6</f>
        <v>#VALUE!</v>
      </c>
      <c r="P6" s="47" t="e">
        <f t="shared" si="0"/>
        <v>#VALUE!</v>
      </c>
      <c r="Q6" s="50" t="e">
        <f t="shared" si="0"/>
        <v>#VALUE!</v>
      </c>
    </row>
    <row r="7" spans="1:19" ht="15.75" thickBot="1" x14ac:dyDescent="0.3">
      <c r="A7" t="s">
        <v>2057</v>
      </c>
      <c r="B7" t="str">
        <f>IF(TSAT!E26&lt;&gt;"Non-Freeway","",IF(TSAT!E25="","",TSAT!E25))</f>
        <v/>
      </c>
      <c r="H7" s="232" t="s">
        <v>1925</v>
      </c>
      <c r="I7" s="232"/>
      <c r="J7" s="232"/>
      <c r="K7" s="239">
        <f>SUM(K2:K6)</f>
        <v>0</v>
      </c>
      <c r="L7" s="233" t="e">
        <f t="shared" ref="L7:Q7" si="1">SUM(L2:L6)</f>
        <v>#DIV/0!</v>
      </c>
      <c r="M7" s="235" t="e">
        <f t="shared" si="1"/>
        <v>#DIV/0!</v>
      </c>
      <c r="N7" s="233" t="e">
        <f t="shared" si="1"/>
        <v>#VALUE!</v>
      </c>
      <c r="O7" s="234" t="e">
        <f t="shared" si="1"/>
        <v>#VALUE!</v>
      </c>
      <c r="P7" s="233" t="e">
        <f t="shared" si="1"/>
        <v>#VALUE!</v>
      </c>
      <c r="Q7" s="235" t="e">
        <f t="shared" si="1"/>
        <v>#VALUE!</v>
      </c>
    </row>
    <row r="8" spans="1:19" ht="15.75" thickBot="1" x14ac:dyDescent="0.3">
      <c r="A8" t="s">
        <v>2058</v>
      </c>
      <c r="B8" t="str">
        <f>IF(TSAT!E26&lt;&gt;"Freeway","",IF(TSAT!E27="","",TSAT!E27))</f>
        <v/>
      </c>
    </row>
    <row r="9" spans="1:19" x14ac:dyDescent="0.25">
      <c r="H9" s="225" t="s">
        <v>2101</v>
      </c>
      <c r="K9" s="46" t="s">
        <v>2108</v>
      </c>
      <c r="L9" s="236" t="e">
        <f>(P7-N7)/(I11)</f>
        <v>#VALUE!</v>
      </c>
    </row>
    <row r="10" spans="1:19" ht="15.75" thickBot="1" x14ac:dyDescent="0.3">
      <c r="A10" t="str">
        <f>_xlfn.CONCAT(B4:B8)</f>
        <v/>
      </c>
      <c r="H10" t="s">
        <v>2038</v>
      </c>
      <c r="I10" cm="1">
        <f t="array" ref="I10">INDEX($C$30:$AT$42,_xlfn.XMATCH("Yes",$C$30:$C$42),_xlfn.XMATCH(H10,$C$30:$AT$30))</f>
        <v>3.0075409356100402</v>
      </c>
      <c r="K10" s="29" t="s">
        <v>2109</v>
      </c>
      <c r="L10" s="237" t="e">
        <f>(Q7-O7)/I12</f>
        <v>#VALUE!</v>
      </c>
    </row>
    <row r="11" spans="1:19" x14ac:dyDescent="0.25">
      <c r="F11" t="s">
        <v>2224</v>
      </c>
      <c r="G11">
        <v>6</v>
      </c>
      <c r="H11" t="s">
        <v>2099</v>
      </c>
      <c r="I11">
        <f>MAX(INDEX($C$30:$AT$42,_xlfn.XMATCH("Yes",$C$30:$C$42),_xlfn.XMATCH(H11,$C$30:$AT$30)),G11)</f>
        <v>20.024072835797199</v>
      </c>
    </row>
    <row r="12" spans="1:19" x14ac:dyDescent="0.25">
      <c r="F12" t="s">
        <v>2224</v>
      </c>
      <c r="G12">
        <v>25</v>
      </c>
      <c r="H12" t="s">
        <v>2100</v>
      </c>
      <c r="I12">
        <f>MAX(INDEX($C$30:$AT$42,_xlfn.XMATCH("Yes",$C$30:$C$42),_xlfn.XMATCH(H12,$C$30:$AT$30)),G12)</f>
        <v>126.410706321353</v>
      </c>
    </row>
    <row r="13" spans="1:19" s="245" customFormat="1" ht="15.75" thickBot="1" x14ac:dyDescent="0.3">
      <c r="H13" s="245" t="s">
        <v>2107</v>
      </c>
      <c r="I13" s="245">
        <f>1/(1+(I10*K7))</f>
        <v>1</v>
      </c>
    </row>
    <row r="14" spans="1:19" ht="16.5" thickTop="1" thickBot="1" x14ac:dyDescent="0.3"/>
    <row r="15" spans="1:19" x14ac:dyDescent="0.25">
      <c r="A15" s="225" t="s">
        <v>2121</v>
      </c>
      <c r="I15" t="s">
        <v>2080</v>
      </c>
      <c r="J15" t="s">
        <v>2081</v>
      </c>
      <c r="K15" s="238" t="s">
        <v>2124</v>
      </c>
      <c r="L15" s="46" t="s">
        <v>2130</v>
      </c>
      <c r="M15" s="28" t="s">
        <v>2125</v>
      </c>
      <c r="N15" s="46" t="s">
        <v>2126</v>
      </c>
      <c r="O15" s="28" t="s">
        <v>2127</v>
      </c>
      <c r="P15" s="46" t="s">
        <v>2128</v>
      </c>
      <c r="Q15" s="28" t="s">
        <v>2129</v>
      </c>
    </row>
    <row r="16" spans="1:19" x14ac:dyDescent="0.25">
      <c r="A16" t="s">
        <v>2122</v>
      </c>
      <c r="B16" t="str">
        <f>IF(TSAT!C21="","",TSAT!C21)</f>
        <v/>
      </c>
      <c r="H16" t="s">
        <v>2039</v>
      </c>
      <c r="I16" s="228">
        <v>857956</v>
      </c>
      <c r="J16">
        <f>I16/$I$6</f>
        <v>55.04304869442484</v>
      </c>
      <c r="K16" s="226">
        <f>TSAT!D13</f>
        <v>0</v>
      </c>
      <c r="L16" s="47" t="e">
        <f>K16/TSAT!$D$11</f>
        <v>#DIV/0!</v>
      </c>
      <c r="M16" s="50" t="e">
        <f>J16*L16</f>
        <v>#DIV/0!</v>
      </c>
      <c r="N16" s="47" t="e" cm="1">
        <f t="array" ref="N16">INDEX($C$48:$AA$56,_xlfn.XMATCH("Yes",$C$48:$C$56),_xlfn.XMATCH("Kp",$C$48:$AA$48))</f>
        <v>#VALUE!</v>
      </c>
      <c r="O16" s="50" t="e">
        <f>N16*J16</f>
        <v>#VALUE!</v>
      </c>
      <c r="P16" s="47" t="e">
        <f>($I$27*N16)+((1-$I$27)*(L16))</f>
        <v>#VALUE!</v>
      </c>
      <c r="Q16" s="50" t="e">
        <f>($I$27*O16)+((1-$I$27)*(M16))</f>
        <v>#VALUE!</v>
      </c>
    </row>
    <row r="17" spans="1:46" x14ac:dyDescent="0.25">
      <c r="A17" t="s">
        <v>2123</v>
      </c>
      <c r="B17" t="str">
        <f>IF(TSAT!C22="","",TSAT!C22)</f>
        <v/>
      </c>
      <c r="H17" t="s">
        <v>142</v>
      </c>
      <c r="I17" s="228">
        <v>857956</v>
      </c>
      <c r="J17">
        <f>I17/$I$6</f>
        <v>55.04304869442484</v>
      </c>
      <c r="K17" s="226">
        <f>TSAT!D14</f>
        <v>0</v>
      </c>
      <c r="L17" s="47" t="e">
        <f>K17/TSAT!$D$11</f>
        <v>#DIV/0!</v>
      </c>
      <c r="M17" s="50" t="e">
        <f t="shared" ref="M17:M20" si="2">J17*L17</f>
        <v>#DIV/0!</v>
      </c>
      <c r="N17" s="47" t="e" cm="1">
        <f t="array" ref="N17">INDEX($C$48:$AA$56,_xlfn.XMATCH("Yes",$C$48:$C$56),_xlfn.XMATCH("Ap",$C$48:$AA$48))</f>
        <v>#VALUE!</v>
      </c>
      <c r="O17" s="50" t="e">
        <f t="shared" ref="O17:O20" si="3">N17*J17</f>
        <v>#VALUE!</v>
      </c>
      <c r="P17" s="47" t="e">
        <f t="shared" ref="P17:P20" si="4">($I$27*N17)+((1-$I$27)*(L17))</f>
        <v>#VALUE!</v>
      </c>
      <c r="Q17" s="50" t="e">
        <f t="shared" ref="Q17:Q20" si="5">($I$27*O17)+((1-$I$27)*(M17))</f>
        <v>#VALUE!</v>
      </c>
    </row>
    <row r="18" spans="1:46" x14ac:dyDescent="0.25">
      <c r="A18" t="s">
        <v>2055</v>
      </c>
      <c r="B18" t="str">
        <f>IF(TSAT!C23="","",TSAT!C23)</f>
        <v/>
      </c>
      <c r="H18" t="s">
        <v>143</v>
      </c>
      <c r="I18" s="228">
        <v>212262</v>
      </c>
      <c r="J18">
        <f>I18/$I$6</f>
        <v>13.617886700455507</v>
      </c>
      <c r="K18" s="226">
        <f>TSAT!D15</f>
        <v>0</v>
      </c>
      <c r="L18" s="47" t="e">
        <f>K18/TSAT!$D$11</f>
        <v>#DIV/0!</v>
      </c>
      <c r="M18" s="50" t="e">
        <f t="shared" si="2"/>
        <v>#DIV/0!</v>
      </c>
      <c r="N18" s="47" t="e" cm="1">
        <f t="array" ref="N18">INDEX($C$48:$AA$56,_xlfn.XMATCH("Yes",$C$48:$C$56),_xlfn.XMATCH("Bp",$C$48:$AA$48))</f>
        <v>#VALUE!</v>
      </c>
      <c r="O18" s="50" t="e">
        <f t="shared" si="3"/>
        <v>#VALUE!</v>
      </c>
      <c r="P18" s="47" t="e">
        <f t="shared" si="4"/>
        <v>#VALUE!</v>
      </c>
      <c r="Q18" s="50" t="e">
        <f t="shared" si="5"/>
        <v>#VALUE!</v>
      </c>
    </row>
    <row r="19" spans="1:46" x14ac:dyDescent="0.25">
      <c r="A19" t="s">
        <v>2056</v>
      </c>
      <c r="B19" t="str">
        <f>IF(TSAT!C24="","",TSAT!C24)</f>
        <v/>
      </c>
      <c r="H19" t="s">
        <v>2040</v>
      </c>
      <c r="I19" s="228">
        <v>125600</v>
      </c>
      <c r="J19">
        <f>I19/$I$6</f>
        <v>8.0579970488227364</v>
      </c>
      <c r="K19" s="226">
        <f>TSAT!D16</f>
        <v>0</v>
      </c>
      <c r="L19" s="47" t="e">
        <f>K19/TSAT!$D$11</f>
        <v>#DIV/0!</v>
      </c>
      <c r="M19" s="50" t="e">
        <f t="shared" si="2"/>
        <v>#DIV/0!</v>
      </c>
      <c r="N19" s="47" t="e" cm="1">
        <f t="array" ref="N19">INDEX($C$48:$AA$56,_xlfn.XMATCH("Yes",$C$48:$C$56),_xlfn.XMATCH("Cp",$C$48:$AA$48))</f>
        <v>#VALUE!</v>
      </c>
      <c r="O19" s="50" t="e">
        <f t="shared" si="3"/>
        <v>#VALUE!</v>
      </c>
      <c r="P19" s="47" t="e">
        <f t="shared" si="4"/>
        <v>#VALUE!</v>
      </c>
      <c r="Q19" s="50" t="e">
        <f t="shared" si="5"/>
        <v>#VALUE!</v>
      </c>
    </row>
    <row r="20" spans="1:46" x14ac:dyDescent="0.25">
      <c r="A20" t="s">
        <v>2082</v>
      </c>
      <c r="B20" t="str">
        <f>IF(TSAT!C25="","",TSAT!C25)</f>
        <v/>
      </c>
      <c r="H20" t="s">
        <v>2041</v>
      </c>
      <c r="I20" s="228">
        <v>15587</v>
      </c>
      <c r="J20">
        <f>I20/$I$6</f>
        <v>1</v>
      </c>
      <c r="K20" s="226">
        <f>TSAT!D17</f>
        <v>0</v>
      </c>
      <c r="L20" s="47" t="e">
        <f>K20/TSAT!$D$11</f>
        <v>#DIV/0!</v>
      </c>
      <c r="M20" s="50" t="e">
        <f t="shared" si="2"/>
        <v>#DIV/0!</v>
      </c>
      <c r="N20" s="47" t="e" cm="1">
        <f t="array" ref="N20">INDEX($C$48:$AA$56,_xlfn.XMATCH("Yes",$C$48:$C$56),_xlfn.XMATCH("Op",$C$48:$AA$48))</f>
        <v>#VALUE!</v>
      </c>
      <c r="O20" s="50" t="e">
        <f t="shared" si="3"/>
        <v>#VALUE!</v>
      </c>
      <c r="P20" s="47" t="e">
        <f t="shared" si="4"/>
        <v>#VALUE!</v>
      </c>
      <c r="Q20" s="50" t="e">
        <f t="shared" si="5"/>
        <v>#VALUE!</v>
      </c>
    </row>
    <row r="21" spans="1:46" ht="15.75" thickBot="1" x14ac:dyDescent="0.3">
      <c r="H21" s="232" t="s">
        <v>1925</v>
      </c>
      <c r="K21" s="239">
        <f>SUM(K16:K20)</f>
        <v>0</v>
      </c>
      <c r="L21" s="233" t="e">
        <f t="shared" ref="L21:Q21" si="6">SUM(L16:L20)</f>
        <v>#DIV/0!</v>
      </c>
      <c r="M21" s="235" t="e">
        <f t="shared" si="6"/>
        <v>#DIV/0!</v>
      </c>
      <c r="N21" s="233" t="e">
        <f t="shared" si="6"/>
        <v>#VALUE!</v>
      </c>
      <c r="O21" s="235" t="e">
        <f t="shared" si="6"/>
        <v>#VALUE!</v>
      </c>
      <c r="P21" s="233" t="e">
        <f t="shared" si="6"/>
        <v>#VALUE!</v>
      </c>
      <c r="Q21" s="235" t="e">
        <f t="shared" si="6"/>
        <v>#VALUE!</v>
      </c>
    </row>
    <row r="22" spans="1:46" ht="15.75" thickBot="1" x14ac:dyDescent="0.3">
      <c r="A22" t="str">
        <f>_xlfn.CONCAT(B18:B20)</f>
        <v/>
      </c>
    </row>
    <row r="23" spans="1:46" x14ac:dyDescent="0.25">
      <c r="H23" s="225" t="s">
        <v>2101</v>
      </c>
      <c r="K23" s="46" t="s">
        <v>2108</v>
      </c>
      <c r="L23" s="236" t="e">
        <f>(P21-N21)/(I25)</f>
        <v>#VALUE!</v>
      </c>
    </row>
    <row r="24" spans="1:46" ht="15.75" thickBot="1" x14ac:dyDescent="0.3">
      <c r="H24" t="s">
        <v>2038</v>
      </c>
      <c r="I24" cm="1">
        <f t="array" ref="I24">INDEX($C$48:$AA$56,_xlfn.XMATCH("Yes",$C$48:$C$56),_xlfn.XMATCH(H24,$C$48:$AA$48))</f>
        <v>2.8863300441756299</v>
      </c>
      <c r="K24" s="29" t="s">
        <v>2109</v>
      </c>
      <c r="L24" s="237" t="e">
        <f>(Q21-O21)/I26</f>
        <v>#VALUE!</v>
      </c>
    </row>
    <row r="25" spans="1:46" x14ac:dyDescent="0.25">
      <c r="F25" t="s">
        <v>2224</v>
      </c>
      <c r="G25">
        <v>6</v>
      </c>
      <c r="H25" t="s">
        <v>2099</v>
      </c>
      <c r="I25">
        <f>MAX(INDEX($C$48:$AA$56,_xlfn.XMATCH("Yes",$C$48:$C$56),_xlfn.XMATCH(H25,$C$48:$AA$48)),G25)</f>
        <v>8.1458129050500396</v>
      </c>
    </row>
    <row r="26" spans="1:46" x14ac:dyDescent="0.25">
      <c r="F26" t="s">
        <v>2224</v>
      </c>
      <c r="G26">
        <v>25</v>
      </c>
      <c r="H26" t="s">
        <v>2100</v>
      </c>
      <c r="I26">
        <f>MAX(INDEX($C$48:$AA$56,_xlfn.XMATCH("Yes",$C$48:$C$56),_xlfn.XMATCH(H26,$C$48:$AA$48)),G26)</f>
        <v>32.087990340183097</v>
      </c>
    </row>
    <row r="27" spans="1:46" s="245" customFormat="1" ht="15.75" thickBot="1" x14ac:dyDescent="0.3">
      <c r="H27" s="245" t="s">
        <v>2107</v>
      </c>
      <c r="I27" s="245">
        <f>1/(1+(I24*K21))</f>
        <v>1</v>
      </c>
    </row>
    <row r="28" spans="1:46" ht="16.5" thickTop="1" thickBot="1" x14ac:dyDescent="0.3"/>
    <row r="29" spans="1:46" ht="15.75" thickBot="1" x14ac:dyDescent="0.3">
      <c r="A29" s="186" t="s">
        <v>2188</v>
      </c>
      <c r="B29" s="186"/>
      <c r="C29" s="186"/>
      <c r="D29" s="186"/>
      <c r="E29" s="186"/>
      <c r="F29" s="186"/>
      <c r="AP29" s="417" t="s">
        <v>2078</v>
      </c>
      <c r="AQ29" s="418"/>
      <c r="AR29" s="418"/>
      <c r="AS29" s="418"/>
      <c r="AT29" s="419"/>
    </row>
    <row r="30" spans="1:46" ht="15.75" thickBot="1" x14ac:dyDescent="0.3">
      <c r="A30" s="210" t="s">
        <v>2067</v>
      </c>
      <c r="B30" s="214" t="s">
        <v>2095</v>
      </c>
      <c r="C30" s="214" t="s">
        <v>2096</v>
      </c>
      <c r="D30" s="208" t="s">
        <v>2029</v>
      </c>
      <c r="E30" s="209" t="s">
        <v>2030</v>
      </c>
      <c r="F30" s="209" t="s">
        <v>2031</v>
      </c>
      <c r="G30" s="209" t="s">
        <v>2032</v>
      </c>
      <c r="H30" s="221" t="s">
        <v>2042</v>
      </c>
      <c r="I30" s="210" t="s">
        <v>2194</v>
      </c>
      <c r="J30" s="208" t="s">
        <v>2043</v>
      </c>
      <c r="K30" s="209" t="s">
        <v>2044</v>
      </c>
      <c r="L30" s="209" t="s">
        <v>2045</v>
      </c>
      <c r="M30" s="209" t="s">
        <v>2046</v>
      </c>
      <c r="N30" s="221" t="s">
        <v>2047</v>
      </c>
      <c r="O30" s="210" t="s">
        <v>2194</v>
      </c>
      <c r="P30" s="209" t="s">
        <v>2048</v>
      </c>
      <c r="Q30" s="209" t="s">
        <v>2049</v>
      </c>
      <c r="R30" s="209" t="s">
        <v>2050</v>
      </c>
      <c r="S30" s="209" t="s">
        <v>2051</v>
      </c>
      <c r="T30" s="221" t="s">
        <v>2052</v>
      </c>
      <c r="U30" s="210" t="s">
        <v>2194</v>
      </c>
      <c r="V30" s="208" t="s">
        <v>2171</v>
      </c>
      <c r="W30" s="209" t="s">
        <v>2172</v>
      </c>
      <c r="X30" s="209" t="s">
        <v>2029</v>
      </c>
      <c r="Y30" s="209" t="s">
        <v>2030</v>
      </c>
      <c r="Z30" s="209" t="s">
        <v>2031</v>
      </c>
      <c r="AA30" s="209" t="s">
        <v>2032</v>
      </c>
      <c r="AB30" s="209" t="s">
        <v>2042</v>
      </c>
      <c r="AC30" s="209" t="s">
        <v>2194</v>
      </c>
      <c r="AD30" s="208" t="s">
        <v>2043</v>
      </c>
      <c r="AE30" s="209" t="s">
        <v>2044</v>
      </c>
      <c r="AF30" s="209" t="s">
        <v>2194</v>
      </c>
      <c r="AG30" s="214" t="s">
        <v>2038</v>
      </c>
      <c r="AH30" s="208" t="s">
        <v>2039</v>
      </c>
      <c r="AI30" s="209" t="s">
        <v>142</v>
      </c>
      <c r="AJ30" s="209" t="s">
        <v>143</v>
      </c>
      <c r="AK30" s="209" t="s">
        <v>2040</v>
      </c>
      <c r="AL30" s="210" t="s">
        <v>2041</v>
      </c>
      <c r="AM30" s="210" t="s">
        <v>2099</v>
      </c>
      <c r="AN30" s="210" t="s">
        <v>2100</v>
      </c>
      <c r="AO30" s="214" t="s">
        <v>2170</v>
      </c>
      <c r="AP30" s="208" t="s">
        <v>2102</v>
      </c>
      <c r="AQ30" s="209" t="s">
        <v>2103</v>
      </c>
      <c r="AR30" s="209" t="s">
        <v>2104</v>
      </c>
      <c r="AS30" s="209" t="s">
        <v>2105</v>
      </c>
      <c r="AT30" s="210" t="s">
        <v>2106</v>
      </c>
    </row>
    <row r="31" spans="1:46" x14ac:dyDescent="0.25">
      <c r="A31" s="50" t="s">
        <v>2090</v>
      </c>
      <c r="B31" s="226">
        <f t="shared" ref="B31:B42" si="7">IFERROR(FIND(A31,$A$10,1),0)</f>
        <v>0</v>
      </c>
      <c r="C31" s="226" t="str">
        <f t="shared" ref="C31:C42" si="8">IF(B31=MAX($B$31:$B$42),"Yes","No")</f>
        <v>Yes</v>
      </c>
      <c r="D31" s="47"/>
      <c r="H31" s="222"/>
      <c r="I31" s="50" t="e">
        <f>(D31)/(1+EXP(-1*((E31*10^-F31)*($B$2-G31))))+H31</f>
        <v>#VALUE!</v>
      </c>
      <c r="J31" s="47"/>
      <c r="N31" s="222"/>
      <c r="O31" s="50" t="e">
        <f t="shared" ref="O31:O42" si="9">(J31*(10^-K31)*($B$2^2))+(L31*(10^-M31)*$B$2)+N31</f>
        <v>#VALUE!</v>
      </c>
      <c r="T31" s="222"/>
      <c r="U31" t="e">
        <f>(P31*(10^-Q31)*($B$2^R31)*EXP((S31*(10^-T31)*$B$2)))</f>
        <v>#VALUE!</v>
      </c>
      <c r="V31" s="47"/>
      <c r="AC31" s="308" t="e">
        <f>(V31*(10^W31)*($B$2^3))+(X31*(10^Y31)*($B$2^2))+(Z31*(10^AA31)*$B$2)+AB31</f>
        <v>#VALUE!</v>
      </c>
      <c r="AD31" s="47">
        <v>-8.6039999999999992</v>
      </c>
      <c r="AE31">
        <v>1.04</v>
      </c>
      <c r="AF31" t="e">
        <f>EXP(AD31)*($B$2^AE31)</f>
        <v>#VALUE!</v>
      </c>
      <c r="AG31" s="226">
        <v>3.0075409356100402</v>
      </c>
      <c r="AH31" s="211">
        <v>4.4999999999999997E-3</v>
      </c>
      <c r="AI31" s="212">
        <v>1.77E-2</v>
      </c>
      <c r="AJ31" s="212">
        <v>0.11269999999999999</v>
      </c>
      <c r="AK31" s="212">
        <v>4.5999999999999999E-2</v>
      </c>
      <c r="AL31" s="220">
        <v>0.81910000000000005</v>
      </c>
      <c r="AM31" s="231">
        <v>20.024072835797199</v>
      </c>
      <c r="AN31" s="311">
        <v>126.410706321353</v>
      </c>
      <c r="AO31" s="243">
        <v>46241</v>
      </c>
      <c r="AP31" s="260" t="e">
        <f>MAX($I31,$O31,$U31,$AC31&amp;$AF31)*AH31</f>
        <v>#VALUE!</v>
      </c>
      <c r="AQ31" s="261" t="e">
        <f t="shared" ref="AQ31:AT42" si="10">MAX($I31,$O31,$U31,$AC31&amp;$AF31)*AI31</f>
        <v>#VALUE!</v>
      </c>
      <c r="AR31" s="261" t="e">
        <f t="shared" si="10"/>
        <v>#VALUE!</v>
      </c>
      <c r="AS31" s="261" t="e">
        <f t="shared" si="10"/>
        <v>#VALUE!</v>
      </c>
      <c r="AT31" s="262" t="e">
        <f t="shared" si="10"/>
        <v>#VALUE!</v>
      </c>
    </row>
    <row r="32" spans="1:46" x14ac:dyDescent="0.25">
      <c r="A32" s="50" t="s">
        <v>2091</v>
      </c>
      <c r="B32" s="226">
        <f t="shared" si="7"/>
        <v>0</v>
      </c>
      <c r="C32" s="226" t="str">
        <f t="shared" si="8"/>
        <v>Yes</v>
      </c>
      <c r="D32" s="47"/>
      <c r="H32" s="222"/>
      <c r="I32" s="50" t="e">
        <f>(D32)/(1+EXP(-1*((E32*10^-F32)*($B$2-G32))))+H32</f>
        <v>#VALUE!</v>
      </c>
      <c r="J32" s="47"/>
      <c r="N32" s="222"/>
      <c r="O32" s="50" t="e">
        <f t="shared" si="9"/>
        <v>#VALUE!</v>
      </c>
      <c r="T32" s="222"/>
      <c r="U32" t="e">
        <f t="shared" ref="U32:U42" si="11">(P32*(10^-Q32)*($B$2^R32)*EXP((S32*(10^-T32)*$B$2)))</f>
        <v>#VALUE!</v>
      </c>
      <c r="V32" s="47"/>
      <c r="AC32" s="308" t="e">
        <f t="shared" ref="AC32:AC42" si="12">(V32*(10^W32)*($B$2^3))+(X32*(10^Y32)*($B$2^2))+(Z32*(10^AA32)*$B$2)+AB32</f>
        <v>#VALUE!</v>
      </c>
      <c r="AD32" s="47">
        <v>-5.4560000000000004</v>
      </c>
      <c r="AE32">
        <v>0.73399999999999999</v>
      </c>
      <c r="AF32" t="e">
        <f t="shared" ref="AF32:AF42" si="13">EXP(AD32)*($B$2^AE32)</f>
        <v>#VALUE!</v>
      </c>
      <c r="AG32" s="226">
        <v>4.38106107924302</v>
      </c>
      <c r="AH32" s="218">
        <v>5.3E-3</v>
      </c>
      <c r="AI32" s="219">
        <v>2.1000000000000001E-2</v>
      </c>
      <c r="AJ32" s="219">
        <v>0.1152</v>
      </c>
      <c r="AK32" s="219">
        <v>4.48E-2</v>
      </c>
      <c r="AL32" s="220">
        <v>0.81369999999999998</v>
      </c>
      <c r="AM32" s="231">
        <v>21.419472003427</v>
      </c>
      <c r="AN32" s="231">
        <v>100.474038549959</v>
      </c>
      <c r="AO32" s="243">
        <v>46241</v>
      </c>
      <c r="AP32" s="263" t="e">
        <f t="shared" ref="AP32:AP42" si="14">MAX($I32,$O32,$U32,$AC32&amp;$AF32)*AH32</f>
        <v>#VALUE!</v>
      </c>
      <c r="AQ32" s="259" t="e">
        <f t="shared" si="10"/>
        <v>#VALUE!</v>
      </c>
      <c r="AR32" s="259" t="e">
        <f t="shared" si="10"/>
        <v>#VALUE!</v>
      </c>
      <c r="AS32" s="259" t="e">
        <f t="shared" si="10"/>
        <v>#VALUE!</v>
      </c>
      <c r="AT32" s="264" t="e">
        <f t="shared" si="10"/>
        <v>#VALUE!</v>
      </c>
    </row>
    <row r="33" spans="1:46" x14ac:dyDescent="0.25">
      <c r="A33" s="50" t="s">
        <v>2098</v>
      </c>
      <c r="B33" s="226">
        <f t="shared" si="7"/>
        <v>0</v>
      </c>
      <c r="C33" s="226" t="str">
        <f t="shared" si="8"/>
        <v>Yes</v>
      </c>
      <c r="D33" s="47"/>
      <c r="H33" s="222"/>
      <c r="I33" s="50" t="e">
        <f t="shared" ref="I33:I42" si="15">(D33)/(1+EXP(-1*((E33*10^-F33)*($B$2-G33))))+H33</f>
        <v>#VALUE!</v>
      </c>
      <c r="J33" s="47"/>
      <c r="N33" s="222"/>
      <c r="O33" s="50" t="e">
        <f t="shared" si="9"/>
        <v>#VALUE!</v>
      </c>
      <c r="T33" s="222"/>
      <c r="U33" t="e">
        <f t="shared" si="11"/>
        <v>#VALUE!</v>
      </c>
      <c r="V33" s="47"/>
      <c r="AC33" s="308" t="e">
        <f t="shared" si="12"/>
        <v>#VALUE!</v>
      </c>
      <c r="AD33" s="47">
        <v>-5.5350000000000001</v>
      </c>
      <c r="AE33">
        <v>0.68579999999999997</v>
      </c>
      <c r="AF33" t="e">
        <f t="shared" si="13"/>
        <v>#VALUE!</v>
      </c>
      <c r="AG33" s="226">
        <v>1.53597186109109</v>
      </c>
      <c r="AH33" s="211">
        <v>9.1000000000000004E-3</v>
      </c>
      <c r="AI33" s="212">
        <v>2.81E-2</v>
      </c>
      <c r="AJ33" s="212">
        <v>9.7900000000000001E-2</v>
      </c>
      <c r="AK33" s="212">
        <v>4.1500000000000002E-2</v>
      </c>
      <c r="AL33" s="213">
        <v>0.82350000000000001</v>
      </c>
      <c r="AM33" s="231">
        <v>8.7261341115952007</v>
      </c>
      <c r="AN33" s="231">
        <v>18.813892494356999</v>
      </c>
      <c r="AO33" s="243">
        <v>46241</v>
      </c>
      <c r="AP33" s="263" t="e">
        <f t="shared" si="14"/>
        <v>#VALUE!</v>
      </c>
      <c r="AQ33" s="259" t="e">
        <f t="shared" si="10"/>
        <v>#VALUE!</v>
      </c>
      <c r="AR33" s="259" t="e">
        <f t="shared" si="10"/>
        <v>#VALUE!</v>
      </c>
      <c r="AS33" s="259" t="e">
        <f t="shared" si="10"/>
        <v>#VALUE!</v>
      </c>
      <c r="AT33" s="264" t="e">
        <f t="shared" si="10"/>
        <v>#VALUE!</v>
      </c>
    </row>
    <row r="34" spans="1:46" x14ac:dyDescent="0.25">
      <c r="A34" s="50" t="s">
        <v>2097</v>
      </c>
      <c r="B34" s="226">
        <f t="shared" si="7"/>
        <v>0</v>
      </c>
      <c r="C34" s="226" t="str">
        <f t="shared" si="8"/>
        <v>Yes</v>
      </c>
      <c r="D34" s="47"/>
      <c r="H34" s="222"/>
      <c r="I34" s="50" t="e">
        <f t="shared" si="15"/>
        <v>#VALUE!</v>
      </c>
      <c r="J34" s="47"/>
      <c r="N34" s="222"/>
      <c r="O34" s="50" t="e">
        <f t="shared" si="9"/>
        <v>#VALUE!</v>
      </c>
      <c r="T34" s="222"/>
      <c r="U34" t="e">
        <f t="shared" si="11"/>
        <v>#VALUE!</v>
      </c>
      <c r="V34" s="47"/>
      <c r="AC34" s="308" t="e">
        <f t="shared" si="12"/>
        <v>#VALUE!</v>
      </c>
      <c r="AD34" s="47">
        <v>-4.3879999999999999</v>
      </c>
      <c r="AE34">
        <v>0.65200000000000002</v>
      </c>
      <c r="AF34" t="e">
        <f t="shared" si="13"/>
        <v>#VALUE!</v>
      </c>
      <c r="AG34" s="226">
        <v>3.33552723761365</v>
      </c>
      <c r="AH34" s="211">
        <v>3.8E-3</v>
      </c>
      <c r="AI34" s="212">
        <v>1.5800000000000002E-2</v>
      </c>
      <c r="AJ34" s="212">
        <v>0.1105</v>
      </c>
      <c r="AK34" s="212">
        <v>3.9399999999999998E-2</v>
      </c>
      <c r="AL34" s="213">
        <v>0.8306</v>
      </c>
      <c r="AM34" s="231">
        <v>27.929276883142599</v>
      </c>
      <c r="AN34" s="312">
        <v>130.19871386383201</v>
      </c>
      <c r="AO34" s="243">
        <v>46241</v>
      </c>
      <c r="AP34" s="263" t="e">
        <f t="shared" si="14"/>
        <v>#VALUE!</v>
      </c>
      <c r="AQ34" s="259" t="e">
        <f t="shared" si="10"/>
        <v>#VALUE!</v>
      </c>
      <c r="AR34" s="259" t="e">
        <f t="shared" si="10"/>
        <v>#VALUE!</v>
      </c>
      <c r="AS34" s="259" t="e">
        <f t="shared" si="10"/>
        <v>#VALUE!</v>
      </c>
      <c r="AT34" s="264" t="e">
        <f t="shared" si="10"/>
        <v>#VALUE!</v>
      </c>
    </row>
    <row r="35" spans="1:46" x14ac:dyDescent="0.25">
      <c r="A35" s="50" t="s">
        <v>2092</v>
      </c>
      <c r="B35" s="226">
        <f t="shared" si="7"/>
        <v>0</v>
      </c>
      <c r="C35" s="226" t="str">
        <f t="shared" si="8"/>
        <v>Yes</v>
      </c>
      <c r="D35" s="47"/>
      <c r="H35" s="222"/>
      <c r="I35" s="50" t="e">
        <f t="shared" si="15"/>
        <v>#VALUE!</v>
      </c>
      <c r="J35" s="47"/>
      <c r="N35" s="222"/>
      <c r="O35" s="50" t="e">
        <f t="shared" si="9"/>
        <v>#VALUE!</v>
      </c>
      <c r="T35" s="222"/>
      <c r="U35" t="e">
        <f>(P35*(10^-Q35)*($B$2^R35)*EXP((S35*(10^-T35)*$B$2)))</f>
        <v>#VALUE!</v>
      </c>
      <c r="V35" s="47"/>
      <c r="AC35" s="308" t="e">
        <f t="shared" si="12"/>
        <v>#VALUE!</v>
      </c>
      <c r="AD35" s="47">
        <v>-10.39</v>
      </c>
      <c r="AE35">
        <v>1.1619999999999999</v>
      </c>
      <c r="AF35" t="e">
        <f t="shared" si="13"/>
        <v>#VALUE!</v>
      </c>
      <c r="AG35" s="226">
        <v>16.653421393643399</v>
      </c>
      <c r="AH35" s="211">
        <v>3.5999999999999999E-3</v>
      </c>
      <c r="AI35" s="212">
        <v>1.7500000000000002E-2</v>
      </c>
      <c r="AJ35" s="212">
        <v>9.3899999999999997E-2</v>
      </c>
      <c r="AK35" s="212">
        <v>3.5499999999999997E-2</v>
      </c>
      <c r="AL35" s="213">
        <v>0.84950000000000003</v>
      </c>
      <c r="AM35" s="231">
        <v>4.7216649238126696</v>
      </c>
      <c r="AN35" s="231">
        <v>22.540194967098799</v>
      </c>
      <c r="AO35" s="243">
        <v>46241</v>
      </c>
      <c r="AP35" s="263" t="e">
        <f t="shared" si="14"/>
        <v>#VALUE!</v>
      </c>
      <c r="AQ35" s="259" t="e">
        <f t="shared" si="10"/>
        <v>#VALUE!</v>
      </c>
      <c r="AR35" s="259" t="e">
        <f t="shared" si="10"/>
        <v>#VALUE!</v>
      </c>
      <c r="AS35" s="259" t="e">
        <f t="shared" si="10"/>
        <v>#VALUE!</v>
      </c>
      <c r="AT35" s="264" t="e">
        <f t="shared" si="10"/>
        <v>#VALUE!</v>
      </c>
    </row>
    <row r="36" spans="1:46" x14ac:dyDescent="0.25">
      <c r="A36" s="50" t="s">
        <v>2093</v>
      </c>
      <c r="B36" s="226">
        <f t="shared" si="7"/>
        <v>0</v>
      </c>
      <c r="C36" s="226" t="str">
        <f t="shared" si="8"/>
        <v>Yes</v>
      </c>
      <c r="D36" s="47"/>
      <c r="H36" s="222"/>
      <c r="I36" s="50" t="e">
        <f t="shared" si="15"/>
        <v>#VALUE!</v>
      </c>
      <c r="J36" s="47"/>
      <c r="N36" s="222"/>
      <c r="O36" s="50" t="e">
        <f t="shared" si="9"/>
        <v>#VALUE!</v>
      </c>
      <c r="T36" s="222"/>
      <c r="U36" t="e">
        <f t="shared" si="11"/>
        <v>#VALUE!</v>
      </c>
      <c r="V36" s="47"/>
      <c r="AC36" s="308" t="e">
        <f t="shared" si="12"/>
        <v>#VALUE!</v>
      </c>
      <c r="AD36" s="47">
        <v>-8.9090000000000007</v>
      </c>
      <c r="AE36">
        <v>0.94633999999999996</v>
      </c>
      <c r="AF36" t="e">
        <f t="shared" si="13"/>
        <v>#VALUE!</v>
      </c>
      <c r="AG36" s="226">
        <v>10.086831007889</v>
      </c>
      <c r="AH36" s="218">
        <v>9.4000000000000004E-3</v>
      </c>
      <c r="AI36" s="219">
        <v>3.3500000000000002E-2</v>
      </c>
      <c r="AJ36" s="219">
        <v>0.1014</v>
      </c>
      <c r="AK36" s="219">
        <v>4.1500000000000002E-2</v>
      </c>
      <c r="AL36" s="220">
        <v>0.81430000000000002</v>
      </c>
      <c r="AM36" s="231">
        <v>2.3908959966069001</v>
      </c>
      <c r="AN36" s="311">
        <v>6.5063072852270798</v>
      </c>
      <c r="AO36" s="243">
        <v>46241</v>
      </c>
      <c r="AP36" s="263" t="e">
        <f t="shared" si="14"/>
        <v>#VALUE!</v>
      </c>
      <c r="AQ36" s="259" t="e">
        <f t="shared" si="10"/>
        <v>#VALUE!</v>
      </c>
      <c r="AR36" s="259" t="e">
        <f t="shared" si="10"/>
        <v>#VALUE!</v>
      </c>
      <c r="AS36" s="259" t="e">
        <f t="shared" si="10"/>
        <v>#VALUE!</v>
      </c>
      <c r="AT36" s="264" t="e">
        <f t="shared" si="10"/>
        <v>#VALUE!</v>
      </c>
    </row>
    <row r="37" spans="1:46" x14ac:dyDescent="0.25">
      <c r="A37" s="50" t="s">
        <v>2086</v>
      </c>
      <c r="B37" s="226">
        <f t="shared" si="7"/>
        <v>0</v>
      </c>
      <c r="C37" s="226" t="str">
        <f t="shared" si="8"/>
        <v>Yes</v>
      </c>
      <c r="D37" s="47"/>
      <c r="H37" s="222"/>
      <c r="I37" s="50" t="e">
        <f t="shared" si="15"/>
        <v>#VALUE!</v>
      </c>
      <c r="J37" s="47"/>
      <c r="N37" s="222"/>
      <c r="O37" s="50" t="e">
        <f t="shared" si="9"/>
        <v>#VALUE!</v>
      </c>
      <c r="T37" s="222"/>
      <c r="U37" t="e">
        <f t="shared" si="11"/>
        <v>#VALUE!</v>
      </c>
      <c r="V37" s="47"/>
      <c r="AC37" s="308" t="e">
        <f t="shared" si="12"/>
        <v>#VALUE!</v>
      </c>
      <c r="AD37" s="47">
        <v>-15.57</v>
      </c>
      <c r="AE37">
        <v>1.627</v>
      </c>
      <c r="AF37" t="e">
        <f t="shared" si="13"/>
        <v>#VALUE!</v>
      </c>
      <c r="AG37" s="226">
        <v>3.0827992968327398</v>
      </c>
      <c r="AH37" s="211">
        <v>3.5999999999999999E-3</v>
      </c>
      <c r="AI37" s="212">
        <v>1.61E-2</v>
      </c>
      <c r="AJ37" s="212">
        <v>0.1019</v>
      </c>
      <c r="AK37" s="212">
        <v>2.2200000000000001E-2</v>
      </c>
      <c r="AL37" s="220">
        <v>0.85619999999999996</v>
      </c>
      <c r="AM37" s="231">
        <v>28.4178873478158</v>
      </c>
      <c r="AN37" s="311">
        <v>175.92634685947601</v>
      </c>
      <c r="AO37" s="243">
        <v>46241</v>
      </c>
      <c r="AP37" s="263" t="e">
        <f t="shared" si="14"/>
        <v>#VALUE!</v>
      </c>
      <c r="AQ37" s="259" t="e">
        <f t="shared" si="10"/>
        <v>#VALUE!</v>
      </c>
      <c r="AR37" s="259" t="e">
        <f t="shared" si="10"/>
        <v>#VALUE!</v>
      </c>
      <c r="AS37" s="259" t="e">
        <f t="shared" si="10"/>
        <v>#VALUE!</v>
      </c>
      <c r="AT37" s="264" t="e">
        <f t="shared" si="10"/>
        <v>#VALUE!</v>
      </c>
    </row>
    <row r="38" spans="1:46" x14ac:dyDescent="0.25">
      <c r="A38" s="50" t="s">
        <v>2087</v>
      </c>
      <c r="B38" s="226">
        <f t="shared" si="7"/>
        <v>0</v>
      </c>
      <c r="C38" s="226" t="str">
        <f t="shared" si="8"/>
        <v>Yes</v>
      </c>
      <c r="D38" s="47"/>
      <c r="H38" s="222"/>
      <c r="I38" s="50" t="e">
        <f t="shared" si="15"/>
        <v>#VALUE!</v>
      </c>
      <c r="J38" s="47"/>
      <c r="N38" s="222"/>
      <c r="O38" s="50" t="e">
        <f t="shared" si="9"/>
        <v>#VALUE!</v>
      </c>
      <c r="T38" s="222"/>
      <c r="U38" t="e">
        <f t="shared" si="11"/>
        <v>#VALUE!</v>
      </c>
      <c r="V38" s="47"/>
      <c r="AC38" s="308" t="e">
        <f t="shared" si="12"/>
        <v>#VALUE!</v>
      </c>
      <c r="AD38" s="47">
        <v>-18.75</v>
      </c>
      <c r="AE38">
        <v>1.917</v>
      </c>
      <c r="AF38" t="e">
        <f t="shared" si="13"/>
        <v>#VALUE!</v>
      </c>
      <c r="AG38" s="226">
        <v>3.0341679740009599</v>
      </c>
      <c r="AH38" s="218">
        <v>4.1000000000000003E-3</v>
      </c>
      <c r="AI38" s="219">
        <v>1.7899999999999999E-2</v>
      </c>
      <c r="AJ38" s="219">
        <v>0.1069</v>
      </c>
      <c r="AK38" s="219">
        <v>2.3300000000000001E-2</v>
      </c>
      <c r="AL38" s="220">
        <v>0.8478</v>
      </c>
      <c r="AM38" s="231">
        <v>41.208279236669</v>
      </c>
      <c r="AN38" s="311">
        <v>163.547434337173</v>
      </c>
      <c r="AO38" s="243">
        <v>46241</v>
      </c>
      <c r="AP38" s="263" t="e">
        <f t="shared" si="14"/>
        <v>#VALUE!</v>
      </c>
      <c r="AQ38" s="259" t="e">
        <f t="shared" si="10"/>
        <v>#VALUE!</v>
      </c>
      <c r="AR38" s="259" t="e">
        <f t="shared" si="10"/>
        <v>#VALUE!</v>
      </c>
      <c r="AS38" s="259" t="e">
        <f t="shared" si="10"/>
        <v>#VALUE!</v>
      </c>
      <c r="AT38" s="264" t="e">
        <f t="shared" si="10"/>
        <v>#VALUE!</v>
      </c>
    </row>
    <row r="39" spans="1:46" x14ac:dyDescent="0.25">
      <c r="A39" s="50" t="s">
        <v>2088</v>
      </c>
      <c r="B39" s="226">
        <f t="shared" si="7"/>
        <v>0</v>
      </c>
      <c r="C39" s="226" t="str">
        <f t="shared" si="8"/>
        <v>Yes</v>
      </c>
      <c r="D39" s="47"/>
      <c r="H39" s="222"/>
      <c r="I39" s="50" t="e">
        <f t="shared" si="15"/>
        <v>#VALUE!</v>
      </c>
      <c r="J39" s="47"/>
      <c r="N39" s="222"/>
      <c r="O39" s="50" t="e">
        <f t="shared" si="9"/>
        <v>#VALUE!</v>
      </c>
      <c r="T39" s="222"/>
      <c r="U39" t="e">
        <f t="shared" si="11"/>
        <v>#VALUE!</v>
      </c>
      <c r="V39" s="47"/>
      <c r="AC39" s="308" t="e">
        <f t="shared" si="12"/>
        <v>#VALUE!</v>
      </c>
      <c r="AD39" s="47">
        <v>-18.09</v>
      </c>
      <c r="AE39">
        <v>1.827</v>
      </c>
      <c r="AF39" t="e">
        <f t="shared" si="13"/>
        <v>#VALUE!</v>
      </c>
      <c r="AG39" s="226">
        <v>3.8779771009320898</v>
      </c>
      <c r="AH39" s="211">
        <v>6.1999999999999998E-3</v>
      </c>
      <c r="AI39" s="212">
        <v>2.0299999999999999E-2</v>
      </c>
      <c r="AJ39" s="212">
        <v>9.2399999999999996E-2</v>
      </c>
      <c r="AK39" s="212">
        <v>3.6600000000000001E-2</v>
      </c>
      <c r="AL39" s="213">
        <v>0.84440000000000004</v>
      </c>
      <c r="AM39" s="231">
        <v>8.8990406336294399</v>
      </c>
      <c r="AN39" s="231">
        <v>50.755453814350503</v>
      </c>
      <c r="AO39" s="243">
        <v>46241</v>
      </c>
      <c r="AP39" s="263" t="e">
        <f t="shared" si="14"/>
        <v>#VALUE!</v>
      </c>
      <c r="AQ39" s="259" t="e">
        <f t="shared" si="10"/>
        <v>#VALUE!</v>
      </c>
      <c r="AR39" s="259" t="e">
        <f t="shared" si="10"/>
        <v>#VALUE!</v>
      </c>
      <c r="AS39" s="259" t="e">
        <f t="shared" si="10"/>
        <v>#VALUE!</v>
      </c>
      <c r="AT39" s="264" t="e">
        <f t="shared" si="10"/>
        <v>#VALUE!</v>
      </c>
    </row>
    <row r="40" spans="1:46" x14ac:dyDescent="0.25">
      <c r="A40" s="50" t="s">
        <v>2089</v>
      </c>
      <c r="B40" s="226">
        <f t="shared" si="7"/>
        <v>0</v>
      </c>
      <c r="C40" s="226" t="str">
        <f t="shared" si="8"/>
        <v>Yes</v>
      </c>
      <c r="D40" s="47"/>
      <c r="H40" s="222"/>
      <c r="I40" s="50" t="e">
        <f t="shared" si="15"/>
        <v>#VALUE!</v>
      </c>
      <c r="J40" s="47"/>
      <c r="N40" s="222"/>
      <c r="O40" s="50" t="e">
        <f t="shared" si="9"/>
        <v>#VALUE!</v>
      </c>
      <c r="T40" s="222"/>
      <c r="U40" t="e">
        <f t="shared" si="11"/>
        <v>#VALUE!</v>
      </c>
      <c r="V40" s="47"/>
      <c r="AC40" s="308" t="e">
        <f t="shared" si="12"/>
        <v>#VALUE!</v>
      </c>
      <c r="AD40" s="47">
        <v>-15.72</v>
      </c>
      <c r="AE40">
        <v>1.6319999999999999</v>
      </c>
      <c r="AF40" t="e">
        <f t="shared" si="13"/>
        <v>#VALUE!</v>
      </c>
      <c r="AG40" s="226">
        <v>0.83640175897905</v>
      </c>
      <c r="AH40" s="218">
        <v>7.4999999999999997E-3</v>
      </c>
      <c r="AI40" s="219">
        <v>2.2700000000000001E-2</v>
      </c>
      <c r="AJ40" s="219">
        <v>0.10150000000000001</v>
      </c>
      <c r="AK40" s="219">
        <v>3.4500000000000003E-2</v>
      </c>
      <c r="AL40" s="220">
        <v>0.8337</v>
      </c>
      <c r="AM40" s="311">
        <v>24.307773462640899</v>
      </c>
      <c r="AN40" s="231">
        <v>26.4347148129008</v>
      </c>
      <c r="AO40" s="243">
        <v>46241</v>
      </c>
      <c r="AP40" s="263" t="e">
        <f t="shared" si="14"/>
        <v>#VALUE!</v>
      </c>
      <c r="AQ40" s="259" t="e">
        <f t="shared" si="10"/>
        <v>#VALUE!</v>
      </c>
      <c r="AR40" s="259" t="e">
        <f t="shared" si="10"/>
        <v>#VALUE!</v>
      </c>
      <c r="AS40" s="259" t="e">
        <f t="shared" si="10"/>
        <v>#VALUE!</v>
      </c>
      <c r="AT40" s="264" t="e">
        <f t="shared" si="10"/>
        <v>#VALUE!</v>
      </c>
    </row>
    <row r="41" spans="1:46" x14ac:dyDescent="0.25">
      <c r="A41" s="50" t="s">
        <v>2094</v>
      </c>
      <c r="B41" s="226">
        <f t="shared" si="7"/>
        <v>0</v>
      </c>
      <c r="C41" s="226" t="str">
        <f t="shared" si="8"/>
        <v>Yes</v>
      </c>
      <c r="D41" s="47"/>
      <c r="H41" s="222"/>
      <c r="I41" s="50" t="e">
        <f t="shared" si="15"/>
        <v>#VALUE!</v>
      </c>
      <c r="J41" s="47"/>
      <c r="N41" s="222"/>
      <c r="O41" s="50" t="e">
        <f t="shared" si="9"/>
        <v>#VALUE!</v>
      </c>
      <c r="T41" s="222"/>
      <c r="U41" t="e">
        <f t="shared" si="11"/>
        <v>#VALUE!</v>
      </c>
      <c r="V41" s="47"/>
      <c r="AC41" s="308" t="e">
        <f t="shared" si="12"/>
        <v>#VALUE!</v>
      </c>
      <c r="AD41" s="47">
        <v>-6.4359999999999999</v>
      </c>
      <c r="AE41">
        <v>0.73839999999999995</v>
      </c>
      <c r="AF41" t="e">
        <f t="shared" si="13"/>
        <v>#VALUE!</v>
      </c>
      <c r="AG41" s="226">
        <v>3.06881030874839</v>
      </c>
      <c r="AH41" s="211">
        <v>1.04E-2</v>
      </c>
      <c r="AI41" s="212">
        <v>2.8400000000000002E-2</v>
      </c>
      <c r="AJ41" s="212">
        <v>0.10539999999999999</v>
      </c>
      <c r="AK41" s="212">
        <v>4.19E-2</v>
      </c>
      <c r="AL41" s="213">
        <v>0.81379999999999997</v>
      </c>
      <c r="AM41" s="311">
        <v>6.7715223265180002</v>
      </c>
      <c r="AN41" s="231">
        <v>42.120162262287998</v>
      </c>
      <c r="AO41" s="243">
        <v>46241</v>
      </c>
      <c r="AP41" s="263" t="e">
        <f t="shared" si="14"/>
        <v>#VALUE!</v>
      </c>
      <c r="AQ41" s="259" t="e">
        <f t="shared" si="10"/>
        <v>#VALUE!</v>
      </c>
      <c r="AR41" s="259" t="e">
        <f t="shared" si="10"/>
        <v>#VALUE!</v>
      </c>
      <c r="AS41" s="259" t="e">
        <f t="shared" si="10"/>
        <v>#VALUE!</v>
      </c>
      <c r="AT41" s="264" t="e">
        <f t="shared" si="10"/>
        <v>#VALUE!</v>
      </c>
    </row>
    <row r="42" spans="1:46" ht="15.75" thickBot="1" x14ac:dyDescent="0.3">
      <c r="A42" s="31" t="s">
        <v>2037</v>
      </c>
      <c r="B42" s="227">
        <f t="shared" si="7"/>
        <v>0</v>
      </c>
      <c r="C42" s="227" t="str">
        <f t="shared" si="8"/>
        <v>Yes</v>
      </c>
      <c r="D42" s="29"/>
      <c r="E42" s="30"/>
      <c r="F42" s="30"/>
      <c r="G42" s="30"/>
      <c r="H42" s="223"/>
      <c r="I42" s="50" t="e">
        <f t="shared" si="15"/>
        <v>#VALUE!</v>
      </c>
      <c r="J42" s="29"/>
      <c r="K42" s="30"/>
      <c r="L42" s="30"/>
      <c r="M42" s="30"/>
      <c r="N42" s="223"/>
      <c r="O42" s="50" t="e">
        <f t="shared" si="9"/>
        <v>#VALUE!</v>
      </c>
      <c r="P42" s="30"/>
      <c r="Q42" s="30"/>
      <c r="R42" s="30"/>
      <c r="S42" s="30"/>
      <c r="T42" s="223"/>
      <c r="U42" t="e">
        <f t="shared" si="11"/>
        <v>#VALUE!</v>
      </c>
      <c r="V42" s="29"/>
      <c r="W42" s="30"/>
      <c r="X42" s="30"/>
      <c r="Y42" s="30"/>
      <c r="Z42" s="30"/>
      <c r="AA42" s="30"/>
      <c r="AB42" s="30"/>
      <c r="AC42" s="308" t="e">
        <f t="shared" si="12"/>
        <v>#VALUE!</v>
      </c>
      <c r="AD42" s="29">
        <v>-3.218</v>
      </c>
      <c r="AE42" s="30">
        <v>0.50490000000000002</v>
      </c>
      <c r="AF42" t="e">
        <f t="shared" si="13"/>
        <v>#VALUE!</v>
      </c>
      <c r="AG42" s="227">
        <v>10.6875187463309</v>
      </c>
      <c r="AH42" s="215">
        <v>4.4000000000000003E-3</v>
      </c>
      <c r="AI42" s="216">
        <v>2.0400000000000001E-2</v>
      </c>
      <c r="AJ42" s="216">
        <v>0.1011</v>
      </c>
      <c r="AK42" s="216">
        <v>2.93E-2</v>
      </c>
      <c r="AL42" s="217">
        <v>0.8448</v>
      </c>
      <c r="AM42" s="313">
        <v>6.1541381803799098</v>
      </c>
      <c r="AN42" s="313">
        <v>98.286746787535805</v>
      </c>
      <c r="AO42" s="244">
        <v>46241</v>
      </c>
      <c r="AP42" s="265" t="e">
        <f t="shared" si="14"/>
        <v>#VALUE!</v>
      </c>
      <c r="AQ42" s="266" t="e">
        <f t="shared" si="10"/>
        <v>#VALUE!</v>
      </c>
      <c r="AR42" s="266" t="e">
        <f t="shared" si="10"/>
        <v>#VALUE!</v>
      </c>
      <c r="AS42" s="266" t="e">
        <f t="shared" si="10"/>
        <v>#VALUE!</v>
      </c>
      <c r="AT42" s="267" t="e">
        <f t="shared" si="10"/>
        <v>#VALUE!</v>
      </c>
    </row>
    <row r="43" spans="1:46" x14ac:dyDescent="0.25">
      <c r="D43" s="46"/>
      <c r="E43" s="27"/>
      <c r="F43" s="27"/>
      <c r="G43" s="27"/>
      <c r="H43" s="27"/>
      <c r="I43" s="28"/>
      <c r="J43" s="46"/>
      <c r="K43" s="27"/>
      <c r="L43" s="27"/>
      <c r="M43" s="27"/>
      <c r="N43" s="27"/>
      <c r="O43" s="28"/>
      <c r="P43" s="46"/>
      <c r="Q43" s="27"/>
      <c r="R43" s="27"/>
      <c r="S43" s="27"/>
      <c r="T43" s="27"/>
      <c r="U43" s="28"/>
      <c r="V43" s="46"/>
      <c r="W43" s="27"/>
      <c r="X43" s="27"/>
      <c r="Y43" s="27"/>
      <c r="Z43" s="27"/>
      <c r="AA43" s="27"/>
      <c r="AB43" s="27"/>
      <c r="AC43" s="28"/>
      <c r="AD43" s="46"/>
      <c r="AE43" s="27"/>
      <c r="AF43" s="28"/>
    </row>
    <row r="44" spans="1:46" ht="15.75" thickBot="1" x14ac:dyDescent="0.3">
      <c r="D44" s="29"/>
      <c r="E44" s="30"/>
      <c r="F44" s="30"/>
      <c r="G44" s="30"/>
      <c r="H44" s="30"/>
      <c r="I44" s="31"/>
      <c r="J44" s="29"/>
      <c r="K44" s="30"/>
      <c r="L44" s="30"/>
      <c r="M44" s="30"/>
      <c r="N44" s="30"/>
      <c r="O44" s="31"/>
      <c r="P44" s="29"/>
      <c r="Q44" s="30"/>
      <c r="R44" s="30"/>
      <c r="S44" s="30"/>
      <c r="T44" s="30"/>
      <c r="U44" s="31"/>
      <c r="V44" s="29"/>
      <c r="W44" s="30"/>
      <c r="X44" s="30"/>
      <c r="Y44" s="30"/>
      <c r="Z44" s="30"/>
      <c r="AA44" s="30"/>
      <c r="AB44" s="30"/>
      <c r="AC44" s="31"/>
      <c r="AD44" s="29"/>
      <c r="AE44" s="30"/>
      <c r="AF44" s="31"/>
    </row>
    <row r="45" spans="1:46" s="245" customFormat="1" ht="15.75" thickBot="1" x14ac:dyDescent="0.3"/>
    <row r="46" spans="1:46" ht="16.5" thickTop="1" thickBot="1" x14ac:dyDescent="0.3"/>
    <row r="47" spans="1:46" ht="15.75" thickBot="1" x14ac:dyDescent="0.3">
      <c r="W47" s="417" t="s">
        <v>2078</v>
      </c>
      <c r="X47" s="418"/>
      <c r="Y47" s="418"/>
      <c r="Z47" s="418"/>
      <c r="AA47" s="419"/>
    </row>
    <row r="48" spans="1:46" x14ac:dyDescent="0.25">
      <c r="A48" s="214" t="s">
        <v>2067</v>
      </c>
      <c r="B48" s="214" t="s">
        <v>2095</v>
      </c>
      <c r="C48" s="214" t="s">
        <v>2096</v>
      </c>
      <c r="D48" s="208" t="s">
        <v>2029</v>
      </c>
      <c r="E48" s="209" t="s">
        <v>2030</v>
      </c>
      <c r="F48" s="209" t="s">
        <v>2031</v>
      </c>
      <c r="G48" s="209" t="s">
        <v>2032</v>
      </c>
      <c r="H48" s="221" t="s">
        <v>2042</v>
      </c>
      <c r="I48" s="210" t="s">
        <v>2218</v>
      </c>
      <c r="J48" s="208" t="s">
        <v>2043</v>
      </c>
      <c r="K48" s="209" t="s">
        <v>2044</v>
      </c>
      <c r="L48" s="221" t="s">
        <v>2077</v>
      </c>
      <c r="M48" s="210" t="s">
        <v>2218</v>
      </c>
      <c r="N48" s="214" t="s">
        <v>2038</v>
      </c>
      <c r="O48" s="209" t="s">
        <v>2039</v>
      </c>
      <c r="P48" s="209" t="s">
        <v>142</v>
      </c>
      <c r="Q48" s="209" t="s">
        <v>143</v>
      </c>
      <c r="R48" s="209" t="s">
        <v>2040</v>
      </c>
      <c r="S48" s="209" t="s">
        <v>2041</v>
      </c>
      <c r="T48" s="214" t="s">
        <v>2099</v>
      </c>
      <c r="U48" s="210" t="s">
        <v>2100</v>
      </c>
      <c r="V48" s="214" t="s">
        <v>2064</v>
      </c>
      <c r="W48" s="208" t="s">
        <v>2102</v>
      </c>
      <c r="X48" s="209" t="s">
        <v>2103</v>
      </c>
      <c r="Y48" s="209" t="s">
        <v>2104</v>
      </c>
      <c r="Z48" s="209" t="s">
        <v>2105</v>
      </c>
      <c r="AA48" s="210" t="s">
        <v>2106</v>
      </c>
    </row>
    <row r="49" spans="1:27" x14ac:dyDescent="0.25">
      <c r="A49" s="226" t="s">
        <v>2131</v>
      </c>
      <c r="B49" s="226">
        <f t="shared" ref="B49:B56" si="16">IFERROR(FIND(A49,$A$22,1),0)</f>
        <v>0</v>
      </c>
      <c r="C49" s="226" t="str">
        <f t="shared" ref="C49:C56" si="17">IF(B49=MAX($B$49:$B$56),"Yes","No")</f>
        <v>Yes</v>
      </c>
      <c r="D49" s="47">
        <f>6.29652764590517*10^-4</f>
        <v>6.2965276459051695E-4</v>
      </c>
      <c r="E49">
        <v>0.169783260872614</v>
      </c>
      <c r="F49">
        <v>0.64687610606813595</v>
      </c>
      <c r="G49">
        <v>-9.5304698717862593</v>
      </c>
      <c r="H49" s="222">
        <v>7</v>
      </c>
      <c r="I49" s="50" t="e">
        <f t="shared" ref="I49:I56" si="18">D49*($B$17^E49)*($B$16^F49)*EXP(G49*(10^-H49)*$B$17)</f>
        <v>#VALUE!</v>
      </c>
      <c r="J49" s="47"/>
      <c r="L49" s="222"/>
      <c r="M49" s="50" t="e">
        <f t="shared" ref="M49:M56" si="19">J49*($B$17^K49)*($B$16^L49)</f>
        <v>#VALUE!</v>
      </c>
      <c r="N49" s="226">
        <v>2.8863300441756299</v>
      </c>
      <c r="O49" s="219">
        <v>3.5999999999999999E-3</v>
      </c>
      <c r="P49" s="219">
        <v>1.95E-2</v>
      </c>
      <c r="Q49" s="219">
        <v>0.1147</v>
      </c>
      <c r="R49" s="219">
        <v>4.36E-2</v>
      </c>
      <c r="S49" s="219">
        <v>0.8206</v>
      </c>
      <c r="T49" s="226">
        <v>8.1458129050500396</v>
      </c>
      <c r="U49" s="246">
        <v>32.087990340183097</v>
      </c>
      <c r="V49" s="243">
        <v>46241</v>
      </c>
      <c r="W49" s="47" t="e">
        <f>MAX($I49,$M49)*O49</f>
        <v>#VALUE!</v>
      </c>
      <c r="X49" t="e">
        <f t="shared" ref="X49:X56" si="20">MAX($I49,$M49)*P49</f>
        <v>#VALUE!</v>
      </c>
      <c r="Y49" t="e">
        <f t="shared" ref="Y49:Y56" si="21">MAX($I49,$M49)*Q49</f>
        <v>#VALUE!</v>
      </c>
      <c r="Z49" t="e">
        <f>MAX($I49,$M49)*R49</f>
        <v>#VALUE!</v>
      </c>
      <c r="AA49" s="50" t="e">
        <f t="shared" ref="AA49:AA56" si="22">MAX($I49,$M49)*S49</f>
        <v>#VALUE!</v>
      </c>
    </row>
    <row r="50" spans="1:27" x14ac:dyDescent="0.25">
      <c r="A50" s="226" t="s">
        <v>2134</v>
      </c>
      <c r="B50" s="226">
        <f t="shared" si="16"/>
        <v>0</v>
      </c>
      <c r="C50" s="226" t="str">
        <f t="shared" si="17"/>
        <v>Yes</v>
      </c>
      <c r="D50" s="47">
        <f>3.77366814757066*10^-4</f>
        <v>3.7736681475706603E-4</v>
      </c>
      <c r="E50">
        <v>0.40554833691984898</v>
      </c>
      <c r="F50">
        <v>0.64182229054200302</v>
      </c>
      <c r="G50">
        <v>-4.0190765173197196</v>
      </c>
      <c r="H50" s="222">
        <v>5</v>
      </c>
      <c r="I50" s="50" t="e">
        <f t="shared" si="18"/>
        <v>#VALUE!</v>
      </c>
      <c r="J50" s="47"/>
      <c r="L50" s="222"/>
      <c r="M50" s="50" t="e">
        <f t="shared" si="19"/>
        <v>#VALUE!</v>
      </c>
      <c r="N50" s="226">
        <v>2.1755226705004902</v>
      </c>
      <c r="O50" s="212">
        <v>2.7000000000000001E-3</v>
      </c>
      <c r="P50" s="212">
        <v>1.7999999999999999E-2</v>
      </c>
      <c r="Q50" s="212">
        <v>0.1273</v>
      </c>
      <c r="R50" s="212">
        <v>5.0900000000000001E-2</v>
      </c>
      <c r="S50" s="212">
        <v>0.80210000000000004</v>
      </c>
      <c r="T50" s="226">
        <v>21.738740043998501</v>
      </c>
      <c r="U50" s="246">
        <v>87.459961062668896</v>
      </c>
      <c r="V50" s="243" t="s">
        <v>2241</v>
      </c>
      <c r="W50" s="47" t="e">
        <f t="shared" ref="W50:W56" si="23">MAX($I50,$M50)*O50</f>
        <v>#VALUE!</v>
      </c>
      <c r="X50" t="e">
        <f t="shared" si="20"/>
        <v>#VALUE!</v>
      </c>
      <c r="Y50" t="e">
        <f t="shared" si="21"/>
        <v>#VALUE!</v>
      </c>
      <c r="Z50" t="e">
        <f t="shared" ref="Z50:Z56" si="24">MAX($I50,$M50)*R50</f>
        <v>#VALUE!</v>
      </c>
      <c r="AA50" s="50" t="e">
        <f t="shared" si="22"/>
        <v>#VALUE!</v>
      </c>
    </row>
    <row r="51" spans="1:27" x14ac:dyDescent="0.25">
      <c r="A51" s="226" t="s">
        <v>2132</v>
      </c>
      <c r="B51" s="226">
        <f t="shared" si="16"/>
        <v>0</v>
      </c>
      <c r="C51" s="226" t="str">
        <f t="shared" si="17"/>
        <v>Yes</v>
      </c>
      <c r="D51" s="47">
        <v>1.84192737501879E-3</v>
      </c>
      <c r="E51">
        <v>0.14045815881340401</v>
      </c>
      <c r="F51">
        <v>0.55368897502344305</v>
      </c>
      <c r="G51">
        <v>-1.2217696581815201</v>
      </c>
      <c r="H51" s="222">
        <v>5</v>
      </c>
      <c r="I51" s="50" t="e">
        <f t="shared" si="18"/>
        <v>#VALUE!</v>
      </c>
      <c r="J51" s="47"/>
      <c r="L51" s="222"/>
      <c r="M51" s="50" t="e">
        <f t="shared" si="19"/>
        <v>#VALUE!</v>
      </c>
      <c r="N51" s="226">
        <v>2.1474020043222999</v>
      </c>
      <c r="O51" s="212">
        <v>7.3000000000000001E-3</v>
      </c>
      <c r="P51" s="212">
        <v>2.9499999999999998E-2</v>
      </c>
      <c r="Q51" s="212">
        <v>0.107</v>
      </c>
      <c r="R51" s="212">
        <v>4.6300000000000001E-2</v>
      </c>
      <c r="S51" s="212">
        <v>0.81040000000000001</v>
      </c>
      <c r="T51" s="226">
        <v>2.59638756158791</v>
      </c>
      <c r="U51" s="246">
        <v>12.074019305402899</v>
      </c>
      <c r="V51" s="243">
        <v>46241</v>
      </c>
      <c r="W51" s="47" t="e">
        <f>MAX($I51,$M51)*O51</f>
        <v>#VALUE!</v>
      </c>
      <c r="X51" t="e">
        <f t="shared" si="20"/>
        <v>#VALUE!</v>
      </c>
      <c r="Y51" t="e">
        <f t="shared" si="21"/>
        <v>#VALUE!</v>
      </c>
      <c r="Z51" t="e">
        <f t="shared" si="24"/>
        <v>#VALUE!</v>
      </c>
      <c r="AA51" s="50" t="e">
        <f t="shared" si="22"/>
        <v>#VALUE!</v>
      </c>
    </row>
    <row r="52" spans="1:27" x14ac:dyDescent="0.25">
      <c r="A52" s="226" t="s">
        <v>2133</v>
      </c>
      <c r="B52" s="226">
        <f t="shared" si="16"/>
        <v>0</v>
      </c>
      <c r="C52" s="226" t="str">
        <f t="shared" si="17"/>
        <v>Yes</v>
      </c>
      <c r="D52" s="47">
        <f>1.6116914117599*10^-5</f>
        <v>1.6116914117599001E-5</v>
      </c>
      <c r="E52">
        <v>0.37101282157932503</v>
      </c>
      <c r="F52">
        <v>1.0111281895714599</v>
      </c>
      <c r="G52">
        <v>-1.2318315571460201</v>
      </c>
      <c r="H52" s="222">
        <v>4</v>
      </c>
      <c r="I52" s="50" t="e">
        <f t="shared" si="18"/>
        <v>#VALUE!</v>
      </c>
      <c r="J52" s="47"/>
      <c r="L52" s="222"/>
      <c r="M52" s="50" t="e">
        <f t="shared" si="19"/>
        <v>#VALUE!</v>
      </c>
      <c r="N52" s="226">
        <v>2.9610030215735099</v>
      </c>
      <c r="O52" s="219">
        <v>9.4000000000000004E-3</v>
      </c>
      <c r="P52" s="219">
        <v>3.6400000000000002E-2</v>
      </c>
      <c r="Q52" s="219">
        <v>0.1399</v>
      </c>
      <c r="R52" s="219">
        <v>5.4699999999999999E-2</v>
      </c>
      <c r="S52" s="219">
        <v>0.75990000000000002</v>
      </c>
      <c r="T52" s="226">
        <v>6.1003855296090599</v>
      </c>
      <c r="U52" s="246">
        <v>34.186657208914397</v>
      </c>
      <c r="V52" s="243" t="s">
        <v>2241</v>
      </c>
      <c r="W52" s="47" t="e">
        <f t="shared" si="23"/>
        <v>#VALUE!</v>
      </c>
      <c r="X52" t="e">
        <f t="shared" si="20"/>
        <v>#VALUE!</v>
      </c>
      <c r="Y52" t="e">
        <f t="shared" si="21"/>
        <v>#VALUE!</v>
      </c>
      <c r="Z52" t="e">
        <f t="shared" si="24"/>
        <v>#VALUE!</v>
      </c>
      <c r="AA52" s="50" t="e">
        <f t="shared" si="22"/>
        <v>#VALUE!</v>
      </c>
    </row>
    <row r="53" spans="1:27" x14ac:dyDescent="0.25">
      <c r="A53" s="226" t="s">
        <v>2135</v>
      </c>
      <c r="B53" s="226">
        <f t="shared" si="16"/>
        <v>0</v>
      </c>
      <c r="C53" s="226" t="str">
        <f t="shared" si="17"/>
        <v>Yes</v>
      </c>
      <c r="D53" s="47">
        <f>2.40550555414895*10^-5</f>
        <v>2.4055055541489501E-5</v>
      </c>
      <c r="E53">
        <v>-2.6333429471042901E-2</v>
      </c>
      <c r="F53">
        <v>1.22825860529463</v>
      </c>
      <c r="G53">
        <v>-3.1439694632625499</v>
      </c>
      <c r="H53" s="222">
        <v>5</v>
      </c>
      <c r="I53" s="50" t="e">
        <f t="shared" si="18"/>
        <v>#VALUE!</v>
      </c>
      <c r="J53" s="47"/>
      <c r="L53" s="222"/>
      <c r="M53" s="50" t="e">
        <f t="shared" si="19"/>
        <v>#VALUE!</v>
      </c>
      <c r="N53" s="226">
        <v>4.3909983547268396</v>
      </c>
      <c r="O53" s="219">
        <v>3.2000000000000002E-3</v>
      </c>
      <c r="P53" s="219">
        <v>1.7500000000000002E-2</v>
      </c>
      <c r="Q53" s="219">
        <v>0.1094</v>
      </c>
      <c r="R53" s="219">
        <v>4.1399999999999999E-2</v>
      </c>
      <c r="S53" s="219">
        <v>0.82920000000000005</v>
      </c>
      <c r="T53" s="226">
        <v>5.3247839208323304</v>
      </c>
      <c r="U53" s="246">
        <v>11.532548309349799</v>
      </c>
      <c r="V53" s="243">
        <v>46241</v>
      </c>
      <c r="W53" s="47" t="e">
        <f t="shared" si="23"/>
        <v>#VALUE!</v>
      </c>
      <c r="X53" t="e">
        <f t="shared" si="20"/>
        <v>#VALUE!</v>
      </c>
      <c r="Y53" t="e">
        <f t="shared" si="21"/>
        <v>#VALUE!</v>
      </c>
      <c r="Z53" t="e">
        <f t="shared" si="24"/>
        <v>#VALUE!</v>
      </c>
      <c r="AA53" s="50" t="e">
        <f t="shared" si="22"/>
        <v>#VALUE!</v>
      </c>
    </row>
    <row r="54" spans="1:27" x14ac:dyDescent="0.25">
      <c r="A54" s="226" t="s">
        <v>2136</v>
      </c>
      <c r="B54" s="226">
        <f t="shared" si="16"/>
        <v>0</v>
      </c>
      <c r="C54" s="226" t="str">
        <f t="shared" si="17"/>
        <v>Yes</v>
      </c>
      <c r="D54" s="47">
        <f>1.65295793381876*10^-4</f>
        <v>1.6529579338187602E-4</v>
      </c>
      <c r="E54">
        <v>6.7838287649427495E-2</v>
      </c>
      <c r="F54">
        <v>1.0038336306022999</v>
      </c>
      <c r="G54">
        <v>-3.33998051620331</v>
      </c>
      <c r="H54" s="222">
        <v>5</v>
      </c>
      <c r="I54" s="50" t="e">
        <f t="shared" si="18"/>
        <v>#VALUE!</v>
      </c>
      <c r="J54" s="47"/>
      <c r="L54" s="222"/>
      <c r="M54" s="50" t="e">
        <f t="shared" si="19"/>
        <v>#VALUE!</v>
      </c>
      <c r="N54" s="226">
        <v>4.8182192955458003</v>
      </c>
      <c r="O54" s="212">
        <v>2.3E-3</v>
      </c>
      <c r="P54" s="219">
        <v>1.7399999999999999E-2</v>
      </c>
      <c r="Q54" s="212">
        <v>0.12839999999999999</v>
      </c>
      <c r="R54" s="212">
        <v>4.7500000000000001E-2</v>
      </c>
      <c r="S54" s="212">
        <v>0.80559999999999998</v>
      </c>
      <c r="T54" s="226">
        <v>10.7705602099331</v>
      </c>
      <c r="U54" s="246">
        <v>26.2757949820395</v>
      </c>
      <c r="V54" s="243" t="s">
        <v>2241</v>
      </c>
      <c r="W54" s="47" t="e">
        <f t="shared" si="23"/>
        <v>#VALUE!</v>
      </c>
      <c r="X54" t="e">
        <f t="shared" si="20"/>
        <v>#VALUE!</v>
      </c>
      <c r="Y54" t="e">
        <f t="shared" si="21"/>
        <v>#VALUE!</v>
      </c>
      <c r="Z54" t="e">
        <f t="shared" si="24"/>
        <v>#VALUE!</v>
      </c>
      <c r="AA54" s="50" t="e">
        <f t="shared" si="22"/>
        <v>#VALUE!</v>
      </c>
    </row>
    <row r="55" spans="1:27" x14ac:dyDescent="0.25">
      <c r="A55" s="226" t="s">
        <v>2137</v>
      </c>
      <c r="B55" s="226">
        <f t="shared" si="16"/>
        <v>0</v>
      </c>
      <c r="C55" s="226" t="str">
        <f t="shared" si="17"/>
        <v>Yes</v>
      </c>
      <c r="D55" s="47">
        <v>1.2686465790272201E-3</v>
      </c>
      <c r="E55">
        <v>9.9708649237106206E-2</v>
      </c>
      <c r="F55">
        <v>0.64607462910903102</v>
      </c>
      <c r="G55">
        <v>-1.54531964630144</v>
      </c>
      <c r="H55" s="222">
        <v>4</v>
      </c>
      <c r="I55" s="50" t="e">
        <f t="shared" si="18"/>
        <v>#VALUE!</v>
      </c>
      <c r="J55" s="47"/>
      <c r="L55" s="222"/>
      <c r="M55" s="50" t="e">
        <f t="shared" si="19"/>
        <v>#VALUE!</v>
      </c>
      <c r="N55" s="226">
        <v>2.9528057433294999</v>
      </c>
      <c r="O55" s="212">
        <v>6.8999999999999999E-3</v>
      </c>
      <c r="P55" s="212">
        <v>3.1199999999999999E-2</v>
      </c>
      <c r="Q55" s="212">
        <v>9.8900000000000002E-2</v>
      </c>
      <c r="R55" s="212">
        <v>4.3400000000000001E-2</v>
      </c>
      <c r="S55" s="212">
        <v>0.82040000000000002</v>
      </c>
      <c r="T55" s="226">
        <v>1.01157107868534</v>
      </c>
      <c r="U55" s="246">
        <v>2.66395037950622</v>
      </c>
      <c r="V55" s="243">
        <v>46241</v>
      </c>
      <c r="W55" s="47" t="e">
        <f t="shared" si="23"/>
        <v>#VALUE!</v>
      </c>
      <c r="X55" t="e">
        <f t="shared" si="20"/>
        <v>#VALUE!</v>
      </c>
      <c r="Y55" t="e">
        <f t="shared" si="21"/>
        <v>#VALUE!</v>
      </c>
      <c r="Z55" t="e">
        <f t="shared" si="24"/>
        <v>#VALUE!</v>
      </c>
      <c r="AA55" s="50" t="e">
        <f t="shared" si="22"/>
        <v>#VALUE!</v>
      </c>
    </row>
    <row r="56" spans="1:27" s="30" customFormat="1" ht="15.75" thickBot="1" x14ac:dyDescent="0.3">
      <c r="A56" s="227" t="s">
        <v>2138</v>
      </c>
      <c r="B56" s="227">
        <f t="shared" si="16"/>
        <v>0</v>
      </c>
      <c r="C56" s="227" t="str">
        <f t="shared" si="17"/>
        <v>Yes</v>
      </c>
      <c r="D56" s="29">
        <v>1.0707435436928001E-3</v>
      </c>
      <c r="E56" s="30">
        <v>0.157109185470134</v>
      </c>
      <c r="F56" s="30">
        <v>0.64920078239595103</v>
      </c>
      <c r="G56" s="30">
        <v>-1.1566505106874601</v>
      </c>
      <c r="H56" s="223">
        <v>4</v>
      </c>
      <c r="I56" s="50" t="e">
        <f t="shared" si="18"/>
        <v>#VALUE!</v>
      </c>
      <c r="J56" s="29"/>
      <c r="L56" s="223"/>
      <c r="M56" s="50" t="e">
        <f t="shared" si="19"/>
        <v>#VALUE!</v>
      </c>
      <c r="N56" s="227">
        <v>4.4092933045593004</v>
      </c>
      <c r="O56" s="216">
        <v>7.0000000000000001E-3</v>
      </c>
      <c r="P56" s="216">
        <v>3.1699999999999999E-2</v>
      </c>
      <c r="Q56" s="216">
        <v>0.1288</v>
      </c>
      <c r="R56" s="216">
        <v>4.8500000000000001E-2</v>
      </c>
      <c r="S56" s="216">
        <v>0.78469999999999995</v>
      </c>
      <c r="T56" s="227">
        <v>1.9691990133214801</v>
      </c>
      <c r="U56" s="30">
        <v>6.0054073572909799</v>
      </c>
      <c r="V56" s="243" t="s">
        <v>2241</v>
      </c>
      <c r="W56" s="29" t="e">
        <f t="shared" si="23"/>
        <v>#VALUE!</v>
      </c>
      <c r="X56" s="30" t="e">
        <f t="shared" si="20"/>
        <v>#VALUE!</v>
      </c>
      <c r="Y56" s="30" t="e">
        <f t="shared" si="21"/>
        <v>#VALUE!</v>
      </c>
      <c r="Z56" s="30" t="e">
        <f t="shared" si="24"/>
        <v>#VALUE!</v>
      </c>
      <c r="AA56" s="31" t="e">
        <f t="shared" si="22"/>
        <v>#VALUE!</v>
      </c>
    </row>
    <row r="57" spans="1:27" x14ac:dyDescent="0.25">
      <c r="D57" s="46"/>
      <c r="E57" s="27"/>
      <c r="F57" s="27"/>
      <c r="G57" s="27"/>
      <c r="H57" s="27"/>
      <c r="I57" s="28"/>
      <c r="J57" s="46"/>
      <c r="K57" s="27"/>
      <c r="L57" s="27"/>
      <c r="M57" s="28"/>
    </row>
    <row r="58" spans="1:27" ht="15.75" thickBot="1" x14ac:dyDescent="0.3">
      <c r="D58" s="29"/>
      <c r="E58" s="30"/>
      <c r="F58" s="30"/>
      <c r="G58" s="30"/>
      <c r="H58" s="30"/>
      <c r="I58" s="31"/>
      <c r="J58" s="29"/>
      <c r="K58" s="30"/>
      <c r="L58" s="30"/>
      <c r="M58" s="31"/>
    </row>
  </sheetData>
  <sheetProtection algorithmName="SHA-512" hashValue="iX4JGsPLv8rdiFQyINFJ0oZXgIUiF0Q+CxMUqJjLH68dH0ubAOShBrutwJtvLi5bkU/hwwlYmJjNgQq4FEkYwQ==" saltValue="7tANWM49mlxk3Sut6E5w6g==" spinCount="100000" sheet="1" objects="1" scenarios="1"/>
  <mergeCells count="2">
    <mergeCell ref="W47:AA47"/>
    <mergeCell ref="AP29:AT29"/>
  </mergeCells>
  <conditionalFormatting sqref="A31:A42">
    <cfRule type="cellIs" dxfId="16" priority="42" operator="equal">
      <formula>#REF!</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9EAE0-EB76-4111-8783-45C388F8BAF0}">
  <dimension ref="A1:G3"/>
  <sheetViews>
    <sheetView workbookViewId="0">
      <selection activeCell="G7" sqref="G7"/>
    </sheetView>
  </sheetViews>
  <sheetFormatPr defaultRowHeight="15" x14ac:dyDescent="0.25"/>
  <cols>
    <col min="1" max="1" width="11.7109375" bestFit="1" customWidth="1"/>
    <col min="2" max="2" width="14" bestFit="1" customWidth="1"/>
    <col min="3" max="3" width="6.28515625" bestFit="1" customWidth="1"/>
    <col min="4" max="4" width="14.42578125" bestFit="1" customWidth="1"/>
    <col min="5" max="5" width="4" bestFit="1" customWidth="1"/>
    <col min="6" max="6" width="3" bestFit="1" customWidth="1"/>
    <col min="7" max="7" width="20.85546875" bestFit="1" customWidth="1"/>
  </cols>
  <sheetData>
    <row r="1" spans="1:7" x14ac:dyDescent="0.25">
      <c r="A1" t="s">
        <v>2059</v>
      </c>
      <c r="B1" t="s">
        <v>2061</v>
      </c>
      <c r="C1" t="s">
        <v>1943</v>
      </c>
      <c r="D1" t="s">
        <v>2036</v>
      </c>
      <c r="E1" t="s">
        <v>2035</v>
      </c>
      <c r="F1">
        <v>3</v>
      </c>
      <c r="G1" t="s">
        <v>2028</v>
      </c>
    </row>
    <row r="2" spans="1:7" x14ac:dyDescent="0.25">
      <c r="A2" t="s">
        <v>2060</v>
      </c>
      <c r="B2" t="s">
        <v>2062</v>
      </c>
      <c r="C2" t="s">
        <v>1921</v>
      </c>
      <c r="D2" t="s">
        <v>2033</v>
      </c>
      <c r="E2" t="s">
        <v>2034</v>
      </c>
      <c r="F2" t="s">
        <v>2075</v>
      </c>
      <c r="G2" t="s">
        <v>2063</v>
      </c>
    </row>
    <row r="3" spans="1:7" x14ac:dyDescent="0.25">
      <c r="D3" t="s">
        <v>2037</v>
      </c>
    </row>
  </sheetData>
  <sheetProtection algorithmName="SHA-512" hashValue="+1mUz2JBGlzD4cgHWGipayTwySR3jstSrjw2mmkNlEENg/40cBYInDsuOE1X3iFSNIqzqJ1twRUOj1y4+QbrTg==" saltValue="W0p4uuF5ihLS3EODoY2Cs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8"/>
  <sheetViews>
    <sheetView showGridLines="0" workbookViewId="0">
      <selection activeCell="E27" sqref="E27"/>
    </sheetView>
  </sheetViews>
  <sheetFormatPr defaultRowHeight="15" x14ac:dyDescent="0.25"/>
  <cols>
    <col min="1" max="1" width="6.28515625" customWidth="1"/>
    <col min="2" max="2" width="24" customWidth="1"/>
    <col min="3" max="3" width="26.42578125" customWidth="1"/>
    <col min="18" max="18" width="21" bestFit="1" customWidth="1"/>
  </cols>
  <sheetData>
    <row r="1" spans="1:26" x14ac:dyDescent="0.25">
      <c r="A1" s="395" t="s">
        <v>133</v>
      </c>
      <c r="B1" s="457"/>
      <c r="C1" s="458"/>
      <c r="D1" s="439" t="s">
        <v>2226</v>
      </c>
      <c r="E1" s="440"/>
      <c r="F1" s="440"/>
      <c r="G1" s="440"/>
      <c r="H1" s="440"/>
      <c r="I1" s="440"/>
      <c r="J1" s="440"/>
      <c r="K1" s="440"/>
      <c r="L1" s="440"/>
      <c r="M1" s="440"/>
      <c r="N1" s="440"/>
      <c r="O1" s="440"/>
      <c r="P1" s="441"/>
      <c r="R1" s="23" t="s">
        <v>134</v>
      </c>
    </row>
    <row r="2" spans="1:26" ht="15" customHeight="1" x14ac:dyDescent="0.25">
      <c r="A2" s="459"/>
      <c r="B2" s="460"/>
      <c r="C2" s="461"/>
      <c r="D2" s="442"/>
      <c r="E2" s="443"/>
      <c r="F2" s="443"/>
      <c r="G2" s="443"/>
      <c r="H2" s="443"/>
      <c r="I2" s="443"/>
      <c r="J2" s="443"/>
      <c r="K2" s="443"/>
      <c r="L2" s="443"/>
      <c r="M2" s="443"/>
      <c r="N2" s="443"/>
      <c r="O2" s="443"/>
      <c r="P2" s="444"/>
    </row>
    <row r="3" spans="1:26" ht="15" customHeight="1" x14ac:dyDescent="0.25">
      <c r="A3" s="459"/>
      <c r="B3" s="460"/>
      <c r="C3" s="461"/>
      <c r="D3" s="442"/>
      <c r="E3" s="443"/>
      <c r="F3" s="443"/>
      <c r="G3" s="443"/>
      <c r="H3" s="443"/>
      <c r="I3" s="443"/>
      <c r="J3" s="443"/>
      <c r="K3" s="443"/>
      <c r="L3" s="443"/>
      <c r="M3" s="443"/>
      <c r="N3" s="443"/>
      <c r="O3" s="443"/>
      <c r="P3" s="444"/>
    </row>
    <row r="4" spans="1:26" ht="15" customHeight="1" x14ac:dyDescent="0.25">
      <c r="A4" s="459"/>
      <c r="B4" s="460"/>
      <c r="C4" s="461"/>
      <c r="D4" s="442"/>
      <c r="E4" s="443"/>
      <c r="F4" s="443"/>
      <c r="G4" s="443"/>
      <c r="H4" s="443"/>
      <c r="I4" s="443"/>
      <c r="J4" s="443"/>
      <c r="K4" s="443"/>
      <c r="L4" s="443"/>
      <c r="M4" s="443"/>
      <c r="N4" s="443"/>
      <c r="O4" s="443"/>
      <c r="P4" s="444"/>
    </row>
    <row r="5" spans="1:26" ht="15" customHeight="1" x14ac:dyDescent="0.25">
      <c r="A5" s="459"/>
      <c r="B5" s="460"/>
      <c r="C5" s="461"/>
      <c r="D5" s="442"/>
      <c r="E5" s="443"/>
      <c r="F5" s="443"/>
      <c r="G5" s="443"/>
      <c r="H5" s="443"/>
      <c r="I5" s="443"/>
      <c r="J5" s="443"/>
      <c r="K5" s="443"/>
      <c r="L5" s="443"/>
      <c r="M5" s="443"/>
      <c r="N5" s="443"/>
      <c r="O5" s="443"/>
      <c r="P5" s="444"/>
    </row>
    <row r="6" spans="1:26" ht="33" customHeight="1" thickBot="1" x14ac:dyDescent="0.3">
      <c r="A6" s="462"/>
      <c r="B6" s="463"/>
      <c r="C6" s="464"/>
      <c r="D6" s="445"/>
      <c r="E6" s="446"/>
      <c r="F6" s="446"/>
      <c r="G6" s="446"/>
      <c r="H6" s="446"/>
      <c r="I6" s="446"/>
      <c r="J6" s="446"/>
      <c r="K6" s="446"/>
      <c r="L6" s="446"/>
      <c r="M6" s="446"/>
      <c r="N6" s="446"/>
      <c r="O6" s="446"/>
      <c r="P6" s="447"/>
    </row>
    <row r="7" spans="1:26" ht="15.75" thickBot="1" x14ac:dyDescent="0.3"/>
    <row r="8" spans="1:26" ht="18.75" x14ac:dyDescent="0.25">
      <c r="B8" s="86" t="s">
        <v>135</v>
      </c>
      <c r="C8" s="87" t="s">
        <v>14</v>
      </c>
    </row>
    <row r="9" spans="1:26" ht="18" thickBot="1" x14ac:dyDescent="0.3">
      <c r="B9" s="240">
        <f>IF(TSAT!I11="",-100,TSAT!I11)</f>
        <v>-100</v>
      </c>
      <c r="C9" s="85">
        <f>IF(B12="",IF(B9="",0,IF(B9&lt;0,0,IF(B9&gt;1.2,30,30/(1+EXP(-8*(B9-0.45975)))))),IF(B12&lt;0,0,IF(B12&gt;1.2,30,30/(1+EXP(-8*(B12-0.45975))))))</f>
        <v>0</v>
      </c>
    </row>
    <row r="10" spans="1:26" ht="15.75" thickBot="1" x14ac:dyDescent="0.3">
      <c r="N10" s="421"/>
      <c r="O10" s="421"/>
      <c r="P10" s="421"/>
    </row>
    <row r="11" spans="1:26" ht="18.75" x14ac:dyDescent="0.25">
      <c r="B11" s="241" t="s">
        <v>2225</v>
      </c>
      <c r="N11" s="9"/>
      <c r="O11" s="9"/>
      <c r="P11" s="9"/>
      <c r="Q11" s="9"/>
      <c r="R11" s="9"/>
      <c r="S11" s="9"/>
      <c r="T11" s="9"/>
      <c r="U11" s="9"/>
      <c r="V11" s="9"/>
      <c r="W11" s="9"/>
      <c r="X11" s="9"/>
      <c r="Y11" s="9"/>
      <c r="Z11" s="9"/>
    </row>
    <row r="12" spans="1:26" ht="18" thickBot="1" x14ac:dyDescent="0.3">
      <c r="B12" s="306"/>
      <c r="N12" s="9"/>
      <c r="O12" s="9"/>
      <c r="P12" s="9"/>
      <c r="Q12" s="9"/>
      <c r="R12" s="9"/>
      <c r="S12" s="9"/>
      <c r="T12" s="9"/>
      <c r="U12" s="9"/>
      <c r="V12" s="9"/>
      <c r="W12" s="9"/>
      <c r="X12" s="9"/>
      <c r="Y12" s="9"/>
      <c r="Z12" s="9"/>
    </row>
    <row r="13" spans="1:26" x14ac:dyDescent="0.25">
      <c r="B13" s="8">
        <f>IF(B12="",IF(B9&gt;1.2,1.2,IF(B9&lt;0,0,B9)),IF(B12&gt;1.2,1.2,IF(B12&lt;0,0,B12)))</f>
        <v>0</v>
      </c>
      <c r="N13" s="9"/>
      <c r="O13" s="9"/>
      <c r="P13" s="9"/>
      <c r="Q13" s="9"/>
      <c r="R13" s="9"/>
      <c r="S13" s="9"/>
      <c r="T13" s="9"/>
      <c r="U13" s="9"/>
      <c r="V13" s="9"/>
      <c r="W13" s="9"/>
      <c r="X13" s="9"/>
      <c r="Y13" s="9"/>
      <c r="Z13" s="9"/>
    </row>
    <row r="14" spans="1:26" ht="17.25" x14ac:dyDescent="0.3">
      <c r="A14" s="79"/>
      <c r="N14" s="9"/>
      <c r="O14" s="9"/>
      <c r="P14" s="9"/>
      <c r="Q14" s="9"/>
      <c r="R14" s="9"/>
      <c r="S14" s="9"/>
      <c r="T14" s="9"/>
      <c r="U14" s="9"/>
      <c r="V14" s="9"/>
      <c r="W14" s="9"/>
      <c r="X14" s="9"/>
      <c r="Y14" s="9"/>
      <c r="Z14" s="9"/>
    </row>
    <row r="15" spans="1:26" x14ac:dyDescent="0.25">
      <c r="A15" s="24"/>
      <c r="B15" s="24"/>
      <c r="N15" s="9"/>
      <c r="O15" s="9"/>
      <c r="P15" s="9"/>
      <c r="Q15" s="9"/>
      <c r="R15" s="9"/>
      <c r="S15" s="9"/>
      <c r="T15" s="9"/>
      <c r="U15" s="9"/>
      <c r="V15" s="9"/>
      <c r="W15" s="9"/>
      <c r="X15" s="9"/>
      <c r="Y15" s="9"/>
      <c r="Z15" s="9"/>
    </row>
    <row r="16" spans="1:26" x14ac:dyDescent="0.25">
      <c r="A16" s="24"/>
      <c r="B16" s="24"/>
      <c r="N16" s="9"/>
      <c r="O16" s="9"/>
      <c r="P16" s="9"/>
      <c r="Q16" s="9"/>
      <c r="R16" s="9"/>
      <c r="S16" s="9"/>
      <c r="T16" s="9"/>
      <c r="U16" s="9"/>
      <c r="V16" s="9"/>
      <c r="W16" s="9"/>
      <c r="X16" s="9"/>
      <c r="Y16" s="9"/>
      <c r="Z16" s="9"/>
    </row>
    <row r="17" spans="1:2" x14ac:dyDescent="0.25">
      <c r="A17" s="24"/>
      <c r="B17" s="24"/>
    </row>
    <row r="18" spans="1:2" x14ac:dyDescent="0.25">
      <c r="A18" s="24"/>
      <c r="B18" s="24"/>
    </row>
    <row r="19" spans="1:2" x14ac:dyDescent="0.25">
      <c r="A19" s="24"/>
      <c r="B19" s="24"/>
    </row>
    <row r="20" spans="1:2" x14ac:dyDescent="0.25">
      <c r="A20" s="24"/>
      <c r="B20" s="24"/>
    </row>
    <row r="21" spans="1:2" x14ac:dyDescent="0.25">
      <c r="A21" s="24"/>
      <c r="B21" s="24"/>
    </row>
    <row r="22" spans="1:2" x14ac:dyDescent="0.25">
      <c r="A22" s="24"/>
      <c r="B22" s="24"/>
    </row>
    <row r="23" spans="1:2" x14ac:dyDescent="0.25">
      <c r="A23" s="24"/>
      <c r="B23" s="24"/>
    </row>
    <row r="24" spans="1:2" x14ac:dyDescent="0.25">
      <c r="A24" s="24"/>
      <c r="B24" s="24"/>
    </row>
    <row r="25" spans="1:2" x14ac:dyDescent="0.25">
      <c r="A25" s="24"/>
      <c r="B25" s="24"/>
    </row>
    <row r="26" spans="1:2" x14ac:dyDescent="0.25">
      <c r="A26" s="24"/>
      <c r="B26" s="24"/>
    </row>
    <row r="27" spans="1:2" x14ac:dyDescent="0.25">
      <c r="A27" s="24"/>
      <c r="B27" s="24"/>
    </row>
    <row r="28" spans="1:2" x14ac:dyDescent="0.25">
      <c r="A28" s="24"/>
      <c r="B28" s="24"/>
    </row>
    <row r="29" spans="1:2" x14ac:dyDescent="0.25">
      <c r="A29" s="24"/>
      <c r="B29" s="24"/>
    </row>
    <row r="30" spans="1:2" x14ac:dyDescent="0.25">
      <c r="A30" s="24"/>
      <c r="B30" s="24"/>
    </row>
    <row r="31" spans="1:2" x14ac:dyDescent="0.25">
      <c r="A31" s="24"/>
      <c r="B31" s="24"/>
    </row>
    <row r="32" spans="1:2" x14ac:dyDescent="0.25">
      <c r="A32" s="24"/>
      <c r="B32" s="24"/>
    </row>
    <row r="33" spans="1:2" x14ac:dyDescent="0.25">
      <c r="A33" s="24"/>
      <c r="B33" s="24"/>
    </row>
    <row r="34" spans="1:2" x14ac:dyDescent="0.25">
      <c r="A34" s="24"/>
      <c r="B34" s="24"/>
    </row>
    <row r="35" spans="1:2" x14ac:dyDescent="0.25">
      <c r="A35" s="24"/>
      <c r="B35" s="24"/>
    </row>
    <row r="36" spans="1:2" x14ac:dyDescent="0.25">
      <c r="A36" s="24"/>
      <c r="B36" s="24"/>
    </row>
    <row r="37" spans="1:2" x14ac:dyDescent="0.25">
      <c r="A37" s="24"/>
      <c r="B37" s="24"/>
    </row>
    <row r="38" spans="1:2" x14ac:dyDescent="0.25">
      <c r="A38" s="24"/>
      <c r="B38" s="24"/>
    </row>
    <row r="39" spans="1:2" x14ac:dyDescent="0.25">
      <c r="A39" s="24"/>
      <c r="B39" s="24"/>
    </row>
    <row r="40" spans="1:2" x14ac:dyDescent="0.25">
      <c r="A40" s="24"/>
      <c r="B40" s="24"/>
    </row>
    <row r="41" spans="1:2" x14ac:dyDescent="0.25">
      <c r="A41" s="24"/>
      <c r="B41" s="24"/>
    </row>
    <row r="42" spans="1:2" x14ac:dyDescent="0.25">
      <c r="A42" s="24"/>
      <c r="B42" s="24"/>
    </row>
    <row r="43" spans="1:2" x14ac:dyDescent="0.25">
      <c r="A43" s="24"/>
      <c r="B43" s="24"/>
    </row>
    <row r="44" spans="1:2" x14ac:dyDescent="0.25">
      <c r="A44" s="24"/>
      <c r="B44" s="24"/>
    </row>
    <row r="45" spans="1:2" x14ac:dyDescent="0.25">
      <c r="A45" s="24"/>
      <c r="B45" s="24"/>
    </row>
    <row r="46" spans="1:2" x14ac:dyDescent="0.25">
      <c r="A46" s="24"/>
      <c r="B46" s="24"/>
    </row>
    <row r="47" spans="1:2" x14ac:dyDescent="0.25">
      <c r="A47" s="24"/>
      <c r="B47" s="24"/>
    </row>
    <row r="48" spans="1:2" x14ac:dyDescent="0.25">
      <c r="A48" s="24"/>
      <c r="B48" s="24"/>
    </row>
    <row r="49" spans="1:2" x14ac:dyDescent="0.25">
      <c r="A49" s="24"/>
      <c r="B49" s="24"/>
    </row>
    <row r="50" spans="1:2" x14ac:dyDescent="0.25">
      <c r="A50" s="24"/>
      <c r="B50" s="24"/>
    </row>
    <row r="51" spans="1:2" x14ac:dyDescent="0.25">
      <c r="A51" s="24"/>
      <c r="B51" s="24"/>
    </row>
    <row r="52" spans="1:2" x14ac:dyDescent="0.25">
      <c r="A52" s="24"/>
      <c r="B52" s="24"/>
    </row>
    <row r="53" spans="1:2" x14ac:dyDescent="0.25">
      <c r="A53" s="24"/>
      <c r="B53" s="24"/>
    </row>
    <row r="54" spans="1:2" x14ac:dyDescent="0.25">
      <c r="A54" s="24"/>
      <c r="B54" s="24"/>
    </row>
    <row r="55" spans="1:2" x14ac:dyDescent="0.25">
      <c r="A55" s="24"/>
      <c r="B55" s="24"/>
    </row>
    <row r="56" spans="1:2" x14ac:dyDescent="0.25">
      <c r="A56" s="24"/>
      <c r="B56" s="24"/>
    </row>
    <row r="57" spans="1:2" x14ac:dyDescent="0.25">
      <c r="A57" s="24"/>
      <c r="B57" s="24"/>
    </row>
    <row r="58" spans="1:2" x14ac:dyDescent="0.25">
      <c r="A58" s="24"/>
      <c r="B58" s="24"/>
    </row>
  </sheetData>
  <sheetProtection algorithmName="SHA-512" hashValue="2pI7wpuRptMlbIQmrxO5HuA/4KPUjcP0UJOPG0GPe5ks7SVSqssvbOpfAlwy1tgAgI9HBnQmayPs8M7MfmJNUg==" saltValue="cuQXJ9FoMfiPyhd2Kgqtqg==" spinCount="100000" sheet="1" objects="1" scenarios="1"/>
  <protectedRanges>
    <protectedRange sqref="B12" name="Input"/>
  </protectedRanges>
  <mergeCells count="3">
    <mergeCell ref="N10:P10"/>
    <mergeCell ref="D1:P6"/>
    <mergeCell ref="A1:C6"/>
  </mergeCells>
  <conditionalFormatting sqref="B9">
    <cfRule type="expression" dxfId="15" priority="2">
      <formula>$B$9=-100</formula>
    </cfRule>
  </conditionalFormatting>
  <hyperlinks>
    <hyperlink ref="R1" location="'Cover Sheet'!B12" display="BACK TO COVER SHEET" xr:uid="{ECEAD6A2-F112-4BC4-8650-8020A3BE0F76}"/>
  </hyperlinks>
  <pageMargins left="0.7" right="0.7" top="0.75" bottom="0.75" header="0.3" footer="0.3"/>
  <pageSetup scale="6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2afbd0e1-49a6-4b2b-ac3d-1e5a24db9a3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4D9654BF6D8F4AAA50E67A4BD6E9DB" ma:contentTypeVersion="18" ma:contentTypeDescription="Create a new document." ma:contentTypeScope="" ma:versionID="fcaa523c2808b2afb3c882ad652cb47d">
  <xsd:schema xmlns:xsd="http://www.w3.org/2001/XMLSchema" xmlns:xs="http://www.w3.org/2001/XMLSchema" xmlns:p="http://schemas.microsoft.com/office/2006/metadata/properties" xmlns:ns2="2afbd0e1-49a6-4b2b-ac3d-1e5a24db9a3f" xmlns:ns3="fc89ccaa-1b23-456c-900c-abe6a1fd087d" xmlns:ns4="ddb5066c-6899-482b-9ea0-5145f9da9989" targetNamespace="http://schemas.microsoft.com/office/2006/metadata/properties" ma:root="true" ma:fieldsID="ac0e56e27ed48a5fd36d0b374749c02e" ns2:_="" ns3:_="" ns4:_="">
    <xsd:import namespace="2afbd0e1-49a6-4b2b-ac3d-1e5a24db9a3f"/>
    <xsd:import namespace="fc89ccaa-1b23-456c-900c-abe6a1fd087d"/>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4: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ServiceLocation"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bd0e1-49a6-4b2b-ac3d-1e5a24db9a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89ccaa-1b23-456c-900c-abe6a1fd08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0d1a464-37c6-40ad-987d-5f1201a8dc79}" ma:internalName="TaxCatchAll" ma:showField="CatchAllData" ma:web="fc89ccaa-1b23-456c-900c-abe6a1fd08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0DC8C3-FD15-47E3-8EEE-7BFFE863193D}">
  <ds:schemaRefs>
    <ds:schemaRef ds:uri="http://schemas.microsoft.com/office/2006/metadata/properties"/>
    <ds:schemaRef ds:uri="http://schemas.microsoft.com/office/infopath/2007/PartnerControls"/>
    <ds:schemaRef ds:uri="ddb5066c-6899-482b-9ea0-5145f9da9989"/>
    <ds:schemaRef ds:uri="2afbd0e1-49a6-4b2b-ac3d-1e5a24db9a3f"/>
    <ds:schemaRef ds:uri="c1a67811-d617-426b-9ee3-4f8e43697878"/>
    <ds:schemaRef ds:uri="103557f0-1475-4dae-bc95-176ffa730b52"/>
  </ds:schemaRefs>
</ds:datastoreItem>
</file>

<file path=customXml/itemProps2.xml><?xml version="1.0" encoding="utf-8"?>
<ds:datastoreItem xmlns:ds="http://schemas.openxmlformats.org/officeDocument/2006/customXml" ds:itemID="{5ED1447D-9A19-449B-8CD4-C479BBB14E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bd0e1-49a6-4b2b-ac3d-1e5a24db9a3f"/>
    <ds:schemaRef ds:uri="fc89ccaa-1b23-456c-900c-abe6a1fd087d"/>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494CA7-A39B-4849-AC26-940610082804}">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68</vt:i4>
      </vt:variant>
    </vt:vector>
  </HeadingPairs>
  <TitlesOfParts>
    <vt:vector size="93" baseType="lpstr">
      <vt:lpstr>Cover Sheet</vt:lpstr>
      <vt:lpstr>Cover Calculations</vt:lpstr>
      <vt:lpstr>Systemic Safety BC</vt:lpstr>
      <vt:lpstr>Systemic BC Calculations</vt:lpstr>
      <vt:lpstr>Systemic BC Lookups</vt:lpstr>
      <vt:lpstr>TSAT</vt:lpstr>
      <vt:lpstr>TSAT Calculations</vt:lpstr>
      <vt:lpstr>TSAT Lookups</vt:lpstr>
      <vt:lpstr>F1 Crash Severity</vt:lpstr>
      <vt:lpstr>Factor 1 Calculations</vt:lpstr>
      <vt:lpstr>F2 Crash Frequency</vt:lpstr>
      <vt:lpstr>Factor 2 Calculations</vt:lpstr>
      <vt:lpstr>F3 Cost Effectiveness</vt:lpstr>
      <vt:lpstr>Factor 3 Calculations</vt:lpstr>
      <vt:lpstr>CRF Data</vt:lpstr>
      <vt:lpstr>F4 Trauma Center Proximity</vt:lpstr>
      <vt:lpstr>Factor 4 Calculations</vt:lpstr>
      <vt:lpstr>F5 Mobility Improvement</vt:lpstr>
      <vt:lpstr>Factor 5 Calculations</vt:lpstr>
      <vt:lpstr>F6 Public and Other Interest</vt:lpstr>
      <vt:lpstr>Factor 6 Calculations</vt:lpstr>
      <vt:lpstr>F7 Economic Factors</vt:lpstr>
      <vt:lpstr>Factor 7 Calculations</vt:lpstr>
      <vt:lpstr>F8 Earmarks and External Cont.</vt:lpstr>
      <vt:lpstr>Factor 8 Calculations</vt:lpstr>
      <vt:lpstr>'F3 Cost Effectiveness'!Crawfordsville</vt:lpstr>
      <vt:lpstr>'F4 Trauma Center Proximity'!Crawfordsville</vt:lpstr>
      <vt:lpstr>'Factor 3 Calculations'!Crawfordsville</vt:lpstr>
      <vt:lpstr>'Factor 4 Calculations'!Crawfordsville</vt:lpstr>
      <vt:lpstr>'Systemic BC Calculations'!Crawfordsville</vt:lpstr>
      <vt:lpstr>'Systemic Safety BC'!Crawfordsville</vt:lpstr>
      <vt:lpstr>TSAT!Crawfordsville</vt:lpstr>
      <vt:lpstr>Crawfordsville</vt:lpstr>
      <vt:lpstr>'F3 Cost Effectiveness'!District</vt:lpstr>
      <vt:lpstr>'F4 Trauma Center Proximity'!District</vt:lpstr>
      <vt:lpstr>'Factor 3 Calculations'!District</vt:lpstr>
      <vt:lpstr>'Factor 4 Calculations'!District</vt:lpstr>
      <vt:lpstr>'Systemic BC Calculations'!District</vt:lpstr>
      <vt:lpstr>'Systemic Safety BC'!District</vt:lpstr>
      <vt:lpstr>TSAT!District</vt:lpstr>
      <vt:lpstr>District</vt:lpstr>
      <vt:lpstr>'F3 Cost Effectiveness'!FtWayne</vt:lpstr>
      <vt:lpstr>'F4 Trauma Center Proximity'!FtWayne</vt:lpstr>
      <vt:lpstr>'Factor 3 Calculations'!FtWayne</vt:lpstr>
      <vt:lpstr>'Factor 4 Calculations'!FtWayne</vt:lpstr>
      <vt:lpstr>'Systemic BC Calculations'!FtWayne</vt:lpstr>
      <vt:lpstr>'Systemic Safety BC'!FtWayne</vt:lpstr>
      <vt:lpstr>TSAT!FtWayne</vt:lpstr>
      <vt:lpstr>FtWayne</vt:lpstr>
      <vt:lpstr>'F3 Cost Effectiveness'!Greenfield</vt:lpstr>
      <vt:lpstr>'F4 Trauma Center Proximity'!Greenfield</vt:lpstr>
      <vt:lpstr>'Factor 3 Calculations'!Greenfield</vt:lpstr>
      <vt:lpstr>'Factor 4 Calculations'!Greenfield</vt:lpstr>
      <vt:lpstr>'Systemic BC Calculations'!Greenfield</vt:lpstr>
      <vt:lpstr>'Systemic Safety BC'!Greenfield</vt:lpstr>
      <vt:lpstr>TSAT!Greenfield</vt:lpstr>
      <vt:lpstr>Greenfield</vt:lpstr>
      <vt:lpstr>'F3 Cost Effectiveness'!LaPorte</vt:lpstr>
      <vt:lpstr>'F4 Trauma Center Proximity'!LaPorte</vt:lpstr>
      <vt:lpstr>'Factor 3 Calculations'!LaPorte</vt:lpstr>
      <vt:lpstr>'Factor 4 Calculations'!LaPorte</vt:lpstr>
      <vt:lpstr>'Systemic BC Calculations'!LaPorte</vt:lpstr>
      <vt:lpstr>'Systemic Safety BC'!LaPorte</vt:lpstr>
      <vt:lpstr>TSAT!LaPorte</vt:lpstr>
      <vt:lpstr>LaPorte</vt:lpstr>
      <vt:lpstr>'Cover Sheet'!Print_Area</vt:lpstr>
      <vt:lpstr>'CRF Data'!Print_Area</vt:lpstr>
      <vt:lpstr>'F1 Crash Severity'!Print_Area</vt:lpstr>
      <vt:lpstr>'F2 Crash Frequency'!Print_Area</vt:lpstr>
      <vt:lpstr>'F3 Cost Effectiveness'!Print_Area</vt:lpstr>
      <vt:lpstr>'F4 Trauma Center Proximity'!Print_Area</vt:lpstr>
      <vt:lpstr>'F5 Mobility Improvement'!Print_Area</vt:lpstr>
      <vt:lpstr>'F6 Public and Other Interest'!Print_Area</vt:lpstr>
      <vt:lpstr>'F7 Economic Factors'!Print_Area</vt:lpstr>
      <vt:lpstr>'F8 Earmarks and External Cont.'!Print_Area</vt:lpstr>
      <vt:lpstr>'Systemic Safety BC'!Print_Area</vt:lpstr>
      <vt:lpstr>TSAT!Print_Area</vt:lpstr>
      <vt:lpstr>'F3 Cost Effectiveness'!Seymour</vt:lpstr>
      <vt:lpstr>'F4 Trauma Center Proximity'!Seymour</vt:lpstr>
      <vt:lpstr>'Factor 3 Calculations'!Seymour</vt:lpstr>
      <vt:lpstr>'Factor 4 Calculations'!Seymour</vt:lpstr>
      <vt:lpstr>'Systemic BC Calculations'!Seymour</vt:lpstr>
      <vt:lpstr>'Systemic Safety BC'!Seymour</vt:lpstr>
      <vt:lpstr>TSAT!Seymour</vt:lpstr>
      <vt:lpstr>Seymour</vt:lpstr>
      <vt:lpstr>'F3 Cost Effectiveness'!Vincennes</vt:lpstr>
      <vt:lpstr>'F4 Trauma Center Proximity'!Vincennes</vt:lpstr>
      <vt:lpstr>'Factor 3 Calculations'!Vincennes</vt:lpstr>
      <vt:lpstr>'Factor 4 Calculations'!Vincennes</vt:lpstr>
      <vt:lpstr>'Systemic BC Calculations'!Vincennes</vt:lpstr>
      <vt:lpstr>'Systemic Safety BC'!Vincennes</vt:lpstr>
      <vt:lpstr>TSAT!Vincennes</vt:lpstr>
      <vt:lpstr>Vincennes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Gallagher, Jack</dc:creator>
  <cp:keywords/>
  <dc:description/>
  <cp:lastModifiedBy>Gallagher, Jack</cp:lastModifiedBy>
  <cp:revision/>
  <cp:lastPrinted>2026-08-25T13:22:02Z</cp:lastPrinted>
  <dcterms:created xsi:type="dcterms:W3CDTF">2006-09-16T00:00:00Z</dcterms:created>
  <dcterms:modified xsi:type="dcterms:W3CDTF">2026-08-25T13:30:14Z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0x0101000D4D9654BF6D8F4AAA50E67A4BD6E9DB</vt:lpwstr>
  </property>
  <property fmtid="{D5CDD505-2E9C-101B-9397-08002B2CF9AE}" pid="3" name="MediaServiceImageTags">
    <vt:lpwstr/>
  </property>
  <property fmtid="{D5CDD505-2E9C-101B-9397-08002B2CF9AE}" pid="4" name="ESRI_WORKBOOK_ID">
    <vt:lpwstr>4d5265224a3140af9293a5c3ab94ee69</vt:lpwstr>
  </property>
  <property fmtid="{D5CDD505-2E9C-101B-9397-08002B2CF9AE}" pid="5" name="Folder_Number">
    <vt:lpwstr/>
  </property>
  <property fmtid="{D5CDD505-2E9C-101B-9397-08002B2CF9AE}" pid="6" name="Folder_Code">
    <vt:lpwstr/>
  </property>
  <property fmtid="{D5CDD505-2E9C-101B-9397-08002B2CF9AE}" pid="7" name="Folder_Name">
    <vt:lpwstr/>
  </property>
  <property fmtid="{D5CDD505-2E9C-101B-9397-08002B2CF9AE}" pid="8" name="Folder_Description">
    <vt:lpwstr/>
  </property>
  <property fmtid="{D5CDD505-2E9C-101B-9397-08002B2CF9AE}" pid="9" name="/Folder_Name/">
    <vt:lpwstr/>
  </property>
  <property fmtid="{D5CDD505-2E9C-101B-9397-08002B2CF9AE}" pid="10" name="/Folder_Description/">
    <vt:lpwstr/>
  </property>
  <property fmtid="{D5CDD505-2E9C-101B-9397-08002B2CF9AE}" pid="11" name="Folder_Version">
    <vt:lpwstr/>
  </property>
  <property fmtid="{D5CDD505-2E9C-101B-9397-08002B2CF9AE}" pid="12" name="Folder_VersionSeq">
    <vt:lpwstr/>
  </property>
  <property fmtid="{D5CDD505-2E9C-101B-9397-08002B2CF9AE}" pid="13" name="Folder_Manager">
    <vt:lpwstr/>
  </property>
  <property fmtid="{D5CDD505-2E9C-101B-9397-08002B2CF9AE}" pid="14" name="Folder_ManagerDesc">
    <vt:lpwstr/>
  </property>
  <property fmtid="{D5CDD505-2E9C-101B-9397-08002B2CF9AE}" pid="15" name="Folder_Storage">
    <vt:lpwstr/>
  </property>
  <property fmtid="{D5CDD505-2E9C-101B-9397-08002B2CF9AE}" pid="16" name="Folder_StorageDesc">
    <vt:lpwstr/>
  </property>
  <property fmtid="{D5CDD505-2E9C-101B-9397-08002B2CF9AE}" pid="17" name="Folder_Creator">
    <vt:lpwstr/>
  </property>
  <property fmtid="{D5CDD505-2E9C-101B-9397-08002B2CF9AE}" pid="18" name="Folder_CreatorDesc">
    <vt:lpwstr/>
  </property>
  <property fmtid="{D5CDD505-2E9C-101B-9397-08002B2CF9AE}" pid="19" name="Folder_CreateDate">
    <vt:lpwstr/>
  </property>
  <property fmtid="{D5CDD505-2E9C-101B-9397-08002B2CF9AE}" pid="20" name="Folder_Updater">
    <vt:lpwstr/>
  </property>
  <property fmtid="{D5CDD505-2E9C-101B-9397-08002B2CF9AE}" pid="21" name="Folder_UpdaterDesc">
    <vt:lpwstr/>
  </property>
  <property fmtid="{D5CDD505-2E9C-101B-9397-08002B2CF9AE}" pid="22" name="Folder_UpdateDate">
    <vt:lpwstr/>
  </property>
  <property fmtid="{D5CDD505-2E9C-101B-9397-08002B2CF9AE}" pid="23" name="Document_Number">
    <vt:lpwstr/>
  </property>
  <property fmtid="{D5CDD505-2E9C-101B-9397-08002B2CF9AE}" pid="24" name="Document_Name">
    <vt:lpwstr/>
  </property>
  <property fmtid="{D5CDD505-2E9C-101B-9397-08002B2CF9AE}" pid="25" name="Document_FileName">
    <vt:lpwstr/>
  </property>
  <property fmtid="{D5CDD505-2E9C-101B-9397-08002B2CF9AE}" pid="26" name="Document_Version">
    <vt:lpwstr/>
  </property>
  <property fmtid="{D5CDD505-2E9C-101B-9397-08002B2CF9AE}" pid="27" name="Document_VersionSeq">
    <vt:lpwstr/>
  </property>
  <property fmtid="{D5CDD505-2E9C-101B-9397-08002B2CF9AE}" pid="28" name="Document_Creator">
    <vt:lpwstr/>
  </property>
  <property fmtid="{D5CDD505-2E9C-101B-9397-08002B2CF9AE}" pid="29" name="Document_CreatorDesc">
    <vt:lpwstr/>
  </property>
  <property fmtid="{D5CDD505-2E9C-101B-9397-08002B2CF9AE}" pid="30" name="Document_CreateDate">
    <vt:lpwstr/>
  </property>
  <property fmtid="{D5CDD505-2E9C-101B-9397-08002B2CF9AE}" pid="31" name="Document_Updater">
    <vt:lpwstr/>
  </property>
  <property fmtid="{D5CDD505-2E9C-101B-9397-08002B2CF9AE}" pid="32" name="Document_UpdaterDesc">
    <vt:lpwstr/>
  </property>
  <property fmtid="{D5CDD505-2E9C-101B-9397-08002B2CF9AE}" pid="33" name="Document_UpdateDate">
    <vt:lpwstr/>
  </property>
  <property fmtid="{D5CDD505-2E9C-101B-9397-08002B2CF9AE}" pid="34" name="Document_Size">
    <vt:lpwstr/>
  </property>
  <property fmtid="{D5CDD505-2E9C-101B-9397-08002B2CF9AE}" pid="35" name="Document_Storage">
    <vt:lpwstr/>
  </property>
  <property fmtid="{D5CDD505-2E9C-101B-9397-08002B2CF9AE}" pid="36" name="Document_StorageDesc">
    <vt:lpwstr/>
  </property>
  <property fmtid="{D5CDD505-2E9C-101B-9397-08002B2CF9AE}" pid="37" name="Document_Department">
    <vt:lpwstr/>
  </property>
  <property fmtid="{D5CDD505-2E9C-101B-9397-08002B2CF9AE}" pid="38" name="Document_DepartmentDesc">
    <vt:lpwstr/>
  </property>
</Properties>
</file>