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defaultThemeVersion="124226"/>
  <mc:AlternateContent xmlns:mc="http://schemas.openxmlformats.org/markup-compatibility/2006">
    <mc:Choice Requires="x15">
      <x15ac:absPath xmlns:x15ac="http://schemas.microsoft.com/office/spreadsheetml/2010/11/ac" url="https://ingov.sharepoint.com/sites/INDOTTrafficEngineering/Shared Documents/Office of Traffic Safety/Scoping Blank Templates/Tools/"/>
    </mc:Choice>
  </mc:AlternateContent>
  <xr:revisionPtr revIDLastSave="2" documentId="8_{344C3053-84C1-4F41-BAA8-D956F02B6CD6}" xr6:coauthVersionLast="47" xr6:coauthVersionMax="47" xr10:uidLastSave="{9DE81496-6975-4289-A176-FB039FA075BB}"/>
  <bookViews>
    <workbookView xWindow="-27675" yWindow="1125" windowWidth="21600" windowHeight="11295" xr2:uid="{00000000-000D-0000-FFFF-FFFF00000000}"/>
  </bookViews>
  <sheets>
    <sheet name="Worksheet" sheetId="1" r:id="rId1"/>
    <sheet name="Hourly Volume Data" sheetId="7" r:id="rId2"/>
    <sheet name="Paste Collapsed Miovision Count" sheetId="8" r:id="rId3"/>
    <sheet name="Output for Hourly Volume Data " sheetId="9" r:id="rId4"/>
    <sheet name="Sheet3" sheetId="4" state="hidden" r:id="rId5"/>
    <sheet name="Sheet1" sheetId="6" state="hidden" r:id="rId6"/>
  </sheets>
  <definedNames>
    <definedName name="Approaches">Sheet3!$D$2:$D$3</definedName>
    <definedName name="Bus">Sheet3!$N$2:$N$5</definedName>
    <definedName name="Choice">Sheet3!$B$2:$B$3</definedName>
    <definedName name="Counts">Sheet3!$J$2:$K$2</definedName>
    <definedName name="EXISTING">Sheet3!$J$3:$J$7</definedName>
    <definedName name="Lanes">Sheet3!$C$2:$C$3</definedName>
    <definedName name="Location">Sheet3!$A$2:$A$5</definedName>
    <definedName name="Major">Sheet3!$F$2:$F$3</definedName>
    <definedName name="Manual">Sheet3!$E$2:$E$4</definedName>
    <definedName name="Minor">Sheet3!$G$2:$G$6</definedName>
    <definedName name="_xlnm.Print_Area" localSheetId="1">'Hourly Volume Data'!$A$1:$W$42</definedName>
    <definedName name="_xlnm.Print_Area" localSheetId="0">Worksheet!$A$1:$CA$45</definedName>
    <definedName name="PROJECTED">Sheet3!$K$3:$K$4</definedName>
    <definedName name="Rail">Sheet3!$L$2:$L$7</definedName>
    <definedName name="RT">Sheet3!$H$2:$H$4</definedName>
    <definedName name="RTpicCells">#REF!</definedName>
    <definedName name="Set">Sheet3!$I$2</definedName>
    <definedName name="Truck">Sheet3!$P$2:$P$8</definedName>
    <definedName name="Warrants">Sheet3!$T$2:$T$8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9" l="1"/>
  <c r="E20" i="9"/>
  <c r="F20" i="9"/>
  <c r="G20" i="9"/>
  <c r="H20" i="9"/>
  <c r="I20" i="9"/>
  <c r="J20" i="9"/>
  <c r="K20" i="9"/>
  <c r="L20" i="9"/>
  <c r="M20" i="9"/>
  <c r="N20" i="9"/>
  <c r="O20" i="9"/>
  <c r="P20" i="9"/>
  <c r="Q20" i="9"/>
  <c r="R20" i="9"/>
  <c r="S20" i="9"/>
  <c r="T20" i="9"/>
  <c r="U20" i="9"/>
  <c r="V20" i="9"/>
  <c r="C20" i="9"/>
  <c r="D19" i="9"/>
  <c r="E19" i="9"/>
  <c r="F19" i="9"/>
  <c r="G19" i="9"/>
  <c r="H19" i="9"/>
  <c r="I19" i="9"/>
  <c r="J19" i="9"/>
  <c r="K19" i="9"/>
  <c r="L19" i="9"/>
  <c r="M19" i="9"/>
  <c r="N19" i="9"/>
  <c r="O19" i="9"/>
  <c r="P19" i="9"/>
  <c r="Q19" i="9"/>
  <c r="R19" i="9"/>
  <c r="S19" i="9"/>
  <c r="T19" i="9"/>
  <c r="U19" i="9"/>
  <c r="V19" i="9"/>
  <c r="C19" i="9"/>
  <c r="D18" i="9"/>
  <c r="E18" i="9"/>
  <c r="F18" i="9"/>
  <c r="G18" i="9"/>
  <c r="H18" i="9"/>
  <c r="I18" i="9"/>
  <c r="J18" i="9"/>
  <c r="K18" i="9"/>
  <c r="L18" i="9"/>
  <c r="M18" i="9"/>
  <c r="N18" i="9"/>
  <c r="O18" i="9"/>
  <c r="P18" i="9"/>
  <c r="Q18" i="9"/>
  <c r="R18" i="9"/>
  <c r="S18" i="9"/>
  <c r="T18" i="9"/>
  <c r="U18" i="9"/>
  <c r="V18" i="9"/>
  <c r="C18" i="9"/>
  <c r="D17" i="9"/>
  <c r="E17" i="9"/>
  <c r="F17" i="9"/>
  <c r="G17" i="9"/>
  <c r="H17" i="9"/>
  <c r="I17" i="9"/>
  <c r="J17" i="9"/>
  <c r="K17" i="9"/>
  <c r="L17" i="9"/>
  <c r="M17" i="9"/>
  <c r="N17" i="9"/>
  <c r="O17" i="9"/>
  <c r="P17" i="9"/>
  <c r="Q17" i="9"/>
  <c r="R17" i="9"/>
  <c r="S17" i="9"/>
  <c r="T17" i="9"/>
  <c r="U17" i="9"/>
  <c r="V17" i="9"/>
  <c r="C17" i="9"/>
  <c r="D16" i="9"/>
  <c r="E16" i="9"/>
  <c r="F16" i="9"/>
  <c r="G16" i="9"/>
  <c r="H16" i="9"/>
  <c r="I16" i="9"/>
  <c r="J16" i="9"/>
  <c r="K16" i="9"/>
  <c r="L16" i="9"/>
  <c r="M16" i="9"/>
  <c r="N16" i="9"/>
  <c r="O16" i="9"/>
  <c r="P16" i="9"/>
  <c r="Q16" i="9"/>
  <c r="R16" i="9"/>
  <c r="S16" i="9"/>
  <c r="T16" i="9"/>
  <c r="U16" i="9"/>
  <c r="V16" i="9"/>
  <c r="C16" i="9"/>
  <c r="D15" i="9"/>
  <c r="E15" i="9"/>
  <c r="F15" i="9"/>
  <c r="G15" i="9"/>
  <c r="H15" i="9"/>
  <c r="I15" i="9"/>
  <c r="J15" i="9"/>
  <c r="K15" i="9"/>
  <c r="L15" i="9"/>
  <c r="M15" i="9"/>
  <c r="N15" i="9"/>
  <c r="O15" i="9"/>
  <c r="P15" i="9"/>
  <c r="Q15" i="9"/>
  <c r="R15" i="9"/>
  <c r="S15" i="9"/>
  <c r="T15" i="9"/>
  <c r="U15" i="9"/>
  <c r="V15" i="9"/>
  <c r="C15" i="9"/>
  <c r="D14" i="9"/>
  <c r="E14" i="9"/>
  <c r="F14" i="9"/>
  <c r="G14" i="9"/>
  <c r="H14" i="9"/>
  <c r="I14" i="9"/>
  <c r="J14" i="9"/>
  <c r="K14" i="9"/>
  <c r="L14" i="9"/>
  <c r="M14" i="9"/>
  <c r="N14" i="9"/>
  <c r="O14" i="9"/>
  <c r="P14" i="9"/>
  <c r="Q14" i="9"/>
  <c r="R14" i="9"/>
  <c r="S14" i="9"/>
  <c r="T14" i="9"/>
  <c r="U14" i="9"/>
  <c r="V14" i="9"/>
  <c r="C14" i="9"/>
  <c r="D13" i="9"/>
  <c r="E13" i="9"/>
  <c r="F13" i="9"/>
  <c r="G13" i="9"/>
  <c r="H13" i="9"/>
  <c r="I13" i="9"/>
  <c r="J13" i="9"/>
  <c r="K13" i="9"/>
  <c r="L13" i="9"/>
  <c r="M13" i="9"/>
  <c r="N13" i="9"/>
  <c r="O13" i="9"/>
  <c r="P13" i="9"/>
  <c r="Q13" i="9"/>
  <c r="R13" i="9"/>
  <c r="S13" i="9"/>
  <c r="T13" i="9"/>
  <c r="U13" i="9"/>
  <c r="V13" i="9"/>
  <c r="C13" i="9"/>
  <c r="D12" i="9"/>
  <c r="E12" i="9"/>
  <c r="F12" i="9"/>
  <c r="G12" i="9"/>
  <c r="H12" i="9"/>
  <c r="I12" i="9"/>
  <c r="J12" i="9"/>
  <c r="K12" i="9"/>
  <c r="L12" i="9"/>
  <c r="M12" i="9"/>
  <c r="N12" i="9"/>
  <c r="O12" i="9"/>
  <c r="P12" i="9"/>
  <c r="Q12" i="9"/>
  <c r="R12" i="9"/>
  <c r="S12" i="9"/>
  <c r="T12" i="9"/>
  <c r="U12" i="9"/>
  <c r="V12" i="9"/>
  <c r="C12" i="9"/>
  <c r="D11" i="9"/>
  <c r="E11" i="9"/>
  <c r="F11" i="9"/>
  <c r="G11" i="9"/>
  <c r="H11" i="9"/>
  <c r="I11" i="9"/>
  <c r="J11" i="9"/>
  <c r="K11" i="9"/>
  <c r="L11" i="9"/>
  <c r="M11" i="9"/>
  <c r="N11" i="9"/>
  <c r="O11" i="9"/>
  <c r="P11" i="9"/>
  <c r="Q11" i="9"/>
  <c r="R11" i="9"/>
  <c r="S11" i="9"/>
  <c r="T11" i="9"/>
  <c r="U11" i="9"/>
  <c r="V11" i="9"/>
  <c r="C11" i="9"/>
  <c r="D10" i="9"/>
  <c r="E10" i="9"/>
  <c r="F10" i="9"/>
  <c r="G10" i="9"/>
  <c r="H10" i="9"/>
  <c r="I10" i="9"/>
  <c r="J10" i="9"/>
  <c r="K10" i="9"/>
  <c r="L10" i="9"/>
  <c r="M10" i="9"/>
  <c r="N10" i="9"/>
  <c r="O10" i="9"/>
  <c r="P10" i="9"/>
  <c r="Q10" i="9"/>
  <c r="R10" i="9"/>
  <c r="S10" i="9"/>
  <c r="T10" i="9"/>
  <c r="U10" i="9"/>
  <c r="V10" i="9"/>
  <c r="C10" i="9"/>
  <c r="D9" i="9"/>
  <c r="E9" i="9"/>
  <c r="F9" i="9"/>
  <c r="G9" i="9"/>
  <c r="H9" i="9"/>
  <c r="I9" i="9"/>
  <c r="J9" i="9"/>
  <c r="K9" i="9"/>
  <c r="L9" i="9"/>
  <c r="M9" i="9"/>
  <c r="N9" i="9"/>
  <c r="O9" i="9"/>
  <c r="P9" i="9"/>
  <c r="Q9" i="9"/>
  <c r="R9" i="9"/>
  <c r="S9" i="9"/>
  <c r="T9" i="9"/>
  <c r="U9" i="9"/>
  <c r="V9" i="9"/>
  <c r="C9" i="9"/>
  <c r="D8" i="9"/>
  <c r="E8" i="9"/>
  <c r="F8" i="9"/>
  <c r="G8" i="9"/>
  <c r="H8" i="9"/>
  <c r="I8" i="9"/>
  <c r="J8" i="9"/>
  <c r="K8" i="9"/>
  <c r="L8" i="9"/>
  <c r="M8" i="9"/>
  <c r="N8" i="9"/>
  <c r="O8" i="9"/>
  <c r="P8" i="9"/>
  <c r="Q8" i="9"/>
  <c r="R8" i="9"/>
  <c r="S8" i="9"/>
  <c r="T8" i="9"/>
  <c r="U8" i="9"/>
  <c r="V8" i="9"/>
  <c r="C8" i="9"/>
  <c r="D7" i="9"/>
  <c r="E7" i="9"/>
  <c r="F7" i="9"/>
  <c r="G7" i="9"/>
  <c r="H7" i="9"/>
  <c r="I7" i="9"/>
  <c r="J7" i="9"/>
  <c r="K7" i="9"/>
  <c r="L7" i="9"/>
  <c r="M7" i="9"/>
  <c r="N7" i="9"/>
  <c r="O7" i="9"/>
  <c r="P7" i="9"/>
  <c r="Q7" i="9"/>
  <c r="R7" i="9"/>
  <c r="S7" i="9"/>
  <c r="T7" i="9"/>
  <c r="U7" i="9"/>
  <c r="V7" i="9"/>
  <c r="C7" i="9"/>
  <c r="D6" i="9"/>
  <c r="E6" i="9"/>
  <c r="F6" i="9"/>
  <c r="G6" i="9"/>
  <c r="H6" i="9"/>
  <c r="I6" i="9"/>
  <c r="J6" i="9"/>
  <c r="K6" i="9"/>
  <c r="L6" i="9"/>
  <c r="M6" i="9"/>
  <c r="N6" i="9"/>
  <c r="O6" i="9"/>
  <c r="P6" i="9"/>
  <c r="Q6" i="9"/>
  <c r="R6" i="9"/>
  <c r="S6" i="9"/>
  <c r="T6" i="9"/>
  <c r="U6" i="9"/>
  <c r="V6" i="9"/>
  <c r="C6" i="9"/>
  <c r="G5" i="9"/>
  <c r="H5" i="9"/>
  <c r="I5" i="9"/>
  <c r="J5" i="9"/>
  <c r="K5" i="9"/>
  <c r="L5" i="9"/>
  <c r="M5" i="9"/>
  <c r="N5" i="9"/>
  <c r="O5" i="9"/>
  <c r="P5" i="9"/>
  <c r="Q5" i="9"/>
  <c r="R5" i="9"/>
  <c r="S5" i="9"/>
  <c r="T5" i="9"/>
  <c r="U5" i="9"/>
  <c r="V5" i="9"/>
  <c r="E5" i="9"/>
  <c r="F5" i="9"/>
  <c r="D5" i="9"/>
  <c r="C5" i="9"/>
  <c r="B6" i="9"/>
  <c r="B7" i="9" s="1"/>
  <c r="B8" i="9" s="1"/>
  <c r="B9" i="9" s="1"/>
  <c r="B10" i="9" s="1"/>
  <c r="B11" i="9" s="1"/>
  <c r="B12" i="9" s="1"/>
  <c r="B13" i="9" s="1"/>
  <c r="B14" i="9" s="1"/>
  <c r="B15" i="9" s="1"/>
  <c r="B16" i="9" s="1"/>
  <c r="B17" i="9" s="1"/>
  <c r="B18" i="9" s="1"/>
  <c r="B19" i="9" s="1"/>
  <c r="B20" i="9" s="1"/>
  <c r="J21" i="9" l="1"/>
  <c r="R21" i="9"/>
  <c r="T21" i="9"/>
  <c r="W6" i="9"/>
  <c r="W9" i="9"/>
  <c r="W14" i="9"/>
  <c r="F21" i="9"/>
  <c r="P21" i="9"/>
  <c r="D21" i="9"/>
  <c r="W18" i="9"/>
  <c r="W20" i="9"/>
  <c r="O21" i="9"/>
  <c r="S21" i="9"/>
  <c r="K21" i="9"/>
  <c r="W15" i="9"/>
  <c r="W19" i="9"/>
  <c r="N21" i="9"/>
  <c r="W12" i="9"/>
  <c r="W16" i="9"/>
  <c r="I21" i="9"/>
  <c r="E21" i="9"/>
  <c r="W7" i="9"/>
  <c r="W10" i="9"/>
  <c r="W13" i="9"/>
  <c r="W17" i="9"/>
  <c r="W11" i="9"/>
  <c r="W8" i="9"/>
  <c r="H21" i="9"/>
  <c r="U21" i="9"/>
  <c r="V21" i="9" s="1"/>
  <c r="M21" i="9"/>
  <c r="W5" i="9"/>
  <c r="C21" i="9"/>
  <c r="Q21" i="9" l="1"/>
  <c r="G21" i="9"/>
  <c r="L21" i="9"/>
  <c r="W21" i="9"/>
  <c r="W5" i="7" l="1"/>
  <c r="C21" i="7" l="1"/>
  <c r="L1" i="1" l="1"/>
  <c r="N13" i="1" s="1"/>
  <c r="C17" i="1" l="1"/>
  <c r="C16" i="1"/>
  <c r="C15" i="1"/>
  <c r="C14" i="1"/>
  <c r="Z27" i="7"/>
  <c r="Z28" i="7"/>
  <c r="Z29" i="7"/>
  <c r="Z26" i="7"/>
  <c r="AA45" i="1" l="1"/>
  <c r="F31" i="7"/>
  <c r="AZ8" i="1"/>
  <c r="E20" i="1"/>
  <c r="A20" i="1"/>
  <c r="BA8" i="1" l="1"/>
  <c r="Y16" i="7"/>
  <c r="AA8" i="7"/>
  <c r="AV4" i="1"/>
  <c r="AU4" i="1"/>
  <c r="AT4" i="1"/>
  <c r="AS4" i="1"/>
  <c r="AP34" i="6"/>
  <c r="AO33" i="6"/>
  <c r="AP14" i="6"/>
  <c r="AQ14" i="6"/>
  <c r="AO14" i="6"/>
  <c r="P38" i="4"/>
  <c r="L41" i="4"/>
  <c r="J42" i="4"/>
  <c r="H44" i="4"/>
  <c r="D45" i="4"/>
  <c r="B49" i="4"/>
  <c r="V23" i="4"/>
  <c r="V22" i="4"/>
  <c r="V21" i="4"/>
  <c r="P25" i="4"/>
  <c r="L25" i="4"/>
  <c r="J20" i="4"/>
  <c r="H26" i="4"/>
  <c r="D26" i="4"/>
  <c r="B26" i="4"/>
  <c r="B27" i="4"/>
  <c r="M38" i="7" l="1"/>
  <c r="M34" i="7"/>
  <c r="M30" i="7"/>
  <c r="M35" i="7"/>
  <c r="M27" i="7"/>
  <c r="M40" i="7"/>
  <c r="M36" i="7"/>
  <c r="M28" i="7"/>
  <c r="M41" i="7"/>
  <c r="M37" i="7"/>
  <c r="M33" i="7"/>
  <c r="M29" i="7"/>
  <c r="M39" i="7"/>
  <c r="M31" i="7"/>
  <c r="M32" i="7"/>
  <c r="Z5" i="7"/>
  <c r="M26" i="7"/>
  <c r="AA5" i="7"/>
  <c r="AA14" i="7"/>
  <c r="Y6" i="7"/>
  <c r="AA6" i="7"/>
  <c r="AA17" i="7"/>
  <c r="AA20" i="7"/>
  <c r="AA13" i="7"/>
  <c r="AA9" i="7"/>
  <c r="AA16" i="7"/>
  <c r="AA10" i="7"/>
  <c r="AA18" i="7"/>
  <c r="AA15" i="7"/>
  <c r="AA11" i="7"/>
  <c r="AA7" i="7"/>
  <c r="AA19" i="7"/>
  <c r="AA12" i="7"/>
  <c r="Y12" i="7"/>
  <c r="Y20" i="7"/>
  <c r="Y8" i="7"/>
  <c r="AB18" i="7"/>
  <c r="AB14" i="7"/>
  <c r="AB6" i="7"/>
  <c r="AB15" i="7"/>
  <c r="AB13" i="7"/>
  <c r="AB9" i="7"/>
  <c r="AB7" i="7"/>
  <c r="AB20" i="7"/>
  <c r="AB12" i="7"/>
  <c r="AB16" i="7"/>
  <c r="AB11" i="7"/>
  <c r="AB5" i="7"/>
  <c r="AB19" i="7"/>
  <c r="AB17" i="7"/>
  <c r="AB10" i="7"/>
  <c r="AB8" i="7"/>
  <c r="Y19" i="7"/>
  <c r="Y17" i="7"/>
  <c r="Y13" i="7"/>
  <c r="Y9" i="7"/>
  <c r="Y5" i="7"/>
  <c r="Y15" i="7"/>
  <c r="Y11" i="7"/>
  <c r="Y7" i="7"/>
  <c r="Y18" i="7"/>
  <c r="Y14" i="7"/>
  <c r="Y10" i="7"/>
  <c r="Z20" i="7"/>
  <c r="Z18" i="7"/>
  <c r="T39" i="7" s="1"/>
  <c r="Z16" i="7"/>
  <c r="Z14" i="7"/>
  <c r="Z10" i="7"/>
  <c r="Z6" i="7"/>
  <c r="Z19" i="7"/>
  <c r="Z17" i="7"/>
  <c r="Z15" i="7"/>
  <c r="Z13" i="7"/>
  <c r="Z12" i="7"/>
  <c r="Z11" i="7"/>
  <c r="Z9" i="7"/>
  <c r="Z8" i="7"/>
  <c r="Z7" i="7"/>
  <c r="T41" i="7" l="1"/>
  <c r="T28" i="7"/>
  <c r="T40" i="7"/>
  <c r="T38" i="7"/>
  <c r="T27" i="7"/>
  <c r="T29" i="7"/>
  <c r="T30" i="7"/>
  <c r="T31" i="7"/>
  <c r="T32" i="7"/>
  <c r="T35" i="7"/>
  <c r="T36" i="7"/>
  <c r="T33" i="7"/>
  <c r="T37" i="7"/>
  <c r="T26" i="7"/>
  <c r="T34" i="7"/>
  <c r="CD7" i="1"/>
  <c r="BO12" i="1" l="1"/>
  <c r="J36" i="1" s="1"/>
  <c r="L16" i="4"/>
  <c r="L17" i="4"/>
  <c r="L18" i="4"/>
  <c r="D27" i="4"/>
  <c r="H4" i="4"/>
  <c r="H3" i="4"/>
  <c r="H2" i="4"/>
  <c r="W20" i="7"/>
  <c r="W19" i="7"/>
  <c r="W18" i="7"/>
  <c r="W17" i="7"/>
  <c r="W16" i="7"/>
  <c r="W15" i="7"/>
  <c r="W14" i="7"/>
  <c r="W13" i="7"/>
  <c r="W12" i="7"/>
  <c r="W11" i="7"/>
  <c r="W10" i="7"/>
  <c r="W9" i="7"/>
  <c r="W8" i="7"/>
  <c r="W7" i="7"/>
  <c r="W6" i="7"/>
  <c r="B6" i="7"/>
  <c r="B7" i="7" s="1"/>
  <c r="B8" i="7" s="1"/>
  <c r="B9" i="7" s="1"/>
  <c r="B10" i="7" s="1"/>
  <c r="B11" i="7" s="1"/>
  <c r="B12" i="7" s="1"/>
  <c r="B13" i="7" s="1"/>
  <c r="B14" i="7" s="1"/>
  <c r="B15" i="7" s="1"/>
  <c r="B16" i="7" s="1"/>
  <c r="B17" i="7" s="1"/>
  <c r="B18" i="7" s="1"/>
  <c r="B19" i="7" s="1"/>
  <c r="B20" i="7" s="1"/>
  <c r="S24" i="7"/>
  <c r="M24" i="7"/>
  <c r="AA29" i="1" l="1"/>
  <c r="AT30" i="1"/>
  <c r="AT29" i="1"/>
  <c r="AA33" i="1"/>
  <c r="AT45" i="1"/>
  <c r="AS45" i="1" s="1"/>
  <c r="AT31" i="1"/>
  <c r="AA30" i="1"/>
  <c r="AA34" i="1"/>
  <c r="AT32" i="1"/>
  <c r="AT44" i="1"/>
  <c r="AA31" i="1"/>
  <c r="AT37" i="1"/>
  <c r="AA32" i="1"/>
  <c r="S37" i="7"/>
  <c r="S27" i="7"/>
  <c r="S36" i="7"/>
  <c r="S28" i="7"/>
  <c r="S41" i="7"/>
  <c r="S32" i="7"/>
  <c r="S29" i="7"/>
  <c r="S30" i="7"/>
  <c r="S31" i="7"/>
  <c r="S33" i="7"/>
  <c r="S38" i="7"/>
  <c r="S35" i="7"/>
  <c r="S40" i="7"/>
  <c r="S34" i="7"/>
  <c r="S39" i="7"/>
  <c r="S26" i="7"/>
  <c r="AU35" i="1"/>
  <c r="AU30" i="1"/>
  <c r="AU34" i="1"/>
  <c r="AU38" i="1"/>
  <c r="AU42" i="1"/>
  <c r="AB29" i="1"/>
  <c r="AU33" i="1"/>
  <c r="AU37" i="1"/>
  <c r="AU41" i="1"/>
  <c r="AU45" i="1"/>
  <c r="AU29" i="1"/>
  <c r="AU32" i="1"/>
  <c r="AU36" i="1"/>
  <c r="AU40" i="1"/>
  <c r="AU44" i="1"/>
  <c r="AU31" i="1"/>
  <c r="AU39" i="1"/>
  <c r="AU43" i="1"/>
  <c r="AB37" i="1"/>
  <c r="AB34" i="1"/>
  <c r="AB38" i="1"/>
  <c r="AB33" i="1"/>
  <c r="AB41" i="1"/>
  <c r="AB32" i="1"/>
  <c r="AA44" i="1"/>
  <c r="AB36" i="1"/>
  <c r="AB40" i="1"/>
  <c r="AB31" i="1"/>
  <c r="AB35" i="1"/>
  <c r="AB39" i="1"/>
  <c r="AB30" i="1"/>
  <c r="U35" i="7"/>
  <c r="U34" i="7"/>
  <c r="U27" i="7"/>
  <c r="U41" i="7"/>
  <c r="U28" i="7"/>
  <c r="U39" i="7"/>
  <c r="U38" i="7"/>
  <c r="U36" i="7"/>
  <c r="U26" i="7"/>
  <c r="U32" i="7"/>
  <c r="U37" i="7"/>
  <c r="U40" i="7"/>
  <c r="U31" i="7"/>
  <c r="U30" i="7"/>
  <c r="U33" i="7"/>
  <c r="U29" i="7"/>
  <c r="O28" i="7"/>
  <c r="O38" i="7"/>
  <c r="O34" i="7"/>
  <c r="O30" i="7"/>
  <c r="O39" i="7"/>
  <c r="O35" i="7"/>
  <c r="O31" i="7"/>
  <c r="O26" i="7"/>
  <c r="O40" i="7"/>
  <c r="O36" i="7"/>
  <c r="O32" i="7"/>
  <c r="O27" i="7"/>
  <c r="O41" i="7"/>
  <c r="O37" i="7"/>
  <c r="O33" i="7"/>
  <c r="O29" i="7"/>
  <c r="N26" i="7"/>
  <c r="N37" i="7"/>
  <c r="N32" i="7"/>
  <c r="N33" i="7"/>
  <c r="N28" i="7"/>
  <c r="N40" i="7"/>
  <c r="N29" i="7"/>
  <c r="N41" i="7"/>
  <c r="N36" i="7"/>
  <c r="N30" i="7"/>
  <c r="N38" i="7"/>
  <c r="N34" i="7"/>
  <c r="N39" i="7"/>
  <c r="N35" i="7"/>
  <c r="N31" i="7"/>
  <c r="N27" i="7"/>
  <c r="V27" i="7" l="1"/>
  <c r="V26" i="7"/>
  <c r="P36" i="7"/>
  <c r="Q40" i="7"/>
  <c r="U20" i="1" s="1"/>
  <c r="Q39" i="7"/>
  <c r="U19" i="1" s="1"/>
  <c r="Q36" i="7"/>
  <c r="U16" i="1" s="1"/>
  <c r="Q30" i="7"/>
  <c r="U10" i="1" s="1"/>
  <c r="P34" i="7"/>
  <c r="Q32" i="7"/>
  <c r="U12" i="1" s="1"/>
  <c r="P30" i="7"/>
  <c r="P40" i="7"/>
  <c r="P28" i="7"/>
  <c r="P38" i="7"/>
  <c r="P41" i="7"/>
  <c r="P29" i="7"/>
  <c r="Q37" i="7"/>
  <c r="U17" i="1" s="1"/>
  <c r="Q41" i="7"/>
  <c r="U21" i="1" s="1"/>
  <c r="Q29" i="7"/>
  <c r="U9" i="1" s="1"/>
  <c r="Q27" i="7"/>
  <c r="U7" i="1" s="1"/>
  <c r="Q26" i="7"/>
  <c r="U6" i="1" s="1"/>
  <c r="M42" i="7"/>
  <c r="O42" i="7"/>
  <c r="P26" i="7"/>
  <c r="N42" i="7"/>
  <c r="Q33" i="7"/>
  <c r="U13" i="1" s="1"/>
  <c r="P32" i="7"/>
  <c r="Q38" i="7"/>
  <c r="U18" i="1" s="1"/>
  <c r="Q34" i="7"/>
  <c r="U14" i="1" s="1"/>
  <c r="P37" i="7"/>
  <c r="P35" i="7"/>
  <c r="P31" i="7"/>
  <c r="Q31" i="7"/>
  <c r="U11" i="1" s="1"/>
  <c r="Q28" i="7"/>
  <c r="U8" i="1" s="1"/>
  <c r="P39" i="7"/>
  <c r="P33" i="7"/>
  <c r="Q35" i="7"/>
  <c r="U15" i="1" s="1"/>
  <c r="P27" i="7"/>
  <c r="AJ43" i="1" l="1"/>
  <c r="AR43" i="1"/>
  <c r="AI43" i="1"/>
  <c r="AP43" i="1"/>
  <c r="AO43" i="1"/>
  <c r="AD43" i="1"/>
  <c r="AG43" i="1"/>
  <c r="AE43" i="1"/>
  <c r="AF43" i="1"/>
  <c r="AH43" i="1"/>
  <c r="AK43" i="1"/>
  <c r="AC43" i="1"/>
  <c r="AN43" i="1"/>
  <c r="AQ43" i="1"/>
  <c r="AM43" i="1"/>
  <c r="AL43" i="1"/>
  <c r="AY24" i="1"/>
  <c r="A15" i="4"/>
  <c r="Q42" i="7"/>
  <c r="P42" i="7"/>
  <c r="D21" i="7" l="1"/>
  <c r="E21" i="7"/>
  <c r="F21" i="7"/>
  <c r="H21" i="7"/>
  <c r="I21" i="7"/>
  <c r="J21" i="7"/>
  <c r="K21" i="7"/>
  <c r="M21" i="7"/>
  <c r="N21" i="7"/>
  <c r="O21" i="7"/>
  <c r="P21" i="7"/>
  <c r="R21" i="7"/>
  <c r="S21" i="7"/>
  <c r="T21" i="7"/>
  <c r="U21" i="7"/>
  <c r="R3" i="1"/>
  <c r="L21" i="7" l="1"/>
  <c r="V21" i="7"/>
  <c r="Q21" i="7"/>
  <c r="G21" i="7"/>
  <c r="W21" i="7"/>
  <c r="V39" i="7" l="1"/>
  <c r="E4" i="4"/>
  <c r="E3" i="4"/>
  <c r="AI7" i="1"/>
  <c r="AP27" i="6"/>
  <c r="AP28" i="6"/>
  <c r="AP29" i="6"/>
  <c r="AP30" i="6"/>
  <c r="AP31" i="6"/>
  <c r="AP32" i="6"/>
  <c r="AP33" i="6"/>
  <c r="AP35" i="6"/>
  <c r="AP36" i="6"/>
  <c r="AP26" i="6"/>
  <c r="AR26" i="6"/>
  <c r="AO31" i="6"/>
  <c r="AO32" i="6"/>
  <c r="AO34" i="6"/>
  <c r="AO35" i="6"/>
  <c r="AO36" i="6"/>
  <c r="AO37" i="6"/>
  <c r="AO38" i="6"/>
  <c r="AO30" i="6"/>
  <c r="AQ30" i="6"/>
  <c r="AP9" i="6"/>
  <c r="AP10" i="6"/>
  <c r="AP11" i="6"/>
  <c r="AP12" i="6"/>
  <c r="AP13" i="6"/>
  <c r="AP15" i="6"/>
  <c r="AO13" i="6"/>
  <c r="AO15" i="6"/>
  <c r="AO16" i="6"/>
  <c r="AO12" i="6"/>
  <c r="AR9" i="6"/>
  <c r="AQ12" i="6"/>
  <c r="Z30" i="1"/>
  <c r="V31" i="7" l="1"/>
  <c r="V36" i="7"/>
  <c r="V29" i="7"/>
  <c r="V38" i="7"/>
  <c r="W28" i="7"/>
  <c r="W8" i="1" s="1"/>
  <c r="V32" i="7"/>
  <c r="W37" i="7"/>
  <c r="W17" i="1" s="1"/>
  <c r="AB17" i="1" s="1"/>
  <c r="V41" i="7"/>
  <c r="V35" i="7"/>
  <c r="W27" i="7"/>
  <c r="W7" i="1" s="1"/>
  <c r="V40" i="7"/>
  <c r="W31" i="7"/>
  <c r="W11" i="1" s="1"/>
  <c r="W30" i="7"/>
  <c r="W10" i="1" s="1"/>
  <c r="V34" i="7"/>
  <c r="W40" i="7"/>
  <c r="W20" i="1" s="1"/>
  <c r="V30" i="7"/>
  <c r="V37" i="7"/>
  <c r="W33" i="7"/>
  <c r="W13" i="1" s="1"/>
  <c r="W35" i="7"/>
  <c r="W15" i="1" s="1"/>
  <c r="W39" i="7"/>
  <c r="W19" i="1" s="1"/>
  <c r="W29" i="7"/>
  <c r="W9" i="1" s="1"/>
  <c r="V28" i="7"/>
  <c r="W41" i="7"/>
  <c r="W21" i="1" s="1"/>
  <c r="S42" i="7"/>
  <c r="W36" i="7"/>
  <c r="W16" i="1" s="1"/>
  <c r="W26" i="7"/>
  <c r="W6" i="1" s="1"/>
  <c r="W32" i="7"/>
  <c r="W12" i="1" s="1"/>
  <c r="W38" i="7"/>
  <c r="W18" i="1" s="1"/>
  <c r="AB18" i="1" s="1"/>
  <c r="V33" i="7"/>
  <c r="U42" i="7"/>
  <c r="T42" i="7"/>
  <c r="W34" i="7"/>
  <c r="W14" i="1" s="1"/>
  <c r="O15" i="1"/>
  <c r="N14" i="1"/>
  <c r="O6" i="1"/>
  <c r="O7" i="1"/>
  <c r="N7" i="1"/>
  <c r="N6" i="1"/>
  <c r="N15" i="1"/>
  <c r="BR39" i="1"/>
  <c r="BO22" i="1"/>
  <c r="J37" i="1" s="1"/>
  <c r="BO2" i="1"/>
  <c r="J35" i="1" s="1"/>
  <c r="BH1" i="1"/>
  <c r="AW17" i="1"/>
  <c r="P70" i="4"/>
  <c r="AZ9" i="1"/>
  <c r="AW1" i="1"/>
  <c r="M23" i="1"/>
  <c r="CC18" i="1"/>
  <c r="CB18" i="1" s="1"/>
  <c r="CC19" i="1"/>
  <c r="CB19" i="1" s="1"/>
  <c r="CC20" i="1"/>
  <c r="CB20" i="1" s="1"/>
  <c r="CC21" i="1"/>
  <c r="CB21" i="1" s="1"/>
  <c r="CC22" i="1"/>
  <c r="CB22" i="1" s="1"/>
  <c r="CC23" i="1"/>
  <c r="CB23" i="1" s="1"/>
  <c r="CC24" i="1"/>
  <c r="CB24" i="1" s="1"/>
  <c r="CC25" i="1"/>
  <c r="CB25" i="1" s="1"/>
  <c r="CC17" i="1"/>
  <c r="CB17" i="1" s="1"/>
  <c r="CC7" i="1"/>
  <c r="CB7" i="1"/>
  <c r="BS1" i="1"/>
  <c r="BQ38" i="1"/>
  <c r="BH33" i="1"/>
  <c r="R65" i="4"/>
  <c r="P63" i="4"/>
  <c r="F62" i="4"/>
  <c r="F57" i="4"/>
  <c r="F58" i="4"/>
  <c r="F59" i="4"/>
  <c r="F60" i="4"/>
  <c r="F61" i="4"/>
  <c r="R55" i="4"/>
  <c r="P55" i="4"/>
  <c r="P72" i="4"/>
  <c r="P71" i="4"/>
  <c r="R70" i="4"/>
  <c r="R69" i="4"/>
  <c r="P69" i="4"/>
  <c r="R68" i="4"/>
  <c r="P68" i="4"/>
  <c r="R67" i="4"/>
  <c r="P67" i="4"/>
  <c r="R66" i="4"/>
  <c r="P66" i="4"/>
  <c r="P65" i="4"/>
  <c r="R64" i="4"/>
  <c r="P64" i="4"/>
  <c r="R63" i="4"/>
  <c r="R62" i="4"/>
  <c r="P62" i="4"/>
  <c r="R61" i="4"/>
  <c r="P61" i="4"/>
  <c r="R60" i="4"/>
  <c r="P60" i="4"/>
  <c r="R59" i="4"/>
  <c r="P59" i="4"/>
  <c r="R58" i="4"/>
  <c r="P58" i="4"/>
  <c r="R57" i="4"/>
  <c r="P57" i="4"/>
  <c r="R56" i="4"/>
  <c r="P56" i="4"/>
  <c r="H55" i="4"/>
  <c r="F55" i="4"/>
  <c r="F67" i="4"/>
  <c r="H66" i="4"/>
  <c r="F66" i="4"/>
  <c r="H65" i="4"/>
  <c r="F65" i="4"/>
  <c r="H64" i="4"/>
  <c r="F64" i="4"/>
  <c r="H63" i="4"/>
  <c r="F63" i="4"/>
  <c r="H62" i="4"/>
  <c r="H61" i="4"/>
  <c r="H60" i="4"/>
  <c r="H59" i="4"/>
  <c r="H58" i="4"/>
  <c r="H57" i="4"/>
  <c r="H56" i="4"/>
  <c r="F56" i="4"/>
  <c r="AR23" i="6"/>
  <c r="AR24" i="6"/>
  <c r="AR22" i="6"/>
  <c r="AR27" i="6"/>
  <c r="AR28" i="6"/>
  <c r="AR29" i="6"/>
  <c r="AR30" i="6"/>
  <c r="AR31" i="6"/>
  <c r="AR32" i="6"/>
  <c r="AR33" i="6"/>
  <c r="AR34" i="6"/>
  <c r="AR35" i="6"/>
  <c r="AR36" i="6"/>
  <c r="AR25" i="6"/>
  <c r="AQ31" i="6"/>
  <c r="AQ32" i="6"/>
  <c r="AQ33" i="6"/>
  <c r="AQ34" i="6"/>
  <c r="AQ35" i="6"/>
  <c r="AQ36" i="6"/>
  <c r="AQ37" i="6"/>
  <c r="AQ38" i="6"/>
  <c r="AQ29" i="6"/>
  <c r="AQ22" i="6"/>
  <c r="AQ23" i="6"/>
  <c r="AQ24" i="6"/>
  <c r="AQ25" i="6"/>
  <c r="AQ26" i="6"/>
  <c r="AQ27" i="6"/>
  <c r="AQ28" i="6"/>
  <c r="AR10" i="6"/>
  <c r="AR11" i="6"/>
  <c r="AR12" i="6"/>
  <c r="AR13" i="6"/>
  <c r="AR14" i="6"/>
  <c r="AR15" i="6"/>
  <c r="AR8" i="6"/>
  <c r="AR6" i="6"/>
  <c r="AR7" i="6"/>
  <c r="AR5" i="6"/>
  <c r="AQ13" i="6"/>
  <c r="AQ15" i="6"/>
  <c r="AQ16" i="6"/>
  <c r="AQ11" i="6"/>
  <c r="AQ5" i="6"/>
  <c r="BH20" i="1"/>
  <c r="L36" i="4"/>
  <c r="P36" i="4"/>
  <c r="L37" i="4"/>
  <c r="P37" i="4"/>
  <c r="J38" i="4"/>
  <c r="AT33" i="1" s="1"/>
  <c r="L38" i="4"/>
  <c r="J39" i="4"/>
  <c r="AT34" i="1" s="1"/>
  <c r="L39" i="4"/>
  <c r="P39" i="4"/>
  <c r="J40" i="4"/>
  <c r="AT35" i="1" s="1"/>
  <c r="L40" i="4"/>
  <c r="P40" i="4"/>
  <c r="D41" i="4"/>
  <c r="H41" i="4"/>
  <c r="J41" i="4"/>
  <c r="AT36" i="1" s="1"/>
  <c r="P41" i="4"/>
  <c r="D42" i="4"/>
  <c r="H42" i="4"/>
  <c r="L42" i="4"/>
  <c r="P42" i="4"/>
  <c r="B43" i="4"/>
  <c r="D43" i="4"/>
  <c r="H43" i="4"/>
  <c r="J43" i="4"/>
  <c r="AT38" i="1" s="1"/>
  <c r="L43" i="4"/>
  <c r="P43" i="4"/>
  <c r="B44" i="4"/>
  <c r="D44" i="4"/>
  <c r="J44" i="4"/>
  <c r="AT39" i="1" s="1"/>
  <c r="L44" i="4"/>
  <c r="P44" i="4"/>
  <c r="B45" i="4"/>
  <c r="H45" i="4"/>
  <c r="J45" i="4"/>
  <c r="AT40" i="1" s="1"/>
  <c r="L45" i="4"/>
  <c r="P45" i="4"/>
  <c r="B46" i="4"/>
  <c r="D46" i="4"/>
  <c r="H46" i="4"/>
  <c r="J46" i="4"/>
  <c r="AT41" i="1" s="1"/>
  <c r="L46" i="4"/>
  <c r="P46" i="4"/>
  <c r="B47" i="4"/>
  <c r="D47" i="4"/>
  <c r="H47" i="4"/>
  <c r="J47" i="4"/>
  <c r="AT42" i="1" s="1"/>
  <c r="L47" i="4"/>
  <c r="P47" i="4"/>
  <c r="B48" i="4"/>
  <c r="D48" i="4"/>
  <c r="H48" i="4"/>
  <c r="J48" i="4"/>
  <c r="AT43" i="1" s="1"/>
  <c r="D49" i="4"/>
  <c r="AZ7" i="1"/>
  <c r="Z40" i="1"/>
  <c r="Z41" i="1"/>
  <c r="Z31" i="1"/>
  <c r="Z32" i="1"/>
  <c r="Z33" i="1"/>
  <c r="Z34" i="1"/>
  <c r="Z35" i="1"/>
  <c r="Z36" i="1"/>
  <c r="Z37" i="1"/>
  <c r="Z38" i="1"/>
  <c r="Z39" i="1"/>
  <c r="B24" i="4"/>
  <c r="B25" i="4"/>
  <c r="B23" i="4"/>
  <c r="H23" i="4"/>
  <c r="H24" i="4"/>
  <c r="H25" i="4"/>
  <c r="H22" i="4"/>
  <c r="P19" i="4"/>
  <c r="P20" i="4"/>
  <c r="P21" i="4"/>
  <c r="P22" i="4"/>
  <c r="P23" i="4"/>
  <c r="P24" i="4"/>
  <c r="P18" i="4"/>
  <c r="N8" i="1" l="1"/>
  <c r="P9" i="1" s="1"/>
  <c r="AR36" i="1"/>
  <c r="AQ36" i="1"/>
  <c r="AD36" i="1"/>
  <c r="AP36" i="1"/>
  <c r="AL36" i="1"/>
  <c r="AH36" i="1"/>
  <c r="AO36" i="1"/>
  <c r="AG36" i="1"/>
  <c r="AF36" i="1"/>
  <c r="AK36" i="1"/>
  <c r="AN36" i="1"/>
  <c r="AI36" i="1"/>
  <c r="AC36" i="1"/>
  <c r="AJ36" i="1"/>
  <c r="AM36" i="1"/>
  <c r="AE36" i="1"/>
  <c r="AO32" i="1"/>
  <c r="AG32" i="1"/>
  <c r="AK32" i="1"/>
  <c r="AD32" i="1"/>
  <c r="AM32" i="1"/>
  <c r="AE32" i="1"/>
  <c r="AJ32" i="1"/>
  <c r="AC32" i="1"/>
  <c r="AN32" i="1"/>
  <c r="AH32" i="1"/>
  <c r="AR32" i="1"/>
  <c r="AQ32" i="1"/>
  <c r="AF32" i="1"/>
  <c r="AI32" i="1"/>
  <c r="AP32" i="1"/>
  <c r="AL32" i="1"/>
  <c r="AR39" i="1"/>
  <c r="AQ39" i="1"/>
  <c r="AI39" i="1"/>
  <c r="AC39" i="1"/>
  <c r="AP39" i="1"/>
  <c r="AH39" i="1"/>
  <c r="AO39" i="1"/>
  <c r="AD39" i="1"/>
  <c r="AG39" i="1"/>
  <c r="AL39" i="1"/>
  <c r="AK39" i="1"/>
  <c r="AF39" i="1"/>
  <c r="AM39" i="1"/>
  <c r="AE39" i="1"/>
  <c r="AJ39" i="1"/>
  <c r="AN39" i="1"/>
  <c r="AO35" i="1"/>
  <c r="AG35" i="1"/>
  <c r="AK35" i="1"/>
  <c r="AF35" i="1"/>
  <c r="AJ35" i="1"/>
  <c r="AP35" i="1"/>
  <c r="AC35" i="1"/>
  <c r="AN35" i="1"/>
  <c r="AR35" i="1"/>
  <c r="AQ35" i="1"/>
  <c r="AD35" i="1"/>
  <c r="AM35" i="1"/>
  <c r="AE35" i="1"/>
  <c r="AI35" i="1"/>
  <c r="AL35" i="1"/>
  <c r="AH35" i="1"/>
  <c r="AR31" i="1"/>
  <c r="AQ31" i="1"/>
  <c r="AD31" i="1"/>
  <c r="AF31" i="1"/>
  <c r="AM31" i="1"/>
  <c r="AE31" i="1"/>
  <c r="AJ31" i="1"/>
  <c r="AL31" i="1"/>
  <c r="AN31" i="1"/>
  <c r="AO31" i="1"/>
  <c r="AG31" i="1"/>
  <c r="AK31" i="1"/>
  <c r="AI31" i="1"/>
  <c r="AP31" i="1"/>
  <c r="AH31" i="1"/>
  <c r="AC31" i="1"/>
  <c r="AF38" i="1"/>
  <c r="AJ38" i="1"/>
  <c r="AN38" i="1"/>
  <c r="AL38" i="1"/>
  <c r="AK38" i="1"/>
  <c r="AR38" i="1"/>
  <c r="AQ38" i="1"/>
  <c r="AM38" i="1"/>
  <c r="AE38" i="1"/>
  <c r="AI38" i="1"/>
  <c r="AO38" i="1"/>
  <c r="AG38" i="1"/>
  <c r="AP38" i="1"/>
  <c r="AC38" i="1"/>
  <c r="AD38" i="1"/>
  <c r="AH38" i="1"/>
  <c r="AM34" i="1"/>
  <c r="AE34" i="1"/>
  <c r="AI34" i="1"/>
  <c r="AP34" i="1"/>
  <c r="AH34" i="1"/>
  <c r="AR34" i="1"/>
  <c r="AF34" i="1"/>
  <c r="AJ34" i="1"/>
  <c r="AN34" i="1"/>
  <c r="AK34" i="1"/>
  <c r="AC34" i="1"/>
  <c r="AD34" i="1"/>
  <c r="AL34" i="1"/>
  <c r="AQ34" i="1"/>
  <c r="AO34" i="1"/>
  <c r="AG34" i="1"/>
  <c r="AO41" i="1"/>
  <c r="AG41" i="1"/>
  <c r="AJ41" i="1"/>
  <c r="AR41" i="1"/>
  <c r="AQ41" i="1"/>
  <c r="AM41" i="1"/>
  <c r="AE41" i="1"/>
  <c r="AI41" i="1"/>
  <c r="AF41" i="1"/>
  <c r="AD41" i="1"/>
  <c r="AP41" i="1"/>
  <c r="AL41" i="1"/>
  <c r="AH41" i="1"/>
  <c r="AK41" i="1"/>
  <c r="AC41" i="1"/>
  <c r="AN41" i="1"/>
  <c r="AF37" i="1"/>
  <c r="AM37" i="1"/>
  <c r="AE37" i="1"/>
  <c r="AI37" i="1"/>
  <c r="AC37" i="1"/>
  <c r="AN37" i="1"/>
  <c r="AQ37" i="1"/>
  <c r="AD37" i="1"/>
  <c r="AP37" i="1"/>
  <c r="AL37" i="1"/>
  <c r="AH37" i="1"/>
  <c r="AJ37" i="1"/>
  <c r="AO37" i="1"/>
  <c r="AG37" i="1"/>
  <c r="AK37" i="1"/>
  <c r="AR37" i="1"/>
  <c r="AD33" i="1"/>
  <c r="AP33" i="1"/>
  <c r="AL33" i="1"/>
  <c r="AH33" i="1"/>
  <c r="AK33" i="1"/>
  <c r="AM33" i="1"/>
  <c r="AE33" i="1"/>
  <c r="AI33" i="1"/>
  <c r="AR33" i="1"/>
  <c r="AQ33" i="1"/>
  <c r="AO33" i="1"/>
  <c r="AG33" i="1"/>
  <c r="AF33" i="1"/>
  <c r="AN33" i="1"/>
  <c r="AJ33" i="1"/>
  <c r="AC33" i="1"/>
  <c r="AC40" i="1"/>
  <c r="AD40" i="1"/>
  <c r="AI40" i="1"/>
  <c r="AP40" i="1"/>
  <c r="AL40" i="1"/>
  <c r="AH40" i="1"/>
  <c r="AM40" i="1"/>
  <c r="AE40" i="1"/>
  <c r="AR40" i="1"/>
  <c r="AQ40" i="1"/>
  <c r="AO40" i="1"/>
  <c r="AG40" i="1"/>
  <c r="AJ40" i="1"/>
  <c r="AK40" i="1"/>
  <c r="AN40" i="1"/>
  <c r="AF40" i="1"/>
  <c r="N16" i="1"/>
  <c r="P17" i="1" s="1"/>
  <c r="O8" i="1"/>
  <c r="BQ28" i="1" s="1"/>
  <c r="Z42" i="1"/>
  <c r="AB15" i="1"/>
  <c r="AL44" i="1"/>
  <c r="AL45" i="1" s="1"/>
  <c r="AB7" i="1"/>
  <c r="AB16" i="1"/>
  <c r="AB14" i="1"/>
  <c r="AB12" i="1"/>
  <c r="AB8" i="1"/>
  <c r="AB6" i="1"/>
  <c r="AR44" i="1"/>
  <c r="AB21" i="1"/>
  <c r="AQ44" i="1"/>
  <c r="AB20" i="1"/>
  <c r="AP44" i="1"/>
  <c r="AB19" i="1"/>
  <c r="AF44" i="1"/>
  <c r="AB9" i="1"/>
  <c r="AG44" i="1"/>
  <c r="AB10" i="1"/>
  <c r="AJ44" i="1"/>
  <c r="AB13" i="1"/>
  <c r="AH44" i="1"/>
  <c r="AB11" i="1"/>
  <c r="AC44" i="1"/>
  <c r="AC45" i="1" s="1"/>
  <c r="Y6" i="1"/>
  <c r="AC6" i="1" s="1"/>
  <c r="AI44" i="1"/>
  <c r="AK44" i="1"/>
  <c r="Y18" i="1"/>
  <c r="AO44" i="1"/>
  <c r="AE44" i="1"/>
  <c r="AE45" i="1" s="1"/>
  <c r="AD44" i="1"/>
  <c r="AN44" i="1"/>
  <c r="AM44" i="1"/>
  <c r="Y7" i="1"/>
  <c r="Y21" i="1"/>
  <c r="AC21" i="1" s="1"/>
  <c r="Y10" i="1"/>
  <c r="AC10" i="1" s="1"/>
  <c r="V42" i="7"/>
  <c r="W42" i="7"/>
  <c r="Y13" i="1"/>
  <c r="AC13" i="1" s="1"/>
  <c r="Y15" i="1"/>
  <c r="Y17" i="1"/>
  <c r="Y8" i="1"/>
  <c r="Y9" i="1"/>
  <c r="AC9" i="1" s="1"/>
  <c r="Y14" i="1"/>
  <c r="Y12" i="1"/>
  <c r="Y16" i="1"/>
  <c r="Y20" i="1"/>
  <c r="AC20" i="1" s="1"/>
  <c r="Y11" i="1"/>
  <c r="AC11" i="1" s="1"/>
  <c r="Y19" i="1"/>
  <c r="AC19" i="1" s="1"/>
  <c r="X1" i="1"/>
  <c r="AA42" i="1" s="1"/>
  <c r="N5" i="1"/>
  <c r="O13" i="1"/>
  <c r="O5" i="1"/>
  <c r="AS40" i="1"/>
  <c r="AS41" i="1"/>
  <c r="AS44" i="1"/>
  <c r="AS43" i="1"/>
  <c r="AS42" i="1"/>
  <c r="O14" i="1"/>
  <c r="L19" i="4"/>
  <c r="L20" i="4"/>
  <c r="L21" i="4"/>
  <c r="L22" i="4"/>
  <c r="L23" i="4"/>
  <c r="L24" i="4"/>
  <c r="L26" i="4"/>
  <c r="J21" i="4"/>
  <c r="AA35" i="1" s="1"/>
  <c r="J22" i="4"/>
  <c r="AA36" i="1" s="1"/>
  <c r="J23" i="4"/>
  <c r="AA37" i="1" s="1"/>
  <c r="J24" i="4"/>
  <c r="AA38" i="1" s="1"/>
  <c r="J25" i="4"/>
  <c r="AA39" i="1" s="1"/>
  <c r="J26" i="4"/>
  <c r="AA40" i="1" s="1"/>
  <c r="AA41" i="1" s="1"/>
  <c r="D22" i="4"/>
  <c r="D23" i="4"/>
  <c r="D24" i="4"/>
  <c r="D25" i="4"/>
  <c r="D21" i="4"/>
  <c r="S6" i="1"/>
  <c r="M1" i="1"/>
  <c r="AC42" i="1" l="1"/>
  <c r="AO42" i="1"/>
  <c r="AG42" i="1"/>
  <c r="AF42" i="1"/>
  <c r="AJ42" i="1"/>
  <c r="AH42" i="1"/>
  <c r="AR42" i="1"/>
  <c r="AQ42" i="1"/>
  <c r="AD42" i="1"/>
  <c r="AN42" i="1"/>
  <c r="AM42" i="1"/>
  <c r="AE42" i="1"/>
  <c r="AI42" i="1"/>
  <c r="AP42" i="1"/>
  <c r="AL42" i="1"/>
  <c r="AK42" i="1"/>
  <c r="O16" i="1"/>
  <c r="BQ29" i="1" s="1"/>
  <c r="AD6" i="1"/>
  <c r="AD21" i="1"/>
  <c r="AC7" i="1"/>
  <c r="AD7" i="1" s="1"/>
  <c r="AC14" i="1"/>
  <c r="AD14" i="1" s="1"/>
  <c r="AC15" i="1"/>
  <c r="AD15" i="1" s="1"/>
  <c r="AC16" i="1"/>
  <c r="AD16" i="1" s="1"/>
  <c r="AC8" i="1"/>
  <c r="AD8" i="1" s="1"/>
  <c r="AC18" i="1"/>
  <c r="AD18" i="1" s="1"/>
  <c r="AC12" i="1"/>
  <c r="AD12" i="1" s="1"/>
  <c r="AC17" i="1"/>
  <c r="AD17" i="1" s="1"/>
  <c r="AD19" i="1"/>
  <c r="AD20" i="1"/>
  <c r="AD9" i="1"/>
  <c r="AD13" i="1"/>
  <c r="AD11" i="1"/>
  <c r="AD10" i="1"/>
  <c r="AC28" i="1"/>
  <c r="S7" i="1"/>
  <c r="S8" i="1" s="1"/>
  <c r="S9" i="1" s="1"/>
  <c r="S10" i="1" s="1"/>
  <c r="S11" i="1" s="1"/>
  <c r="S12" i="1" s="1"/>
  <c r="S13" i="1" s="1"/>
  <c r="T6" i="1"/>
  <c r="AH7" i="1"/>
  <c r="M20" i="1"/>
  <c r="Q18" i="1"/>
  <c r="Q12" i="1"/>
  <c r="Q19" i="1"/>
  <c r="Q21" i="1"/>
  <c r="Q11" i="1"/>
  <c r="Q20" i="1"/>
  <c r="Q14" i="1"/>
  <c r="Q6" i="1"/>
  <c r="Q10" i="1"/>
  <c r="Q17" i="1"/>
  <c r="Q7" i="1"/>
  <c r="Q16" i="1"/>
  <c r="Q13" i="1"/>
  <c r="Q8" i="1"/>
  <c r="Q15" i="1"/>
  <c r="Q9" i="1"/>
  <c r="AG7" i="1"/>
  <c r="BR33" i="1"/>
  <c r="CA1" i="1"/>
  <c r="BG1" i="1"/>
  <c r="BG17" i="1"/>
  <c r="AP21" i="1" s="1"/>
  <c r="BR10" i="1"/>
  <c r="X23" i="1"/>
  <c r="AE7" i="1" s="1"/>
  <c r="BR20" i="1"/>
  <c r="AF7" i="1"/>
  <c r="BR1" i="1"/>
  <c r="AS33" i="1"/>
  <c r="AS36" i="1"/>
  <c r="AS32" i="1"/>
  <c r="AS38" i="1"/>
  <c r="AS31" i="1"/>
  <c r="AS35" i="1"/>
  <c r="AS39" i="1"/>
  <c r="AS30" i="1"/>
  <c r="AS34" i="1"/>
  <c r="AS37" i="1"/>
  <c r="AX14" i="1" l="1"/>
  <c r="AZ14" i="1"/>
  <c r="P21" i="1"/>
  <c r="AQ4" i="1"/>
  <c r="AQ5" i="1"/>
  <c r="AP5" i="1" s="1"/>
  <c r="AR8" i="1"/>
  <c r="AR12" i="1"/>
  <c r="AR16" i="1"/>
  <c r="AR7" i="1"/>
  <c r="AR11" i="1"/>
  <c r="AR15" i="1"/>
  <c r="AR6" i="1"/>
  <c r="AR10" i="1"/>
  <c r="AR14" i="1"/>
  <c r="AR9" i="1"/>
  <c r="AR13" i="1"/>
  <c r="AR5" i="1"/>
  <c r="S14" i="1"/>
  <c r="S15" i="1" s="1"/>
  <c r="S16" i="1" s="1"/>
  <c r="S17" i="1" s="1"/>
  <c r="S18" i="1" s="1"/>
  <c r="S19" i="1" s="1"/>
  <c r="S20" i="1" s="1"/>
  <c r="S21" i="1" s="1"/>
  <c r="AO6" i="1"/>
  <c r="AY26" i="1"/>
  <c r="AY25" i="1"/>
  <c r="AP22" i="1" s="1"/>
  <c r="AD28" i="1"/>
  <c r="AK6" i="1"/>
  <c r="AJ6" i="1" s="1"/>
  <c r="AK10" i="1"/>
  <c r="AJ10" i="1" s="1"/>
  <c r="AK14" i="1"/>
  <c r="AJ14" i="1" s="1"/>
  <c r="AK18" i="1"/>
  <c r="AJ18" i="1" s="1"/>
  <c r="AK9" i="1"/>
  <c r="AJ9" i="1" s="1"/>
  <c r="AK20" i="1"/>
  <c r="AJ20" i="1" s="1"/>
  <c r="AK7" i="1"/>
  <c r="AJ7" i="1" s="1"/>
  <c r="AK11" i="1"/>
  <c r="AJ11" i="1" s="1"/>
  <c r="AK15" i="1"/>
  <c r="AJ15" i="1" s="1"/>
  <c r="AK19" i="1"/>
  <c r="AJ19" i="1" s="1"/>
  <c r="AK5" i="1"/>
  <c r="AJ5" i="1" s="1"/>
  <c r="AK13" i="1"/>
  <c r="AJ13" i="1" s="1"/>
  <c r="AK17" i="1"/>
  <c r="AJ17" i="1" s="1"/>
  <c r="AK21" i="1"/>
  <c r="AJ21" i="1" s="1"/>
  <c r="AK8" i="1"/>
  <c r="AJ8" i="1" s="1"/>
  <c r="AK12" i="1"/>
  <c r="AJ12" i="1" s="1"/>
  <c r="AK16" i="1"/>
  <c r="AJ16" i="1" s="1"/>
  <c r="AK4" i="1"/>
  <c r="AQ9" i="1"/>
  <c r="AP9" i="1" s="1"/>
  <c r="AQ13" i="1"/>
  <c r="AP13" i="1" s="1"/>
  <c r="AQ8" i="1"/>
  <c r="AP8" i="1" s="1"/>
  <c r="AQ12" i="1"/>
  <c r="AP12" i="1" s="1"/>
  <c r="AQ16" i="1"/>
  <c r="AP16" i="1" s="1"/>
  <c r="AQ7" i="1"/>
  <c r="AP7" i="1" s="1"/>
  <c r="AQ11" i="1"/>
  <c r="AP11" i="1" s="1"/>
  <c r="AQ6" i="1"/>
  <c r="AP6" i="1" s="1"/>
  <c r="AQ10" i="1"/>
  <c r="AP10" i="1" s="1"/>
  <c r="AQ14" i="1"/>
  <c r="AP14" i="1" s="1"/>
  <c r="AQ15" i="1"/>
  <c r="AP15" i="1" s="1"/>
  <c r="BZ7" i="1"/>
  <c r="CA7" i="1" s="1"/>
  <c r="J27" i="1"/>
  <c r="T7" i="1"/>
  <c r="AE28" i="1"/>
  <c r="AT12" i="1" l="1"/>
  <c r="AT7" i="1"/>
  <c r="AT13" i="1"/>
  <c r="AS10" i="1"/>
  <c r="AT10" i="1"/>
  <c r="AS9" i="1"/>
  <c r="AT9" i="1"/>
  <c r="AS6" i="1"/>
  <c r="AT6" i="1"/>
  <c r="AS16" i="1"/>
  <c r="AT16" i="1"/>
  <c r="AS14" i="1"/>
  <c r="AT14" i="1"/>
  <c r="AT15" i="1"/>
  <c r="AT11" i="1"/>
  <c r="AT8" i="1"/>
  <c r="AU6" i="1"/>
  <c r="AU10" i="1"/>
  <c r="AU14" i="1"/>
  <c r="AU7" i="1"/>
  <c r="AU9" i="1"/>
  <c r="AU11" i="1"/>
  <c r="AU13" i="1"/>
  <c r="AU15" i="1"/>
  <c r="AU8" i="1"/>
  <c r="AU12" i="1"/>
  <c r="AU16" i="1"/>
  <c r="AS7" i="1"/>
  <c r="AS13" i="1"/>
  <c r="AS12" i="1"/>
  <c r="AS15" i="1"/>
  <c r="AS11" i="1"/>
  <c r="AS8" i="1"/>
  <c r="AV32" i="1"/>
  <c r="AV36" i="1"/>
  <c r="AV40" i="1"/>
  <c r="AV44" i="1"/>
  <c r="AV31" i="1"/>
  <c r="AV35" i="1"/>
  <c r="AV39" i="1"/>
  <c r="AV43" i="1"/>
  <c r="AV34" i="1"/>
  <c r="AV38" i="1"/>
  <c r="AV42" i="1"/>
  <c r="AV33" i="1"/>
  <c r="AV37" i="1"/>
  <c r="AV41" i="1"/>
  <c r="AV45" i="1"/>
  <c r="AY27" i="1"/>
  <c r="BY7" i="1"/>
  <c r="CB16" i="1" s="1"/>
  <c r="CD17" i="1" s="1"/>
  <c r="BX2" i="1" s="1"/>
  <c r="J39" i="1" s="1"/>
  <c r="A34" i="4"/>
  <c r="AS29" i="1" s="1"/>
  <c r="AV30" i="1" s="1"/>
  <c r="BP37" i="1"/>
  <c r="BQ37" i="1" s="1"/>
  <c r="BR37" i="1" s="1"/>
  <c r="BO35" i="1" s="1"/>
  <c r="J38" i="1" s="1"/>
  <c r="J29" i="1"/>
  <c r="U2" i="1"/>
  <c r="J26" i="1" s="1"/>
  <c r="T8" i="1"/>
  <c r="BD2" i="1" l="1"/>
  <c r="J31" i="1" s="1"/>
  <c r="AP24" i="1"/>
  <c r="AV6" i="1"/>
  <c r="AV10" i="1"/>
  <c r="AV14" i="1"/>
  <c r="AV9" i="1"/>
  <c r="AV13" i="1"/>
  <c r="AV8" i="1"/>
  <c r="AV12" i="1"/>
  <c r="AV16" i="1"/>
  <c r="AV7" i="1"/>
  <c r="AV11" i="1"/>
  <c r="AV15" i="1"/>
  <c r="CD20" i="1"/>
  <c r="CD18" i="1"/>
  <c r="CD22" i="1"/>
  <c r="CD24" i="1"/>
  <c r="CD21" i="1"/>
  <c r="CD19" i="1"/>
  <c r="CD25" i="1"/>
  <c r="CD23" i="1"/>
  <c r="AW14" i="1"/>
  <c r="BX7" i="1" s="1"/>
  <c r="AF28" i="1"/>
  <c r="J28" i="1"/>
  <c r="AG28" i="1"/>
  <c r="T9" i="1"/>
  <c r="AH28" i="1" l="1"/>
  <c r="T10" i="1"/>
  <c r="AI28" i="1" l="1"/>
  <c r="T11" i="1"/>
  <c r="T12" i="1" l="1"/>
  <c r="AJ28" i="1" l="1"/>
  <c r="AK28" i="1"/>
  <c r="T13" i="1"/>
  <c r="AL28" i="1" l="1"/>
  <c r="T14" i="1"/>
  <c r="T15" i="1" l="1"/>
  <c r="AM28" i="1" s="1"/>
  <c r="T16" i="1" l="1"/>
  <c r="AN28" i="1" l="1"/>
  <c r="AO7" i="1"/>
  <c r="T17" i="1"/>
  <c r="AP23" i="1" l="1"/>
  <c r="BQ30" i="1" s="1"/>
  <c r="AO28" i="1"/>
  <c r="AO9" i="1"/>
  <c r="A55" i="4"/>
  <c r="AP4" i="1" s="1"/>
  <c r="AO8" i="1"/>
  <c r="T18" i="1"/>
  <c r="AP28" i="1" s="1"/>
  <c r="AT5" i="1" l="1"/>
  <c r="AV5" i="1"/>
  <c r="AU5" i="1"/>
  <c r="AS5" i="1"/>
  <c r="AV24" i="1"/>
  <c r="AV27" i="1"/>
  <c r="AV26" i="1"/>
  <c r="AV25" i="1"/>
  <c r="T19" i="1"/>
  <c r="AY31" i="1" l="1"/>
  <c r="J33" i="1" s="1"/>
  <c r="AX37" i="1"/>
  <c r="AW37" i="1"/>
  <c r="AY37" i="1"/>
  <c r="AQ21" i="1" s="1"/>
  <c r="AQ28" i="1"/>
  <c r="T20" i="1"/>
  <c r="BQ31" i="1" l="1"/>
  <c r="AM7" i="1"/>
  <c r="K55" i="4"/>
  <c r="AJ4" i="1" s="1"/>
  <c r="AM5" i="1" s="1"/>
  <c r="AM21" i="1"/>
  <c r="AM20" i="1"/>
  <c r="AR28" i="1"/>
  <c r="T21" i="1"/>
  <c r="AM17" i="1"/>
  <c r="AM15" i="1"/>
  <c r="AM12" i="1"/>
  <c r="AM10" i="1"/>
  <c r="AM11" i="1"/>
  <c r="AM14" i="1"/>
  <c r="AM6" i="1"/>
  <c r="AM13" i="1"/>
  <c r="AM8" i="1"/>
  <c r="AM19" i="1"/>
  <c r="AM9" i="1"/>
  <c r="AM16" i="1"/>
  <c r="AM18" i="1"/>
  <c r="AY39" i="1" l="1"/>
  <c r="J34" i="1" s="1"/>
  <c r="BD19" i="1"/>
  <c r="J32" i="1" s="1"/>
  <c r="BR28" i="1" l="1"/>
  <c r="Z29" i="1" l="1"/>
  <c r="AR30" i="1" l="1"/>
  <c r="AR46" i="1" s="1"/>
  <c r="AQ30" i="1"/>
  <c r="AQ46" i="1" s="1"/>
  <c r="AF30" i="1"/>
  <c r="AF46" i="1" s="1"/>
  <c r="AE30" i="1"/>
  <c r="AE46" i="1" s="1"/>
  <c r="AI30" i="1"/>
  <c r="AI46" i="1" s="1"/>
  <c r="AH30" i="1"/>
  <c r="AH46" i="1" s="1"/>
  <c r="AN30" i="1"/>
  <c r="AN46" i="1" s="1"/>
  <c r="AJ30" i="1"/>
  <c r="AJ46" i="1" s="1"/>
  <c r="AC30" i="1"/>
  <c r="AC46" i="1" s="1"/>
  <c r="AP30" i="1"/>
  <c r="AP46" i="1" s="1"/>
  <c r="AK30" i="1"/>
  <c r="AK46" i="1" s="1"/>
  <c r="AO30" i="1"/>
  <c r="AO46" i="1" s="1"/>
  <c r="AD30" i="1"/>
  <c r="AD46" i="1" s="1"/>
  <c r="AG30" i="1"/>
  <c r="AG46" i="1" s="1"/>
  <c r="AM30" i="1"/>
  <c r="AM46" i="1" s="1"/>
  <c r="AL30" i="1"/>
  <c r="AL46" i="1" s="1"/>
  <c r="AD45" i="1"/>
  <c r="AN45" i="1"/>
  <c r="AP45" i="1"/>
  <c r="AM45" i="1"/>
  <c r="AK45" i="1"/>
  <c r="AQ45" i="1"/>
  <c r="AI45" i="1"/>
  <c r="AG45" i="1"/>
  <c r="AJ45" i="1"/>
  <c r="AH45" i="1"/>
  <c r="AO45" i="1"/>
  <c r="AR45" i="1"/>
  <c r="AC26" i="1" l="1"/>
  <c r="AQ26" i="1"/>
  <c r="AO26" i="1"/>
  <c r="AG26" i="1"/>
  <c r="AI26" i="1"/>
  <c r="AR26" i="1"/>
  <c r="AP26" i="1"/>
  <c r="AF26" i="1"/>
  <c r="AN26" i="1"/>
  <c r="Y26" i="1"/>
  <c r="J30" i="1" s="1"/>
  <c r="AF27" i="1"/>
  <c r="AF47" i="1"/>
  <c r="AQ47" i="1"/>
  <c r="AQ27" i="1"/>
  <c r="AD47" i="1"/>
  <c r="AR47" i="1"/>
  <c r="AR27" i="1"/>
  <c r="AP27" i="1"/>
  <c r="AP47" i="1"/>
  <c r="AI47" i="1"/>
  <c r="AO47" i="1"/>
  <c r="AM47" i="1"/>
  <c r="AJ47" i="1"/>
  <c r="AH47" i="1"/>
  <c r="AE47" i="1"/>
  <c r="AK47" i="1"/>
  <c r="AL47" i="1"/>
  <c r="AC47" i="1"/>
  <c r="AN47" i="1"/>
  <c r="AG47" i="1"/>
  <c r="AF45" i="1"/>
  <c r="AO27" i="1" l="1"/>
  <c r="AE27" i="1"/>
  <c r="AC27" i="1"/>
  <c r="AG27" i="1"/>
  <c r="AL27" i="1"/>
  <c r="AI27" i="1"/>
  <c r="AJ27" i="1"/>
  <c r="AK27" i="1"/>
  <c r="AH27" i="1"/>
  <c r="AM27" i="1"/>
  <c r="AD27" i="1"/>
  <c r="AE26" i="1"/>
  <c r="AK26" i="1"/>
  <c r="AJ26" i="1"/>
  <c r="AD26" i="1"/>
  <c r="AM26" i="1"/>
  <c r="AL26" i="1"/>
  <c r="AH26" i="1"/>
  <c r="AN27" i="1"/>
  <c r="R26" i="1" l="1"/>
  <c r="R28" i="1"/>
  <c r="O28" i="1"/>
  <c r="N26" i="1"/>
  <c r="N27" i="1"/>
  <c r="C4" i="6" s="1"/>
  <c r="R27" i="1"/>
  <c r="O27" i="1"/>
  <c r="P28" i="1"/>
  <c r="N28" i="1"/>
  <c r="P27" i="1"/>
  <c r="P26" i="1"/>
  <c r="O26" i="1"/>
  <c r="G21" i="6" l="1"/>
  <c r="E4" i="6"/>
  <c r="A21" i="6"/>
  <c r="C21" i="6"/>
  <c r="A4" i="6"/>
  <c r="E21" i="6"/>
  <c r="G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DOTKMS</author>
  </authors>
  <commentList>
    <comment ref="M1" authorId="0" shapeId="0" xr:uid="{00000000-0006-0000-0000-000001000000}">
      <text>
        <r>
          <rPr>
            <b/>
            <sz val="9"/>
            <color indexed="81"/>
            <rFont val="Tahoma"/>
            <family val="2"/>
          </rPr>
          <t>Warrant 1:</t>
        </r>
        <r>
          <rPr>
            <sz val="9"/>
            <color indexed="81"/>
            <rFont val="Tahoma"/>
            <family val="2"/>
          </rPr>
          <t xml:space="preserve">
In applying each condition the major-street and minor-street volumes </t>
        </r>
        <r>
          <rPr>
            <b/>
            <sz val="9"/>
            <color indexed="81"/>
            <rFont val="Tahoma"/>
            <family val="2"/>
          </rPr>
          <t>shall</t>
        </r>
        <r>
          <rPr>
            <sz val="9"/>
            <color indexed="81"/>
            <rFont val="Tahoma"/>
            <family val="2"/>
          </rPr>
          <t xml:space="preserve"> be for the same 8 hours. On the minor street, the higher volume </t>
        </r>
        <r>
          <rPr>
            <b/>
            <sz val="9"/>
            <color indexed="81"/>
            <rFont val="Tahoma"/>
            <family val="2"/>
          </rPr>
          <t>shal</t>
        </r>
        <r>
          <rPr>
            <sz val="9"/>
            <color indexed="81"/>
            <rFont val="Tahoma"/>
            <family val="2"/>
          </rPr>
          <t>l not be required to be on the same approach during each of these 8 hours.</t>
        </r>
      </text>
    </comment>
    <comment ref="AW1" authorId="0" shapeId="0" xr:uid="{00000000-0006-0000-0000-000002000000}">
      <text>
        <r>
          <rPr>
            <b/>
            <sz val="9"/>
            <color indexed="81"/>
            <rFont val="Tahoma"/>
            <family val="2"/>
          </rPr>
          <t>Warrant 3</t>
        </r>
        <r>
          <rPr>
            <sz val="9"/>
            <color indexed="81"/>
            <rFont val="Tahoma"/>
            <family val="2"/>
          </rPr>
          <t xml:space="preserve">
Intended for use at a location where traffic conditions are such that for a minimum of 1 hour of an average day, the minor-street traffic suffers undue delay when entering or crossing the major street.
This signal warrant shall be applied only in unusual cases, such as office complexes, manufacturing plants, industrial complexes, or high-occupancy vehicle facilities that attract or discharge large numbers of vehicles over a short time.</t>
        </r>
      </text>
    </comment>
    <comment ref="BH1" authorId="0" shapeId="0" xr:uid="{00000000-0006-0000-0000-000003000000}">
      <text>
        <r>
          <rPr>
            <b/>
            <sz val="9"/>
            <color indexed="81"/>
            <rFont val="Tahoma"/>
            <family val="2"/>
          </rPr>
          <t>Warrant 5:</t>
        </r>
        <r>
          <rPr>
            <sz val="9"/>
            <color indexed="81"/>
            <rFont val="Tahoma"/>
            <family val="2"/>
          </rPr>
          <t xml:space="preserve">
Intended for application where the fact that school children cross the major street is the principal reason to consider installing a traffic control signal.
Before a decision is made to install a traffic control signal, consideration shall be given to the implementation of other remedial measures, such as warning signs and flashers, school speed zones, school crossing guards, or a grade-separated crossing.
</t>
        </r>
      </text>
    </comment>
    <comment ref="BS1" authorId="0" shapeId="0" xr:uid="{00000000-0006-0000-0000-000004000000}">
      <text>
        <r>
          <rPr>
            <b/>
            <sz val="9"/>
            <color indexed="81"/>
            <rFont val="Tahoma"/>
            <family val="2"/>
          </rPr>
          <t xml:space="preserve">Warrant 9:
</t>
        </r>
        <r>
          <rPr>
            <sz val="9"/>
            <color indexed="81"/>
            <rFont val="Tahoma"/>
            <family val="2"/>
          </rPr>
          <t>Intended for use at a location where none of the conditions described in the other eight traffic signal warrants are met, but the proximity to the intersection of a grade crossing on an intersection approach controlled by a STOP or YIELD sign is the principal reason to consider installing a traffic control signal.
This signal warrant should be applied only after adequate consideration has been given to other alternatives or after a trial of an alternative has failed to alleviate the safety concerns associated with the grade crossing. Among the alternatives that should be considered or tried are:
A.Providing additional pavement that would enable vehicles to clear the track or that would provide space for an evasive maneuver, or
B.Reassigning the stop controls at the intersection to make the approach across the track a non-stopping approach.</t>
        </r>
        <r>
          <rPr>
            <b/>
            <sz val="9"/>
            <color indexed="81"/>
            <rFont val="Tahoma"/>
            <family val="2"/>
          </rPr>
          <t xml:space="preserve">
</t>
        </r>
        <r>
          <rPr>
            <sz val="9"/>
            <color indexed="81"/>
            <rFont val="Tahoma"/>
            <family val="2"/>
          </rPr>
          <t xml:space="preserve">
</t>
        </r>
      </text>
    </comment>
    <comment ref="M3" authorId="0" shapeId="0" xr:uid="{00000000-0006-0000-0000-000005000000}">
      <text>
        <r>
          <rPr>
            <b/>
            <sz val="9"/>
            <color indexed="81"/>
            <rFont val="Tahoma"/>
            <family val="2"/>
          </rPr>
          <t>Condition A:</t>
        </r>
        <r>
          <rPr>
            <sz val="9"/>
            <color indexed="81"/>
            <rFont val="Tahoma"/>
            <family val="2"/>
          </rPr>
          <t xml:space="preserve">
Intended for application at locations where a large volume of intersecting traffic is the principal reason to consider installing a traffic control signal.</t>
        </r>
      </text>
    </comment>
    <comment ref="BS4" authorId="0" shapeId="0" xr:uid="{00000000-0006-0000-0000-000006000000}">
      <text>
        <r>
          <rPr>
            <b/>
            <sz val="9"/>
            <color indexed="81"/>
            <rFont val="Tahoma"/>
            <family val="2"/>
          </rPr>
          <t>Adjustment Factors:</t>
        </r>
        <r>
          <rPr>
            <sz val="9"/>
            <color indexed="81"/>
            <rFont val="Tahoma"/>
            <family val="2"/>
          </rPr>
          <t xml:space="preserve">
The minor-street approach volume may be multiplied by up to three adjustment factors.
Rail Traffic per Day:
Because the curves are based on an average of four occurrences of rail traffic per day, the vehicles per hour on the minor-street approach may be multiplied for the appropriate number of occurrences of rail traffic per day.
High Occupancy Buses:
Because the curves are based on typical vehicle occupancy, if at least 2% of the vehicles crossing the track are buses carrying at least 20 people, the vehicles per hour on the minor-street approach may be multiplied for the appropriate percentage of high-occupancy buses.
Trailer Trucks:
Because the curves are based on tractor-trailer trucks comprising 10% of the vehicles crossing the track, the vehicles per hour on the minor-street approach may be multiplied for the appropriate distance and percentage of tractor-trailer trucks.</t>
        </r>
      </text>
    </comment>
    <comment ref="BX4" authorId="0" shapeId="0" xr:uid="{00000000-0006-0000-0000-000007000000}">
      <text>
        <r>
          <rPr>
            <b/>
            <sz val="9"/>
            <color indexed="81"/>
            <rFont val="Tahoma"/>
            <family val="2"/>
          </rPr>
          <t>Peak Hour:</t>
        </r>
        <r>
          <rPr>
            <sz val="9"/>
            <color indexed="81"/>
            <rFont val="Tahoma"/>
            <family val="2"/>
          </rPr>
          <t xml:space="preserve">
The peak hour is the highest four consecutive 15 minute periods. Only manually set the peak hour if those four 15 minute periods do not align with the start of an hour.</t>
        </r>
      </text>
    </comment>
    <comment ref="BW5" authorId="0" shapeId="0" xr:uid="{00000000-0006-0000-0000-000008000000}">
      <text>
        <r>
          <rPr>
            <b/>
            <sz val="9"/>
            <color indexed="81"/>
            <rFont val="Tahoma"/>
            <family val="2"/>
          </rPr>
          <t xml:space="preserve">Clear Storage Distance:
</t>
        </r>
        <r>
          <rPr>
            <sz val="9"/>
            <color indexed="81"/>
            <rFont val="Tahoma"/>
            <family val="2"/>
          </rPr>
          <t xml:space="preserve">As defined in section 1A.13 of the MUTCD:
Clear storage distance is the distance available for vehicle storage measured between 6 feet from the rail nearest the intersection to the intersection stop line or the normal stopping point on the highway. 
At skewed grade crossings and intersections, the 6-foot distance shall be measured perpendicular to the nearest rail either along the center line or edge line of the highway, as appropriate, to obtain the shorter distance. 
Where exit gates are used, the distance available for vehicle storage is measured from the point where the rear of the vehicle would be clear of the exit gate arm. In cases where the exit gate arm is parallel to the track(s) and is not perpendicular to the highway, the distance is measured either along the center line or edge line of the highway, as appropriate, to obtain the shorter distance.
</t>
        </r>
      </text>
    </comment>
    <comment ref="U6" authorId="0" shapeId="0" xr:uid="{00000000-0006-0000-0000-000009000000}">
      <text>
        <r>
          <rPr>
            <b/>
            <sz val="9"/>
            <color indexed="81"/>
            <rFont val="Tahoma"/>
            <family val="2"/>
          </rPr>
          <t>Entering Data:</t>
        </r>
        <r>
          <rPr>
            <sz val="9"/>
            <color indexed="81"/>
            <rFont val="Tahoma"/>
            <family val="2"/>
          </rPr>
          <t xml:space="preserve">
Option 1- Volume data from table on "Hourly Volume Data" sheet will fill in automatically.
Option 2 - Manually enter all volume data for each hour.</t>
        </r>
      </text>
    </comment>
    <comment ref="AW7" authorId="0" shapeId="0" xr:uid="{00000000-0006-0000-0000-00000A000000}">
      <text>
        <r>
          <rPr>
            <b/>
            <sz val="9"/>
            <color indexed="81"/>
            <rFont val="Tahoma"/>
            <family val="2"/>
          </rPr>
          <t>Minor Approach Delay</t>
        </r>
        <r>
          <rPr>
            <sz val="9"/>
            <color indexed="81"/>
            <rFont val="Tahoma"/>
            <family val="2"/>
          </rPr>
          <t xml:space="preserve">
The total stopped time delay experienced by the traffic on one minor-street approach (one direction only) controlled If the delay on a Minor Approach by a STOP sign equals or exceeds: 4 vehicle-hours for a one-lane approach; or 5 vehicle-hours for a two-lane approach.</t>
        </r>
      </text>
    </comment>
    <comment ref="AW8" authorId="0" shapeId="0" xr:uid="{00000000-0006-0000-0000-00000B000000}">
      <text>
        <r>
          <rPr>
            <b/>
            <sz val="9"/>
            <color indexed="81"/>
            <rFont val="Tahoma"/>
            <family val="2"/>
          </rPr>
          <t>Minor Approach Volume:</t>
        </r>
        <r>
          <rPr>
            <sz val="9"/>
            <color indexed="81"/>
            <rFont val="Tahoma"/>
            <family val="2"/>
          </rPr>
          <t xml:space="preserve">
The volume on the same minor-street approach (one direction only) equals or exceeds 100 vehicles per hour for one moving lane of traffic or 150 vehicles per hour for two moving lanes.</t>
        </r>
      </text>
    </comment>
    <comment ref="AW9" authorId="0" shapeId="0" xr:uid="{00000000-0006-0000-0000-00000C000000}">
      <text>
        <r>
          <rPr>
            <b/>
            <sz val="9"/>
            <color indexed="81"/>
            <rFont val="Tahoma"/>
            <family val="2"/>
          </rPr>
          <t>Total Entering Volume:</t>
        </r>
        <r>
          <rPr>
            <sz val="9"/>
            <color indexed="81"/>
            <rFont val="Tahoma"/>
            <family val="2"/>
          </rPr>
          <t xml:space="preserve">
The total entering volume serviced during the hour equals or exceeds 650 vehicles per hour for intersections with three approaches or 800 vehicles per hour for intersections with four or more approaches.</t>
        </r>
      </text>
    </comment>
    <comment ref="A10" authorId="0" shapeId="0" xr:uid="{00000000-0006-0000-0000-00000D000000}">
      <text>
        <r>
          <rPr>
            <b/>
            <sz val="9"/>
            <color indexed="81"/>
            <rFont val="Tahoma"/>
            <family val="2"/>
          </rPr>
          <t>Speed:</t>
        </r>
        <r>
          <rPr>
            <sz val="9"/>
            <color indexed="81"/>
            <rFont val="Tahoma"/>
            <family val="2"/>
          </rPr>
          <t xml:space="preserve">
Can be the posted or statutory speed limit or the 85th-percentile speed on the major street.</t>
        </r>
      </text>
    </comment>
    <comment ref="G10" authorId="0" shapeId="0" xr:uid="{00000000-0006-0000-0000-00000E000000}">
      <text>
        <r>
          <rPr>
            <b/>
            <sz val="9"/>
            <color indexed="81"/>
            <rFont val="Tahoma"/>
            <family val="2"/>
          </rPr>
          <t xml:space="preserve">Speed:
</t>
        </r>
        <r>
          <rPr>
            <sz val="9"/>
            <color indexed="81"/>
            <rFont val="Tahoma"/>
            <family val="2"/>
          </rPr>
          <t xml:space="preserve">Can be the posted or statutory speed limit or the 85th-percentile speed on the minor street.
</t>
        </r>
      </text>
    </comment>
    <comment ref="BH10" authorId="0" shapeId="0" xr:uid="{00000000-0006-0000-0000-00000F000000}">
      <text>
        <r>
          <rPr>
            <b/>
            <sz val="9"/>
            <color indexed="81"/>
            <rFont val="Tahoma"/>
            <family val="2"/>
          </rPr>
          <t>Warrant 6:</t>
        </r>
        <r>
          <rPr>
            <sz val="9"/>
            <color indexed="81"/>
            <rFont val="Tahoma"/>
            <family val="2"/>
          </rPr>
          <t xml:space="preserve">
Progressive movement in a coordinated signal system sometimes necessitates installing traffic control signals at intersections where they would not otherwise be needed in order to maintain proper platooning of vehicles.</t>
        </r>
      </text>
    </comment>
    <comment ref="M11" authorId="0" shapeId="0" xr:uid="{00000000-0006-0000-0000-000010000000}">
      <text>
        <r>
          <rPr>
            <b/>
            <sz val="9"/>
            <color indexed="81"/>
            <rFont val="Tahoma"/>
            <family val="2"/>
          </rPr>
          <t>Condition B:</t>
        </r>
        <r>
          <rPr>
            <sz val="9"/>
            <color indexed="81"/>
            <rFont val="Tahoma"/>
            <family val="2"/>
          </rPr>
          <t xml:space="preserve">
Intended for application at locations where Condition A is not satisfied and where the traffic volume on a major street is so heavy that traffic on a minor intersecting street suffers excessive delay or conflict in entering or crossing the major street.</t>
        </r>
      </text>
    </comment>
    <comment ref="AW11" authorId="0" shapeId="0" xr:uid="{00000000-0006-0000-0000-000011000000}">
      <text>
        <r>
          <rPr>
            <b/>
            <sz val="9"/>
            <color indexed="81"/>
            <rFont val="Tahoma"/>
            <family val="2"/>
          </rPr>
          <t>Peak Hour:</t>
        </r>
        <r>
          <rPr>
            <sz val="9"/>
            <color indexed="81"/>
            <rFont val="Tahoma"/>
            <family val="2"/>
          </rPr>
          <t xml:space="preserve">
The peak hour is the highest four consecutive 15 minute periods. Only manually set the peak hour if those four 15 minute periods do not align with the start of an hour.
Enter the start of the peak hour in military time. (Ex. 3:30 PM should be entered as 15:30)</t>
        </r>
      </text>
    </comment>
    <comment ref="H16" authorId="0" shapeId="0" xr:uid="{00000000-0006-0000-0000-000012000000}">
      <text>
        <r>
          <rPr>
            <b/>
            <sz val="9"/>
            <color indexed="81"/>
            <rFont val="Tahoma"/>
            <family val="2"/>
          </rPr>
          <t xml:space="preserve">Volume Level:
</t>
        </r>
        <r>
          <rPr>
            <sz val="9"/>
            <color indexed="81"/>
            <rFont val="Tahoma"/>
            <family val="2"/>
          </rPr>
          <t>This can be set to either 70% or 100%. Please justify the use of this option in the Conclusions/Comments section of the worksheet.</t>
        </r>
      </text>
    </comment>
    <comment ref="AW17" authorId="0" shapeId="0" xr:uid="{00000000-0006-0000-0000-000013000000}">
      <text>
        <r>
          <rPr>
            <b/>
            <sz val="9"/>
            <color indexed="81"/>
            <rFont val="Tahoma"/>
            <family val="2"/>
          </rPr>
          <t>Warrant 4:</t>
        </r>
        <r>
          <rPr>
            <sz val="9"/>
            <color indexed="81"/>
            <rFont val="Tahoma"/>
            <family val="2"/>
          </rPr>
          <t xml:space="preserve">
Intended for application where the traffic volume on a major street is so heavy that pedestrians experience excessive delay in crossing the major street.
The Pedestrian Volume signal warrant shall not be applied at locations where the distance to the nearest traffic control signal along the major street is less than 90 m (300 ft), unless the proposed traffic control signal will not restrict the progressive movement of traffic.
If this warrant is met and a traffic control signal is justified by an engineering study, the traffic control signal shall be equipped with pedestrian signal heads complying with the provisions set forth in Chapter 4E of the MUTCD.</t>
        </r>
      </text>
    </comment>
    <comment ref="M19" authorId="0" shapeId="0" xr:uid="{00000000-0006-0000-0000-000014000000}">
      <text>
        <r>
          <rPr>
            <b/>
            <sz val="9"/>
            <color indexed="81"/>
            <rFont val="Tahoma"/>
            <family val="2"/>
          </rPr>
          <t>Condition C:</t>
        </r>
        <r>
          <rPr>
            <sz val="9"/>
            <color indexed="81"/>
            <rFont val="Tahoma"/>
            <family val="2"/>
          </rPr>
          <t xml:space="preserve">
The combination of Conditions A and B is intended for application at locations where Condition A is not satisfied and Condition B is not satisfied and </t>
        </r>
        <r>
          <rPr>
            <i/>
            <sz val="9"/>
            <color indexed="81"/>
            <rFont val="Tahoma"/>
            <family val="2"/>
          </rPr>
          <t>should</t>
        </r>
        <r>
          <rPr>
            <sz val="9"/>
            <color indexed="81"/>
            <rFont val="Tahoma"/>
            <family val="2"/>
          </rPr>
          <t xml:space="preserve"> be applied only after an adequate trial of other alternatives that could cause less delay and inconvenience to traffic has failed to solve the traffic problems.</t>
        </r>
      </text>
    </comment>
    <comment ref="BH20" authorId="0" shapeId="0" xr:uid="{00000000-0006-0000-0000-000015000000}">
      <text>
        <r>
          <rPr>
            <b/>
            <sz val="9"/>
            <color indexed="81"/>
            <rFont val="Tahoma"/>
            <family val="2"/>
          </rPr>
          <t>Warrant 7:</t>
        </r>
        <r>
          <rPr>
            <sz val="9"/>
            <color indexed="81"/>
            <rFont val="Tahoma"/>
            <family val="2"/>
          </rPr>
          <t xml:space="preserve">
Intended for application where the severity and frequency of crashes are the principal reasons to consider installing a traffic control signal.</t>
        </r>
      </text>
    </comment>
    <comment ref="AW22" authorId="0" shapeId="0" xr:uid="{00000000-0006-0000-0000-000016000000}">
      <text>
        <r>
          <rPr>
            <b/>
            <sz val="9"/>
            <color indexed="81"/>
            <rFont val="Tahoma"/>
            <family val="2"/>
          </rPr>
          <t>Pedestrian Hour Data</t>
        </r>
        <r>
          <rPr>
            <sz val="9"/>
            <color indexed="81"/>
            <rFont val="Tahoma"/>
            <family val="2"/>
          </rPr>
          <t xml:space="preserve">
Enter the start of the hour (four consecutive 15 minute period) in military time.
</t>
        </r>
        <r>
          <rPr>
            <b/>
            <sz val="9"/>
            <color indexed="81"/>
            <rFont val="Tahoma"/>
            <family val="2"/>
          </rPr>
          <t>NOTE:</t>
        </r>
        <r>
          <rPr>
            <sz val="9"/>
            <color indexed="81"/>
            <rFont val="Tahoma"/>
            <family val="2"/>
          </rPr>
          <t xml:space="preserve"> If the Major Road Volume is not entered manually, it will round down to the beginning of the hour. Ex. If a time of 9:45 is entered, the resulting volume would be from 9:00 to 10:00.</t>
        </r>
      </text>
    </comment>
    <comment ref="AX22" authorId="0" shapeId="0" xr:uid="{00000000-0006-0000-0000-000017000000}">
      <text>
        <r>
          <rPr>
            <b/>
            <sz val="9"/>
            <color indexed="81"/>
            <rFont val="Tahoma"/>
            <family val="2"/>
          </rPr>
          <t>Pedestrain Volume:</t>
        </r>
        <r>
          <rPr>
            <sz val="9"/>
            <color indexed="81"/>
            <rFont val="Tahoma"/>
            <family val="2"/>
          </rPr>
          <t xml:space="preserve">
Total of all pedestrian crossings at the intersection.</t>
        </r>
      </text>
    </comment>
    <comment ref="M23" authorId="0" shapeId="0" xr:uid="{00000000-0006-0000-0000-000018000000}">
      <text>
        <r>
          <rPr>
            <b/>
            <sz val="9"/>
            <color indexed="81"/>
            <rFont val="Tahoma"/>
            <family val="2"/>
          </rPr>
          <t>Warrant 2:</t>
        </r>
        <r>
          <rPr>
            <sz val="9"/>
            <color indexed="81"/>
            <rFont val="Tahoma"/>
            <family val="2"/>
          </rPr>
          <t xml:space="preserve">
Intended to be applied where the volume of intersecting traffic is the principal reason to consider installing a traffic control signal.</t>
        </r>
      </text>
    </comment>
    <comment ref="BI24" authorId="0" shapeId="0" xr:uid="{00000000-0006-0000-0000-000019000000}">
      <text>
        <r>
          <rPr>
            <b/>
            <sz val="9"/>
            <color indexed="81"/>
            <rFont val="Tahoma"/>
            <family val="2"/>
          </rPr>
          <t>Note:</t>
        </r>
        <r>
          <rPr>
            <sz val="9"/>
            <color indexed="81"/>
            <rFont val="Tahoma"/>
            <family val="2"/>
          </rPr>
          <t xml:space="preserve">
Adequate trial of alternatives with satisfactory observance and enforcement has failed to reduce the crash frequency</t>
        </r>
      </text>
    </comment>
    <comment ref="AW28" authorId="0" shapeId="0" xr:uid="{00000000-0006-0000-0000-00001A000000}">
      <text>
        <r>
          <rPr>
            <b/>
            <sz val="9"/>
            <color indexed="81"/>
            <rFont val="Tahoma"/>
            <family val="2"/>
          </rPr>
          <t>Major Rd. Vol:</t>
        </r>
        <r>
          <rPr>
            <sz val="9"/>
            <color indexed="81"/>
            <rFont val="Tahoma"/>
            <family val="2"/>
          </rPr>
          <t xml:space="preserve">
Time periods can not overlap, i.e. the same 15 minute period can not be used for two time periods.</t>
        </r>
      </text>
    </comment>
    <comment ref="BH33" authorId="0" shapeId="0" xr:uid="{00000000-0006-0000-0000-00001B000000}">
      <text>
        <r>
          <rPr>
            <b/>
            <sz val="9"/>
            <color indexed="81"/>
            <rFont val="Tahoma"/>
            <family val="2"/>
          </rPr>
          <t>Warrant 8:</t>
        </r>
        <r>
          <rPr>
            <sz val="9"/>
            <color indexed="81"/>
            <rFont val="Tahoma"/>
            <family val="2"/>
          </rPr>
          <t xml:space="preserve">
Installing a traffic control signal at some intersections might be justified to encourage concentration and organization of traffic flow on a roadway network.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DOTKMS</author>
  </authors>
  <commentList>
    <comment ref="B5" authorId="0" shapeId="0" xr:uid="{00000000-0006-0000-0100-000001000000}">
      <text>
        <r>
          <rPr>
            <b/>
            <sz val="9"/>
            <color indexed="81"/>
            <rFont val="Tahoma"/>
            <family val="2"/>
          </rPr>
          <t xml:space="preserve">Start of Time Period:
</t>
        </r>
        <r>
          <rPr>
            <sz val="9"/>
            <color indexed="81"/>
            <rFont val="Tahoma"/>
            <family val="2"/>
          </rPr>
          <t>Each time period is one hour long, with the default starting at 6:00, in military time.
The time period may start at a 15 minute interval, for example at 6:30 AM</t>
        </r>
      </text>
    </comment>
    <comment ref="D33" authorId="0" shapeId="0" xr:uid="{00000000-0006-0000-0100-000002000000}">
      <text>
        <r>
          <rPr>
            <sz val="9"/>
            <color indexed="81"/>
            <rFont val="Tahoma"/>
            <family val="2"/>
          </rPr>
          <t xml:space="preserve">
</t>
        </r>
      </text>
    </comment>
    <comment ref="J34" authorId="0" shapeId="0" xr:uid="{00000000-0006-0000-0100-000003000000}">
      <text>
        <r>
          <rPr>
            <sz val="9"/>
            <color indexed="81"/>
            <rFont val="Tahoma"/>
            <family val="2"/>
          </rPr>
          <t xml:space="preserve">
</t>
        </r>
      </text>
    </comment>
    <comment ref="J35" authorId="0" shapeId="0" xr:uid="{00000000-0006-0000-0100-000004000000}">
      <text>
        <r>
          <rPr>
            <sz val="9"/>
            <color indexed="81"/>
            <rFont val="Tahoma"/>
            <family val="2"/>
          </rPr>
          <t xml:space="preserve">
</t>
        </r>
      </text>
    </comment>
    <comment ref="J36" authorId="0" shapeId="0" xr:uid="{00000000-0006-0000-0100-000005000000}">
      <text>
        <r>
          <rPr>
            <sz val="9"/>
            <color indexed="81"/>
            <rFont val="Tahoma"/>
            <family val="2"/>
          </rPr>
          <t xml:space="preserve">
</t>
        </r>
      </text>
    </comment>
    <comment ref="J37" authorId="0" shapeId="0" xr:uid="{00000000-0006-0000-0100-000006000000}">
      <text>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DOTKMS</author>
  </authors>
  <commentList>
    <comment ref="B5" authorId="0" shapeId="0" xr:uid="{00000000-0006-0000-0300-000001000000}">
      <text>
        <r>
          <rPr>
            <b/>
            <sz val="9"/>
            <color indexed="81"/>
            <rFont val="Tahoma"/>
            <family val="2"/>
          </rPr>
          <t xml:space="preserve">Start of Time Period:
</t>
        </r>
        <r>
          <rPr>
            <sz val="9"/>
            <color indexed="81"/>
            <rFont val="Tahoma"/>
            <family val="2"/>
          </rPr>
          <t>Each time period is one hour long, with the default starting at 6:00, in military time.
The time period may start at a 15 minute interval, for example at 6:30 AM</t>
        </r>
      </text>
    </comment>
  </commentList>
</comments>
</file>

<file path=xl/sharedStrings.xml><?xml version="1.0" encoding="utf-8"?>
<sst xmlns="http://schemas.openxmlformats.org/spreadsheetml/2006/main" count="789" uniqueCount="281">
  <si>
    <t>Indiana Department of Transportation Traffic Signal Warrant Summary Worksheet</t>
  </si>
  <si>
    <t>Hidden Cells</t>
  </si>
  <si>
    <t>Warrant Evaluated?</t>
  </si>
  <si>
    <t>Yes</t>
  </si>
  <si>
    <t>Warrant Satisfied?</t>
  </si>
  <si>
    <t>Manually Set To:</t>
  </si>
  <si>
    <t>No</t>
  </si>
  <si>
    <t>Warrant 9 Hidden Cells</t>
  </si>
  <si>
    <t>The Worksheet(s) attached are provided as an attachment to the Engineering Investigation Study for:</t>
  </si>
  <si>
    <t>Condition A :</t>
  </si>
  <si>
    <t>Enter Start Time (Military Time) (HH:MM)</t>
  </si>
  <si>
    <t>warrant 3</t>
  </si>
  <si>
    <t>4B</t>
  </si>
  <si>
    <t>Warrant 4 A</t>
  </si>
  <si>
    <t>Condition justifying use of warrant:</t>
  </si>
  <si>
    <t>Criteria</t>
  </si>
  <si>
    <t>Fulfilled?</t>
  </si>
  <si>
    <t>Min. Veh. Volume</t>
  </si>
  <si>
    <t>hidden</t>
  </si>
  <si>
    <t>Time Period</t>
  </si>
  <si>
    <t>From</t>
  </si>
  <si>
    <t>To</t>
  </si>
  <si>
    <t>Major Road:  Both App. (VPH)</t>
  </si>
  <si>
    <t>Minor Road: High App. (VPH)</t>
  </si>
  <si>
    <t>Total</t>
  </si>
  <si>
    <t>eq?</t>
  </si>
  <si>
    <t>There are a MINIMUM of 20 school children during the highest crossing hour.</t>
  </si>
  <si>
    <t>Adjustment Factors</t>
  </si>
  <si>
    <t>Manually Set Peak Hour?</t>
  </si>
  <si>
    <t>Intersection:</t>
  </si>
  <si>
    <t>Volume Level</t>
  </si>
  <si>
    <t>rank</t>
  </si>
  <si>
    <t>Both</t>
  </si>
  <si>
    <t>Graph Titles</t>
  </si>
  <si>
    <t>There are fewer adequate gaps in the major road traffic stream during the period when the school children are using the crossing than the number of minutes in the same period.</t>
  </si>
  <si>
    <t>Rail Traffic per Day</t>
  </si>
  <si>
    <t>% High Occupancy Buses on Minor Road</t>
  </si>
  <si>
    <t>% Tractor-Trailer Trucks on Minor Road</t>
  </si>
  <si>
    <t>D</t>
  </si>
  <si>
    <t>Peak Hour</t>
  </si>
  <si>
    <t>Major Road Vol.</t>
  </si>
  <si>
    <t>Minor Road Vol.</t>
  </si>
  <si>
    <t>Adjusted Minor Vol.</t>
  </si>
  <si>
    <t>County:</t>
  </si>
  <si>
    <t>Major Rd. Req</t>
  </si>
  <si>
    <t>4A</t>
  </si>
  <si>
    <t>Met?</t>
  </si>
  <si>
    <t>rail</t>
  </si>
  <si>
    <t>bus</t>
  </si>
  <si>
    <t>truck</t>
  </si>
  <si>
    <t>Select one:</t>
  </si>
  <si>
    <t>Minor Rd. Req</t>
  </si>
  <si>
    <t>Delay on Minor Approach</t>
  </si>
  <si>
    <t>The nearest traffic signal along the major road is located more than 300 ft away. Or, the nearest traffic signal is within 300 ft but the proposed traffic signal will not restrict the progressive movement of traffic.</t>
  </si>
  <si>
    <t>0% to 2.5%</t>
  </si>
  <si>
    <t>Number of Hours</t>
  </si>
  <si>
    <t>Volume on Minor Approach</t>
  </si>
  <si>
    <t>Major Street:</t>
  </si>
  <si>
    <t>Minor Street:</t>
  </si>
  <si>
    <t>Satisfied?</t>
  </si>
  <si>
    <t>Total Entering Volume (veh/h)</t>
  </si>
  <si>
    <t>Critical Approach Speed:</t>
  </si>
  <si>
    <t>mph</t>
  </si>
  <si>
    <t>Warrant 6: Coordinated Signal System</t>
  </si>
  <si>
    <t>Lanes:</t>
  </si>
  <si>
    <t>1 lane</t>
  </si>
  <si>
    <t>Condition B:</t>
  </si>
  <si>
    <t>Interruption of Continuous Traffic</t>
  </si>
  <si>
    <t>Major Road Vol.
(Both App.)</t>
  </si>
  <si>
    <t>Minor Road Vol.
(High App.)</t>
  </si>
  <si>
    <t>% Right Turns Included</t>
  </si>
  <si>
    <t>In built-up area of isolated community of &lt; 10,000 population?</t>
  </si>
  <si>
    <t>From North (SB)</t>
  </si>
  <si>
    <t>Total number of approaches at intersection?</t>
  </si>
  <si>
    <t>Signal spacing &gt; 1000 ft</t>
  </si>
  <si>
    <t>From East (WB)</t>
  </si>
  <si>
    <t>If it is a "T" intersection, inflate minor threshold to 150%?</t>
  </si>
  <si>
    <t>On a one-way road or a road that has traffic predominantly in one direction, the adjacent signals are so far apart that they do not provide the  necessary degree of vehicle platooning.</t>
  </si>
  <si>
    <t>major</t>
  </si>
  <si>
    <t>minor</t>
  </si>
  <si>
    <t>From South (NB)</t>
  </si>
  <si>
    <t>Manually set volume level?</t>
  </si>
  <si>
    <t>From West (EB)</t>
  </si>
  <si>
    <t>On a two-way road, adjacent signals do not provide the necessary degree of platooning and the proposed and the adjacent signals will collectively provide a progressive operation.</t>
  </si>
  <si>
    <t>Analysis based on</t>
  </si>
  <si>
    <t>EXISTING</t>
  </si>
  <si>
    <t>volume data.</t>
  </si>
  <si>
    <t>Condition C:</t>
  </si>
  <si>
    <t>A</t>
  </si>
  <si>
    <t>B</t>
  </si>
  <si>
    <t>Time (HH:MM)</t>
  </si>
  <si>
    <t>ped 80%</t>
  </si>
  <si>
    <t>AM / PM</t>
  </si>
  <si>
    <t>Criterion A: Four Hour</t>
  </si>
  <si>
    <t>Wednesday</t>
  </si>
  <si>
    <t xml:space="preserve">AM </t>
  </si>
  <si>
    <t>W 4</t>
  </si>
  <si>
    <t>Hour (Start)</t>
  </si>
  <si>
    <t>Pedestrian Volume</t>
  </si>
  <si>
    <t>Adequate trial of other remedial measures has failed to reduce crash frequency.</t>
  </si>
  <si>
    <t>Warrant Evaluation Summary</t>
  </si>
  <si>
    <t>Warrant Met:</t>
  </si>
  <si>
    <t>Hidden cells for warrant 2</t>
  </si>
  <si>
    <t>Measures Tried:</t>
  </si>
  <si>
    <t>Warrant 1: Eight - Hour Vehicular Volume</t>
  </si>
  <si>
    <t>Hour Start</t>
  </si>
  <si>
    <t>below line rank</t>
  </si>
  <si>
    <t>Five or more reported crashes, of types susceptible to correction by signal, have occurred within a 12 month period.</t>
  </si>
  <si>
    <t># of crashes per 12 months</t>
  </si>
  <si>
    <t>Condition A: Minimum Vehicular Volume</t>
  </si>
  <si>
    <t>above line rank</t>
  </si>
  <si>
    <t>MUTCD</t>
  </si>
  <si>
    <t>Condition B: Interruption of Continuous Traffic</t>
  </si>
  <si>
    <t>Major</t>
  </si>
  <si>
    <t>Minor</t>
  </si>
  <si>
    <t xml:space="preserve"> Manually Set Major Rd Vol?</t>
  </si>
  <si>
    <t>Warrant 1, Condition A (80%)</t>
  </si>
  <si>
    <t>Notes:</t>
  </si>
  <si>
    <t>Condition C: Combination: 80% of A and B</t>
  </si>
  <si>
    <t>Avg. walk speed less than 3.5 ft/s?</t>
  </si>
  <si>
    <t>Warrant 1, Condition B (80%)</t>
  </si>
  <si>
    <t>A high occupancy bus is defined as a bus occupied by at least 20 people</t>
  </si>
  <si>
    <t>Warrant 2: Four-Hour Volume</t>
  </si>
  <si>
    <t>Warrant 4, Criterion A (80%)</t>
  </si>
  <si>
    <t>Warrant 3: Peak Hour Volume</t>
  </si>
  <si>
    <t>Criterion A Satisfied?</t>
  </si>
  <si>
    <t>Warrant 4, Criterion B (80%)</t>
  </si>
  <si>
    <t>D = Clear Storage Distance as defined in 1A.13</t>
  </si>
  <si>
    <t>Warrant 4: Pedestrian Volume</t>
  </si>
  <si>
    <t>Criterion A: Four-Hour</t>
  </si>
  <si>
    <t>Criterion B: Peak-Hour</t>
  </si>
  <si>
    <t>Criterion B: Peak Hour</t>
  </si>
  <si>
    <t>Conclusions/Comments:</t>
  </si>
  <si>
    <t>Warrant 5: School Crossing</t>
  </si>
  <si>
    <t>Pedestrian Vol.</t>
  </si>
  <si>
    <t>Warrant 7: Crash Experience</t>
  </si>
  <si>
    <t>Total entering volume of at least 1,000 veh/h during typical weekday peak hour</t>
  </si>
  <si>
    <t>Warrant 8: Roadway Network</t>
  </si>
  <si>
    <t>Five-year projected volumes that satisfy one or more of Warrants 1, 2, or 3.</t>
  </si>
  <si>
    <t>Warrant 9: Intersection Near a Grade Crossing</t>
  </si>
  <si>
    <t>Criterion B Satisfied?</t>
  </si>
  <si>
    <t>Total entering vol. of at least 1,000 veh/h for each of any 5 hrs of non-normal business day (Sat. or Sun.)</t>
  </si>
  <si>
    <t>Hour</t>
  </si>
  <si>
    <t>Warrant Analysis Conducted By:</t>
  </si>
  <si>
    <t>Volume</t>
  </si>
  <si>
    <t>Name:</t>
  </si>
  <si>
    <t>Nathan Sturdevant</t>
  </si>
  <si>
    <t>Characteristics of Major Routes - Select yes if all intersecting routes have characteristic</t>
  </si>
  <si>
    <t>Agency:</t>
  </si>
  <si>
    <t>INDOT</t>
  </si>
  <si>
    <t>Part of the road or highway system that serves as the principal roadway network for through traffic flow</t>
  </si>
  <si>
    <t>Date:</t>
  </si>
  <si>
    <t>%</t>
  </si>
  <si>
    <t>Rural or suburban highway outside of, entering, or traversing a city</t>
  </si>
  <si>
    <t>lanes</t>
  </si>
  <si>
    <t>total</t>
  </si>
  <si>
    <t>Appears as a major route on an official plan</t>
  </si>
  <si>
    <t>Updated:</t>
  </si>
  <si>
    <t>abs diff</t>
  </si>
  <si>
    <t>Hourly Volume Data</t>
  </si>
  <si>
    <t>One Hour</t>
  </si>
  <si>
    <t>ê</t>
  </si>
  <si>
    <t>ç</t>
  </si>
  <si>
    <t>é</t>
  </si>
  <si>
    <t>è</t>
  </si>
  <si>
    <t>Vehicle</t>
  </si>
  <si>
    <t>Approach Totals</t>
  </si>
  <si>
    <t>Start Time</t>
  </si>
  <si>
    <t xml:space="preserve">Right </t>
  </si>
  <si>
    <t xml:space="preserve">Thru </t>
  </si>
  <si>
    <t xml:space="preserve">Left </t>
  </si>
  <si>
    <t>U-Tn</t>
  </si>
  <si>
    <t>SB</t>
  </si>
  <si>
    <t>WB</t>
  </si>
  <si>
    <t>NB</t>
  </si>
  <si>
    <t>EB</t>
  </si>
  <si>
    <t>AM</t>
  </si>
  <si>
    <t>MD</t>
  </si>
  <si>
    <t>PM</t>
  </si>
  <si>
    <t>Totals</t>
  </si>
  <si>
    <t>Note: Copy volume data and paste into cells using paste special -&gt; values</t>
  </si>
  <si>
    <t>Note: U-Turns are counted as Left Turns in the Volume Totals</t>
  </si>
  <si>
    <t>Major Road Volume Totals:</t>
  </si>
  <si>
    <t>Minor Road Highest Volume:</t>
  </si>
  <si>
    <t>T+LT</t>
  </si>
  <si>
    <t>Hidden</t>
  </si>
  <si>
    <t xml:space="preserve">Please Select the Major Road: </t>
  </si>
  <si>
    <t>N/S</t>
  </si>
  <si>
    <t xml:space="preserve">Major Road Left Turn as Minor Approach? </t>
  </si>
  <si>
    <t xml:space="preserve">% Right Turns Included (Default 0%) </t>
  </si>
  <si>
    <t>100%</t>
  </si>
  <si>
    <t>Location</t>
  </si>
  <si>
    <t>Choice</t>
  </si>
  <si>
    <t>Lanes</t>
  </si>
  <si>
    <t>Approaches</t>
  </si>
  <si>
    <t>Manual</t>
  </si>
  <si>
    <t>RT</t>
  </si>
  <si>
    <t>Set</t>
  </si>
  <si>
    <t>Counts</t>
  </si>
  <si>
    <t>Day</t>
  </si>
  <si>
    <t>Rail</t>
  </si>
  <si>
    <t>Bus</t>
  </si>
  <si>
    <t>Truck</t>
  </si>
  <si>
    <t>&lt;70</t>
  </si>
  <si>
    <t>70&lt;=</t>
  </si>
  <si>
    <t>Warrants</t>
  </si>
  <si>
    <t>E/W</t>
  </si>
  <si>
    <t>PROJECTED</t>
  </si>
  <si>
    <t>City:</t>
  </si>
  <si>
    <t>2 or more lanes</t>
  </si>
  <si>
    <t>4 or more</t>
  </si>
  <si>
    <t>NB LT</t>
  </si>
  <si>
    <t>Monday</t>
  </si>
  <si>
    <t>2.6% to 7.5%</t>
  </si>
  <si>
    <t>1, 2</t>
  </si>
  <si>
    <t>Town:</t>
  </si>
  <si>
    <t>EB LT</t>
  </si>
  <si>
    <t>Tuesday</t>
  </si>
  <si>
    <t>3 to 5</t>
  </si>
  <si>
    <t>7.6% to 12.5%</t>
  </si>
  <si>
    <t>1, 2, 3</t>
  </si>
  <si>
    <t>Village:</t>
  </si>
  <si>
    <t>SB LT</t>
  </si>
  <si>
    <t>6 to 8</t>
  </si>
  <si>
    <t>6% or more</t>
  </si>
  <si>
    <t>12.6% to 17.5%</t>
  </si>
  <si>
    <t>1, 3</t>
  </si>
  <si>
    <t>WB LT</t>
  </si>
  <si>
    <t>Thursday</t>
  </si>
  <si>
    <t>9 to 11</t>
  </si>
  <si>
    <t>17.6% to 22.5%</t>
  </si>
  <si>
    <t>Friday</t>
  </si>
  <si>
    <t>12 or more</t>
  </si>
  <si>
    <t>22.6% to 27.5%</t>
  </si>
  <si>
    <t>2, 3</t>
  </si>
  <si>
    <t>More than 27.5%</t>
  </si>
  <si>
    <t>Warrant 2</t>
  </si>
  <si>
    <t>1 &amp;1</t>
  </si>
  <si>
    <t>(0.000415*A23^2)-(0.7559*A23)+394.89</t>
  </si>
  <si>
    <t>2 &amp; 1</t>
  </si>
  <si>
    <t>1 &amp; 2</t>
  </si>
  <si>
    <t>2 &amp; 2</t>
  </si>
  <si>
    <t>(0.0004*A26^2) - (0.8125*A26) + 473.69</t>
  </si>
  <si>
    <t>(0.00047*A26^2) - (1.0164*A26) + 620.14</t>
  </si>
  <si>
    <t>(0.0003*A20^2) -( 0.7722*A20) + 572.22</t>
  </si>
  <si>
    <t>eq</t>
  </si>
  <si>
    <t>(0.000247*(A25^2)) - 0.7566*A25 + 654.7</t>
  </si>
  <si>
    <t>(0.000315*A25^2) - (0.9941*A25) + 875.6</t>
  </si>
  <si>
    <t>Warrant 3</t>
  </si>
  <si>
    <t>0.0003*A49^2 - 0.7208*A49 + 500.18</t>
  </si>
  <si>
    <t>0.000267*A45^2 - 0.7431*A45 + 590.64</t>
  </si>
  <si>
    <t>0.000295*A44^2 - 0.8872*A44 + 740.15</t>
  </si>
  <si>
    <t>0.000221*A42^2 - 0.7603*A42 + 743.98</t>
  </si>
  <si>
    <t>0.0001593*A41^2 - 0.695*A41 + 820.6,</t>
  </si>
  <si>
    <t>0.000208*A38^2 - 0.8841*A38 + 1051.4</t>
  </si>
  <si>
    <t>Warrant 4</t>
  </si>
  <si>
    <t>70 - 80%</t>
  </si>
  <si>
    <t>100 - 80%</t>
  </si>
  <si>
    <t>ped</t>
  </si>
  <si>
    <t>0.00042*AL14^2 - 0.8829*AL14 + 503.43</t>
  </si>
  <si>
    <t>(0.000374*AL33^2 - 0.9318*AL33 + 663.69)</t>
  </si>
  <si>
    <t>0.0003247*AL14^2 - 0.9248*AL14 + 724.77</t>
  </si>
  <si>
    <t>0.000318*AL34^2 - 1.0729*AL34 + 1027.9</t>
  </si>
  <si>
    <t>Warant 9</t>
  </si>
  <si>
    <t>One Approach</t>
  </si>
  <si>
    <t>D = 130 ft</t>
  </si>
  <si>
    <t>D = 110 ft</t>
  </si>
  <si>
    <t>D = 90 ft</t>
  </si>
  <si>
    <t>D = 70 ft</t>
  </si>
  <si>
    <t>D = 50 ft</t>
  </si>
  <si>
    <t>D = 30 ft</t>
  </si>
  <si>
    <t>Two or more Approaches</t>
  </si>
  <si>
    <t>Warrant 2 - 70%</t>
  </si>
  <si>
    <t>warrant 3 - 70%</t>
  </si>
  <si>
    <t>1 &amp; 1</t>
  </si>
  <si>
    <t>One lane and one lane</t>
  </si>
  <si>
    <t>Two or more lanes and one lane</t>
  </si>
  <si>
    <t>Two or more lanes and two or more lanes</t>
  </si>
  <si>
    <t>Not available</t>
  </si>
  <si>
    <t>Warrant 2 - 100%</t>
  </si>
  <si>
    <t>warrant 3 - 100%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</si>
</sst>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409]h:mm\ AM/PM;@"/>
    <numFmt numFmtId="165" formatCode="h:mm;@"/>
  </numFmts>
  <fonts count="21" x14ac:knownFonts="1">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b/>
      <sz val="12"/>
      <color theme="1"/>
      <name val="Calibri"/>
      <family val="2"/>
      <scheme val="minor"/>
    </font>
    <font>
      <b/>
      <sz val="18"/>
      <color theme="1"/>
      <name val="Calibri"/>
      <family val="2"/>
      <scheme val="minor"/>
    </font>
    <font>
      <b/>
      <sz val="9.9"/>
      <color theme="1"/>
      <name val="Verdana"/>
      <family val="2"/>
    </font>
    <font>
      <sz val="9.9"/>
      <color theme="1"/>
      <name val="Verdana"/>
      <family val="2"/>
    </font>
    <font>
      <b/>
      <sz val="12"/>
      <name val="Calibri"/>
      <family val="2"/>
      <scheme val="minor"/>
    </font>
    <font>
      <b/>
      <sz val="12"/>
      <name val="Calibri"/>
      <family val="2"/>
    </font>
    <font>
      <sz val="12"/>
      <name val="Wingdings"/>
      <charset val="2"/>
    </font>
    <font>
      <b/>
      <i/>
      <sz val="12"/>
      <name val="Calibri"/>
      <family val="2"/>
    </font>
    <font>
      <sz val="12"/>
      <name val="Calibri"/>
      <family val="2"/>
    </font>
    <font>
      <i/>
      <sz val="12"/>
      <color theme="1"/>
      <name val="Calibri"/>
      <family val="2"/>
      <scheme val="minor"/>
    </font>
    <font>
      <sz val="9"/>
      <color indexed="81"/>
      <name val="Tahoma"/>
      <family val="2"/>
    </font>
    <font>
      <b/>
      <sz val="9"/>
      <color indexed="81"/>
      <name val="Tahoma"/>
      <family val="2"/>
    </font>
    <font>
      <i/>
      <sz val="9"/>
      <color indexed="81"/>
      <name val="Tahoma"/>
      <family val="2"/>
    </font>
    <font>
      <sz val="12"/>
      <color theme="0"/>
      <name val="Calibri"/>
      <family val="2"/>
      <scheme val="minor"/>
    </font>
    <font>
      <b/>
      <sz val="12"/>
      <color theme="0"/>
      <name val="Calibri"/>
      <family val="2"/>
      <scheme val="minor"/>
    </font>
    <font>
      <b/>
      <sz val="18"/>
      <color theme="0"/>
      <name val="Calibri"/>
      <family val="2"/>
      <scheme val="minor"/>
    </font>
    <font>
      <sz val="10"/>
      <color theme="1"/>
      <name val="Arial"/>
      <family val="2"/>
    </font>
  </fonts>
  <fills count="1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EDD5DB"/>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9"/>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222623"/>
        <bgColor indexed="64"/>
      </patternFill>
    </fill>
    <fill>
      <patternFill patternType="solid">
        <fgColor rgb="FF5884A9"/>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CF8A9D"/>
      </left>
      <right style="medium">
        <color rgb="FFCF8A9D"/>
      </right>
      <top style="medium">
        <color rgb="FFCF8A9D"/>
      </top>
      <bottom/>
      <diagonal/>
    </border>
    <border>
      <left/>
      <right style="medium">
        <color rgb="FFCF8A9D"/>
      </right>
      <top style="medium">
        <color rgb="FFCF8A9D"/>
      </top>
      <bottom/>
      <diagonal/>
    </border>
    <border>
      <left style="medium">
        <color rgb="FFCF8A9D"/>
      </left>
      <right style="medium">
        <color rgb="FFCF8A9D"/>
      </right>
      <top style="medium">
        <color rgb="FFCF8A9D"/>
      </top>
      <bottom style="medium">
        <color rgb="FFCF8A9D"/>
      </bottom>
      <diagonal/>
    </border>
    <border>
      <left/>
      <right style="medium">
        <color rgb="FFCF8A9D"/>
      </right>
      <top style="medium">
        <color rgb="FFCF8A9D"/>
      </top>
      <bottom style="medium">
        <color rgb="FFCF8A9D"/>
      </bottom>
      <diagonal/>
    </border>
    <border>
      <left style="medium">
        <color rgb="FFCF8A9D"/>
      </left>
      <right/>
      <top style="medium">
        <color rgb="FFCF8A9D"/>
      </top>
      <bottom style="medium">
        <color rgb="FFCF8A9D"/>
      </bottom>
      <diagonal/>
    </border>
    <border>
      <left/>
      <right/>
      <top/>
      <bottom style="medium">
        <color rgb="FFCF8A9D"/>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medium">
        <color rgb="FFCF8A9D"/>
      </right>
      <top style="medium">
        <color rgb="FFCF8A9D"/>
      </top>
      <bottom/>
      <diagonal/>
    </border>
    <border>
      <left style="medium">
        <color indexed="64"/>
      </left>
      <right style="medium">
        <color rgb="FFCF8A9D"/>
      </right>
      <top style="medium">
        <color rgb="FFCF8A9D"/>
      </top>
      <bottom style="medium">
        <color indexed="64"/>
      </bottom>
      <diagonal/>
    </border>
    <border>
      <left/>
      <right style="medium">
        <color rgb="FFCF8A9D"/>
      </right>
      <top style="medium">
        <color rgb="FFCF8A9D"/>
      </top>
      <bottom style="medium">
        <color indexed="64"/>
      </bottom>
      <diagonal/>
    </border>
    <border>
      <left style="medium">
        <color rgb="FFCF8A9D"/>
      </left>
      <right/>
      <top style="medium">
        <color rgb="FFCF8A9D"/>
      </top>
      <bottom/>
      <diagonal/>
    </border>
  </borders>
  <cellStyleXfs count="5">
    <xf numFmtId="0" fontId="0" fillId="0" borderId="0"/>
    <xf numFmtId="0" fontId="17" fillId="17" borderId="0">
      <alignment horizontal="left"/>
    </xf>
    <xf numFmtId="0" fontId="18" fillId="17" borderId="0">
      <alignment horizontal="right" indent="1"/>
    </xf>
    <xf numFmtId="0" fontId="19" fillId="18" borderId="0">
      <alignment horizontal="left" indent="2"/>
    </xf>
    <xf numFmtId="0" fontId="20" fillId="0" borderId="0">
      <alignment horizontal="left"/>
    </xf>
  </cellStyleXfs>
  <cellXfs count="304">
    <xf numFmtId="0" fontId="0" fillId="0" borderId="0" xfId="0"/>
    <xf numFmtId="0" fontId="0" fillId="0" borderId="0" xfId="0" applyAlignment="1">
      <alignment horizontal="center" vertical="center" wrapText="1"/>
    </xf>
    <xf numFmtId="0" fontId="0" fillId="4" borderId="6" xfId="0" applyFill="1" applyBorder="1" applyAlignment="1">
      <alignment horizontal="left"/>
    </xf>
    <xf numFmtId="0" fontId="0" fillId="4" borderId="9" xfId="0" applyFill="1" applyBorder="1" applyAlignment="1">
      <alignment horizontal="left"/>
    </xf>
    <xf numFmtId="0" fontId="0" fillId="3" borderId="6" xfId="0" applyFill="1" applyBorder="1" applyAlignment="1">
      <alignment horizontal="left"/>
    </xf>
    <xf numFmtId="0" fontId="0" fillId="3" borderId="11" xfId="0" applyFill="1" applyBorder="1" applyAlignment="1">
      <alignment horizontal="left"/>
    </xf>
    <xf numFmtId="0" fontId="0" fillId="0" borderId="0" xfId="0" applyAlignment="1">
      <alignment horizontal="left"/>
    </xf>
    <xf numFmtId="0" fontId="3" fillId="0" borderId="0" xfId="0" applyFont="1" applyAlignment="1">
      <alignment horizontal="center" vertical="center"/>
    </xf>
    <xf numFmtId="9" fontId="0" fillId="0" borderId="0" xfId="0" applyNumberFormat="1" applyAlignment="1">
      <alignment horizontal="center"/>
    </xf>
    <xf numFmtId="0" fontId="1" fillId="0" borderId="0" xfId="0" applyFont="1"/>
    <xf numFmtId="0" fontId="5" fillId="0" borderId="0" xfId="0" applyFont="1" applyAlignment="1">
      <alignment vertical="center"/>
    </xf>
    <xf numFmtId="0" fontId="6" fillId="7" borderId="13"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7" fillId="0" borderId="13" xfId="0" applyFont="1" applyBorder="1" applyAlignment="1">
      <alignment horizontal="center" wrapText="1"/>
    </xf>
    <xf numFmtId="0" fontId="7" fillId="0" borderId="14" xfId="0" applyFont="1" applyBorder="1" applyAlignment="1">
      <alignment horizontal="center" wrapText="1"/>
    </xf>
    <xf numFmtId="0" fontId="7" fillId="0" borderId="15" xfId="0" applyFont="1" applyBorder="1" applyAlignment="1">
      <alignment horizontal="center" wrapText="1"/>
    </xf>
    <xf numFmtId="0" fontId="7" fillId="0" borderId="16" xfId="0" applyFont="1" applyBorder="1" applyAlignment="1">
      <alignment horizont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0" xfId="0" applyFont="1" applyAlignment="1">
      <alignment horizontal="center" wrapText="1"/>
    </xf>
    <xf numFmtId="0" fontId="6" fillId="7" borderId="17" xfId="0" applyFont="1" applyFill="1" applyBorder="1" applyAlignment="1">
      <alignment vertical="center" wrapText="1"/>
    </xf>
    <xf numFmtId="0" fontId="6" fillId="7"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wrapText="1"/>
    </xf>
    <xf numFmtId="0" fontId="0" fillId="0" borderId="1" xfId="0" applyBorder="1"/>
    <xf numFmtId="9" fontId="0" fillId="0" borderId="0" xfId="0" applyNumberFormat="1" applyAlignment="1">
      <alignment horizontal="center" vertical="center" wrapText="1"/>
    </xf>
    <xf numFmtId="9" fontId="7" fillId="0" borderId="0" xfId="0" applyNumberFormat="1" applyFont="1" applyAlignment="1">
      <alignment horizontal="center" wrapText="1"/>
    </xf>
    <xf numFmtId="14" fontId="0" fillId="0" borderId="0" xfId="0" applyNumberFormat="1" applyAlignment="1">
      <alignment horizontal="left"/>
    </xf>
    <xf numFmtId="0" fontId="0" fillId="0" borderId="0" xfId="0" applyAlignment="1">
      <alignment vertical="center"/>
    </xf>
    <xf numFmtId="0" fontId="4" fillId="0" borderId="0" xfId="0" applyFont="1" applyAlignment="1">
      <alignment horizontal="left" vertical="center"/>
    </xf>
    <xf numFmtId="0" fontId="0" fillId="11" borderId="0" xfId="0" applyFill="1" applyAlignment="1">
      <alignment horizontal="center" vertical="center" wrapText="1"/>
    </xf>
    <xf numFmtId="0" fontId="2" fillId="10" borderId="0" xfId="0" applyFont="1" applyFill="1" applyAlignment="1">
      <alignment horizontal="center"/>
    </xf>
    <xf numFmtId="0" fontId="0" fillId="0" borderId="0" xfId="0" applyAlignment="1">
      <alignment vertical="center" wrapText="1"/>
    </xf>
    <xf numFmtId="0" fontId="0" fillId="9" borderId="0" xfId="0" applyFill="1"/>
    <xf numFmtId="0" fontId="1" fillId="9" borderId="0" xfId="0" applyFont="1" applyFill="1"/>
    <xf numFmtId="9" fontId="0" fillId="0" borderId="1" xfId="0" applyNumberFormat="1" applyBorder="1" applyAlignment="1">
      <alignment horizontal="center"/>
    </xf>
    <xf numFmtId="165" fontId="0" fillId="0" borderId="0" xfId="0" applyNumberFormat="1" applyAlignment="1">
      <alignment horizontal="center"/>
    </xf>
    <xf numFmtId="165" fontId="0" fillId="0" borderId="1" xfId="0" applyNumberFormat="1" applyBorder="1" applyAlignment="1">
      <alignment horizontal="center"/>
    </xf>
    <xf numFmtId="0" fontId="0" fillId="2" borderId="0" xfId="0" applyFill="1" applyAlignment="1">
      <alignment horizontal="center"/>
    </xf>
    <xf numFmtId="0" fontId="0" fillId="0" borderId="1" xfId="0" applyBorder="1" applyAlignment="1">
      <alignment horizontal="right"/>
    </xf>
    <xf numFmtId="0" fontId="0" fillId="0" borderId="9" xfId="0" applyBorder="1" applyAlignment="1">
      <alignment vertical="top"/>
    </xf>
    <xf numFmtId="0" fontId="0" fillId="0" borderId="0" xfId="0" applyAlignment="1">
      <alignment vertical="top"/>
    </xf>
    <xf numFmtId="0" fontId="0" fillId="0" borderId="10" xfId="0" applyBorder="1" applyAlignment="1">
      <alignment vertical="top"/>
    </xf>
    <xf numFmtId="0" fontId="0" fillId="0" borderId="11" xfId="0" applyBorder="1" applyAlignment="1">
      <alignment vertical="top"/>
    </xf>
    <xf numFmtId="0" fontId="0" fillId="0" borderId="5" xfId="0" applyBorder="1" applyAlignment="1">
      <alignment vertical="top"/>
    </xf>
    <xf numFmtId="0" fontId="0" fillId="0" borderId="12" xfId="0" applyBorder="1" applyAlignment="1">
      <alignment vertical="top"/>
    </xf>
    <xf numFmtId="0" fontId="4" fillId="0" borderId="0" xfId="0" applyFont="1" applyAlignment="1">
      <alignment horizontal="center" vertical="center"/>
    </xf>
    <xf numFmtId="165" fontId="0" fillId="0" borderId="0" xfId="0" applyNumberFormat="1"/>
    <xf numFmtId="0" fontId="4" fillId="0" borderId="0" xfId="0" applyFont="1" applyAlignment="1">
      <alignment horizontal="center"/>
    </xf>
    <xf numFmtId="0" fontId="0" fillId="0" borderId="0" xfId="0" applyAlignment="1" applyProtection="1">
      <alignment horizontal="right"/>
      <protection locked="0"/>
    </xf>
    <xf numFmtId="0" fontId="0" fillId="0" borderId="0" xfId="0" applyProtection="1">
      <protection locked="0"/>
    </xf>
    <xf numFmtId="0" fontId="0" fillId="0" borderId="0" xfId="0" applyAlignment="1" applyProtection="1">
      <alignment vertical="center"/>
      <protection locked="0"/>
    </xf>
    <xf numFmtId="0" fontId="4" fillId="0" borderId="0" xfId="0" applyFont="1" applyAlignment="1" applyProtection="1">
      <alignment horizontal="center" vertical="center"/>
      <protection locked="0"/>
    </xf>
    <xf numFmtId="165" fontId="0" fillId="0" borderId="1" xfId="0" applyNumberFormat="1" applyBorder="1" applyAlignment="1" applyProtection="1">
      <alignment horizontal="center"/>
      <protection locked="0"/>
    </xf>
    <xf numFmtId="0" fontId="4" fillId="0" borderId="0" xfId="0" applyFont="1" applyAlignment="1" applyProtection="1">
      <alignment horizontal="left" vertical="center"/>
      <protection locked="0"/>
    </xf>
    <xf numFmtId="0" fontId="4" fillId="8" borderId="0" xfId="0" applyFont="1" applyFill="1" applyAlignment="1">
      <alignment vertical="center"/>
    </xf>
    <xf numFmtId="0" fontId="10" fillId="0" borderId="32" xfId="0" applyFont="1" applyBorder="1" applyAlignment="1">
      <alignment horizontal="center" vertical="top"/>
    </xf>
    <xf numFmtId="0" fontId="4" fillId="0" borderId="34" xfId="0" applyFont="1" applyBorder="1" applyAlignment="1">
      <alignment horizontal="center"/>
    </xf>
    <xf numFmtId="0" fontId="9" fillId="0" borderId="35" xfId="0" applyFont="1" applyBorder="1" applyAlignment="1">
      <alignment horizontal="center"/>
    </xf>
    <xf numFmtId="0" fontId="9" fillId="0" borderId="39" xfId="0" applyFont="1" applyBorder="1" applyAlignment="1">
      <alignment horizontal="center"/>
    </xf>
    <xf numFmtId="0" fontId="9" fillId="0" borderId="40" xfId="0" applyFont="1" applyBorder="1" applyAlignment="1">
      <alignment horizontal="center"/>
    </xf>
    <xf numFmtId="0" fontId="9" fillId="0" borderId="27" xfId="0" applyFont="1" applyBorder="1" applyAlignment="1">
      <alignment horizontal="center"/>
    </xf>
    <xf numFmtId="1" fontId="12" fillId="0" borderId="46" xfId="0" applyNumberFormat="1" applyFont="1" applyBorder="1" applyAlignment="1" applyProtection="1">
      <alignment horizontal="center" vertical="center"/>
      <protection locked="0"/>
    </xf>
    <xf numFmtId="1" fontId="12" fillId="0" borderId="41" xfId="0" applyNumberFormat="1" applyFont="1" applyBorder="1" applyAlignment="1">
      <alignment horizontal="center" vertical="center"/>
    </xf>
    <xf numFmtId="1" fontId="12" fillId="0" borderId="42" xfId="0" applyNumberFormat="1" applyFont="1" applyBorder="1" applyAlignment="1">
      <alignment horizontal="center" vertical="center"/>
    </xf>
    <xf numFmtId="1" fontId="12" fillId="0" borderId="44" xfId="0" applyNumberFormat="1" applyFont="1" applyBorder="1" applyAlignment="1">
      <alignment horizontal="center" vertical="center"/>
    </xf>
    <xf numFmtId="1" fontId="12" fillId="0" borderId="37" xfId="0" applyNumberFormat="1" applyFont="1" applyBorder="1" applyAlignment="1">
      <alignment horizontal="center" vertical="center"/>
    </xf>
    <xf numFmtId="1" fontId="12" fillId="0" borderId="38" xfId="0" applyNumberFormat="1" applyFont="1" applyBorder="1" applyAlignment="1">
      <alignment horizontal="center" vertical="center"/>
    </xf>
    <xf numFmtId="1" fontId="12" fillId="0" borderId="45" xfId="0" applyNumberFormat="1" applyFont="1" applyBorder="1" applyAlignment="1">
      <alignment horizontal="center" vertical="center"/>
    </xf>
    <xf numFmtId="1" fontId="12" fillId="0" borderId="25" xfId="0" applyNumberFormat="1" applyFont="1" applyBorder="1" applyAlignment="1">
      <alignment horizontal="center" vertical="center"/>
    </xf>
    <xf numFmtId="0" fontId="4" fillId="0" borderId="0" xfId="0" applyFont="1"/>
    <xf numFmtId="0" fontId="2" fillId="0" borderId="0" xfId="0" applyFont="1"/>
    <xf numFmtId="0" fontId="9" fillId="0" borderId="51" xfId="0" applyFont="1" applyBorder="1" applyAlignment="1">
      <alignment horizontal="center"/>
    </xf>
    <xf numFmtId="0" fontId="9" fillId="0" borderId="34" xfId="0" applyFont="1" applyBorder="1" applyAlignment="1">
      <alignment horizontal="center"/>
    </xf>
    <xf numFmtId="1" fontId="12" fillId="0" borderId="26" xfId="0" applyNumberFormat="1" applyFont="1" applyBorder="1" applyAlignment="1">
      <alignment horizontal="center" vertical="center"/>
    </xf>
    <xf numFmtId="1" fontId="12" fillId="0" borderId="40" xfId="0" applyNumberFormat="1" applyFont="1" applyBorder="1" applyAlignment="1">
      <alignment horizontal="center" vertical="center"/>
    </xf>
    <xf numFmtId="1" fontId="12" fillId="0" borderId="32" xfId="0" applyNumberFormat="1" applyFont="1" applyBorder="1" applyAlignment="1">
      <alignment horizontal="center" vertical="center"/>
    </xf>
    <xf numFmtId="1" fontId="12" fillId="0" borderId="34" xfId="0" applyNumberFormat="1" applyFont="1" applyBorder="1" applyAlignment="1">
      <alignment horizontal="center" vertical="center"/>
    </xf>
    <xf numFmtId="1" fontId="12" fillId="0" borderId="28" xfId="0" applyNumberFormat="1" applyFont="1" applyBorder="1" applyAlignment="1">
      <alignment horizontal="center" vertical="center"/>
    </xf>
    <xf numFmtId="1" fontId="12" fillId="0" borderId="20" xfId="0" applyNumberFormat="1" applyFont="1" applyBorder="1" applyAlignment="1">
      <alignment horizontal="center" vertical="center"/>
    </xf>
    <xf numFmtId="1" fontId="12" fillId="0" borderId="0" xfId="0" applyNumberFormat="1" applyFont="1" applyAlignment="1">
      <alignment horizontal="center" vertical="center"/>
    </xf>
    <xf numFmtId="1" fontId="12" fillId="0" borderId="35" xfId="0" applyNumberFormat="1" applyFont="1" applyBorder="1" applyAlignment="1">
      <alignment horizontal="center" vertical="center"/>
    </xf>
    <xf numFmtId="1" fontId="12" fillId="0" borderId="27" xfId="0" applyNumberFormat="1" applyFont="1" applyBorder="1" applyAlignment="1">
      <alignment horizontal="center" vertical="center"/>
    </xf>
    <xf numFmtId="1" fontId="12" fillId="0" borderId="29" xfId="0" applyNumberFormat="1" applyFont="1" applyBorder="1" applyAlignment="1">
      <alignment horizontal="center" vertical="center"/>
    </xf>
    <xf numFmtId="1" fontId="12" fillId="0" borderId="30" xfId="0" applyNumberFormat="1" applyFont="1" applyBorder="1" applyAlignment="1">
      <alignment horizontal="center" vertical="center"/>
    </xf>
    <xf numFmtId="1" fontId="12" fillId="0" borderId="50" xfId="0" applyNumberFormat="1" applyFont="1" applyBorder="1" applyAlignment="1">
      <alignment horizontal="center" vertical="center"/>
    </xf>
    <xf numFmtId="1" fontId="12" fillId="0" borderId="33" xfId="0" applyNumberFormat="1" applyFont="1" applyBorder="1" applyAlignment="1">
      <alignment horizontal="center" vertical="center"/>
    </xf>
    <xf numFmtId="1" fontId="12" fillId="0" borderId="36" xfId="0" applyNumberFormat="1" applyFont="1" applyBorder="1" applyAlignment="1">
      <alignment horizontal="center" vertical="center"/>
    </xf>
    <xf numFmtId="1" fontId="12" fillId="0" borderId="31" xfId="0" applyNumberFormat="1" applyFont="1" applyBorder="1" applyAlignment="1">
      <alignment horizontal="center" vertical="center"/>
    </xf>
    <xf numFmtId="1" fontId="12" fillId="0" borderId="22" xfId="0" applyNumberFormat="1" applyFont="1" applyBorder="1" applyAlignment="1">
      <alignment horizontal="center" vertical="center"/>
    </xf>
    <xf numFmtId="1" fontId="12" fillId="0" borderId="23" xfId="0" applyNumberFormat="1" applyFont="1" applyBorder="1" applyAlignment="1">
      <alignment horizontal="center" vertical="center"/>
    </xf>
    <xf numFmtId="1" fontId="12" fillId="0" borderId="24" xfId="0" applyNumberFormat="1" applyFont="1" applyBorder="1" applyAlignment="1">
      <alignment horizontal="center"/>
    </xf>
    <xf numFmtId="0" fontId="4" fillId="0" borderId="25" xfId="0" applyFont="1" applyBorder="1" applyAlignment="1" applyProtection="1">
      <alignment horizontal="center" vertical="center"/>
      <protection locked="0"/>
    </xf>
    <xf numFmtId="0" fontId="13" fillId="0" borderId="0" xfId="0" applyFont="1"/>
    <xf numFmtId="0" fontId="4" fillId="0" borderId="24" xfId="0" applyFont="1" applyBorder="1" applyAlignment="1" applyProtection="1">
      <alignment horizontal="center" vertical="center"/>
      <protection locked="0"/>
    </xf>
    <xf numFmtId="165" fontId="0" fillId="0" borderId="0" xfId="0" applyNumberFormat="1" applyAlignment="1" applyProtection="1">
      <alignment horizontal="center"/>
      <protection locked="0"/>
    </xf>
    <xf numFmtId="0" fontId="4" fillId="0" borderId="0" xfId="0" applyFont="1" applyAlignment="1">
      <alignment vertical="center"/>
    </xf>
    <xf numFmtId="20" fontId="12" fillId="0" borderId="41" xfId="0" applyNumberFormat="1" applyFont="1" applyBorder="1" applyAlignment="1" applyProtection="1">
      <alignment horizontal="center"/>
      <protection locked="0"/>
    </xf>
    <xf numFmtId="20" fontId="12" fillId="0" borderId="42" xfId="0" applyNumberFormat="1" applyFont="1" applyBorder="1" applyAlignment="1">
      <alignment horizontal="center"/>
    </xf>
    <xf numFmtId="20" fontId="12" fillId="0" borderId="43" xfId="0" applyNumberFormat="1" applyFont="1" applyBorder="1" applyAlignment="1">
      <alignment horizontal="center"/>
    </xf>
    <xf numFmtId="20" fontId="12" fillId="0" borderId="44" xfId="0" applyNumberFormat="1" applyFont="1" applyBorder="1" applyAlignment="1">
      <alignment horizontal="center"/>
    </xf>
    <xf numFmtId="20" fontId="12" fillId="0" borderId="41" xfId="0" applyNumberFormat="1" applyFont="1" applyBorder="1" applyAlignment="1">
      <alignment horizontal="center"/>
    </xf>
    <xf numFmtId="0" fontId="1" fillId="8" borderId="0" xfId="0" applyFont="1" applyFill="1" applyAlignment="1">
      <alignment vertical="center"/>
    </xf>
    <xf numFmtId="0" fontId="6" fillId="7" borderId="2" xfId="0" applyFont="1" applyFill="1" applyBorder="1" applyAlignment="1">
      <alignment vertical="center" wrapText="1"/>
    </xf>
    <xf numFmtId="0" fontId="6" fillId="7"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wrapText="1"/>
    </xf>
    <xf numFmtId="0" fontId="6" fillId="7" borderId="47" xfId="0" applyFont="1" applyFill="1" applyBorder="1" applyAlignment="1">
      <alignment horizontal="center" vertical="center" wrapText="1"/>
    </xf>
    <xf numFmtId="0" fontId="7" fillId="0" borderId="47" xfId="0" applyFont="1" applyBorder="1" applyAlignment="1">
      <alignment horizontal="center" wrapText="1"/>
    </xf>
    <xf numFmtId="0" fontId="0" fillId="0" borderId="47" xfId="0" applyBorder="1" applyAlignment="1">
      <alignment horizontal="center"/>
    </xf>
    <xf numFmtId="0" fontId="0" fillId="0" borderId="48" xfId="0" applyBorder="1" applyAlignment="1">
      <alignment horizontal="center"/>
    </xf>
    <xf numFmtId="0" fontId="0" fillId="0" borderId="49" xfId="0" applyBorder="1" applyAlignment="1">
      <alignment horizontal="center"/>
    </xf>
    <xf numFmtId="0" fontId="0" fillId="0" borderId="33" xfId="0" applyBorder="1"/>
    <xf numFmtId="0" fontId="0" fillId="0" borderId="29" xfId="0" applyBorder="1"/>
    <xf numFmtId="0" fontId="0" fillId="0" borderId="29" xfId="0" applyBorder="1" applyAlignment="1">
      <alignment horizontal="center"/>
    </xf>
    <xf numFmtId="0" fontId="0" fillId="0" borderId="33" xfId="0" applyBorder="1" applyAlignment="1">
      <alignment horizontal="center"/>
    </xf>
    <xf numFmtId="0" fontId="0" fillId="0" borderId="31" xfId="0" applyBorder="1" applyAlignment="1">
      <alignment horizontal="center"/>
    </xf>
    <xf numFmtId="0" fontId="7" fillId="0" borderId="47" xfId="0" applyFont="1" applyBorder="1" applyAlignment="1">
      <alignment horizontal="center" vertical="center" wrapText="1"/>
    </xf>
    <xf numFmtId="0" fontId="0" fillId="0" borderId="31" xfId="0" applyBorder="1"/>
    <xf numFmtId="0" fontId="0" fillId="15" borderId="0" xfId="0" applyFill="1" applyAlignment="1">
      <alignment horizontal="center"/>
    </xf>
    <xf numFmtId="0" fontId="0" fillId="15" borderId="0" xfId="0" applyFill="1"/>
    <xf numFmtId="0" fontId="0" fillId="16" borderId="0" xfId="0" applyFill="1"/>
    <xf numFmtId="0" fontId="0" fillId="16" borderId="0" xfId="0" applyFill="1" applyAlignment="1">
      <alignment horizontal="center"/>
    </xf>
    <xf numFmtId="0" fontId="6" fillId="7" borderId="52" xfId="0" applyFont="1" applyFill="1" applyBorder="1" applyAlignment="1">
      <alignment horizontal="center" vertical="center" wrapText="1"/>
    </xf>
    <xf numFmtId="0" fontId="6" fillId="7" borderId="21" xfId="0" applyFont="1" applyFill="1" applyBorder="1" applyAlignment="1">
      <alignment horizontal="center" vertical="center" wrapText="1"/>
    </xf>
    <xf numFmtId="0" fontId="7" fillId="0" borderId="53" xfId="0" applyFont="1" applyBorder="1" applyAlignment="1">
      <alignment horizontal="center" wrapText="1"/>
    </xf>
    <xf numFmtId="0" fontId="7" fillId="0" borderId="54" xfId="0" applyFont="1" applyBorder="1" applyAlignment="1">
      <alignment horizontal="center" wrapText="1"/>
    </xf>
    <xf numFmtId="0" fontId="7" fillId="0" borderId="55" xfId="0" applyFont="1" applyBorder="1" applyAlignment="1">
      <alignment horizontal="center" wrapText="1"/>
    </xf>
    <xf numFmtId="0" fontId="7" fillId="0" borderId="56" xfId="0" applyFont="1" applyBorder="1" applyAlignment="1">
      <alignment horizontal="center" wrapText="1"/>
    </xf>
    <xf numFmtId="0" fontId="7" fillId="0" borderId="17" xfId="0" applyFont="1" applyBorder="1" applyAlignment="1">
      <alignment horizontal="center" wrapText="1"/>
    </xf>
    <xf numFmtId="0" fontId="4" fillId="0" borderId="1" xfId="0" applyFont="1" applyBorder="1" applyAlignment="1" applyProtection="1">
      <alignment horizontal="center" vertical="center"/>
      <protection locked="0"/>
    </xf>
    <xf numFmtId="0" fontId="4" fillId="9" borderId="0" xfId="0" applyFont="1" applyFill="1" applyAlignment="1">
      <alignment horizontal="right" vertical="center" wrapText="1"/>
    </xf>
    <xf numFmtId="0" fontId="9" fillId="9" borderId="0" xfId="0" applyFont="1" applyFill="1" applyAlignment="1">
      <alignment horizontal="center"/>
    </xf>
    <xf numFmtId="1" fontId="0" fillId="9" borderId="0" xfId="0" applyNumberFormat="1" applyFill="1" applyAlignment="1">
      <alignment horizontal="center"/>
    </xf>
    <xf numFmtId="1" fontId="0" fillId="2" borderId="0" xfId="0" applyNumberFormat="1" applyFill="1" applyAlignment="1">
      <alignment horizontal="center"/>
    </xf>
    <xf numFmtId="1" fontId="0" fillId="0" borderId="0" xfId="0" applyNumberFormat="1" applyAlignment="1">
      <alignment horizontal="center"/>
    </xf>
    <xf numFmtId="14" fontId="0" fillId="0" borderId="0" xfId="0" applyNumberFormat="1"/>
    <xf numFmtId="0" fontId="0" fillId="0" borderId="19" xfId="0" applyBorder="1" applyAlignment="1" applyProtection="1">
      <alignment horizontal="center" vertical="center"/>
      <protection locked="0"/>
    </xf>
    <xf numFmtId="0" fontId="4" fillId="0" borderId="0" xfId="0" applyFont="1" applyAlignment="1">
      <alignment vertical="center" wrapText="1"/>
    </xf>
    <xf numFmtId="22" fontId="0" fillId="0" borderId="0" xfId="0" applyNumberFormat="1"/>
    <xf numFmtId="0" fontId="0" fillId="0" borderId="1" xfId="0" applyBorder="1" applyAlignment="1">
      <alignment horizontal="center" vertical="center" wrapText="1"/>
    </xf>
    <xf numFmtId="0" fontId="0" fillId="0" borderId="1" xfId="0" applyBorder="1" applyAlignment="1">
      <alignment horizontal="center"/>
    </xf>
    <xf numFmtId="0" fontId="0" fillId="0" borderId="0" xfId="0" applyAlignment="1" applyProtection="1">
      <alignment horizontal="center"/>
      <protection locked="0"/>
    </xf>
    <xf numFmtId="0" fontId="0" fillId="0" borderId="1" xfId="0" applyBorder="1" applyAlignment="1">
      <alignment horizontal="center" vertical="center"/>
    </xf>
    <xf numFmtId="0" fontId="5" fillId="0" borderId="0" xfId="0" applyFont="1" applyAlignment="1">
      <alignment horizontal="center" vertical="center"/>
    </xf>
    <xf numFmtId="0" fontId="0" fillId="0" borderId="1" xfId="0" applyBorder="1" applyAlignment="1" applyProtection="1">
      <alignment horizontal="center" vertical="center"/>
      <protection locked="0"/>
    </xf>
    <xf numFmtId="0" fontId="1" fillId="0" borderId="0" xfId="0" applyFont="1" applyAlignment="1">
      <alignment horizontal="left"/>
    </xf>
    <xf numFmtId="0" fontId="0" fillId="0" borderId="19" xfId="0" applyBorder="1" applyAlignment="1">
      <alignment horizontal="center" vertical="center"/>
    </xf>
    <xf numFmtId="0" fontId="0" fillId="0" borderId="1" xfId="0" applyBorder="1" applyAlignment="1" applyProtection="1">
      <alignment horizontal="center"/>
      <protection locked="0"/>
    </xf>
    <xf numFmtId="0" fontId="1" fillId="0" borderId="0" xfId="0" applyFont="1" applyAlignment="1">
      <alignment horizontal="center" vertical="center" wrapText="1"/>
    </xf>
    <xf numFmtId="0" fontId="0" fillId="0" borderId="0" xfId="0" applyAlignment="1">
      <alignment horizontal="center"/>
    </xf>
    <xf numFmtId="0" fontId="0" fillId="0" borderId="5" xfId="0" applyBorder="1" applyAlignment="1">
      <alignment horizontal="center"/>
    </xf>
    <xf numFmtId="0" fontId="0" fillId="0" borderId="0" xfId="0" applyAlignment="1" applyProtection="1">
      <alignment horizontal="left"/>
      <protection locked="0"/>
    </xf>
    <xf numFmtId="0" fontId="0" fillId="0" borderId="0" xfId="0" applyAlignment="1" applyProtection="1">
      <alignment horizontal="center" vertical="center"/>
      <protection locked="0"/>
    </xf>
    <xf numFmtId="0" fontId="4" fillId="2" borderId="5" xfId="0" applyFont="1" applyFill="1" applyBorder="1" applyAlignment="1">
      <alignment horizontal="left"/>
    </xf>
    <xf numFmtId="0" fontId="0" fillId="3" borderId="7" xfId="0" applyFill="1" applyBorder="1" applyAlignment="1">
      <alignment horizontal="left"/>
    </xf>
    <xf numFmtId="0" fontId="0" fillId="4" borderId="7" xfId="0" applyFill="1" applyBorder="1" applyAlignment="1">
      <alignment horizontal="left"/>
    </xf>
    <xf numFmtId="0" fontId="4" fillId="5" borderId="3" xfId="0" applyFont="1" applyFill="1" applyBorder="1" applyAlignment="1">
      <alignment horizontal="left"/>
    </xf>
    <xf numFmtId="0" fontId="4" fillId="2" borderId="3" xfId="0" applyFont="1" applyFill="1" applyBorder="1" applyAlignment="1">
      <alignment horizontal="left"/>
    </xf>
    <xf numFmtId="0" fontId="0" fillId="4" borderId="0" xfId="0" applyFill="1" applyAlignment="1">
      <alignment horizontal="left"/>
    </xf>
    <xf numFmtId="0" fontId="0" fillId="3" borderId="5" xfId="0" applyFill="1" applyBorder="1" applyAlignment="1">
      <alignment horizontal="left"/>
    </xf>
    <xf numFmtId="0" fontId="0" fillId="0" borderId="0" xfId="0" applyAlignment="1">
      <alignment horizontal="right"/>
    </xf>
    <xf numFmtId="0" fontId="0" fillId="9" borderId="0" xfId="0" applyFill="1" applyAlignment="1">
      <alignment horizontal="center"/>
    </xf>
    <xf numFmtId="0" fontId="0" fillId="0" borderId="0" xfId="0" applyAlignment="1">
      <alignment horizontal="center" vertical="center"/>
    </xf>
    <xf numFmtId="0" fontId="0" fillId="0" borderId="0" xfId="0" applyAlignment="1" applyProtection="1">
      <alignment horizontal="left"/>
      <protection locked="0"/>
    </xf>
    <xf numFmtId="0" fontId="0" fillId="4" borderId="0" xfId="0" applyFill="1" applyAlignment="1">
      <alignment horizontal="center"/>
    </xf>
    <xf numFmtId="0" fontId="0" fillId="4" borderId="10" xfId="0"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0" fillId="0" borderId="1" xfId="0"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xf>
    <xf numFmtId="14" fontId="0" fillId="0" borderId="7" xfId="0" applyNumberFormat="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right"/>
    </xf>
    <xf numFmtId="0" fontId="1" fillId="5" borderId="3" xfId="0" applyFont="1" applyFill="1" applyBorder="1" applyAlignment="1">
      <alignment horizontal="center"/>
    </xf>
    <xf numFmtId="0" fontId="1" fillId="5" borderId="4" xfId="0" applyFont="1" applyFill="1" applyBorder="1" applyAlignment="1">
      <alignment horizontal="center"/>
    </xf>
    <xf numFmtId="0" fontId="1" fillId="0" borderId="5" xfId="0" applyFont="1" applyBorder="1" applyAlignment="1">
      <alignment horizontal="right"/>
    </xf>
    <xf numFmtId="0" fontId="0" fillId="0" borderId="0" xfId="0" applyAlignment="1">
      <alignment horizontal="left" vertical="center" wrapText="1"/>
    </xf>
    <xf numFmtId="0" fontId="3" fillId="8" borderId="0" xfId="0" applyFont="1" applyFill="1" applyAlignment="1">
      <alignment horizontal="center" vertical="center"/>
    </xf>
    <xf numFmtId="1" fontId="0" fillId="0" borderId="0" xfId="0" applyNumberFormat="1" applyAlignment="1" applyProtection="1">
      <alignment horizontal="center"/>
      <protection locked="0"/>
    </xf>
    <xf numFmtId="0" fontId="0" fillId="0" borderId="0" xfId="0" applyAlignment="1" applyProtection="1">
      <alignment horizontal="center"/>
      <protection locked="0"/>
    </xf>
    <xf numFmtId="0" fontId="4" fillId="5" borderId="2" xfId="0" applyFont="1" applyFill="1" applyBorder="1" applyAlignment="1">
      <alignment horizontal="left"/>
    </xf>
    <xf numFmtId="0" fontId="4" fillId="5" borderId="3" xfId="0" applyFont="1" applyFill="1" applyBorder="1" applyAlignment="1">
      <alignment horizontal="left"/>
    </xf>
    <xf numFmtId="0" fontId="4" fillId="0" borderId="0" xfId="0" applyFont="1" applyAlignment="1">
      <alignment horizontal="right" vertical="center"/>
    </xf>
    <xf numFmtId="0" fontId="0" fillId="3" borderId="5" xfId="0" applyFill="1" applyBorder="1" applyAlignment="1">
      <alignment horizontal="left"/>
    </xf>
    <xf numFmtId="0" fontId="1" fillId="2" borderId="5" xfId="0" applyFont="1" applyFill="1" applyBorder="1" applyAlignment="1">
      <alignment horizontal="center"/>
    </xf>
    <xf numFmtId="0" fontId="1" fillId="2" borderId="12" xfId="0" applyFont="1" applyFill="1" applyBorder="1" applyAlignment="1">
      <alignment horizontal="center"/>
    </xf>
    <xf numFmtId="0" fontId="0" fillId="3" borderId="7" xfId="0" applyFill="1" applyBorder="1" applyAlignment="1">
      <alignment horizontal="center"/>
    </xf>
    <xf numFmtId="0" fontId="0" fillId="3" borderId="8" xfId="0" applyFill="1" applyBorder="1" applyAlignment="1">
      <alignment horizontal="center"/>
    </xf>
    <xf numFmtId="0" fontId="0" fillId="3" borderId="5" xfId="0" applyFill="1" applyBorder="1" applyAlignment="1">
      <alignment horizontal="center"/>
    </xf>
    <xf numFmtId="0" fontId="0" fillId="3" borderId="12" xfId="0" applyFill="1" applyBorder="1" applyAlignment="1">
      <alignment horizontal="center"/>
    </xf>
    <xf numFmtId="0" fontId="1" fillId="0" borderId="5" xfId="0" applyFont="1" applyBorder="1" applyAlignment="1" applyProtection="1">
      <alignment horizontal="center" vertical="center"/>
      <protection locked="0"/>
    </xf>
    <xf numFmtId="0" fontId="0" fillId="0" borderId="11" xfId="0" applyBorder="1" applyAlignment="1">
      <alignment horizontal="center"/>
    </xf>
    <xf numFmtId="0" fontId="0" fillId="0" borderId="5" xfId="0" applyBorder="1" applyAlignment="1">
      <alignment horizontal="center"/>
    </xf>
    <xf numFmtId="0" fontId="0" fillId="0" borderId="12" xfId="0" applyBorder="1" applyAlignment="1">
      <alignment horizontal="center"/>
    </xf>
    <xf numFmtId="0" fontId="3" fillId="9" borderId="0" xfId="0" applyFont="1" applyFill="1" applyAlignment="1">
      <alignment horizontal="center" vertical="center"/>
    </xf>
    <xf numFmtId="14" fontId="0" fillId="0" borderId="0" xfId="0" applyNumberFormat="1" applyAlignment="1" applyProtection="1">
      <alignment horizontal="left"/>
      <protection locked="0"/>
    </xf>
    <xf numFmtId="0" fontId="4" fillId="2" borderId="11" xfId="0" applyFont="1" applyFill="1" applyBorder="1" applyAlignment="1">
      <alignment horizontal="left"/>
    </xf>
    <xf numFmtId="0" fontId="4" fillId="2" borderId="5" xfId="0" applyFont="1" applyFill="1" applyBorder="1" applyAlignment="1">
      <alignment horizontal="left"/>
    </xf>
    <xf numFmtId="0" fontId="0" fillId="3" borderId="7" xfId="0" applyFill="1" applyBorder="1" applyAlignment="1">
      <alignment horizontal="left"/>
    </xf>
    <xf numFmtId="0" fontId="0" fillId="4" borderId="7" xfId="0" applyFill="1" applyBorder="1" applyAlignment="1">
      <alignment horizontal="left"/>
    </xf>
    <xf numFmtId="0" fontId="1" fillId="0" borderId="0" xfId="0" applyFont="1" applyAlignment="1">
      <alignment horizontal="left"/>
    </xf>
    <xf numFmtId="0" fontId="4" fillId="2" borderId="2" xfId="0" applyFont="1" applyFill="1" applyBorder="1" applyAlignment="1">
      <alignment horizontal="left"/>
    </xf>
    <xf numFmtId="0" fontId="4" fillId="2" borderId="3" xfId="0" applyFont="1" applyFill="1" applyBorder="1" applyAlignment="1">
      <alignment horizontal="left"/>
    </xf>
    <xf numFmtId="0" fontId="3" fillId="6" borderId="19" xfId="0" applyFont="1" applyFill="1" applyBorder="1" applyAlignment="1">
      <alignment horizontal="center" vertical="center"/>
    </xf>
    <xf numFmtId="0" fontId="0" fillId="4" borderId="0" xfId="0" applyFill="1" applyAlignment="1">
      <alignment horizontal="left"/>
    </xf>
    <xf numFmtId="0" fontId="0" fillId="4" borderId="7" xfId="0" applyFill="1" applyBorder="1" applyAlignment="1">
      <alignment horizontal="center"/>
    </xf>
    <xf numFmtId="0" fontId="0" fillId="4" borderId="8" xfId="0" applyFill="1" applyBorder="1" applyAlignment="1">
      <alignment horizontal="center"/>
    </xf>
    <xf numFmtId="0" fontId="0" fillId="0" borderId="0" xfId="0" applyAlignment="1" applyProtection="1">
      <alignment horizontal="left" vertical="top"/>
      <protection locked="0"/>
    </xf>
    <xf numFmtId="0" fontId="1" fillId="0" borderId="3" xfId="0" applyFont="1" applyBorder="1" applyAlignment="1">
      <alignment horizontal="left"/>
    </xf>
    <xf numFmtId="0" fontId="5" fillId="0" borderId="0" xfId="0" applyFont="1" applyAlignment="1">
      <alignment horizontal="center" vertical="center"/>
    </xf>
    <xf numFmtId="0" fontId="1" fillId="0" borderId="0" xfId="0" applyFont="1" applyAlignment="1">
      <alignment horizontal="center" vertical="center" wrapText="1"/>
    </xf>
    <xf numFmtId="0" fontId="4" fillId="0" borderId="6" xfId="0" applyFont="1" applyBorder="1" applyAlignment="1">
      <alignment horizontal="center"/>
    </xf>
    <xf numFmtId="0" fontId="0" fillId="0" borderId="7" xfId="0" applyBorder="1"/>
    <xf numFmtId="0" fontId="0" fillId="0" borderId="8" xfId="0" applyBorder="1"/>
    <xf numFmtId="0" fontId="5" fillId="0" borderId="0" xfId="0" applyFont="1" applyAlignment="1">
      <alignment horizontal="center" vertical="center" wrapText="1"/>
    </xf>
    <xf numFmtId="0" fontId="2" fillId="0" borderId="0" xfId="0" applyFont="1" applyAlignment="1">
      <alignment horizontal="center"/>
    </xf>
    <xf numFmtId="0" fontId="1" fillId="0" borderId="0" xfId="0" applyFont="1" applyAlignment="1">
      <alignment horizontal="right"/>
    </xf>
    <xf numFmtId="0" fontId="0" fillId="0" borderId="1" xfId="0" applyBorder="1" applyAlignment="1">
      <alignment horizontal="left"/>
    </xf>
    <xf numFmtId="0" fontId="0" fillId="0" borderId="6"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1" xfId="0" applyBorder="1" applyAlignment="1" applyProtection="1">
      <alignment horizontal="center" vertical="center"/>
      <protection locked="0"/>
    </xf>
    <xf numFmtId="0" fontId="0" fillId="0" borderId="1" xfId="0" applyBorder="1" applyAlignment="1">
      <alignment horizontal="left" vertical="center" wrapText="1"/>
    </xf>
    <xf numFmtId="0" fontId="4" fillId="0" borderId="0" xfId="0" applyFont="1" applyAlignment="1">
      <alignment horizontal="left"/>
    </xf>
    <xf numFmtId="0" fontId="4" fillId="0" borderId="7" xfId="0" applyFont="1" applyBorder="1" applyAlignment="1">
      <alignment horizontal="center"/>
    </xf>
    <xf numFmtId="0" fontId="4" fillId="0" borderId="8" xfId="0" applyFont="1" applyBorder="1" applyAlignment="1">
      <alignment horizontal="center"/>
    </xf>
    <xf numFmtId="0" fontId="1" fillId="0" borderId="7"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0" fillId="0" borderId="1" xfId="0" applyBorder="1" applyAlignment="1" applyProtection="1">
      <alignment horizontal="center"/>
      <protection locked="0"/>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4" fillId="0" borderId="0" xfId="0" applyFont="1" applyAlignment="1">
      <alignment horizontal="right" vertical="center" wrapText="1"/>
    </xf>
    <xf numFmtId="0" fontId="0" fillId="0" borderId="0" xfId="0" applyAlignment="1">
      <alignment horizontal="left" vertical="center"/>
    </xf>
    <xf numFmtId="0" fontId="1" fillId="0" borderId="0" xfId="0" applyFont="1" applyAlignment="1">
      <alignment horizontal="center"/>
    </xf>
    <xf numFmtId="0" fontId="4" fillId="9" borderId="0" xfId="0" applyFont="1" applyFill="1" applyAlignment="1">
      <alignment horizontal="center" vertical="center"/>
    </xf>
    <xf numFmtId="164" fontId="0" fillId="0" borderId="0" xfId="0" applyNumberFormat="1" applyAlignment="1" applyProtection="1">
      <alignment horizontal="center"/>
      <protection locked="0"/>
    </xf>
    <xf numFmtId="0" fontId="4" fillId="8" borderId="0" xfId="0" applyFont="1" applyFill="1" applyAlignment="1">
      <alignment horizontal="center" vertical="center"/>
    </xf>
    <xf numFmtId="0" fontId="5" fillId="9" borderId="0" xfId="0" applyFont="1" applyFill="1" applyAlignment="1">
      <alignment horizontal="center" vertical="center"/>
    </xf>
    <xf numFmtId="0" fontId="7" fillId="0" borderId="0" xfId="0" applyFont="1" applyAlignment="1">
      <alignment horizontal="left" vertical="center" wrapText="1"/>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0" fillId="0" borderId="1" xfId="0" applyBorder="1" applyAlignment="1">
      <alignment horizont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7" xfId="0" applyBorder="1" applyAlignment="1" applyProtection="1">
      <alignment horizontal="center"/>
      <protection locked="0"/>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9" fillId="0" borderId="26" xfId="0" applyFont="1" applyBorder="1" applyAlignment="1">
      <alignment horizontal="right"/>
    </xf>
    <xf numFmtId="0" fontId="9" fillId="0" borderId="32" xfId="0" applyFont="1" applyBorder="1" applyAlignment="1">
      <alignment horizontal="right"/>
    </xf>
    <xf numFmtId="0" fontId="9" fillId="0" borderId="32" xfId="0" applyFont="1" applyBorder="1" applyAlignment="1">
      <alignment horizontal="left"/>
    </xf>
    <xf numFmtId="0" fontId="9" fillId="0" borderId="27" xfId="0" applyFont="1" applyBorder="1" applyAlignment="1">
      <alignment horizontal="left"/>
    </xf>
    <xf numFmtId="0" fontId="9" fillId="0" borderId="30" xfId="0" applyFont="1" applyBorder="1" applyAlignment="1">
      <alignment horizontal="center"/>
    </xf>
    <xf numFmtId="0" fontId="9" fillId="0" borderId="33" xfId="0" applyFont="1" applyBorder="1" applyAlignment="1">
      <alignment horizontal="center"/>
    </xf>
    <xf numFmtId="0" fontId="9" fillId="0" borderId="31" xfId="0" applyFont="1" applyBorder="1" applyAlignment="1">
      <alignment horizontal="center"/>
    </xf>
    <xf numFmtId="0" fontId="11" fillId="12" borderId="34" xfId="0" applyFont="1" applyFill="1" applyBorder="1" applyAlignment="1">
      <alignment horizontal="center" vertical="center" textRotation="90"/>
    </xf>
    <xf numFmtId="0" fontId="11" fillId="12" borderId="35" xfId="0" applyFont="1" applyFill="1" applyBorder="1" applyAlignment="1">
      <alignment horizontal="center" vertical="center" textRotation="90"/>
    </xf>
    <xf numFmtId="0" fontId="11" fillId="12" borderId="36" xfId="0" applyFont="1" applyFill="1" applyBorder="1" applyAlignment="1">
      <alignment horizontal="center" vertical="center" textRotation="90"/>
    </xf>
    <xf numFmtId="0" fontId="11" fillId="13" borderId="34" xfId="0" applyFont="1" applyFill="1" applyBorder="1" applyAlignment="1">
      <alignment horizontal="center" vertical="center" textRotation="90"/>
    </xf>
    <xf numFmtId="0" fontId="11" fillId="13" borderId="35" xfId="0" applyFont="1" applyFill="1" applyBorder="1" applyAlignment="1">
      <alignment horizontal="center" vertical="center" textRotation="90"/>
    </xf>
    <xf numFmtId="0" fontId="11" fillId="13" borderId="36" xfId="0" applyFont="1" applyFill="1" applyBorder="1" applyAlignment="1">
      <alignment horizontal="center" vertical="center" textRotation="90"/>
    </xf>
    <xf numFmtId="0" fontId="11" fillId="14" borderId="34" xfId="0" applyFont="1" applyFill="1" applyBorder="1" applyAlignment="1">
      <alignment horizontal="center" vertical="center" textRotation="90"/>
    </xf>
    <xf numFmtId="0" fontId="11" fillId="14" borderId="35" xfId="0" applyFont="1" applyFill="1" applyBorder="1" applyAlignment="1">
      <alignment horizontal="center" vertical="center" textRotation="90"/>
    </xf>
    <xf numFmtId="0" fontId="11" fillId="14" borderId="36" xfId="0" applyFont="1" applyFill="1" applyBorder="1" applyAlignment="1">
      <alignment horizontal="center" vertical="center" textRotation="90"/>
    </xf>
    <xf numFmtId="0" fontId="9" fillId="0" borderId="22" xfId="0" applyFont="1" applyBorder="1"/>
    <xf numFmtId="0" fontId="9" fillId="0" borderId="24" xfId="0" applyFont="1" applyBorder="1"/>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9" fillId="0" borderId="28" xfId="0" applyFont="1" applyBorder="1" applyAlignment="1">
      <alignment horizontal="center"/>
    </xf>
    <xf numFmtId="0" fontId="9" fillId="0" borderId="29" xfId="0" applyFont="1" applyBorder="1" applyAlignment="1">
      <alignment horizontal="center"/>
    </xf>
    <xf numFmtId="0" fontId="0" fillId="9" borderId="0" xfId="0" applyFill="1" applyAlignment="1">
      <alignment horizontal="center"/>
    </xf>
    <xf numFmtId="0" fontId="4" fillId="0" borderId="0" xfId="0" applyFont="1" applyAlignment="1">
      <alignment horizontal="right"/>
    </xf>
    <xf numFmtId="0" fontId="4" fillId="0" borderId="29" xfId="0" applyFont="1" applyBorder="1" applyAlignment="1">
      <alignment horizontal="right"/>
    </xf>
    <xf numFmtId="0" fontId="4" fillId="0" borderId="26" xfId="0" applyFont="1" applyBorder="1" applyAlignment="1">
      <alignment horizontal="center" vertical="center"/>
    </xf>
    <xf numFmtId="0" fontId="4" fillId="0" borderId="32" xfId="0" applyFont="1" applyBorder="1" applyAlignment="1">
      <alignment horizontal="center" vertical="center"/>
    </xf>
    <xf numFmtId="0" fontId="4" fillId="0" borderId="27" xfId="0" applyFont="1" applyBorder="1" applyAlignment="1">
      <alignment horizontal="center" vertical="center"/>
    </xf>
    <xf numFmtId="0" fontId="4" fillId="0" borderId="30" xfId="0" applyFont="1" applyBorder="1" applyAlignment="1">
      <alignment horizontal="center" vertical="center"/>
    </xf>
    <xf numFmtId="0" fontId="4" fillId="0" borderId="33" xfId="0" applyFont="1" applyBorder="1" applyAlignment="1">
      <alignment horizontal="center" vertical="center"/>
    </xf>
    <xf numFmtId="0" fontId="4" fillId="0" borderId="31" xfId="0" applyFont="1" applyBorder="1" applyAlignment="1">
      <alignment horizontal="center" vertical="center"/>
    </xf>
    <xf numFmtId="0" fontId="0" fillId="0" borderId="18" xfId="0" applyBorder="1" applyAlignment="1">
      <alignment horizontal="center"/>
    </xf>
    <xf numFmtId="9" fontId="0" fillId="0" borderId="22" xfId="0" applyNumberFormat="1" applyBorder="1" applyAlignment="1">
      <alignment horizontal="center"/>
    </xf>
    <xf numFmtId="9" fontId="0" fillId="0" borderId="23" xfId="0" applyNumberFormat="1" applyBorder="1" applyAlignment="1">
      <alignment horizontal="center"/>
    </xf>
    <xf numFmtId="9" fontId="0" fillId="0" borderId="24" xfId="0" applyNumberFormat="1" applyBorder="1" applyAlignment="1">
      <alignment horizontal="center"/>
    </xf>
    <xf numFmtId="0" fontId="0" fillId="0" borderId="0" xfId="0" applyAlignment="1">
      <alignment horizontal="center" vertical="center"/>
    </xf>
    <xf numFmtId="0" fontId="7" fillId="0" borderId="0" xfId="0" applyFont="1" applyAlignment="1">
      <alignment horizontal="center" vertical="center" wrapText="1"/>
    </xf>
    <xf numFmtId="0" fontId="6" fillId="7" borderId="17"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0" fillId="0" borderId="16" xfId="0" applyBorder="1"/>
  </cellXfs>
  <cellStyles count="5">
    <cellStyle name="Content Header" xfId="3" xr:uid="{00000000-0005-0000-0000-000000000000}"/>
    <cellStyle name="Data Table Content" xfId="4" xr:uid="{00000000-0005-0000-0000-000001000000}"/>
    <cellStyle name="Normal" xfId="0" builtinId="0"/>
    <cellStyle name="Report Header Content" xfId="1" xr:uid="{00000000-0005-0000-0000-000003000000}"/>
    <cellStyle name="Report Header Titles" xfId="2" xr:uid="{00000000-0005-0000-0000-000004000000}"/>
  </cellStyles>
  <dxfs count="34">
    <dxf>
      <fill>
        <patternFill>
          <bgColor rgb="FFFFFFCC"/>
        </patternFill>
      </fill>
    </dxf>
    <dxf>
      <fill>
        <patternFill>
          <bgColor rgb="FFFFFFCC"/>
        </patternFill>
      </fill>
    </dxf>
    <dxf>
      <fill>
        <patternFill>
          <bgColor rgb="FFFF0000"/>
        </patternFill>
      </fill>
    </dxf>
    <dxf>
      <fill>
        <patternFill>
          <bgColor rgb="FFFFFFCC"/>
        </patternFill>
      </fill>
    </dxf>
    <dxf>
      <fill>
        <patternFill>
          <bgColor rgb="FFFFFFCC"/>
        </patternFill>
      </fill>
    </dxf>
    <dxf>
      <fill>
        <patternFill>
          <bgColor theme="5" tint="0.59996337778862885"/>
        </patternFill>
      </fill>
      <border>
        <left style="thin">
          <color auto="1"/>
        </left>
        <right style="thin">
          <color auto="1"/>
        </right>
        <top style="thin">
          <color auto="1"/>
        </top>
        <bottom style="thin">
          <color auto="1"/>
        </bottom>
        <vertical/>
        <horizontal/>
      </border>
    </dxf>
    <dxf>
      <fill>
        <patternFill>
          <bgColor theme="5" tint="0.59996337778862885"/>
        </patternFill>
      </fill>
      <border>
        <left style="thin">
          <color auto="1"/>
        </left>
        <right style="thin">
          <color auto="1"/>
        </right>
        <top style="thin">
          <color auto="1"/>
        </top>
        <bottom style="thin">
          <color auto="1"/>
        </bottom>
      </border>
    </dxf>
    <dxf>
      <fill>
        <patternFill>
          <bgColor rgb="FFFF0000"/>
        </patternFill>
      </fill>
    </dxf>
    <dxf>
      <fill>
        <patternFill>
          <bgColor rgb="FFFFFFCC"/>
        </patternFill>
      </fill>
    </dxf>
    <dxf>
      <fill>
        <patternFill>
          <bgColor theme="0"/>
        </patternFill>
      </fill>
      <border>
        <left style="thin">
          <color auto="1"/>
        </left>
        <right style="thin">
          <color auto="1"/>
        </right>
        <top style="thin">
          <color auto="1"/>
        </top>
        <bottom style="thin">
          <color auto="1"/>
        </bottom>
        <vertical/>
        <horizontal/>
      </border>
    </dxf>
    <dxf>
      <fill>
        <patternFill>
          <bgColor theme="5" tint="0.59996337778862885"/>
        </patternFill>
      </fill>
      <border>
        <left style="thin">
          <color auto="1"/>
        </left>
        <right style="thin">
          <color auto="1"/>
        </right>
        <top style="thin">
          <color auto="1"/>
        </top>
        <bottom style="thin">
          <color auto="1"/>
        </bottom>
      </border>
    </dxf>
    <dxf>
      <fill>
        <patternFill>
          <bgColor rgb="FFFFFFCC"/>
        </patternFill>
      </fill>
    </dxf>
    <dxf>
      <fill>
        <patternFill patternType="solid">
          <bgColor theme="5" tint="0.59996337778862885"/>
        </patternFill>
      </fill>
      <border>
        <left style="thin">
          <color auto="1"/>
        </left>
        <right style="thin">
          <color auto="1"/>
        </right>
        <top style="thin">
          <color auto="1"/>
        </top>
        <bottom style="thin">
          <color auto="1"/>
        </bottom>
      </border>
    </dxf>
    <dxf>
      <fill>
        <patternFill>
          <bgColor rgb="FFFF0000"/>
        </patternFill>
      </fill>
    </dxf>
    <dxf>
      <fill>
        <patternFill>
          <bgColor rgb="FFFFFFCC"/>
        </patternFill>
      </fill>
    </dxf>
    <dxf>
      <fill>
        <patternFill>
          <bgColor rgb="FFFF4B4B"/>
        </patternFill>
      </fill>
    </dxf>
    <dxf>
      <fill>
        <patternFill>
          <bgColor rgb="FFFF4B4B"/>
        </patternFill>
      </fill>
    </dxf>
    <dxf>
      <fill>
        <patternFill>
          <bgColor rgb="FFFF4B4B"/>
        </patternFill>
      </fill>
    </dxf>
    <dxf>
      <fill>
        <patternFill>
          <bgColor rgb="FFFF4B4B"/>
        </patternFill>
      </fill>
    </dxf>
    <dxf>
      <fill>
        <patternFill>
          <bgColor rgb="FFFF4B4B"/>
        </patternFill>
      </fill>
    </dxf>
    <dxf>
      <fill>
        <patternFill>
          <bgColor rgb="FFFF4B4B"/>
        </patternFill>
      </fill>
    </dxf>
    <dxf>
      <fill>
        <patternFill>
          <bgColor rgb="FFFF4B4B"/>
        </patternFill>
      </fill>
    </dxf>
    <dxf>
      <fill>
        <patternFill>
          <bgColor rgb="FFFF4B4B"/>
        </patternFill>
      </fill>
    </dxf>
    <dxf>
      <fill>
        <patternFill>
          <bgColor rgb="FFFF4B4B"/>
        </patternFill>
      </fill>
    </dxf>
    <dxf>
      <fill>
        <patternFill>
          <bgColor rgb="FFFF4B4B"/>
        </patternFill>
      </fill>
    </dxf>
    <dxf>
      <fill>
        <patternFill>
          <bgColor theme="5" tint="0.59996337778862885"/>
        </patternFill>
      </fill>
    </dxf>
    <dxf>
      <fill>
        <patternFill>
          <bgColor theme="9" tint="0.39994506668294322"/>
        </patternFill>
      </fill>
    </dxf>
    <dxf>
      <fill>
        <patternFill>
          <bgColor rgb="FFFFFFCC"/>
        </patternFill>
      </fill>
    </dxf>
    <dxf>
      <border>
        <top style="thin">
          <color rgb="FF585858"/>
        </top>
      </border>
    </dxf>
    <dxf>
      <border>
        <bottom style="thin">
          <color theme="4" tint="0.39991454817346722"/>
        </bottom>
      </border>
    </dxf>
    <dxf>
      <font>
        <b val="0"/>
        <i val="0"/>
      </font>
      <border>
        <left style="thin">
          <color rgb="FF585858"/>
        </left>
        <right style="medium">
          <color rgb="FF585858"/>
        </right>
      </border>
    </dxf>
    <dxf>
      <border>
        <top style="medium">
          <color rgb="FF585858"/>
        </top>
      </border>
    </dxf>
    <dxf>
      <font>
        <b/>
        <i val="0"/>
        <color theme="0"/>
      </font>
      <fill>
        <patternFill>
          <bgColor rgb="FF585858"/>
        </patternFill>
      </fill>
    </dxf>
    <dxf>
      <fill>
        <patternFill>
          <bgColor theme="4" tint="0.79998168889431442"/>
        </patternFill>
      </fill>
    </dxf>
  </dxfs>
  <tableStyles count="1" defaultTableStyle="TableStyleMedium9" defaultPivotStyle="PivotStyleLight16">
    <tableStyle name="Miovision PivotTable" table="0" count="6" xr9:uid="{00000000-0011-0000-FFFF-FFFF00000000}">
      <tableStyleElement type="wholeTable" dxfId="33"/>
      <tableStyleElement type="headerRow" dxfId="32"/>
      <tableStyleElement type="totalRow" dxfId="31"/>
      <tableStyleElement type="firstSubtotalColumn" dxfId="30"/>
      <tableStyleElement type="firstSubtotalRow" dxfId="29"/>
      <tableStyleElement type="firstRowSubheading" dxfId="28"/>
    </tableStyle>
  </tableStyles>
  <colors>
    <mruColors>
      <color rgb="FFFFFFCC"/>
      <color rgb="FFFF4B4B"/>
      <color rgb="FFFF4343"/>
      <color rgb="FFFF2F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scatterChart>
        <c:scatterStyle val="lineMarker"/>
        <c:varyColors val="0"/>
        <c:ser>
          <c:idx val="0"/>
          <c:order val="0"/>
          <c:tx>
            <c:v>User Data</c:v>
          </c:tx>
          <c:spPr>
            <a:ln w="28575">
              <a:noFill/>
            </a:ln>
          </c:spPr>
          <c:xVal>
            <c:numRef>
              <c:f>Worksheet!$N$27:$R$27</c:f>
              <c:numCache>
                <c:formatCode>General</c:formatCode>
                <c:ptCount val="5"/>
                <c:pt idx="0">
                  <c:v>#N/A</c:v>
                </c:pt>
                <c:pt idx="1">
                  <c:v>#N/A</c:v>
                </c:pt>
                <c:pt idx="2">
                  <c:v>#N/A</c:v>
                </c:pt>
                <c:pt idx="3">
                  <c:v>#N/A</c:v>
                </c:pt>
                <c:pt idx="4">
                  <c:v>#N/A</c:v>
                </c:pt>
              </c:numCache>
            </c:numRef>
          </c:xVal>
          <c:yVal>
            <c:numRef>
              <c:f>Worksheet!$N$28:$R$28</c:f>
              <c:numCache>
                <c:formatCode>General</c:formatCode>
                <c:ptCount val="5"/>
                <c:pt idx="0">
                  <c:v>#N/A</c:v>
                </c:pt>
                <c:pt idx="1">
                  <c:v>#N/A</c:v>
                </c:pt>
                <c:pt idx="2">
                  <c:v>#N/A</c:v>
                </c:pt>
                <c:pt idx="3">
                  <c:v>#N/A</c:v>
                </c:pt>
                <c:pt idx="4">
                  <c:v>#N/A</c:v>
                </c:pt>
              </c:numCache>
            </c:numRef>
          </c:yVal>
          <c:smooth val="0"/>
          <c:extLst>
            <c:ext xmlns:c16="http://schemas.microsoft.com/office/drawing/2014/chart" uri="{C3380CC4-5D6E-409C-BE32-E72D297353CC}">
              <c16:uniqueId val="{00000000-8CA6-4CAE-B33C-392626A034D0}"/>
            </c:ext>
          </c:extLst>
        </c:ser>
        <c:ser>
          <c:idx val="1"/>
          <c:order val="1"/>
          <c:spPr>
            <a:ln w="28575">
              <a:solidFill>
                <a:schemeClr val="tx1"/>
              </a:solidFill>
            </a:ln>
          </c:spPr>
          <c:marker>
            <c:symbol val="none"/>
          </c:marker>
          <c:xVal>
            <c:numRef>
              <c:f>Worksheet!$Z$29:$Z$41</c:f>
              <c:numCache>
                <c:formatCode>General</c:formatCode>
                <c:ptCount val="13"/>
                <c:pt idx="0">
                  <c:v>1400</c:v>
                </c:pt>
                <c:pt idx="1">
                  <c:v>1400</c:v>
                </c:pt>
                <c:pt idx="2">
                  <c:v>1300</c:v>
                </c:pt>
                <c:pt idx="3">
                  <c:v>1200</c:v>
                </c:pt>
                <c:pt idx="4">
                  <c:v>1100</c:v>
                </c:pt>
                <c:pt idx="5">
                  <c:v>1000</c:v>
                </c:pt>
                <c:pt idx="6">
                  <c:v>900</c:v>
                </c:pt>
                <c:pt idx="7">
                  <c:v>800</c:v>
                </c:pt>
                <c:pt idx="8">
                  <c:v>700</c:v>
                </c:pt>
                <c:pt idx="9">
                  <c:v>600</c:v>
                </c:pt>
                <c:pt idx="10">
                  <c:v>500</c:v>
                </c:pt>
                <c:pt idx="11">
                  <c:v>400</c:v>
                </c:pt>
                <c:pt idx="12">
                  <c:v>300</c:v>
                </c:pt>
              </c:numCache>
            </c:numRef>
          </c:xVal>
          <c:yVal>
            <c:numRef>
              <c:f>Worksheet!$AA$29:$AA$41</c:f>
              <c:numCache>
                <c:formatCode>General</c:formatCode>
                <c:ptCount val="13"/>
                <c:pt idx="0">
                  <c:v>80</c:v>
                </c:pt>
                <c:pt idx="1">
                  <c:v>80</c:v>
                </c:pt>
                <c:pt idx="2">
                  <c:v>80</c:v>
                </c:pt>
                <c:pt idx="3">
                  <c:v>80</c:v>
                </c:pt>
                <c:pt idx="4">
                  <c:v>80</c:v>
                </c:pt>
                <c:pt idx="5">
                  <c:v>101</c:v>
                </c:pt>
                <c:pt idx="6">
                  <c:v>121</c:v>
                </c:pt>
                <c:pt idx="7">
                  <c:v>147</c:v>
                </c:pt>
                <c:pt idx="8">
                  <c:v>179</c:v>
                </c:pt>
                <c:pt idx="9">
                  <c:v>217</c:v>
                </c:pt>
                <c:pt idx="10">
                  <c:v>262</c:v>
                </c:pt>
                <c:pt idx="11">
                  <c:v>312</c:v>
                </c:pt>
                <c:pt idx="12">
                  <c:v>367</c:v>
                </c:pt>
              </c:numCache>
            </c:numRef>
          </c:yVal>
          <c:smooth val="0"/>
          <c:extLst>
            <c:ext xmlns:c16="http://schemas.microsoft.com/office/drawing/2014/chart" uri="{C3380CC4-5D6E-409C-BE32-E72D297353CC}">
              <c16:uniqueId val="{00000001-8CA6-4CAE-B33C-392626A034D0}"/>
            </c:ext>
          </c:extLst>
        </c:ser>
        <c:ser>
          <c:idx val="2"/>
          <c:order val="2"/>
          <c:tx>
            <c:v>Curve'</c:v>
          </c:tx>
          <c:spPr>
            <a:ln w="28575">
              <a:solidFill>
                <a:schemeClr val="tx1"/>
              </a:solidFill>
            </a:ln>
          </c:spPr>
          <c:marker>
            <c:symbol val="none"/>
          </c:marker>
          <c:xVal>
            <c:numRef>
              <c:f>Worksheet!$Z$29:$Z$30</c:f>
              <c:numCache>
                <c:formatCode>General</c:formatCode>
                <c:ptCount val="2"/>
                <c:pt idx="0">
                  <c:v>1400</c:v>
                </c:pt>
                <c:pt idx="1">
                  <c:v>1400</c:v>
                </c:pt>
              </c:numCache>
            </c:numRef>
          </c:xVal>
          <c:yVal>
            <c:numRef>
              <c:f>Worksheet!$AA$29:$AA$30</c:f>
              <c:numCache>
                <c:formatCode>General</c:formatCode>
                <c:ptCount val="2"/>
                <c:pt idx="0">
                  <c:v>80</c:v>
                </c:pt>
                <c:pt idx="1">
                  <c:v>80</c:v>
                </c:pt>
              </c:numCache>
            </c:numRef>
          </c:yVal>
          <c:smooth val="0"/>
          <c:extLst>
            <c:ext xmlns:c16="http://schemas.microsoft.com/office/drawing/2014/chart" uri="{C3380CC4-5D6E-409C-BE32-E72D297353CC}">
              <c16:uniqueId val="{00000002-8CA6-4CAE-B33C-392626A034D0}"/>
            </c:ext>
          </c:extLst>
        </c:ser>
        <c:dLbls>
          <c:showLegendKey val="0"/>
          <c:showVal val="0"/>
          <c:showCatName val="0"/>
          <c:showSerName val="0"/>
          <c:showPercent val="0"/>
          <c:showBubbleSize val="0"/>
        </c:dLbls>
        <c:axId val="411802832"/>
        <c:axId val="444636320"/>
      </c:scatterChart>
      <c:valAx>
        <c:axId val="411802832"/>
        <c:scaling>
          <c:orientation val="minMax"/>
        </c:scaling>
        <c:delete val="0"/>
        <c:axPos val="b"/>
        <c:majorGridlines/>
        <c:title>
          <c:tx>
            <c:rich>
              <a:bodyPr/>
              <a:lstStyle/>
              <a:p>
                <a:pPr>
                  <a:defRPr sz="1100"/>
                </a:pPr>
                <a:r>
                  <a:rPr lang="en-US" sz="1100"/>
                  <a:t>Major Street VPH (Both App)</a:t>
                </a:r>
              </a:p>
            </c:rich>
          </c:tx>
          <c:overlay val="0"/>
        </c:title>
        <c:numFmt formatCode="General" sourceLinked="1"/>
        <c:majorTickMark val="out"/>
        <c:minorTickMark val="none"/>
        <c:tickLblPos val="nextTo"/>
        <c:crossAx val="444636320"/>
        <c:crosses val="autoZero"/>
        <c:crossBetween val="midCat"/>
      </c:valAx>
      <c:valAx>
        <c:axId val="444636320"/>
        <c:scaling>
          <c:orientation val="minMax"/>
        </c:scaling>
        <c:delete val="0"/>
        <c:axPos val="l"/>
        <c:majorGridlines/>
        <c:title>
          <c:tx>
            <c:rich>
              <a:bodyPr rot="-5400000" vert="horz"/>
              <a:lstStyle/>
              <a:p>
                <a:pPr>
                  <a:defRPr sz="1100" b="1"/>
                </a:pPr>
                <a:r>
                  <a:rPr lang="en-US" sz="1100" b="1"/>
                  <a:t>Minor Street VPH (High App)</a:t>
                </a:r>
              </a:p>
            </c:rich>
          </c:tx>
          <c:overlay val="0"/>
        </c:title>
        <c:numFmt formatCode="General" sourceLinked="1"/>
        <c:majorTickMark val="out"/>
        <c:minorTickMark val="none"/>
        <c:tickLblPos val="nextTo"/>
        <c:crossAx val="411802832"/>
        <c:crosses val="autoZero"/>
        <c:crossBetween val="midCat"/>
      </c:valAx>
    </c:plotArea>
    <c:plotVisOnly val="0"/>
    <c:dispBlanksAs val="gap"/>
    <c:showDLblsOverMax val="0"/>
  </c:chart>
  <c:printSettings>
    <c:headerFooter/>
    <c:pageMargins b="0.75000000000000322" l="0.70000000000000062" r="0.70000000000000062" t="0.7500000000000032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v>70</c:v>
          </c:tx>
          <c:marker>
            <c:symbol val="none"/>
          </c:marker>
          <c:trendline>
            <c:trendlineType val="poly"/>
            <c:order val="2"/>
            <c:dispRSqr val="1"/>
            <c:dispEq val="1"/>
            <c:trendlineLbl>
              <c:layout>
                <c:manualLayout>
                  <c:x val="-5.8250656167978976E-2"/>
                  <c:y val="-6.3409521726450854E-2"/>
                </c:manualLayout>
              </c:layout>
              <c:numFmt formatCode="General" sourceLinked="0"/>
            </c:trendlineLbl>
          </c:trendline>
          <c:xVal>
            <c:numRef>
              <c:f>Sheet1!$AL$11:$AL$16</c:f>
              <c:numCache>
                <c:formatCode>General</c:formatCode>
                <c:ptCount val="6"/>
                <c:pt idx="0">
                  <c:v>800</c:v>
                </c:pt>
                <c:pt idx="1">
                  <c:v>700</c:v>
                </c:pt>
                <c:pt idx="2">
                  <c:v>600</c:v>
                </c:pt>
                <c:pt idx="3">
                  <c:v>500</c:v>
                </c:pt>
                <c:pt idx="4">
                  <c:v>400</c:v>
                </c:pt>
                <c:pt idx="5">
                  <c:v>300</c:v>
                </c:pt>
              </c:numCache>
            </c:numRef>
          </c:xVal>
          <c:yVal>
            <c:numRef>
              <c:f>Sheet1!$AM$11:$AM$16</c:f>
              <c:numCache>
                <c:formatCode>General</c:formatCode>
                <c:ptCount val="6"/>
                <c:pt idx="0">
                  <c:v>75</c:v>
                </c:pt>
                <c:pt idx="1">
                  <c:v>90</c:v>
                </c:pt>
                <c:pt idx="2">
                  <c:v>125</c:v>
                </c:pt>
                <c:pt idx="3">
                  <c:v>175</c:v>
                </c:pt>
                <c:pt idx="4">
                  <c:v>220</c:v>
                </c:pt>
                <c:pt idx="5">
                  <c:v>275</c:v>
                </c:pt>
              </c:numCache>
            </c:numRef>
          </c:yVal>
          <c:smooth val="1"/>
          <c:extLst>
            <c:ext xmlns:c16="http://schemas.microsoft.com/office/drawing/2014/chart" uri="{C3380CC4-5D6E-409C-BE32-E72D297353CC}">
              <c16:uniqueId val="{00000001-9CB5-4383-9C5E-50CAABE480B0}"/>
            </c:ext>
          </c:extLst>
        </c:ser>
        <c:ser>
          <c:idx val="1"/>
          <c:order val="1"/>
          <c:tx>
            <c:v>100</c:v>
          </c:tx>
          <c:marker>
            <c:symbol val="none"/>
          </c:marker>
          <c:trendline>
            <c:trendlineType val="poly"/>
            <c:order val="2"/>
            <c:dispRSqr val="1"/>
            <c:dispEq val="1"/>
            <c:trendlineLbl>
              <c:layout>
                <c:manualLayout>
                  <c:x val="0.1590813648293978"/>
                  <c:y val="-0.3617067658209418"/>
                </c:manualLayout>
              </c:layout>
              <c:numFmt formatCode="General" sourceLinked="0"/>
            </c:trendlineLbl>
          </c:trendline>
          <c:xVal>
            <c:numRef>
              <c:f>Sheet1!$AL$8:$AL$15</c:f>
              <c:numCache>
                <c:formatCode>General</c:formatCode>
                <c:ptCount val="8"/>
                <c:pt idx="0">
                  <c:v>1100</c:v>
                </c:pt>
                <c:pt idx="1">
                  <c:v>1000</c:v>
                </c:pt>
                <c:pt idx="2">
                  <c:v>900</c:v>
                </c:pt>
                <c:pt idx="3">
                  <c:v>800</c:v>
                </c:pt>
                <c:pt idx="4">
                  <c:v>700</c:v>
                </c:pt>
                <c:pt idx="5">
                  <c:v>600</c:v>
                </c:pt>
                <c:pt idx="6">
                  <c:v>500</c:v>
                </c:pt>
                <c:pt idx="7">
                  <c:v>400</c:v>
                </c:pt>
              </c:numCache>
            </c:numRef>
          </c:xVal>
          <c:yVal>
            <c:numRef>
              <c:f>Sheet1!$AN$8:$AN$15</c:f>
              <c:numCache>
                <c:formatCode>General</c:formatCode>
                <c:ptCount val="8"/>
                <c:pt idx="0">
                  <c:v>107</c:v>
                </c:pt>
                <c:pt idx="1">
                  <c:v>125</c:v>
                </c:pt>
                <c:pt idx="2">
                  <c:v>150</c:v>
                </c:pt>
                <c:pt idx="3">
                  <c:v>200</c:v>
                </c:pt>
                <c:pt idx="4">
                  <c:v>225</c:v>
                </c:pt>
                <c:pt idx="5">
                  <c:v>300</c:v>
                </c:pt>
                <c:pt idx="6">
                  <c:v>350</c:v>
                </c:pt>
                <c:pt idx="7">
                  <c:v>400</c:v>
                </c:pt>
              </c:numCache>
            </c:numRef>
          </c:yVal>
          <c:smooth val="1"/>
          <c:extLst>
            <c:ext xmlns:c16="http://schemas.microsoft.com/office/drawing/2014/chart" uri="{C3380CC4-5D6E-409C-BE32-E72D297353CC}">
              <c16:uniqueId val="{00000003-9CB5-4383-9C5E-50CAABE480B0}"/>
            </c:ext>
          </c:extLst>
        </c:ser>
        <c:dLbls>
          <c:showLegendKey val="0"/>
          <c:showVal val="0"/>
          <c:showCatName val="0"/>
          <c:showSerName val="0"/>
          <c:showPercent val="0"/>
          <c:showBubbleSize val="0"/>
        </c:dLbls>
        <c:axId val="420313816"/>
        <c:axId val="420314208"/>
      </c:scatterChart>
      <c:valAx>
        <c:axId val="420313816"/>
        <c:scaling>
          <c:orientation val="minMax"/>
        </c:scaling>
        <c:delete val="0"/>
        <c:axPos val="b"/>
        <c:numFmt formatCode="General" sourceLinked="1"/>
        <c:majorTickMark val="out"/>
        <c:minorTickMark val="none"/>
        <c:tickLblPos val="nextTo"/>
        <c:crossAx val="420314208"/>
        <c:crosses val="autoZero"/>
        <c:crossBetween val="midCat"/>
      </c:valAx>
      <c:valAx>
        <c:axId val="420314208"/>
        <c:scaling>
          <c:orientation val="minMax"/>
        </c:scaling>
        <c:delete val="0"/>
        <c:axPos val="l"/>
        <c:majorGridlines/>
        <c:numFmt formatCode="General" sourceLinked="1"/>
        <c:majorTickMark val="out"/>
        <c:minorTickMark val="none"/>
        <c:tickLblPos val="nextTo"/>
        <c:crossAx val="420313816"/>
        <c:crosses val="autoZero"/>
        <c:crossBetween val="midCat"/>
      </c:valAx>
    </c:plotArea>
    <c:legend>
      <c:legendPos val="r"/>
      <c:overlay val="0"/>
    </c:legend>
    <c:plotVisOnly val="1"/>
    <c:dispBlanksAs val="gap"/>
    <c:showDLblsOverMax val="0"/>
  </c:chart>
  <c:printSettings>
    <c:headerFooter/>
    <c:pageMargins b="0.75000000000000322" l="0.70000000000000062" r="0.70000000000000062" t="0.7500000000000032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v>70</c:v>
          </c:tx>
          <c:marker>
            <c:symbol val="none"/>
          </c:marker>
          <c:trendline>
            <c:trendlineType val="poly"/>
            <c:order val="2"/>
            <c:dispRSqr val="1"/>
            <c:dispEq val="1"/>
            <c:trendlineLbl>
              <c:layout>
                <c:manualLayout>
                  <c:x val="3.3542432195975504E-2"/>
                  <c:y val="3.8994604841061535E-2"/>
                </c:manualLayout>
              </c:layout>
              <c:numFmt formatCode="General" sourceLinked="0"/>
            </c:trendlineLbl>
          </c:trendline>
          <c:xVal>
            <c:numRef>
              <c:f>Sheet1!$AL$29:$AL$38</c:f>
              <c:numCache>
                <c:formatCode>General</c:formatCode>
                <c:ptCount val="10"/>
                <c:pt idx="0">
                  <c:v>1100</c:v>
                </c:pt>
                <c:pt idx="1">
                  <c:v>1000</c:v>
                </c:pt>
                <c:pt idx="2">
                  <c:v>900</c:v>
                </c:pt>
                <c:pt idx="3">
                  <c:v>800</c:v>
                </c:pt>
                <c:pt idx="4">
                  <c:v>700</c:v>
                </c:pt>
                <c:pt idx="5">
                  <c:v>600</c:v>
                </c:pt>
                <c:pt idx="6">
                  <c:v>500</c:v>
                </c:pt>
                <c:pt idx="7">
                  <c:v>400</c:v>
                </c:pt>
                <c:pt idx="8">
                  <c:v>300</c:v>
                </c:pt>
                <c:pt idx="9">
                  <c:v>250</c:v>
                </c:pt>
              </c:numCache>
            </c:numRef>
          </c:xVal>
          <c:yVal>
            <c:numRef>
              <c:f>Sheet1!$AM$29:$AM$38</c:f>
              <c:numCache>
                <c:formatCode>General</c:formatCode>
                <c:ptCount val="10"/>
                <c:pt idx="0">
                  <c:v>93</c:v>
                </c:pt>
                <c:pt idx="1">
                  <c:v>100</c:v>
                </c:pt>
                <c:pt idx="2">
                  <c:v>125</c:v>
                </c:pt>
                <c:pt idx="3">
                  <c:v>150</c:v>
                </c:pt>
                <c:pt idx="4">
                  <c:v>190</c:v>
                </c:pt>
                <c:pt idx="5">
                  <c:v>250</c:v>
                </c:pt>
                <c:pt idx="6">
                  <c:v>290</c:v>
                </c:pt>
                <c:pt idx="7">
                  <c:v>350</c:v>
                </c:pt>
                <c:pt idx="8">
                  <c:v>420</c:v>
                </c:pt>
                <c:pt idx="9">
                  <c:v>450</c:v>
                </c:pt>
              </c:numCache>
            </c:numRef>
          </c:yVal>
          <c:smooth val="1"/>
          <c:extLst>
            <c:ext xmlns:c16="http://schemas.microsoft.com/office/drawing/2014/chart" uri="{C3380CC4-5D6E-409C-BE32-E72D297353CC}">
              <c16:uniqueId val="{00000001-8C87-4414-92E9-34E4B11CDD83}"/>
            </c:ext>
          </c:extLst>
        </c:ser>
        <c:ser>
          <c:idx val="1"/>
          <c:order val="1"/>
          <c:tx>
            <c:v>100</c:v>
          </c:tx>
          <c:marker>
            <c:symbol val="none"/>
          </c:marker>
          <c:trendline>
            <c:trendlineType val="poly"/>
            <c:order val="2"/>
            <c:dispRSqr val="1"/>
            <c:dispEq val="1"/>
            <c:trendlineLbl>
              <c:layout>
                <c:manualLayout>
                  <c:x val="0.19267475940507417"/>
                  <c:y val="-0.35902960046660837"/>
                </c:manualLayout>
              </c:layout>
              <c:numFmt formatCode="General" sourceLinked="0"/>
            </c:trendlineLbl>
          </c:trendline>
          <c:xVal>
            <c:numRef>
              <c:f>Sheet1!$AL$25:$AL$36</c:f>
              <c:numCache>
                <c:formatCode>General</c:formatCode>
                <c:ptCount val="12"/>
                <c:pt idx="0">
                  <c:v>1500</c:v>
                </c:pt>
                <c:pt idx="1">
                  <c:v>1400</c:v>
                </c:pt>
                <c:pt idx="2">
                  <c:v>1300</c:v>
                </c:pt>
                <c:pt idx="3">
                  <c:v>1200</c:v>
                </c:pt>
                <c:pt idx="4">
                  <c:v>1100</c:v>
                </c:pt>
                <c:pt idx="5">
                  <c:v>1000</c:v>
                </c:pt>
                <c:pt idx="6">
                  <c:v>900</c:v>
                </c:pt>
                <c:pt idx="7">
                  <c:v>800</c:v>
                </c:pt>
                <c:pt idx="8">
                  <c:v>700</c:v>
                </c:pt>
                <c:pt idx="9">
                  <c:v>600</c:v>
                </c:pt>
                <c:pt idx="10">
                  <c:v>500</c:v>
                </c:pt>
                <c:pt idx="11">
                  <c:v>400</c:v>
                </c:pt>
              </c:numCache>
            </c:numRef>
          </c:xVal>
          <c:yVal>
            <c:numRef>
              <c:f>Sheet1!$AN$25:$AN$36</c:f>
              <c:numCache>
                <c:formatCode>General</c:formatCode>
                <c:ptCount val="12"/>
                <c:pt idx="0">
                  <c:v>133</c:v>
                </c:pt>
                <c:pt idx="1">
                  <c:v>150</c:v>
                </c:pt>
                <c:pt idx="2">
                  <c:v>175</c:v>
                </c:pt>
                <c:pt idx="3">
                  <c:v>200</c:v>
                </c:pt>
                <c:pt idx="4">
                  <c:v>225</c:v>
                </c:pt>
                <c:pt idx="5">
                  <c:v>280</c:v>
                </c:pt>
                <c:pt idx="6">
                  <c:v>325</c:v>
                </c:pt>
                <c:pt idx="7">
                  <c:v>375</c:v>
                </c:pt>
                <c:pt idx="8">
                  <c:v>420</c:v>
                </c:pt>
                <c:pt idx="9">
                  <c:v>500</c:v>
                </c:pt>
                <c:pt idx="10">
                  <c:v>575</c:v>
                </c:pt>
                <c:pt idx="11">
                  <c:v>650</c:v>
                </c:pt>
              </c:numCache>
            </c:numRef>
          </c:yVal>
          <c:smooth val="1"/>
          <c:extLst>
            <c:ext xmlns:c16="http://schemas.microsoft.com/office/drawing/2014/chart" uri="{C3380CC4-5D6E-409C-BE32-E72D297353CC}">
              <c16:uniqueId val="{00000003-8C87-4414-92E9-34E4B11CDD83}"/>
            </c:ext>
          </c:extLst>
        </c:ser>
        <c:dLbls>
          <c:showLegendKey val="0"/>
          <c:showVal val="0"/>
          <c:showCatName val="0"/>
          <c:showSerName val="0"/>
          <c:showPercent val="0"/>
          <c:showBubbleSize val="0"/>
        </c:dLbls>
        <c:axId val="625190336"/>
        <c:axId val="625190728"/>
      </c:scatterChart>
      <c:valAx>
        <c:axId val="625190336"/>
        <c:scaling>
          <c:orientation val="minMax"/>
        </c:scaling>
        <c:delete val="0"/>
        <c:axPos val="b"/>
        <c:numFmt formatCode="General" sourceLinked="1"/>
        <c:majorTickMark val="out"/>
        <c:minorTickMark val="none"/>
        <c:tickLblPos val="nextTo"/>
        <c:crossAx val="625190728"/>
        <c:crosses val="autoZero"/>
        <c:crossBetween val="midCat"/>
      </c:valAx>
      <c:valAx>
        <c:axId val="625190728"/>
        <c:scaling>
          <c:orientation val="minMax"/>
        </c:scaling>
        <c:delete val="0"/>
        <c:axPos val="l"/>
        <c:majorGridlines/>
        <c:numFmt formatCode="General" sourceLinked="1"/>
        <c:majorTickMark val="out"/>
        <c:minorTickMark val="none"/>
        <c:tickLblPos val="nextTo"/>
        <c:crossAx val="625190336"/>
        <c:crosses val="autoZero"/>
        <c:crossBetween val="midCat"/>
      </c:valAx>
    </c:plotArea>
    <c:legend>
      <c:legendPos val="r"/>
      <c:overlay val="0"/>
    </c:legend>
    <c:plotVisOnly val="1"/>
    <c:dispBlanksAs val="gap"/>
    <c:showDLblsOverMax val="0"/>
  </c:chart>
  <c:printSettings>
    <c:headerFooter/>
    <c:pageMargins b="0.75000000000000322" l="0.70000000000000062" r="0.70000000000000062" t="0.750000000000003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scatterChart>
        <c:scatterStyle val="lineMarker"/>
        <c:varyColors val="0"/>
        <c:ser>
          <c:idx val="0"/>
          <c:order val="0"/>
          <c:tx>
            <c:v>User Data</c:v>
          </c:tx>
          <c:spPr>
            <a:ln w="28575">
              <a:noFill/>
            </a:ln>
          </c:spPr>
          <c:xVal>
            <c:numRef>
              <c:f>Worksheet!$AX$14</c:f>
              <c:numCache>
                <c:formatCode>General</c:formatCode>
                <c:ptCount val="1"/>
                <c:pt idx="0">
                  <c:v>0</c:v>
                </c:pt>
              </c:numCache>
            </c:numRef>
          </c:xVal>
          <c:yVal>
            <c:numRef>
              <c:f>Worksheet!$AZ$14</c:f>
              <c:numCache>
                <c:formatCode>General</c:formatCode>
                <c:ptCount val="1"/>
                <c:pt idx="0">
                  <c:v>0</c:v>
                </c:pt>
              </c:numCache>
            </c:numRef>
          </c:yVal>
          <c:smooth val="0"/>
          <c:extLst>
            <c:ext xmlns:c16="http://schemas.microsoft.com/office/drawing/2014/chart" uri="{C3380CC4-5D6E-409C-BE32-E72D297353CC}">
              <c16:uniqueId val="{00000000-219A-43C4-8BAA-BF7A0ED64ED7}"/>
            </c:ext>
          </c:extLst>
        </c:ser>
        <c:ser>
          <c:idx val="1"/>
          <c:order val="1"/>
          <c:tx>
            <c:v>MUTCD</c:v>
          </c:tx>
          <c:spPr>
            <a:ln w="28575">
              <a:solidFill>
                <a:sysClr val="windowText" lastClr="000000"/>
              </a:solidFill>
            </a:ln>
          </c:spPr>
          <c:marker>
            <c:symbol val="none"/>
          </c:marker>
          <c:xVal>
            <c:numRef>
              <c:f>Worksheet!$AS$29:$AS$45</c:f>
              <c:numCache>
                <c:formatCode>General</c:formatCode>
                <c:ptCount val="17"/>
                <c:pt idx="0">
                  <c:v>1800</c:v>
                </c:pt>
                <c:pt idx="1">
                  <c:v>1800</c:v>
                </c:pt>
                <c:pt idx="2">
                  <c:v>1700</c:v>
                </c:pt>
                <c:pt idx="3">
                  <c:v>1600</c:v>
                </c:pt>
                <c:pt idx="4">
                  <c:v>1500</c:v>
                </c:pt>
                <c:pt idx="5">
                  <c:v>1400</c:v>
                </c:pt>
                <c:pt idx="6">
                  <c:v>1300</c:v>
                </c:pt>
                <c:pt idx="7">
                  <c:v>1200</c:v>
                </c:pt>
                <c:pt idx="8">
                  <c:v>1100</c:v>
                </c:pt>
                <c:pt idx="9">
                  <c:v>1000</c:v>
                </c:pt>
                <c:pt idx="10">
                  <c:v>900</c:v>
                </c:pt>
                <c:pt idx="11">
                  <c:v>800</c:v>
                </c:pt>
                <c:pt idx="12">
                  <c:v>700</c:v>
                </c:pt>
                <c:pt idx="13">
                  <c:v>600</c:v>
                </c:pt>
                <c:pt idx="14">
                  <c:v>500</c:v>
                </c:pt>
                <c:pt idx="15">
                  <c:v>#N/A</c:v>
                </c:pt>
                <c:pt idx="16">
                  <c:v>#N/A</c:v>
                </c:pt>
              </c:numCache>
            </c:numRef>
          </c:xVal>
          <c:yVal>
            <c:numRef>
              <c:f>Worksheet!$AT$29:$AT$45</c:f>
              <c:numCache>
                <c:formatCode>General</c:formatCode>
                <c:ptCount val="17"/>
                <c:pt idx="0">
                  <c:v>100</c:v>
                </c:pt>
                <c:pt idx="1">
                  <c:v>100</c:v>
                </c:pt>
                <c:pt idx="2">
                  <c:v>100</c:v>
                </c:pt>
                <c:pt idx="3">
                  <c:v>100</c:v>
                </c:pt>
                <c:pt idx="4">
                  <c:v>101</c:v>
                </c:pt>
                <c:pt idx="5">
                  <c:v>113</c:v>
                </c:pt>
                <c:pt idx="6">
                  <c:v>130</c:v>
                </c:pt>
                <c:pt idx="7">
                  <c:v>150</c:v>
                </c:pt>
                <c:pt idx="8">
                  <c:v>176</c:v>
                </c:pt>
                <c:pt idx="9">
                  <c:v>205</c:v>
                </c:pt>
                <c:pt idx="10">
                  <c:v>239</c:v>
                </c:pt>
                <c:pt idx="11">
                  <c:v>278</c:v>
                </c:pt>
                <c:pt idx="12">
                  <c:v>321</c:v>
                </c:pt>
                <c:pt idx="13">
                  <c:v>368</c:v>
                </c:pt>
                <c:pt idx="14">
                  <c:v>420</c:v>
                </c:pt>
                <c:pt idx="15">
                  <c:v>#N/A</c:v>
                </c:pt>
                <c:pt idx="16">
                  <c:v>#N/A</c:v>
                </c:pt>
              </c:numCache>
            </c:numRef>
          </c:yVal>
          <c:smooth val="0"/>
          <c:extLst>
            <c:ext xmlns:c16="http://schemas.microsoft.com/office/drawing/2014/chart" uri="{C3380CC4-5D6E-409C-BE32-E72D297353CC}">
              <c16:uniqueId val="{00000001-219A-43C4-8BAA-BF7A0ED64ED7}"/>
            </c:ext>
          </c:extLst>
        </c:ser>
        <c:dLbls>
          <c:showLegendKey val="0"/>
          <c:showVal val="0"/>
          <c:showCatName val="0"/>
          <c:showSerName val="0"/>
          <c:showPercent val="0"/>
          <c:showBubbleSize val="0"/>
        </c:dLbls>
        <c:axId val="444637104"/>
        <c:axId val="444637496"/>
      </c:scatterChart>
      <c:valAx>
        <c:axId val="444637104"/>
        <c:scaling>
          <c:orientation val="minMax"/>
        </c:scaling>
        <c:delete val="0"/>
        <c:axPos val="b"/>
        <c:majorGridlines/>
        <c:title>
          <c:tx>
            <c:rich>
              <a:bodyPr/>
              <a:lstStyle/>
              <a:p>
                <a:pPr>
                  <a:defRPr sz="1100"/>
                </a:pPr>
                <a:r>
                  <a:rPr lang="en-US" sz="1100"/>
                  <a:t>Major Street VPH (Both App)</a:t>
                </a:r>
              </a:p>
            </c:rich>
          </c:tx>
          <c:overlay val="0"/>
        </c:title>
        <c:numFmt formatCode="General" sourceLinked="1"/>
        <c:majorTickMark val="out"/>
        <c:minorTickMark val="none"/>
        <c:tickLblPos val="nextTo"/>
        <c:crossAx val="444637496"/>
        <c:crosses val="autoZero"/>
        <c:crossBetween val="midCat"/>
      </c:valAx>
      <c:valAx>
        <c:axId val="444637496"/>
        <c:scaling>
          <c:orientation val="minMax"/>
        </c:scaling>
        <c:delete val="0"/>
        <c:axPos val="l"/>
        <c:majorGridlines/>
        <c:title>
          <c:tx>
            <c:rich>
              <a:bodyPr rot="-5400000" vert="horz"/>
              <a:lstStyle/>
              <a:p>
                <a:pPr>
                  <a:defRPr/>
                </a:pPr>
                <a:r>
                  <a:rPr lang="en-US"/>
                  <a:t>Minor Street VPH (High App)</a:t>
                </a:r>
              </a:p>
            </c:rich>
          </c:tx>
          <c:overlay val="0"/>
        </c:title>
        <c:numFmt formatCode="General" sourceLinked="1"/>
        <c:majorTickMark val="out"/>
        <c:minorTickMark val="none"/>
        <c:tickLblPos val="nextTo"/>
        <c:crossAx val="444637104"/>
        <c:crosses val="autoZero"/>
        <c:crossBetween val="midCat"/>
      </c:valAx>
    </c:plotArea>
    <c:plotVisOnly val="0"/>
    <c:dispBlanksAs val="gap"/>
    <c:showDLblsOverMax val="0"/>
  </c:chart>
  <c:printSettings>
    <c:headerFooter/>
    <c:pageMargins b="0.75000000000000322" l="0.70000000000000062" r="0.70000000000000062" t="0.7500000000000032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scatterChart>
        <c:scatterStyle val="lineMarker"/>
        <c:varyColors val="0"/>
        <c:ser>
          <c:idx val="0"/>
          <c:order val="0"/>
          <c:tx>
            <c:v>User</c:v>
          </c:tx>
          <c:spPr>
            <a:ln w="28575">
              <a:noFill/>
            </a:ln>
          </c:spPr>
          <c:xVal>
            <c:numRef>
              <c:f>Worksheet!$AY$24:$AY$27</c:f>
              <c:numCache>
                <c:formatCode>General</c:formatCode>
                <c:ptCount val="4"/>
                <c:pt idx="0">
                  <c:v>0</c:v>
                </c:pt>
                <c:pt idx="1">
                  <c:v>0</c:v>
                </c:pt>
                <c:pt idx="2">
                  <c:v>0</c:v>
                </c:pt>
                <c:pt idx="3">
                  <c:v>0</c:v>
                </c:pt>
              </c:numCache>
            </c:numRef>
          </c:xVal>
          <c:yVal>
            <c:numRef>
              <c:f>Worksheet!$AX$24:$AX$27</c:f>
              <c:numCache>
                <c:formatCode>General</c:formatCode>
                <c:ptCount val="4"/>
              </c:numCache>
            </c:numRef>
          </c:yVal>
          <c:smooth val="0"/>
          <c:extLst>
            <c:ext xmlns:c16="http://schemas.microsoft.com/office/drawing/2014/chart" uri="{C3380CC4-5D6E-409C-BE32-E72D297353CC}">
              <c16:uniqueId val="{00000000-BECD-4DD5-84F8-B2328A378AC1}"/>
            </c:ext>
          </c:extLst>
        </c:ser>
        <c:ser>
          <c:idx val="1"/>
          <c:order val="1"/>
          <c:tx>
            <c:v>MUTCD</c:v>
          </c:tx>
          <c:spPr>
            <a:ln w="28575">
              <a:solidFill>
                <a:sysClr val="windowText" lastClr="000000"/>
              </a:solidFill>
            </a:ln>
          </c:spPr>
          <c:marker>
            <c:symbol val="none"/>
          </c:marker>
          <c:xVal>
            <c:numRef>
              <c:f>Worksheet!$AP$4:$AP$16</c:f>
              <c:numCache>
                <c:formatCode>General</c:formatCode>
                <c:ptCount val="13"/>
                <c:pt idx="0">
                  <c:v>1400</c:v>
                </c:pt>
                <c:pt idx="1">
                  <c:v>1400</c:v>
                </c:pt>
                <c:pt idx="2">
                  <c:v>1300</c:v>
                </c:pt>
                <c:pt idx="3">
                  <c:v>1200</c:v>
                </c:pt>
                <c:pt idx="4">
                  <c:v>1100</c:v>
                </c:pt>
                <c:pt idx="5">
                  <c:v>1000</c:v>
                </c:pt>
                <c:pt idx="6">
                  <c:v>900</c:v>
                </c:pt>
                <c:pt idx="7">
                  <c:v>800</c:v>
                </c:pt>
                <c:pt idx="8">
                  <c:v>700</c:v>
                </c:pt>
                <c:pt idx="9">
                  <c:v>600</c:v>
                </c:pt>
                <c:pt idx="10">
                  <c:v>500</c:v>
                </c:pt>
                <c:pt idx="11">
                  <c:v>400</c:v>
                </c:pt>
                <c:pt idx="12">
                  <c:v>#N/A</c:v>
                </c:pt>
              </c:numCache>
            </c:numRef>
          </c:xVal>
          <c:yVal>
            <c:numRef>
              <c:f>Worksheet!$AQ$4:$AQ$16</c:f>
              <c:numCache>
                <c:formatCode>General</c:formatCode>
                <c:ptCount val="13"/>
                <c:pt idx="0">
                  <c:v>107</c:v>
                </c:pt>
                <c:pt idx="1">
                  <c:v>107</c:v>
                </c:pt>
                <c:pt idx="2">
                  <c:v>107</c:v>
                </c:pt>
                <c:pt idx="3">
                  <c:v>107</c:v>
                </c:pt>
                <c:pt idx="4">
                  <c:v>107</c:v>
                </c:pt>
                <c:pt idx="5">
                  <c:v>125</c:v>
                </c:pt>
                <c:pt idx="6">
                  <c:v>156</c:v>
                </c:pt>
                <c:pt idx="7">
                  <c:v>193</c:v>
                </c:pt>
                <c:pt idx="8">
                  <c:v>237</c:v>
                </c:pt>
                <c:pt idx="9">
                  <c:v>287</c:v>
                </c:pt>
                <c:pt idx="10">
                  <c:v>344</c:v>
                </c:pt>
                <c:pt idx="11">
                  <c:v>407</c:v>
                </c:pt>
                <c:pt idx="12">
                  <c:v>#N/A</c:v>
                </c:pt>
              </c:numCache>
            </c:numRef>
          </c:yVal>
          <c:smooth val="0"/>
          <c:extLst>
            <c:ext xmlns:c16="http://schemas.microsoft.com/office/drawing/2014/chart" uri="{C3380CC4-5D6E-409C-BE32-E72D297353CC}">
              <c16:uniqueId val="{00000001-BECD-4DD5-84F8-B2328A378AC1}"/>
            </c:ext>
          </c:extLst>
        </c:ser>
        <c:dLbls>
          <c:showLegendKey val="0"/>
          <c:showVal val="0"/>
          <c:showCatName val="0"/>
          <c:showSerName val="0"/>
          <c:showPercent val="0"/>
          <c:showBubbleSize val="0"/>
        </c:dLbls>
        <c:axId val="225512576"/>
        <c:axId val="225512968"/>
      </c:scatterChart>
      <c:valAx>
        <c:axId val="225512576"/>
        <c:scaling>
          <c:orientation val="minMax"/>
        </c:scaling>
        <c:delete val="0"/>
        <c:axPos val="b"/>
        <c:majorGridlines/>
        <c:numFmt formatCode="General" sourceLinked="1"/>
        <c:majorTickMark val="out"/>
        <c:minorTickMark val="none"/>
        <c:tickLblPos val="nextTo"/>
        <c:crossAx val="225512968"/>
        <c:crosses val="autoZero"/>
        <c:crossBetween val="midCat"/>
      </c:valAx>
      <c:valAx>
        <c:axId val="225512968"/>
        <c:scaling>
          <c:orientation val="minMax"/>
        </c:scaling>
        <c:delete val="0"/>
        <c:axPos val="l"/>
        <c:majorGridlines/>
        <c:numFmt formatCode="General" sourceLinked="1"/>
        <c:majorTickMark val="out"/>
        <c:minorTickMark val="none"/>
        <c:tickLblPos val="nextTo"/>
        <c:crossAx val="225512576"/>
        <c:crosses val="autoZero"/>
        <c:crossBetween val="midCat"/>
      </c:valAx>
    </c:plotArea>
    <c:plotVisOnly val="0"/>
    <c:dispBlanksAs val="gap"/>
    <c:showDLblsOverMax val="0"/>
  </c:chart>
  <c:printSettings>
    <c:headerFooter/>
    <c:pageMargins b="0.75000000000000322" l="0.70000000000000062" r="0.70000000000000062" t="0.7500000000000032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scatterChart>
        <c:scatterStyle val="lineMarker"/>
        <c:varyColors val="0"/>
        <c:ser>
          <c:idx val="0"/>
          <c:order val="0"/>
          <c:tx>
            <c:v>User</c:v>
          </c:tx>
          <c:spPr>
            <a:ln w="28575">
              <a:noFill/>
            </a:ln>
          </c:spPr>
          <c:xVal>
            <c:numRef>
              <c:f>Worksheet!$AY$37</c:f>
              <c:numCache>
                <c:formatCode>General</c:formatCode>
                <c:ptCount val="1"/>
                <c:pt idx="0">
                  <c:v>0</c:v>
                </c:pt>
              </c:numCache>
            </c:numRef>
          </c:xVal>
          <c:yVal>
            <c:numRef>
              <c:f>Worksheet!$AX$37</c:f>
              <c:numCache>
                <c:formatCode>General</c:formatCode>
                <c:ptCount val="1"/>
                <c:pt idx="0">
                  <c:v>0</c:v>
                </c:pt>
              </c:numCache>
            </c:numRef>
          </c:yVal>
          <c:smooth val="0"/>
          <c:extLst>
            <c:ext xmlns:c16="http://schemas.microsoft.com/office/drawing/2014/chart" uri="{C3380CC4-5D6E-409C-BE32-E72D297353CC}">
              <c16:uniqueId val="{00000000-D9B0-4DEB-98A0-C01B0434F630}"/>
            </c:ext>
          </c:extLst>
        </c:ser>
        <c:ser>
          <c:idx val="1"/>
          <c:order val="1"/>
          <c:tx>
            <c:v>MUTCD</c:v>
          </c:tx>
          <c:spPr>
            <a:ln w="28575">
              <a:solidFill>
                <a:sysClr val="windowText" lastClr="000000"/>
              </a:solidFill>
            </a:ln>
          </c:spPr>
          <c:marker>
            <c:symbol val="none"/>
          </c:marker>
          <c:xVal>
            <c:numRef>
              <c:f>Worksheet!$AJ$4:$AJ$21</c:f>
              <c:numCache>
                <c:formatCode>General</c:formatCode>
                <c:ptCount val="18"/>
                <c:pt idx="0">
                  <c:v>1800</c:v>
                </c:pt>
                <c:pt idx="1">
                  <c:v>1800</c:v>
                </c:pt>
                <c:pt idx="2">
                  <c:v>1700</c:v>
                </c:pt>
                <c:pt idx="3">
                  <c:v>1600</c:v>
                </c:pt>
                <c:pt idx="4">
                  <c:v>1500</c:v>
                </c:pt>
                <c:pt idx="5">
                  <c:v>1400</c:v>
                </c:pt>
                <c:pt idx="6">
                  <c:v>1300</c:v>
                </c:pt>
                <c:pt idx="7">
                  <c:v>1200</c:v>
                </c:pt>
                <c:pt idx="8">
                  <c:v>1100</c:v>
                </c:pt>
                <c:pt idx="9">
                  <c:v>1000</c:v>
                </c:pt>
                <c:pt idx="10">
                  <c:v>900</c:v>
                </c:pt>
                <c:pt idx="11">
                  <c:v>800</c:v>
                </c:pt>
                <c:pt idx="12">
                  <c:v>700</c:v>
                </c:pt>
                <c:pt idx="13">
                  <c:v>600</c:v>
                </c:pt>
                <c:pt idx="14">
                  <c:v>500</c:v>
                </c:pt>
                <c:pt idx="15">
                  <c:v>400</c:v>
                </c:pt>
                <c:pt idx="16">
                  <c:v>#N/A</c:v>
                </c:pt>
                <c:pt idx="17">
                  <c:v>#N/A</c:v>
                </c:pt>
              </c:numCache>
            </c:numRef>
          </c:xVal>
          <c:yVal>
            <c:numRef>
              <c:f>Worksheet!$AK$4:$AK$21</c:f>
              <c:numCache>
                <c:formatCode>General</c:formatCode>
                <c:ptCount val="18"/>
                <c:pt idx="0">
                  <c:v>133</c:v>
                </c:pt>
                <c:pt idx="1">
                  <c:v>133</c:v>
                </c:pt>
                <c:pt idx="2">
                  <c:v>133</c:v>
                </c:pt>
                <c:pt idx="3">
                  <c:v>133</c:v>
                </c:pt>
                <c:pt idx="4">
                  <c:v>133</c:v>
                </c:pt>
                <c:pt idx="5">
                  <c:v>150</c:v>
                </c:pt>
                <c:pt idx="6">
                  <c:v>171</c:v>
                </c:pt>
                <c:pt idx="7">
                  <c:v>199</c:v>
                </c:pt>
                <c:pt idx="8">
                  <c:v>233</c:v>
                </c:pt>
                <c:pt idx="9">
                  <c:v>273</c:v>
                </c:pt>
                <c:pt idx="10">
                  <c:v>320</c:v>
                </c:pt>
                <c:pt idx="11">
                  <c:v>374</c:v>
                </c:pt>
                <c:pt idx="12">
                  <c:v>433</c:v>
                </c:pt>
                <c:pt idx="13">
                  <c:v>499</c:v>
                </c:pt>
                <c:pt idx="14">
                  <c:v>571</c:v>
                </c:pt>
                <c:pt idx="15">
                  <c:v>650</c:v>
                </c:pt>
                <c:pt idx="16">
                  <c:v>#N/A</c:v>
                </c:pt>
                <c:pt idx="17">
                  <c:v>#N/A</c:v>
                </c:pt>
              </c:numCache>
            </c:numRef>
          </c:yVal>
          <c:smooth val="0"/>
          <c:extLst>
            <c:ext xmlns:c16="http://schemas.microsoft.com/office/drawing/2014/chart" uri="{C3380CC4-5D6E-409C-BE32-E72D297353CC}">
              <c16:uniqueId val="{00000001-D9B0-4DEB-98A0-C01B0434F630}"/>
            </c:ext>
          </c:extLst>
        </c:ser>
        <c:dLbls>
          <c:showLegendKey val="0"/>
          <c:showVal val="0"/>
          <c:showCatName val="0"/>
          <c:showSerName val="0"/>
          <c:showPercent val="0"/>
          <c:showBubbleSize val="0"/>
        </c:dLbls>
        <c:axId val="225513752"/>
        <c:axId val="225514144"/>
      </c:scatterChart>
      <c:valAx>
        <c:axId val="225513752"/>
        <c:scaling>
          <c:orientation val="minMax"/>
        </c:scaling>
        <c:delete val="0"/>
        <c:axPos val="b"/>
        <c:majorGridlines/>
        <c:numFmt formatCode="General" sourceLinked="1"/>
        <c:majorTickMark val="out"/>
        <c:minorTickMark val="none"/>
        <c:tickLblPos val="nextTo"/>
        <c:crossAx val="225514144"/>
        <c:crosses val="autoZero"/>
        <c:crossBetween val="midCat"/>
      </c:valAx>
      <c:valAx>
        <c:axId val="225514144"/>
        <c:scaling>
          <c:orientation val="minMax"/>
        </c:scaling>
        <c:delete val="0"/>
        <c:axPos val="l"/>
        <c:majorGridlines/>
        <c:numFmt formatCode="General" sourceLinked="1"/>
        <c:majorTickMark val="out"/>
        <c:minorTickMark val="none"/>
        <c:tickLblPos val="nextTo"/>
        <c:crossAx val="225513752"/>
        <c:crosses val="autoZero"/>
        <c:crossBetween val="midCat"/>
      </c:valAx>
    </c:plotArea>
    <c:plotVisOnly val="0"/>
    <c:dispBlanksAs val="gap"/>
    <c:showDLblsOverMax val="0"/>
  </c:chart>
  <c:printSettings>
    <c:headerFooter/>
    <c:pageMargins b="0.75000000000000322" l="0.70000000000000062" r="0.70000000000000062" t="0.7500000000000032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4823729030836"/>
          <c:y val="0.29578477805325926"/>
          <c:w val="0.84746920592629849"/>
          <c:h val="0.6000382981059198"/>
        </c:manualLayout>
      </c:layout>
      <c:scatterChart>
        <c:scatterStyle val="lineMarker"/>
        <c:varyColors val="0"/>
        <c:ser>
          <c:idx val="0"/>
          <c:order val="0"/>
          <c:tx>
            <c:v>User</c:v>
          </c:tx>
          <c:spPr>
            <a:ln w="28575">
              <a:noFill/>
            </a:ln>
          </c:spPr>
          <c:xVal>
            <c:numRef>
              <c:f>Worksheet!$BY$7</c:f>
              <c:numCache>
                <c:formatCode>General</c:formatCode>
                <c:ptCount val="1"/>
                <c:pt idx="0">
                  <c:v>0</c:v>
                </c:pt>
              </c:numCache>
            </c:numRef>
          </c:xVal>
          <c:yVal>
            <c:numRef>
              <c:f>Worksheet!$CA$7</c:f>
              <c:numCache>
                <c:formatCode>General</c:formatCode>
                <c:ptCount val="1"/>
                <c:pt idx="0">
                  <c:v>0</c:v>
                </c:pt>
              </c:numCache>
            </c:numRef>
          </c:yVal>
          <c:smooth val="0"/>
          <c:extLst>
            <c:ext xmlns:c16="http://schemas.microsoft.com/office/drawing/2014/chart" uri="{C3380CC4-5D6E-409C-BE32-E72D297353CC}">
              <c16:uniqueId val="{00000000-9797-43FE-9187-187AFC889C7A}"/>
            </c:ext>
          </c:extLst>
        </c:ser>
        <c:ser>
          <c:idx val="1"/>
          <c:order val="1"/>
          <c:tx>
            <c:v>MUTCD</c:v>
          </c:tx>
          <c:spPr>
            <a:ln w="28575">
              <a:solidFill>
                <a:sysClr val="windowText" lastClr="000000"/>
              </a:solidFill>
            </a:ln>
          </c:spPr>
          <c:marker>
            <c:symbol val="none"/>
          </c:marker>
          <c:xVal>
            <c:numRef>
              <c:f>Worksheet!$CB$16:$CB$25</c:f>
              <c:numCache>
                <c:formatCode>General</c:formatCode>
                <c:ptCount val="10"/>
                <c:pt idx="0">
                  <c:v>800</c:v>
                </c:pt>
                <c:pt idx="1">
                  <c:v>800</c:v>
                </c:pt>
                <c:pt idx="2">
                  <c:v>700</c:v>
                </c:pt>
                <c:pt idx="3">
                  <c:v>600</c:v>
                </c:pt>
                <c:pt idx="4">
                  <c:v>500</c:v>
                </c:pt>
                <c:pt idx="5">
                  <c:v>400</c:v>
                </c:pt>
                <c:pt idx="6">
                  <c:v>300</c:v>
                </c:pt>
                <c:pt idx="7">
                  <c:v>200</c:v>
                </c:pt>
                <c:pt idx="8">
                  <c:v>100</c:v>
                </c:pt>
                <c:pt idx="9">
                  <c:v>50</c:v>
                </c:pt>
              </c:numCache>
            </c:numRef>
          </c:xVal>
          <c:yVal>
            <c:numRef>
              <c:f>Worksheet!$CC$16:$CC$25</c:f>
              <c:numCache>
                <c:formatCode>General</c:formatCode>
                <c:ptCount val="10"/>
                <c:pt idx="0">
                  <c:v>25</c:v>
                </c:pt>
                <c:pt idx="1">
                  <c:v>25</c:v>
                </c:pt>
                <c:pt idx="2">
                  <c:v>25</c:v>
                </c:pt>
                <c:pt idx="3">
                  <c:v>25</c:v>
                </c:pt>
                <c:pt idx="4">
                  <c:v>25</c:v>
                </c:pt>
                <c:pt idx="5">
                  <c:v>45</c:v>
                </c:pt>
                <c:pt idx="6">
                  <c:v>60</c:v>
                </c:pt>
                <c:pt idx="7">
                  <c:v>140</c:v>
                </c:pt>
                <c:pt idx="8">
                  <c:v>190</c:v>
                </c:pt>
                <c:pt idx="9">
                  <c:v>225</c:v>
                </c:pt>
              </c:numCache>
            </c:numRef>
          </c:yVal>
          <c:smooth val="0"/>
          <c:extLst>
            <c:ext xmlns:c16="http://schemas.microsoft.com/office/drawing/2014/chart" uri="{C3380CC4-5D6E-409C-BE32-E72D297353CC}">
              <c16:uniqueId val="{00000001-9797-43FE-9187-187AFC889C7A}"/>
            </c:ext>
          </c:extLst>
        </c:ser>
        <c:dLbls>
          <c:showLegendKey val="0"/>
          <c:showVal val="0"/>
          <c:showCatName val="0"/>
          <c:showSerName val="0"/>
          <c:showPercent val="0"/>
          <c:showBubbleSize val="0"/>
        </c:dLbls>
        <c:axId val="444955072"/>
        <c:axId val="444955464"/>
      </c:scatterChart>
      <c:valAx>
        <c:axId val="444955072"/>
        <c:scaling>
          <c:orientation val="minMax"/>
        </c:scaling>
        <c:delete val="0"/>
        <c:axPos val="b"/>
        <c:majorGridlines/>
        <c:title>
          <c:tx>
            <c:rich>
              <a:bodyPr/>
              <a:lstStyle/>
              <a:p>
                <a:pPr>
                  <a:defRPr/>
                </a:pPr>
                <a:r>
                  <a:rPr lang="en-US"/>
                  <a:t>Major Street Volume (VPH)</a:t>
                </a:r>
              </a:p>
            </c:rich>
          </c:tx>
          <c:overlay val="0"/>
        </c:title>
        <c:numFmt formatCode="General" sourceLinked="1"/>
        <c:majorTickMark val="out"/>
        <c:minorTickMark val="none"/>
        <c:tickLblPos val="nextTo"/>
        <c:crossAx val="444955464"/>
        <c:crosses val="autoZero"/>
        <c:crossBetween val="midCat"/>
      </c:valAx>
      <c:valAx>
        <c:axId val="444955464"/>
        <c:scaling>
          <c:orientation val="minMax"/>
        </c:scaling>
        <c:delete val="0"/>
        <c:axPos val="l"/>
        <c:majorGridlines/>
        <c:title>
          <c:tx>
            <c:rich>
              <a:bodyPr rot="-5400000" vert="horz"/>
              <a:lstStyle/>
              <a:p>
                <a:pPr>
                  <a:defRPr/>
                </a:pPr>
                <a:r>
                  <a:rPr lang="en-US"/>
                  <a:t>Minor Street Adjusted Vol. (VPH)</a:t>
                </a:r>
              </a:p>
            </c:rich>
          </c:tx>
          <c:overlay val="0"/>
        </c:title>
        <c:numFmt formatCode="General" sourceLinked="1"/>
        <c:majorTickMark val="out"/>
        <c:minorTickMark val="none"/>
        <c:tickLblPos val="nextTo"/>
        <c:crossAx val="444955072"/>
        <c:crosses val="autoZero"/>
        <c:crossBetween val="midCat"/>
      </c:valAx>
    </c:plotArea>
    <c:plotVisOnly val="0"/>
    <c:dispBlanksAs val="gap"/>
    <c:showDLblsOverMax val="0"/>
  </c:chart>
  <c:printSettings>
    <c:headerFooter/>
    <c:pageMargins b="0.75000000000000322" l="0.70000000000000062" r="0.70000000000000062" t="0.7500000000000032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v>1 &amp; 1</c:v>
          </c:tx>
          <c:marker>
            <c:symbol val="none"/>
          </c:marker>
          <c:trendline>
            <c:trendlineType val="poly"/>
            <c:order val="2"/>
            <c:dispRSqr val="1"/>
            <c:dispEq val="1"/>
            <c:trendlineLbl>
              <c:layout>
                <c:manualLayout>
                  <c:x val="-0.2381246070476932"/>
                  <c:y val="-4.3845781413245723E-2"/>
                </c:manualLayout>
              </c:layout>
              <c:numFmt formatCode="General" sourceLinked="0"/>
            </c:trendlineLbl>
          </c:trendline>
          <c:xVal>
            <c:numRef>
              <c:f>Sheet1!$A$7:$A$12</c:f>
              <c:numCache>
                <c:formatCode>General</c:formatCode>
                <c:ptCount val="6"/>
                <c:pt idx="0">
                  <c:v>800</c:v>
                </c:pt>
                <c:pt idx="1">
                  <c:v>700</c:v>
                </c:pt>
                <c:pt idx="2">
                  <c:v>600</c:v>
                </c:pt>
                <c:pt idx="3">
                  <c:v>500</c:v>
                </c:pt>
                <c:pt idx="4">
                  <c:v>400</c:v>
                </c:pt>
                <c:pt idx="5">
                  <c:v>300</c:v>
                </c:pt>
              </c:numCache>
            </c:numRef>
          </c:xVal>
          <c:yVal>
            <c:numRef>
              <c:f>Sheet1!$B$7:$B$12</c:f>
              <c:numCache>
                <c:formatCode>General</c:formatCode>
                <c:ptCount val="6"/>
                <c:pt idx="0">
                  <c:v>60</c:v>
                </c:pt>
                <c:pt idx="1">
                  <c:v>70</c:v>
                </c:pt>
                <c:pt idx="2">
                  <c:v>90</c:v>
                </c:pt>
                <c:pt idx="3">
                  <c:v>125</c:v>
                </c:pt>
                <c:pt idx="4">
                  <c:v>160</c:v>
                </c:pt>
                <c:pt idx="5">
                  <c:v>205</c:v>
                </c:pt>
              </c:numCache>
            </c:numRef>
          </c:yVal>
          <c:smooth val="1"/>
          <c:extLst>
            <c:ext xmlns:c16="http://schemas.microsoft.com/office/drawing/2014/chart" uri="{C3380CC4-5D6E-409C-BE32-E72D297353CC}">
              <c16:uniqueId val="{00000001-60D8-4B7A-9EB6-274374248521}"/>
            </c:ext>
          </c:extLst>
        </c:ser>
        <c:ser>
          <c:idx val="1"/>
          <c:order val="1"/>
          <c:tx>
            <c:v>2 &amp; 1</c:v>
          </c:tx>
          <c:marker>
            <c:symbol val="none"/>
          </c:marker>
          <c:trendline>
            <c:trendlineType val="poly"/>
            <c:order val="2"/>
            <c:dispRSqr val="1"/>
            <c:dispEq val="1"/>
            <c:trendlineLbl>
              <c:layout>
                <c:manualLayout>
                  <c:x val="-0.38121480062140695"/>
                  <c:y val="-0.631540172061829"/>
                </c:manualLayout>
              </c:layout>
              <c:numFmt formatCode="General" sourceLinked="0"/>
            </c:trendlineLbl>
          </c:trendline>
          <c:xVal>
            <c:numRef>
              <c:f>Sheet1!$C$5:$C$12</c:f>
              <c:numCache>
                <c:formatCode>General</c:formatCode>
                <c:ptCount val="8"/>
                <c:pt idx="0">
                  <c:v>1000</c:v>
                </c:pt>
                <c:pt idx="1">
                  <c:v>900</c:v>
                </c:pt>
                <c:pt idx="2">
                  <c:v>800</c:v>
                </c:pt>
                <c:pt idx="3">
                  <c:v>700</c:v>
                </c:pt>
                <c:pt idx="4">
                  <c:v>600</c:v>
                </c:pt>
                <c:pt idx="5">
                  <c:v>500</c:v>
                </c:pt>
                <c:pt idx="6">
                  <c:v>400</c:v>
                </c:pt>
                <c:pt idx="7">
                  <c:v>300</c:v>
                </c:pt>
              </c:numCache>
            </c:numRef>
          </c:xVal>
          <c:yVal>
            <c:numRef>
              <c:f>Sheet1!$D$5:$D$12</c:f>
              <c:numCache>
                <c:formatCode>General</c:formatCode>
                <c:ptCount val="8"/>
                <c:pt idx="0">
                  <c:v>60</c:v>
                </c:pt>
                <c:pt idx="1">
                  <c:v>65</c:v>
                </c:pt>
                <c:pt idx="2">
                  <c:v>80</c:v>
                </c:pt>
                <c:pt idx="3">
                  <c:v>100</c:v>
                </c:pt>
                <c:pt idx="4">
                  <c:v>130</c:v>
                </c:pt>
                <c:pt idx="5">
                  <c:v>165</c:v>
                </c:pt>
                <c:pt idx="6">
                  <c:v>215</c:v>
                </c:pt>
                <c:pt idx="7">
                  <c:v>265</c:v>
                </c:pt>
              </c:numCache>
            </c:numRef>
          </c:yVal>
          <c:smooth val="1"/>
          <c:extLst>
            <c:ext xmlns:c16="http://schemas.microsoft.com/office/drawing/2014/chart" uri="{C3380CC4-5D6E-409C-BE32-E72D297353CC}">
              <c16:uniqueId val="{00000003-60D8-4B7A-9EB6-274374248521}"/>
            </c:ext>
          </c:extLst>
        </c:ser>
        <c:ser>
          <c:idx val="2"/>
          <c:order val="2"/>
          <c:tx>
            <c:v>2 &amp; 2</c:v>
          </c:tx>
          <c:marker>
            <c:symbol val="none"/>
          </c:marker>
          <c:trendline>
            <c:trendlineType val="poly"/>
            <c:order val="2"/>
            <c:dispRSqr val="1"/>
            <c:dispEq val="1"/>
            <c:trendlineLbl>
              <c:layout>
                <c:manualLayout>
                  <c:x val="-1.478172642868312E-2"/>
                  <c:y val="-0.46380755803582807"/>
                </c:manualLayout>
              </c:layout>
              <c:numFmt formatCode="General" sourceLinked="0"/>
            </c:trendlineLbl>
          </c:trendline>
          <c:xVal>
            <c:numRef>
              <c:f>Sheet1!$G$6:$G$11</c:f>
              <c:numCache>
                <c:formatCode>General</c:formatCode>
                <c:ptCount val="6"/>
                <c:pt idx="0">
                  <c:v>900</c:v>
                </c:pt>
                <c:pt idx="1">
                  <c:v>800</c:v>
                </c:pt>
                <c:pt idx="2">
                  <c:v>700</c:v>
                </c:pt>
                <c:pt idx="3">
                  <c:v>600</c:v>
                </c:pt>
                <c:pt idx="4">
                  <c:v>500</c:v>
                </c:pt>
                <c:pt idx="5">
                  <c:v>400</c:v>
                </c:pt>
              </c:numCache>
            </c:numRef>
          </c:xVal>
          <c:yVal>
            <c:numRef>
              <c:f>Sheet1!$H$6:$H$11</c:f>
              <c:numCache>
                <c:formatCode>General</c:formatCode>
                <c:ptCount val="6"/>
                <c:pt idx="0">
                  <c:v>80</c:v>
                </c:pt>
                <c:pt idx="1">
                  <c:v>105</c:v>
                </c:pt>
                <c:pt idx="2">
                  <c:v>140</c:v>
                </c:pt>
                <c:pt idx="3">
                  <c:v>175</c:v>
                </c:pt>
                <c:pt idx="4">
                  <c:v>225</c:v>
                </c:pt>
                <c:pt idx="5">
                  <c:v>290</c:v>
                </c:pt>
              </c:numCache>
            </c:numRef>
          </c:yVal>
          <c:smooth val="1"/>
          <c:extLst>
            <c:ext xmlns:c16="http://schemas.microsoft.com/office/drawing/2014/chart" uri="{C3380CC4-5D6E-409C-BE32-E72D297353CC}">
              <c16:uniqueId val="{00000005-60D8-4B7A-9EB6-274374248521}"/>
            </c:ext>
          </c:extLst>
        </c:ser>
        <c:ser>
          <c:idx val="3"/>
          <c:order val="3"/>
          <c:tx>
            <c:v>1 &amp; 2</c:v>
          </c:tx>
          <c:marker>
            <c:symbol val="none"/>
          </c:marker>
          <c:xVal>
            <c:numRef>
              <c:f>Sheet1!$E$5:$E$12</c:f>
              <c:numCache>
                <c:formatCode>General</c:formatCode>
                <c:ptCount val="8"/>
                <c:pt idx="0">
                  <c:v>1000</c:v>
                </c:pt>
                <c:pt idx="1">
                  <c:v>900</c:v>
                </c:pt>
                <c:pt idx="2">
                  <c:v>800</c:v>
                </c:pt>
                <c:pt idx="3">
                  <c:v>700</c:v>
                </c:pt>
                <c:pt idx="4">
                  <c:v>600</c:v>
                </c:pt>
                <c:pt idx="5">
                  <c:v>500</c:v>
                </c:pt>
                <c:pt idx="6">
                  <c:v>400</c:v>
                </c:pt>
                <c:pt idx="7">
                  <c:v>300</c:v>
                </c:pt>
              </c:numCache>
            </c:numRef>
          </c:xVal>
          <c:yVal>
            <c:numRef>
              <c:f>Sheet1!$F$5:$F$12</c:f>
              <c:numCache>
                <c:formatCode>General</c:formatCode>
                <c:ptCount val="8"/>
                <c:pt idx="0">
                  <c:v>80</c:v>
                </c:pt>
                <c:pt idx="1">
                  <c:v>80</c:v>
                </c:pt>
                <c:pt idx="2">
                  <c:v>80</c:v>
                </c:pt>
                <c:pt idx="3">
                  <c:v>100</c:v>
                </c:pt>
                <c:pt idx="4">
                  <c:v>130</c:v>
                </c:pt>
                <c:pt idx="5">
                  <c:v>165</c:v>
                </c:pt>
                <c:pt idx="6">
                  <c:v>215</c:v>
                </c:pt>
                <c:pt idx="7">
                  <c:v>265</c:v>
                </c:pt>
              </c:numCache>
            </c:numRef>
          </c:yVal>
          <c:smooth val="1"/>
          <c:extLst>
            <c:ext xmlns:c16="http://schemas.microsoft.com/office/drawing/2014/chart" uri="{C3380CC4-5D6E-409C-BE32-E72D297353CC}">
              <c16:uniqueId val="{00000006-60D8-4B7A-9EB6-274374248521}"/>
            </c:ext>
          </c:extLst>
        </c:ser>
        <c:dLbls>
          <c:showLegendKey val="0"/>
          <c:showVal val="0"/>
          <c:showCatName val="0"/>
          <c:showSerName val="0"/>
          <c:showPercent val="0"/>
          <c:showBubbleSize val="0"/>
        </c:dLbls>
        <c:axId val="226460240"/>
        <c:axId val="226460632"/>
      </c:scatterChart>
      <c:valAx>
        <c:axId val="226460240"/>
        <c:scaling>
          <c:orientation val="minMax"/>
        </c:scaling>
        <c:delete val="0"/>
        <c:axPos val="b"/>
        <c:numFmt formatCode="General" sourceLinked="1"/>
        <c:majorTickMark val="out"/>
        <c:minorTickMark val="none"/>
        <c:tickLblPos val="nextTo"/>
        <c:crossAx val="226460632"/>
        <c:crosses val="autoZero"/>
        <c:crossBetween val="midCat"/>
      </c:valAx>
      <c:valAx>
        <c:axId val="226460632"/>
        <c:scaling>
          <c:orientation val="minMax"/>
        </c:scaling>
        <c:delete val="0"/>
        <c:axPos val="l"/>
        <c:majorGridlines/>
        <c:numFmt formatCode="General" sourceLinked="1"/>
        <c:majorTickMark val="out"/>
        <c:minorTickMark val="none"/>
        <c:tickLblPos val="nextTo"/>
        <c:crossAx val="226460240"/>
        <c:crosses val="autoZero"/>
        <c:crossBetween val="midCat"/>
      </c:valAx>
    </c:plotArea>
    <c:legend>
      <c:legendPos val="r"/>
      <c:overlay val="0"/>
    </c:legend>
    <c:plotVisOnly val="1"/>
    <c:dispBlanksAs val="gap"/>
    <c:showDLblsOverMax val="0"/>
  </c:chart>
  <c:printSettings>
    <c:headerFooter/>
    <c:pageMargins b="0.75000000000000344" l="0.70000000000000062" r="0.70000000000000062" t="0.7500000000000034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951954712498126E-2"/>
          <c:y val="2.4267802590250052E-2"/>
          <c:w val="0.75648388040461445"/>
          <c:h val="0.92097448474678367"/>
        </c:manualLayout>
      </c:layout>
      <c:scatterChart>
        <c:scatterStyle val="smoothMarker"/>
        <c:varyColors val="0"/>
        <c:ser>
          <c:idx val="0"/>
          <c:order val="0"/>
          <c:tx>
            <c:v>1 &amp; 1</c:v>
          </c:tx>
          <c:marker>
            <c:symbol val="none"/>
          </c:marker>
          <c:trendline>
            <c:trendlineType val="poly"/>
            <c:order val="2"/>
            <c:dispRSqr val="1"/>
            <c:dispEq val="1"/>
            <c:trendlineLbl>
              <c:layout>
                <c:manualLayout>
                  <c:x val="-0.24617250429903137"/>
                  <c:y val="2.0574169608109392E-2"/>
                </c:manualLayout>
              </c:layout>
              <c:numFmt formatCode="General" sourceLinked="0"/>
            </c:trendlineLbl>
          </c:trendline>
          <c:xVal>
            <c:numRef>
              <c:f>Sheet1!$A$22:$A$32</c:f>
              <c:numCache>
                <c:formatCode>General</c:formatCode>
                <c:ptCount val="11"/>
                <c:pt idx="0">
                  <c:v>1400</c:v>
                </c:pt>
                <c:pt idx="1">
                  <c:v>1300</c:v>
                </c:pt>
                <c:pt idx="2">
                  <c:v>1200</c:v>
                </c:pt>
                <c:pt idx="3">
                  <c:v>1100</c:v>
                </c:pt>
                <c:pt idx="4">
                  <c:v>1000</c:v>
                </c:pt>
                <c:pt idx="5">
                  <c:v>900</c:v>
                </c:pt>
                <c:pt idx="6">
                  <c:v>800</c:v>
                </c:pt>
                <c:pt idx="7">
                  <c:v>700</c:v>
                </c:pt>
                <c:pt idx="8">
                  <c:v>600</c:v>
                </c:pt>
                <c:pt idx="9">
                  <c:v>500</c:v>
                </c:pt>
                <c:pt idx="10">
                  <c:v>400</c:v>
                </c:pt>
              </c:numCache>
            </c:numRef>
          </c:xVal>
          <c:yVal>
            <c:numRef>
              <c:f>Sheet1!$B$22:$B$32</c:f>
              <c:numCache>
                <c:formatCode>General</c:formatCode>
                <c:ptCount val="11"/>
                <c:pt idx="0">
                  <c:v>80</c:v>
                </c:pt>
                <c:pt idx="1">
                  <c:v>80</c:v>
                </c:pt>
                <c:pt idx="2">
                  <c:v>80</c:v>
                </c:pt>
                <c:pt idx="3">
                  <c:v>80</c:v>
                </c:pt>
                <c:pt idx="4">
                  <c:v>100</c:v>
                </c:pt>
                <c:pt idx="5">
                  <c:v>120</c:v>
                </c:pt>
                <c:pt idx="6">
                  <c:v>150</c:v>
                </c:pt>
                <c:pt idx="7">
                  <c:v>180</c:v>
                </c:pt>
                <c:pt idx="8">
                  <c:v>220</c:v>
                </c:pt>
                <c:pt idx="9">
                  <c:v>260</c:v>
                </c:pt>
                <c:pt idx="10">
                  <c:v>310</c:v>
                </c:pt>
              </c:numCache>
            </c:numRef>
          </c:yVal>
          <c:smooth val="1"/>
          <c:extLst>
            <c:ext xmlns:c16="http://schemas.microsoft.com/office/drawing/2014/chart" uri="{C3380CC4-5D6E-409C-BE32-E72D297353CC}">
              <c16:uniqueId val="{00000001-0D26-4432-8975-567718374D5A}"/>
            </c:ext>
          </c:extLst>
        </c:ser>
        <c:ser>
          <c:idx val="1"/>
          <c:order val="1"/>
          <c:tx>
            <c:v>2 &amp; 1</c:v>
          </c:tx>
          <c:marker>
            <c:symbol val="none"/>
          </c:marker>
          <c:trendline>
            <c:trendlineType val="poly"/>
            <c:order val="2"/>
            <c:dispRSqr val="1"/>
            <c:dispEq val="1"/>
            <c:trendlineLbl>
              <c:layout>
                <c:manualLayout>
                  <c:x val="-0.44138549835843138"/>
                  <c:y val="-0.59286201724784349"/>
                </c:manualLayout>
              </c:layout>
              <c:numFmt formatCode="General" sourceLinked="0"/>
            </c:trendlineLbl>
          </c:trendline>
          <c:xVal>
            <c:numRef>
              <c:f>Sheet1!$C$22:$C$32</c:f>
              <c:numCache>
                <c:formatCode>General</c:formatCode>
                <c:ptCount val="11"/>
                <c:pt idx="0">
                  <c:v>1400</c:v>
                </c:pt>
                <c:pt idx="1">
                  <c:v>1300</c:v>
                </c:pt>
                <c:pt idx="2">
                  <c:v>1200</c:v>
                </c:pt>
                <c:pt idx="3">
                  <c:v>1100</c:v>
                </c:pt>
                <c:pt idx="4">
                  <c:v>1000</c:v>
                </c:pt>
                <c:pt idx="5">
                  <c:v>900</c:v>
                </c:pt>
                <c:pt idx="6">
                  <c:v>800</c:v>
                </c:pt>
                <c:pt idx="7">
                  <c:v>700</c:v>
                </c:pt>
                <c:pt idx="8">
                  <c:v>600</c:v>
                </c:pt>
                <c:pt idx="9">
                  <c:v>500</c:v>
                </c:pt>
                <c:pt idx="10">
                  <c:v>400</c:v>
                </c:pt>
              </c:numCache>
            </c:numRef>
          </c:xVal>
          <c:yVal>
            <c:numRef>
              <c:f>Sheet1!$D$22:$D$32</c:f>
              <c:numCache>
                <c:formatCode>General</c:formatCode>
                <c:ptCount val="11"/>
                <c:pt idx="0">
                  <c:v>80</c:v>
                </c:pt>
                <c:pt idx="1">
                  <c:v>90</c:v>
                </c:pt>
                <c:pt idx="2">
                  <c:v>100</c:v>
                </c:pt>
                <c:pt idx="3">
                  <c:v>120</c:v>
                </c:pt>
                <c:pt idx="4">
                  <c:v>150</c:v>
                </c:pt>
                <c:pt idx="5">
                  <c:v>175</c:v>
                </c:pt>
                <c:pt idx="6">
                  <c:v>200</c:v>
                </c:pt>
                <c:pt idx="7">
                  <c:v>250</c:v>
                </c:pt>
                <c:pt idx="8">
                  <c:v>290</c:v>
                </c:pt>
                <c:pt idx="9">
                  <c:v>340</c:v>
                </c:pt>
                <c:pt idx="10">
                  <c:v>390</c:v>
                </c:pt>
              </c:numCache>
            </c:numRef>
          </c:yVal>
          <c:smooth val="1"/>
          <c:extLst>
            <c:ext xmlns:c16="http://schemas.microsoft.com/office/drawing/2014/chart" uri="{C3380CC4-5D6E-409C-BE32-E72D297353CC}">
              <c16:uniqueId val="{00000003-0D26-4432-8975-567718374D5A}"/>
            </c:ext>
          </c:extLst>
        </c:ser>
        <c:ser>
          <c:idx val="2"/>
          <c:order val="2"/>
          <c:tx>
            <c:v>2 &amp; 2</c:v>
          </c:tx>
          <c:marker>
            <c:symbol val="none"/>
          </c:marker>
          <c:trendline>
            <c:trendlineType val="poly"/>
            <c:order val="2"/>
            <c:dispRSqr val="1"/>
            <c:dispEq val="1"/>
            <c:trendlineLbl>
              <c:layout>
                <c:manualLayout>
                  <c:x val="-1.1553431435275261E-2"/>
                  <c:y val="-0.36923322084739379"/>
                </c:manualLayout>
              </c:layout>
              <c:numFmt formatCode="General" sourceLinked="0"/>
            </c:trendlineLbl>
          </c:trendline>
          <c:xVal>
            <c:numRef>
              <c:f>Sheet1!$G$23:$G$31</c:f>
              <c:numCache>
                <c:formatCode>General</c:formatCode>
                <c:ptCount val="9"/>
                <c:pt idx="0">
                  <c:v>1300</c:v>
                </c:pt>
                <c:pt idx="1">
                  <c:v>1200</c:v>
                </c:pt>
                <c:pt idx="2">
                  <c:v>1100</c:v>
                </c:pt>
                <c:pt idx="3">
                  <c:v>1000</c:v>
                </c:pt>
                <c:pt idx="4">
                  <c:v>900</c:v>
                </c:pt>
                <c:pt idx="5">
                  <c:v>800</c:v>
                </c:pt>
                <c:pt idx="6">
                  <c:v>700</c:v>
                </c:pt>
                <c:pt idx="7">
                  <c:v>600</c:v>
                </c:pt>
                <c:pt idx="8">
                  <c:v>500</c:v>
                </c:pt>
              </c:numCache>
            </c:numRef>
          </c:xVal>
          <c:yVal>
            <c:numRef>
              <c:f>Sheet1!$H$23:$H$31</c:f>
              <c:numCache>
                <c:formatCode>General</c:formatCode>
                <c:ptCount val="9"/>
                <c:pt idx="0">
                  <c:v>115</c:v>
                </c:pt>
                <c:pt idx="1">
                  <c:v>145</c:v>
                </c:pt>
                <c:pt idx="2">
                  <c:v>165</c:v>
                </c:pt>
                <c:pt idx="3">
                  <c:v>200</c:v>
                </c:pt>
                <c:pt idx="4">
                  <c:v>240</c:v>
                </c:pt>
                <c:pt idx="5">
                  <c:v>275</c:v>
                </c:pt>
                <c:pt idx="6">
                  <c:v>340</c:v>
                </c:pt>
                <c:pt idx="7">
                  <c:v>390</c:v>
                </c:pt>
                <c:pt idx="8">
                  <c:v>460</c:v>
                </c:pt>
              </c:numCache>
            </c:numRef>
          </c:yVal>
          <c:smooth val="1"/>
          <c:extLst>
            <c:ext xmlns:c16="http://schemas.microsoft.com/office/drawing/2014/chart" uri="{C3380CC4-5D6E-409C-BE32-E72D297353CC}">
              <c16:uniqueId val="{00000005-0D26-4432-8975-567718374D5A}"/>
            </c:ext>
          </c:extLst>
        </c:ser>
        <c:dLbls>
          <c:showLegendKey val="0"/>
          <c:showVal val="0"/>
          <c:showCatName val="0"/>
          <c:showSerName val="0"/>
          <c:showPercent val="0"/>
          <c:showBubbleSize val="0"/>
        </c:dLbls>
        <c:axId val="226459848"/>
        <c:axId val="420302400"/>
      </c:scatterChart>
      <c:valAx>
        <c:axId val="226459848"/>
        <c:scaling>
          <c:orientation val="minMax"/>
        </c:scaling>
        <c:delete val="0"/>
        <c:axPos val="b"/>
        <c:numFmt formatCode="General" sourceLinked="1"/>
        <c:majorTickMark val="out"/>
        <c:minorTickMark val="none"/>
        <c:tickLblPos val="nextTo"/>
        <c:crossAx val="420302400"/>
        <c:crosses val="autoZero"/>
        <c:crossBetween val="midCat"/>
      </c:valAx>
      <c:valAx>
        <c:axId val="420302400"/>
        <c:scaling>
          <c:orientation val="minMax"/>
        </c:scaling>
        <c:delete val="0"/>
        <c:axPos val="l"/>
        <c:majorGridlines/>
        <c:numFmt formatCode="General" sourceLinked="1"/>
        <c:majorTickMark val="out"/>
        <c:minorTickMark val="none"/>
        <c:tickLblPos val="nextTo"/>
        <c:crossAx val="226459848"/>
        <c:crosses val="autoZero"/>
        <c:crossBetween val="midCat"/>
      </c:valAx>
    </c:plotArea>
    <c:legend>
      <c:legendPos val="r"/>
      <c:overlay val="0"/>
    </c:legend>
    <c:plotVisOnly val="1"/>
    <c:dispBlanksAs val="gap"/>
    <c:showDLblsOverMax val="0"/>
  </c:chart>
  <c:printSettings>
    <c:headerFooter/>
    <c:pageMargins b="0.75000000000000344" l="0.70000000000000062" r="0.70000000000000062" t="0.7500000000000034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v>1 &amp; 1</c:v>
          </c:tx>
          <c:marker>
            <c:symbol val="none"/>
          </c:marker>
          <c:trendline>
            <c:trendlineType val="poly"/>
            <c:order val="2"/>
            <c:dispRSqr val="1"/>
            <c:dispEq val="1"/>
            <c:trendlineLbl>
              <c:layout>
                <c:manualLayout>
                  <c:x val="-7.0537008806403734E-2"/>
                  <c:y val="-9.0246294970704427E-4"/>
                </c:manualLayout>
              </c:layout>
              <c:numFmt formatCode="General" sourceLinked="0"/>
            </c:trendlineLbl>
          </c:trendline>
          <c:xVal>
            <c:numRef>
              <c:f>Sheet1!$U$7:$U$14</c:f>
              <c:numCache>
                <c:formatCode>General</c:formatCode>
                <c:ptCount val="8"/>
                <c:pt idx="0">
                  <c:v>1100</c:v>
                </c:pt>
                <c:pt idx="1">
                  <c:v>1000</c:v>
                </c:pt>
                <c:pt idx="2">
                  <c:v>900</c:v>
                </c:pt>
                <c:pt idx="3">
                  <c:v>800</c:v>
                </c:pt>
                <c:pt idx="4">
                  <c:v>700</c:v>
                </c:pt>
                <c:pt idx="5">
                  <c:v>600</c:v>
                </c:pt>
                <c:pt idx="6">
                  <c:v>500</c:v>
                </c:pt>
                <c:pt idx="7">
                  <c:v>400</c:v>
                </c:pt>
              </c:numCache>
            </c:numRef>
          </c:xVal>
          <c:yVal>
            <c:numRef>
              <c:f>Sheet1!$V$7:$V$14</c:f>
              <c:numCache>
                <c:formatCode>General</c:formatCode>
                <c:ptCount val="8"/>
                <c:pt idx="0">
                  <c:v>75</c:v>
                </c:pt>
                <c:pt idx="1">
                  <c:v>80</c:v>
                </c:pt>
                <c:pt idx="2">
                  <c:v>100</c:v>
                </c:pt>
                <c:pt idx="3">
                  <c:v>120</c:v>
                </c:pt>
                <c:pt idx="4">
                  <c:v>145</c:v>
                </c:pt>
                <c:pt idx="5">
                  <c:v>170</c:v>
                </c:pt>
                <c:pt idx="6">
                  <c:v>220</c:v>
                </c:pt>
                <c:pt idx="7">
                  <c:v>260</c:v>
                </c:pt>
              </c:numCache>
            </c:numRef>
          </c:yVal>
          <c:smooth val="1"/>
          <c:extLst>
            <c:ext xmlns:c16="http://schemas.microsoft.com/office/drawing/2014/chart" uri="{C3380CC4-5D6E-409C-BE32-E72D297353CC}">
              <c16:uniqueId val="{00000001-B42A-4760-B34E-86D788396A9D}"/>
            </c:ext>
          </c:extLst>
        </c:ser>
        <c:ser>
          <c:idx val="1"/>
          <c:order val="1"/>
          <c:tx>
            <c:v>2 &amp; 1</c:v>
          </c:tx>
          <c:marker>
            <c:symbol val="none"/>
          </c:marker>
          <c:trendline>
            <c:trendlineType val="poly"/>
            <c:order val="2"/>
            <c:dispRSqr val="1"/>
            <c:dispEq val="1"/>
            <c:trendlineLbl>
              <c:layout>
                <c:manualLayout>
                  <c:x val="-0.31363663911460726"/>
                  <c:y val="-0.6220490115503301"/>
                </c:manualLayout>
              </c:layout>
              <c:numFmt formatCode="General" sourceLinked="0"/>
            </c:trendlineLbl>
          </c:trendline>
          <c:xVal>
            <c:numRef>
              <c:f>Sheet1!$W$5:$W$14</c:f>
              <c:numCache>
                <c:formatCode>General</c:formatCode>
                <c:ptCount val="10"/>
                <c:pt idx="0">
                  <c:v>1300</c:v>
                </c:pt>
                <c:pt idx="1">
                  <c:v>1200</c:v>
                </c:pt>
                <c:pt idx="2">
                  <c:v>1100</c:v>
                </c:pt>
                <c:pt idx="3">
                  <c:v>1000</c:v>
                </c:pt>
                <c:pt idx="4">
                  <c:v>900</c:v>
                </c:pt>
                <c:pt idx="5">
                  <c:v>800</c:v>
                </c:pt>
                <c:pt idx="6">
                  <c:v>700</c:v>
                </c:pt>
                <c:pt idx="7">
                  <c:v>600</c:v>
                </c:pt>
                <c:pt idx="8">
                  <c:v>500</c:v>
                </c:pt>
                <c:pt idx="9">
                  <c:v>400</c:v>
                </c:pt>
              </c:numCache>
            </c:numRef>
          </c:xVal>
          <c:yVal>
            <c:numRef>
              <c:f>Sheet1!$X$5:$X$14</c:f>
              <c:numCache>
                <c:formatCode>General</c:formatCode>
                <c:ptCount val="10"/>
                <c:pt idx="0">
                  <c:v>75</c:v>
                </c:pt>
                <c:pt idx="1">
                  <c:v>80</c:v>
                </c:pt>
                <c:pt idx="2">
                  <c:v>100</c:v>
                </c:pt>
                <c:pt idx="3">
                  <c:v>120</c:v>
                </c:pt>
                <c:pt idx="4">
                  <c:v>140</c:v>
                </c:pt>
                <c:pt idx="5">
                  <c:v>160</c:v>
                </c:pt>
                <c:pt idx="6">
                  <c:v>200</c:v>
                </c:pt>
                <c:pt idx="7">
                  <c:v>245</c:v>
                </c:pt>
                <c:pt idx="8">
                  <c:v>280</c:v>
                </c:pt>
                <c:pt idx="9">
                  <c:v>340</c:v>
                </c:pt>
              </c:numCache>
            </c:numRef>
          </c:yVal>
          <c:smooth val="1"/>
          <c:extLst>
            <c:ext xmlns:c16="http://schemas.microsoft.com/office/drawing/2014/chart" uri="{C3380CC4-5D6E-409C-BE32-E72D297353CC}">
              <c16:uniqueId val="{00000003-B42A-4760-B34E-86D788396A9D}"/>
            </c:ext>
          </c:extLst>
        </c:ser>
        <c:ser>
          <c:idx val="2"/>
          <c:order val="2"/>
          <c:tx>
            <c:v>2 &amp; 2</c:v>
          </c:tx>
          <c:marker>
            <c:symbol val="none"/>
          </c:marker>
          <c:trendline>
            <c:trendlineType val="poly"/>
            <c:order val="2"/>
            <c:dispRSqr val="1"/>
            <c:dispEq val="1"/>
            <c:trendlineLbl>
              <c:layout>
                <c:manualLayout>
                  <c:x val="0.15367990191279376"/>
                  <c:y val="-0.47336320333695897"/>
                </c:manualLayout>
              </c:layout>
              <c:numFmt formatCode="General" sourceLinked="0"/>
            </c:trendlineLbl>
          </c:trendline>
          <c:xVal>
            <c:numRef>
              <c:f>Sheet1!$Y$6:$Y$13</c:f>
              <c:numCache>
                <c:formatCode>General</c:formatCode>
                <c:ptCount val="8"/>
                <c:pt idx="0">
                  <c:v>1200</c:v>
                </c:pt>
                <c:pt idx="1">
                  <c:v>1100</c:v>
                </c:pt>
                <c:pt idx="2">
                  <c:v>1000</c:v>
                </c:pt>
                <c:pt idx="3">
                  <c:v>900</c:v>
                </c:pt>
                <c:pt idx="4">
                  <c:v>800</c:v>
                </c:pt>
                <c:pt idx="5">
                  <c:v>700</c:v>
                </c:pt>
                <c:pt idx="6">
                  <c:v>600</c:v>
                </c:pt>
                <c:pt idx="7">
                  <c:v>500</c:v>
                </c:pt>
              </c:numCache>
            </c:numRef>
          </c:xVal>
          <c:yVal>
            <c:numRef>
              <c:f>Sheet1!$Z$6:$Z$13</c:f>
              <c:numCache>
                <c:formatCode>General</c:formatCode>
                <c:ptCount val="8"/>
                <c:pt idx="0">
                  <c:v>100</c:v>
                </c:pt>
                <c:pt idx="1">
                  <c:v>120</c:v>
                </c:pt>
                <c:pt idx="2">
                  <c:v>150</c:v>
                </c:pt>
                <c:pt idx="3">
                  <c:v>175</c:v>
                </c:pt>
                <c:pt idx="4">
                  <c:v>225</c:v>
                </c:pt>
                <c:pt idx="5">
                  <c:v>260</c:v>
                </c:pt>
                <c:pt idx="6">
                  <c:v>315</c:v>
                </c:pt>
                <c:pt idx="7">
                  <c:v>370</c:v>
                </c:pt>
              </c:numCache>
            </c:numRef>
          </c:yVal>
          <c:smooth val="1"/>
          <c:extLst>
            <c:ext xmlns:c16="http://schemas.microsoft.com/office/drawing/2014/chart" uri="{C3380CC4-5D6E-409C-BE32-E72D297353CC}">
              <c16:uniqueId val="{00000005-B42A-4760-B34E-86D788396A9D}"/>
            </c:ext>
          </c:extLst>
        </c:ser>
        <c:dLbls>
          <c:showLegendKey val="0"/>
          <c:showVal val="0"/>
          <c:showCatName val="0"/>
          <c:showSerName val="0"/>
          <c:showPercent val="0"/>
          <c:showBubbleSize val="0"/>
        </c:dLbls>
        <c:axId val="420303184"/>
        <c:axId val="420303576"/>
      </c:scatterChart>
      <c:valAx>
        <c:axId val="420303184"/>
        <c:scaling>
          <c:orientation val="minMax"/>
        </c:scaling>
        <c:delete val="0"/>
        <c:axPos val="b"/>
        <c:numFmt formatCode="General" sourceLinked="1"/>
        <c:majorTickMark val="out"/>
        <c:minorTickMark val="none"/>
        <c:tickLblPos val="nextTo"/>
        <c:crossAx val="420303576"/>
        <c:crosses val="autoZero"/>
        <c:crossBetween val="midCat"/>
      </c:valAx>
      <c:valAx>
        <c:axId val="420303576"/>
        <c:scaling>
          <c:orientation val="minMax"/>
        </c:scaling>
        <c:delete val="0"/>
        <c:axPos val="l"/>
        <c:majorGridlines/>
        <c:numFmt formatCode="General" sourceLinked="1"/>
        <c:majorTickMark val="out"/>
        <c:minorTickMark val="none"/>
        <c:tickLblPos val="nextTo"/>
        <c:crossAx val="420303184"/>
        <c:crosses val="autoZero"/>
        <c:crossBetween val="midCat"/>
      </c:valAx>
    </c:plotArea>
    <c:legend>
      <c:legendPos val="r"/>
      <c:overlay val="0"/>
    </c:legend>
    <c:plotVisOnly val="1"/>
    <c:dispBlanksAs val="gap"/>
    <c:showDLblsOverMax val="0"/>
  </c:chart>
  <c:printSettings>
    <c:headerFooter/>
    <c:pageMargins b="0.75000000000000322" l="0.70000000000000062" r="0.70000000000000062" t="0.7500000000000032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smoothMarker"/>
        <c:varyColors val="0"/>
        <c:ser>
          <c:idx val="0"/>
          <c:order val="0"/>
          <c:tx>
            <c:v>1 &amp; 1</c:v>
          </c:tx>
          <c:marker>
            <c:symbol val="none"/>
          </c:marker>
          <c:trendline>
            <c:trendlineType val="poly"/>
            <c:order val="2"/>
            <c:dispRSqr val="1"/>
            <c:dispEq val="1"/>
            <c:trendlineLbl>
              <c:layout>
                <c:manualLayout>
                  <c:x val="-0.15541041384036813"/>
                  <c:y val="-4.5463538163257232E-2"/>
                </c:manualLayout>
              </c:layout>
              <c:numFmt formatCode="General" sourceLinked="0"/>
            </c:trendlineLbl>
          </c:trendline>
          <c:xVal>
            <c:numRef>
              <c:f>Sheet1!$U$24:$U$35</c:f>
              <c:numCache>
                <c:formatCode>General</c:formatCode>
                <c:ptCount val="12"/>
                <c:pt idx="0">
                  <c:v>1600</c:v>
                </c:pt>
                <c:pt idx="1">
                  <c:v>1500</c:v>
                </c:pt>
                <c:pt idx="2">
                  <c:v>1400</c:v>
                </c:pt>
                <c:pt idx="3">
                  <c:v>1300</c:v>
                </c:pt>
                <c:pt idx="4">
                  <c:v>1200</c:v>
                </c:pt>
                <c:pt idx="5">
                  <c:v>1100</c:v>
                </c:pt>
                <c:pt idx="6">
                  <c:v>1000</c:v>
                </c:pt>
                <c:pt idx="7">
                  <c:v>900</c:v>
                </c:pt>
                <c:pt idx="8">
                  <c:v>800</c:v>
                </c:pt>
                <c:pt idx="9">
                  <c:v>700</c:v>
                </c:pt>
                <c:pt idx="10">
                  <c:v>600</c:v>
                </c:pt>
                <c:pt idx="11">
                  <c:v>500</c:v>
                </c:pt>
              </c:numCache>
            </c:numRef>
          </c:xVal>
          <c:yVal>
            <c:numRef>
              <c:f>Sheet1!$V$24:$V$35</c:f>
              <c:numCache>
                <c:formatCode>General</c:formatCode>
                <c:ptCount val="12"/>
                <c:pt idx="0">
                  <c:v>100</c:v>
                </c:pt>
                <c:pt idx="1">
                  <c:v>100</c:v>
                </c:pt>
                <c:pt idx="2">
                  <c:v>120</c:v>
                </c:pt>
                <c:pt idx="3">
                  <c:v>130</c:v>
                </c:pt>
                <c:pt idx="4">
                  <c:v>150</c:v>
                </c:pt>
                <c:pt idx="5">
                  <c:v>175</c:v>
                </c:pt>
                <c:pt idx="6">
                  <c:v>200</c:v>
                </c:pt>
                <c:pt idx="7">
                  <c:v>245</c:v>
                </c:pt>
                <c:pt idx="8">
                  <c:v>285</c:v>
                </c:pt>
                <c:pt idx="9">
                  <c:v>325</c:v>
                </c:pt>
                <c:pt idx="10">
                  <c:v>360</c:v>
                </c:pt>
                <c:pt idx="11">
                  <c:v>420</c:v>
                </c:pt>
              </c:numCache>
            </c:numRef>
          </c:yVal>
          <c:smooth val="1"/>
          <c:extLst>
            <c:ext xmlns:c16="http://schemas.microsoft.com/office/drawing/2014/chart" uri="{C3380CC4-5D6E-409C-BE32-E72D297353CC}">
              <c16:uniqueId val="{00000001-C68F-4A64-9150-6EC0AA2E248F}"/>
            </c:ext>
          </c:extLst>
        </c:ser>
        <c:ser>
          <c:idx val="1"/>
          <c:order val="1"/>
          <c:tx>
            <c:v>2 &amp; 1</c:v>
          </c:tx>
          <c:marker>
            <c:symbol val="none"/>
          </c:marker>
          <c:trendline>
            <c:trendlineType val="poly"/>
            <c:order val="2"/>
            <c:dispRSqr val="1"/>
            <c:dispEq val="1"/>
            <c:trendlineLbl>
              <c:layout>
                <c:manualLayout>
                  <c:x val="-0.30601828412656407"/>
                  <c:y val="-0.54719845948904944"/>
                </c:manualLayout>
              </c:layout>
              <c:numFmt formatCode="General" sourceLinked="0"/>
            </c:trendlineLbl>
          </c:trendline>
          <c:xVal>
            <c:numRef>
              <c:f>Sheet1!$W$23:$W$34</c:f>
              <c:numCache>
                <c:formatCode>General</c:formatCode>
                <c:ptCount val="12"/>
                <c:pt idx="0">
                  <c:v>1700</c:v>
                </c:pt>
                <c:pt idx="1">
                  <c:v>1600</c:v>
                </c:pt>
                <c:pt idx="2">
                  <c:v>1500</c:v>
                </c:pt>
                <c:pt idx="3">
                  <c:v>1400</c:v>
                </c:pt>
                <c:pt idx="4">
                  <c:v>1300</c:v>
                </c:pt>
                <c:pt idx="5">
                  <c:v>1200</c:v>
                </c:pt>
                <c:pt idx="6">
                  <c:v>1100</c:v>
                </c:pt>
                <c:pt idx="7">
                  <c:v>1000</c:v>
                </c:pt>
                <c:pt idx="8">
                  <c:v>900</c:v>
                </c:pt>
                <c:pt idx="9">
                  <c:v>800</c:v>
                </c:pt>
                <c:pt idx="10">
                  <c:v>700</c:v>
                </c:pt>
                <c:pt idx="11">
                  <c:v>600</c:v>
                </c:pt>
              </c:numCache>
            </c:numRef>
          </c:xVal>
          <c:yVal>
            <c:numRef>
              <c:f>Sheet1!$X$23:$X$34</c:f>
              <c:numCache>
                <c:formatCode>General</c:formatCode>
                <c:ptCount val="12"/>
                <c:pt idx="0">
                  <c:v>100</c:v>
                </c:pt>
                <c:pt idx="1">
                  <c:v>120</c:v>
                </c:pt>
                <c:pt idx="2">
                  <c:v>145</c:v>
                </c:pt>
                <c:pt idx="3">
                  <c:v>155</c:v>
                </c:pt>
                <c:pt idx="4">
                  <c:v>190</c:v>
                </c:pt>
                <c:pt idx="5">
                  <c:v>220</c:v>
                </c:pt>
                <c:pt idx="6">
                  <c:v>250</c:v>
                </c:pt>
                <c:pt idx="7">
                  <c:v>285</c:v>
                </c:pt>
                <c:pt idx="8">
                  <c:v>325</c:v>
                </c:pt>
                <c:pt idx="9">
                  <c:v>360</c:v>
                </c:pt>
                <c:pt idx="10">
                  <c:v>420</c:v>
                </c:pt>
                <c:pt idx="11">
                  <c:v>460</c:v>
                </c:pt>
              </c:numCache>
            </c:numRef>
          </c:yVal>
          <c:smooth val="1"/>
          <c:extLst>
            <c:ext xmlns:c16="http://schemas.microsoft.com/office/drawing/2014/chart" uri="{C3380CC4-5D6E-409C-BE32-E72D297353CC}">
              <c16:uniqueId val="{00000003-C68F-4A64-9150-6EC0AA2E248F}"/>
            </c:ext>
          </c:extLst>
        </c:ser>
        <c:ser>
          <c:idx val="2"/>
          <c:order val="2"/>
          <c:tx>
            <c:v>2 &amp; 2</c:v>
          </c:tx>
          <c:marker>
            <c:symbol val="none"/>
          </c:marker>
          <c:trendline>
            <c:trendlineType val="poly"/>
            <c:order val="2"/>
            <c:dispRSqr val="1"/>
            <c:dispEq val="1"/>
            <c:trendlineLbl>
              <c:layout>
                <c:manualLayout>
                  <c:x val="0.10402316051523817"/>
                  <c:y val="-0.35477703478020028"/>
                </c:manualLayout>
              </c:layout>
              <c:numFmt formatCode="General" sourceLinked="0"/>
            </c:trendlineLbl>
          </c:trendline>
          <c:xVal>
            <c:numRef>
              <c:f>Sheet1!$Y$23:$Y$34</c:f>
              <c:numCache>
                <c:formatCode>General</c:formatCode>
                <c:ptCount val="12"/>
                <c:pt idx="0">
                  <c:v>1700</c:v>
                </c:pt>
                <c:pt idx="1">
                  <c:v>1600</c:v>
                </c:pt>
                <c:pt idx="2">
                  <c:v>1500</c:v>
                </c:pt>
                <c:pt idx="3">
                  <c:v>1400</c:v>
                </c:pt>
                <c:pt idx="4">
                  <c:v>1300</c:v>
                </c:pt>
                <c:pt idx="5">
                  <c:v>1200</c:v>
                </c:pt>
                <c:pt idx="6">
                  <c:v>1100</c:v>
                </c:pt>
                <c:pt idx="7">
                  <c:v>1000</c:v>
                </c:pt>
                <c:pt idx="8">
                  <c:v>900</c:v>
                </c:pt>
                <c:pt idx="9">
                  <c:v>800</c:v>
                </c:pt>
                <c:pt idx="10">
                  <c:v>700</c:v>
                </c:pt>
                <c:pt idx="11">
                  <c:v>600</c:v>
                </c:pt>
              </c:numCache>
            </c:numRef>
          </c:xVal>
          <c:yVal>
            <c:numRef>
              <c:f>Sheet1!$Z$23:$Z$34</c:f>
              <c:numCache>
                <c:formatCode>General</c:formatCode>
                <c:ptCount val="12"/>
                <c:pt idx="0">
                  <c:v>150</c:v>
                </c:pt>
                <c:pt idx="1">
                  <c:v>170</c:v>
                </c:pt>
                <c:pt idx="2">
                  <c:v>180</c:v>
                </c:pt>
                <c:pt idx="3">
                  <c:v>220</c:v>
                </c:pt>
                <c:pt idx="4">
                  <c:v>250</c:v>
                </c:pt>
                <c:pt idx="5">
                  <c:v>285</c:v>
                </c:pt>
                <c:pt idx="6">
                  <c:v>340</c:v>
                </c:pt>
                <c:pt idx="7">
                  <c:v>370</c:v>
                </c:pt>
                <c:pt idx="8">
                  <c:v>425</c:v>
                </c:pt>
                <c:pt idx="9">
                  <c:v>475</c:v>
                </c:pt>
                <c:pt idx="10">
                  <c:v>540</c:v>
                </c:pt>
                <c:pt idx="11">
                  <c:v>590</c:v>
                </c:pt>
              </c:numCache>
            </c:numRef>
          </c:yVal>
          <c:smooth val="1"/>
          <c:extLst>
            <c:ext xmlns:c16="http://schemas.microsoft.com/office/drawing/2014/chart" uri="{C3380CC4-5D6E-409C-BE32-E72D297353CC}">
              <c16:uniqueId val="{00000005-C68F-4A64-9150-6EC0AA2E248F}"/>
            </c:ext>
          </c:extLst>
        </c:ser>
        <c:dLbls>
          <c:showLegendKey val="0"/>
          <c:showVal val="0"/>
          <c:showCatName val="0"/>
          <c:showSerName val="0"/>
          <c:showPercent val="0"/>
          <c:showBubbleSize val="0"/>
        </c:dLbls>
        <c:axId val="420312640"/>
        <c:axId val="420313032"/>
      </c:scatterChart>
      <c:valAx>
        <c:axId val="420312640"/>
        <c:scaling>
          <c:orientation val="minMax"/>
        </c:scaling>
        <c:delete val="0"/>
        <c:axPos val="b"/>
        <c:numFmt formatCode="General" sourceLinked="1"/>
        <c:majorTickMark val="out"/>
        <c:minorTickMark val="none"/>
        <c:tickLblPos val="nextTo"/>
        <c:crossAx val="420313032"/>
        <c:crosses val="autoZero"/>
        <c:crossBetween val="midCat"/>
      </c:valAx>
      <c:valAx>
        <c:axId val="420313032"/>
        <c:scaling>
          <c:orientation val="minMax"/>
        </c:scaling>
        <c:delete val="0"/>
        <c:axPos val="l"/>
        <c:majorGridlines/>
        <c:numFmt formatCode="General" sourceLinked="1"/>
        <c:majorTickMark val="out"/>
        <c:minorTickMark val="none"/>
        <c:tickLblPos val="nextTo"/>
        <c:crossAx val="420312640"/>
        <c:crosses val="autoZero"/>
        <c:crossBetween val="midCat"/>
      </c:valAx>
    </c:plotArea>
    <c:legend>
      <c:legendPos val="r"/>
      <c:overlay val="0"/>
    </c:legend>
    <c:plotVisOnly val="1"/>
    <c:dispBlanksAs val="gap"/>
    <c:showDLblsOverMax val="0"/>
  </c:chart>
  <c:printSettings>
    <c:headerFooter/>
    <c:pageMargins b="0.75000000000000322" l="0.70000000000000062" r="0.70000000000000062" t="0.75000000000000322"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chart" Target="../charts/chart11.xml"/><Relationship Id="rId5" Type="http://schemas.openxmlformats.org/officeDocument/2006/relationships/chart" Target="../charts/chart10.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12</xdr:col>
      <xdr:colOff>142874</xdr:colOff>
      <xdr:row>28</xdr:row>
      <xdr:rowOff>80434</xdr:rowOff>
    </xdr:from>
    <xdr:to>
      <xdr:col>24</xdr:col>
      <xdr:colOff>152399</xdr:colOff>
      <xdr:row>44</xdr:row>
      <xdr:rowOff>13759</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53</xdr:col>
      <xdr:colOff>66675</xdr:colOff>
      <xdr:row>2</xdr:row>
      <xdr:rowOff>38099</xdr:rowOff>
    </xdr:from>
    <xdr:to>
      <xdr:col>58</xdr:col>
      <xdr:colOff>552450</xdr:colOff>
      <xdr:row>14</xdr:row>
      <xdr:rowOff>200024</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52</xdr:col>
      <xdr:colOff>42334</xdr:colOff>
      <xdr:row>19</xdr:row>
      <xdr:rowOff>122765</xdr:rowOff>
    </xdr:from>
    <xdr:to>
      <xdr:col>58</xdr:col>
      <xdr:colOff>567267</xdr:colOff>
      <xdr:row>31</xdr:row>
      <xdr:rowOff>132290</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52</xdr:col>
      <xdr:colOff>42334</xdr:colOff>
      <xdr:row>32</xdr:row>
      <xdr:rowOff>66675</xdr:rowOff>
    </xdr:from>
    <xdr:to>
      <xdr:col>58</xdr:col>
      <xdr:colOff>594784</xdr:colOff>
      <xdr:row>44</xdr:row>
      <xdr:rowOff>114301</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70</xdr:col>
      <xdr:colOff>172509</xdr:colOff>
      <xdr:row>9</xdr:row>
      <xdr:rowOff>21167</xdr:rowOff>
    </xdr:from>
    <xdr:to>
      <xdr:col>78</xdr:col>
      <xdr:colOff>349483</xdr:colOff>
      <xdr:row>32</xdr:row>
      <xdr:rowOff>169332</xdr:rowOff>
    </xdr:to>
    <xdr:graphicFrame macro="">
      <xdr:nvGraphicFramePr>
        <xdr:cNvPr id="7" name="Chart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70</xdr:col>
      <xdr:colOff>190500</xdr:colOff>
      <xdr:row>7</xdr:row>
      <xdr:rowOff>136526</xdr:rowOff>
    </xdr:from>
    <xdr:to>
      <xdr:col>72</xdr:col>
      <xdr:colOff>508309</xdr:colOff>
      <xdr:row>15</xdr:row>
      <xdr:rowOff>82598</xdr:rowOff>
    </xdr:to>
    <xdr:pic>
      <xdr:nvPicPr>
        <xdr:cNvPr id="1051" name="Picture 27">
          <a:extLst>
            <a:ext uri="{FF2B5EF4-FFF2-40B4-BE49-F238E27FC236}">
              <a16:creationId xmlns:a16="http://schemas.microsoft.com/office/drawing/2014/main" id="{00000000-0008-0000-0000-00001B04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27950583" y="1745193"/>
          <a:ext cx="2392144" cy="1554738"/>
        </a:xfrm>
        <a:prstGeom prst="rect">
          <a:avLst/>
        </a:prstGeom>
        <a:noFill/>
        <a:ln w="1">
          <a:noFill/>
          <a:miter lim="800000"/>
          <a:headEnd/>
          <a:tailEnd type="none" w="med" len="med"/>
        </a:ln>
        <a:effectLst/>
      </xdr:spPr>
    </xdr:pic>
    <xdr:clientData/>
  </xdr:twoCellAnchor>
  <xdr:twoCellAnchor>
    <xdr:from>
      <xdr:col>13</xdr:col>
      <xdr:colOff>114301</xdr:colOff>
      <xdr:row>29</xdr:row>
      <xdr:rowOff>28575</xdr:rowOff>
    </xdr:from>
    <xdr:to>
      <xdr:col>21</xdr:col>
      <xdr:colOff>504825</xdr:colOff>
      <xdr:row>30</xdr:row>
      <xdr:rowOff>161925</xdr:rowOff>
    </xdr:to>
    <xdr:sp macro="" textlink="$AE$7">
      <xdr:nvSpPr>
        <xdr:cNvPr id="8" name="TextBox 7">
          <a:extLst>
            <a:ext uri="{FF2B5EF4-FFF2-40B4-BE49-F238E27FC236}">
              <a16:creationId xmlns:a16="http://schemas.microsoft.com/office/drawing/2014/main" id="{00000000-0008-0000-0000-000008000000}"/>
            </a:ext>
          </a:extLst>
        </xdr:cNvPr>
        <xdr:cNvSpPr txBox="1"/>
      </xdr:nvSpPr>
      <xdr:spPr>
        <a:xfrm>
          <a:off x="8162926" y="6029325"/>
          <a:ext cx="3962399"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fld id="{D2C0B23B-AFA4-4B1B-82E1-C9CBC8275CB4}" type="TxLink">
            <a:rPr lang="en-US" sz="1100" b="1" i="0" u="none" strike="noStrike">
              <a:solidFill>
                <a:srgbClr val="000000"/>
              </a:solidFill>
              <a:latin typeface="Calibri"/>
              <a:cs typeface="Calibri"/>
            </a:rPr>
            <a:pPr algn="ctr"/>
            <a:t>Figure 4C-1 Warrant 2, Four-Hour Vehicular Volume</a:t>
          </a:fld>
          <a:endParaRPr lang="en-US" sz="1100"/>
        </a:p>
      </xdr:txBody>
    </xdr:sp>
    <xdr:clientData/>
  </xdr:twoCellAnchor>
  <xdr:twoCellAnchor>
    <xdr:from>
      <xdr:col>53</xdr:col>
      <xdr:colOff>609600</xdr:colOff>
      <xdr:row>2</xdr:row>
      <xdr:rowOff>114301</xdr:rowOff>
    </xdr:from>
    <xdr:to>
      <xdr:col>58</xdr:col>
      <xdr:colOff>409576</xdr:colOff>
      <xdr:row>4</xdr:row>
      <xdr:rowOff>66675</xdr:rowOff>
    </xdr:to>
    <xdr:sp macro="" textlink="$AF$7">
      <xdr:nvSpPr>
        <xdr:cNvPr id="9" name="TextBox 8">
          <a:extLst>
            <a:ext uri="{FF2B5EF4-FFF2-40B4-BE49-F238E27FC236}">
              <a16:creationId xmlns:a16="http://schemas.microsoft.com/office/drawing/2014/main" id="{00000000-0008-0000-0000-000009000000}"/>
            </a:ext>
          </a:extLst>
        </xdr:cNvPr>
        <xdr:cNvSpPr txBox="1"/>
      </xdr:nvSpPr>
      <xdr:spPr>
        <a:xfrm>
          <a:off x="17325975" y="714376"/>
          <a:ext cx="2943226" cy="3524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fld id="{BB2FB89B-C266-428F-801C-91FA2014FE52}" type="TxLink">
            <a:rPr lang="en-US" sz="1100" b="1" i="0" u="none" strike="noStrike">
              <a:solidFill>
                <a:srgbClr val="000000"/>
              </a:solidFill>
              <a:latin typeface="Calibri"/>
              <a:cs typeface="Calibri"/>
            </a:rPr>
            <a:pPr algn="l"/>
            <a:t>Figure 4C-3 Warrant 3, Peak Hour</a:t>
          </a:fld>
          <a:endParaRPr lang="en-US" sz="1100"/>
        </a:p>
      </xdr:txBody>
    </xdr:sp>
    <xdr:clientData/>
  </xdr:twoCellAnchor>
  <xdr:twoCellAnchor>
    <xdr:from>
      <xdr:col>52</xdr:col>
      <xdr:colOff>378883</xdr:colOff>
      <xdr:row>20</xdr:row>
      <xdr:rowOff>38100</xdr:rowOff>
    </xdr:from>
    <xdr:to>
      <xdr:col>58</xdr:col>
      <xdr:colOff>407459</xdr:colOff>
      <xdr:row>21</xdr:row>
      <xdr:rowOff>133350</xdr:rowOff>
    </xdr:to>
    <xdr:sp macro="" textlink="$AG$7">
      <xdr:nvSpPr>
        <xdr:cNvPr id="10" name="TextBox 9">
          <a:extLst>
            <a:ext uri="{FF2B5EF4-FFF2-40B4-BE49-F238E27FC236}">
              <a16:creationId xmlns:a16="http://schemas.microsoft.com/office/drawing/2014/main" id="{00000000-0008-0000-0000-00000A000000}"/>
            </a:ext>
          </a:extLst>
        </xdr:cNvPr>
        <xdr:cNvSpPr txBox="1"/>
      </xdr:nvSpPr>
      <xdr:spPr>
        <a:xfrm>
          <a:off x="16708966" y="4260850"/>
          <a:ext cx="3764493" cy="2963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fld id="{67E570F4-86F3-429F-B3BD-1D428BD92F5E}" type="TxLink">
            <a:rPr lang="en-US" sz="1100" b="1" i="0" u="none" strike="noStrike">
              <a:solidFill>
                <a:srgbClr val="000000"/>
              </a:solidFill>
              <a:latin typeface="Calibri"/>
              <a:cs typeface="Calibri"/>
            </a:rPr>
            <a:pPr algn="ctr"/>
            <a:t>Figure 4C-5 Warrant 4, Pedestrian Four-Hour Volume</a:t>
          </a:fld>
          <a:endParaRPr lang="en-US" sz="1100"/>
        </a:p>
      </xdr:txBody>
    </xdr:sp>
    <xdr:clientData/>
  </xdr:twoCellAnchor>
  <xdr:twoCellAnchor>
    <xdr:from>
      <xdr:col>52</xdr:col>
      <xdr:colOff>530225</xdr:colOff>
      <xdr:row>32</xdr:row>
      <xdr:rowOff>170392</xdr:rowOff>
    </xdr:from>
    <xdr:to>
      <xdr:col>58</xdr:col>
      <xdr:colOff>130175</xdr:colOff>
      <xdr:row>34</xdr:row>
      <xdr:rowOff>65616</xdr:rowOff>
    </xdr:to>
    <xdr:sp macro="" textlink="$AH$7">
      <xdr:nvSpPr>
        <xdr:cNvPr id="11" name="TextBox 10">
          <a:extLst>
            <a:ext uri="{FF2B5EF4-FFF2-40B4-BE49-F238E27FC236}">
              <a16:creationId xmlns:a16="http://schemas.microsoft.com/office/drawing/2014/main" id="{00000000-0008-0000-0000-00000B000000}"/>
            </a:ext>
          </a:extLst>
        </xdr:cNvPr>
        <xdr:cNvSpPr txBox="1"/>
      </xdr:nvSpPr>
      <xdr:spPr>
        <a:xfrm>
          <a:off x="16860308" y="6806142"/>
          <a:ext cx="3335867" cy="2973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fld id="{03CB367B-ECDF-4408-A462-7851DCFEA10A}" type="TxLink">
            <a:rPr lang="en-US" sz="1100" b="1" i="0" u="none" strike="noStrike">
              <a:solidFill>
                <a:srgbClr val="000000"/>
              </a:solidFill>
              <a:latin typeface="Calibri"/>
              <a:cs typeface="Calibri"/>
            </a:rPr>
            <a:pPr algn="ctr"/>
            <a:t>Figure 4C-7 Warrant 4, Pedestrian Peak Hour</a:t>
          </a:fld>
          <a:endParaRPr lang="en-US" sz="1100"/>
        </a:p>
      </xdr:txBody>
    </xdr:sp>
    <xdr:clientData/>
  </xdr:twoCellAnchor>
  <xdr:twoCellAnchor>
    <xdr:from>
      <xdr:col>72</xdr:col>
      <xdr:colOff>585259</xdr:colOff>
      <xdr:row>10</xdr:row>
      <xdr:rowOff>98425</xdr:rowOff>
    </xdr:from>
    <xdr:to>
      <xdr:col>78</xdr:col>
      <xdr:colOff>275167</xdr:colOff>
      <xdr:row>14</xdr:row>
      <xdr:rowOff>63500</xdr:rowOff>
    </xdr:to>
    <xdr:sp macro="" textlink="$AI$7">
      <xdr:nvSpPr>
        <xdr:cNvPr id="12" name="TextBox 11">
          <a:extLst>
            <a:ext uri="{FF2B5EF4-FFF2-40B4-BE49-F238E27FC236}">
              <a16:creationId xmlns:a16="http://schemas.microsoft.com/office/drawing/2014/main" id="{00000000-0008-0000-0000-00000C000000}"/>
            </a:ext>
          </a:extLst>
        </xdr:cNvPr>
        <xdr:cNvSpPr txBox="1"/>
      </xdr:nvSpPr>
      <xdr:spPr>
        <a:xfrm>
          <a:off x="30419676" y="2310342"/>
          <a:ext cx="3648074" cy="7694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fld id="{AA858474-8B28-4FBF-968A-D7B5940A4879}" type="TxLink">
            <a:rPr lang="en-US" sz="1100" b="1" i="0" u="none" strike="noStrike">
              <a:solidFill>
                <a:srgbClr val="000000"/>
              </a:solidFill>
              <a:latin typeface="Calibri"/>
              <a:cs typeface="Calibri"/>
            </a:rPr>
            <a:pPr algn="ctr"/>
            <a:t>Figure 4C-9 Warrant9, Intersection Near a grade Crossing (One Approach Lane at the Track Crossing)</a:t>
          </a:fld>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438150</xdr:colOff>
      <xdr:row>0</xdr:row>
      <xdr:rowOff>57150</xdr:rowOff>
    </xdr:from>
    <xdr:to>
      <xdr:col>39</xdr:col>
      <xdr:colOff>266700</xdr:colOff>
      <xdr:row>21</xdr:row>
      <xdr:rowOff>171450</xdr:rowOff>
    </xdr:to>
    <xdr:pic>
      <xdr:nvPicPr>
        <xdr:cNvPr id="3073" name="Picture 1">
          <a:extLst>
            <a:ext uri="{FF2B5EF4-FFF2-40B4-BE49-F238E27FC236}">
              <a16:creationId xmlns:a16="http://schemas.microsoft.com/office/drawing/2014/main" id="{00000000-0008-0000-0400-0000010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678525" y="57150"/>
          <a:ext cx="7143750" cy="4133850"/>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95251</xdr:colOff>
      <xdr:row>0</xdr:row>
      <xdr:rowOff>171451</xdr:rowOff>
    </xdr:from>
    <xdr:to>
      <xdr:col>18</xdr:col>
      <xdr:colOff>209551</xdr:colOff>
      <xdr:row>12</xdr:row>
      <xdr:rowOff>28576</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123826</xdr:colOff>
      <xdr:row>17</xdr:row>
      <xdr:rowOff>180975</xdr:rowOff>
    </xdr:from>
    <xdr:to>
      <xdr:col>18</xdr:col>
      <xdr:colOff>504825</xdr:colOff>
      <xdr:row>32</xdr:row>
      <xdr:rowOff>9525</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26</xdr:col>
      <xdr:colOff>152399</xdr:colOff>
      <xdr:row>0</xdr:row>
      <xdr:rowOff>200024</xdr:rowOff>
    </xdr:from>
    <xdr:to>
      <xdr:col>35</xdr:col>
      <xdr:colOff>28574</xdr:colOff>
      <xdr:row>12</xdr:row>
      <xdr:rowOff>314324</xdr:rowOff>
    </xdr:to>
    <xdr:graphicFrame macro="">
      <xdr:nvGraphicFramePr>
        <xdr:cNvPr id="4" name="Chart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26</xdr:col>
      <xdr:colOff>152399</xdr:colOff>
      <xdr:row>18</xdr:row>
      <xdr:rowOff>47625</xdr:rowOff>
    </xdr:from>
    <xdr:to>
      <xdr:col>35</xdr:col>
      <xdr:colOff>28574</xdr:colOff>
      <xdr:row>34</xdr:row>
      <xdr:rowOff>209550</xdr:rowOff>
    </xdr:to>
    <xdr:graphicFrame macro="">
      <xdr:nvGraphicFramePr>
        <xdr:cNvPr id="5" name="Chart 4">
          <a:extLst>
            <a:ext uri="{FF2B5EF4-FFF2-40B4-BE49-F238E27FC236}">
              <a16:creationId xmlns:a16="http://schemas.microsoft.com/office/drawing/2014/main" id="{00000000-0008-0000-05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45</xdr:col>
      <xdr:colOff>104775</xdr:colOff>
      <xdr:row>1</xdr:row>
      <xdr:rowOff>142875</xdr:rowOff>
    </xdr:from>
    <xdr:to>
      <xdr:col>52</xdr:col>
      <xdr:colOff>409575</xdr:colOff>
      <xdr:row>13</xdr:row>
      <xdr:rowOff>57150</xdr:rowOff>
    </xdr:to>
    <xdr:graphicFrame macro="">
      <xdr:nvGraphicFramePr>
        <xdr:cNvPr id="6" name="Chart 5">
          <a:extLst>
            <a:ext uri="{FF2B5EF4-FFF2-40B4-BE49-F238E27FC236}">
              <a16:creationId xmlns:a16="http://schemas.microsoft.com/office/drawing/2014/main" id="{00000000-0008-0000-05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45</xdr:col>
      <xdr:colOff>9525</xdr:colOff>
      <xdr:row>19</xdr:row>
      <xdr:rowOff>104775</xdr:rowOff>
    </xdr:from>
    <xdr:to>
      <xdr:col>52</xdr:col>
      <xdr:colOff>314325</xdr:colOff>
      <xdr:row>32</xdr:row>
      <xdr:rowOff>95250</xdr:rowOff>
    </xdr:to>
    <xdr:graphicFrame macro="">
      <xdr:nvGraphicFramePr>
        <xdr:cNvPr id="7" name="Chart 6">
          <a:extLst>
            <a:ext uri="{FF2B5EF4-FFF2-40B4-BE49-F238E27FC236}">
              <a16:creationId xmlns:a16="http://schemas.microsoft.com/office/drawing/2014/main" id="{00000000-0008-0000-05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CD56"/>
  <sheetViews>
    <sheetView tabSelected="1" view="pageLayout" zoomScaleNormal="90" zoomScaleSheetLayoutView="100" workbookViewId="0">
      <selection activeCell="B9" sqref="B9:F9"/>
    </sheetView>
  </sheetViews>
  <sheetFormatPr defaultRowHeight="15" x14ac:dyDescent="0.25"/>
  <cols>
    <col min="1" max="1" width="12.85546875" customWidth="1"/>
    <col min="2" max="2" width="10" customWidth="1"/>
    <col min="3" max="3" width="4.28515625" customWidth="1"/>
    <col min="4" max="5" width="5.7109375" customWidth="1"/>
    <col min="6" max="7" width="12.85546875" customWidth="1"/>
    <col min="8" max="8" width="10" customWidth="1"/>
    <col min="9" max="9" width="4.28515625" customWidth="1"/>
    <col min="10" max="11" width="5.7109375" customWidth="1"/>
    <col min="12" max="12" width="12.85546875" customWidth="1"/>
    <col min="13" max="13" width="17.85546875" customWidth="1"/>
    <col min="14" max="16" width="7.85546875" customWidth="1"/>
    <col min="17" max="17" width="8.42578125" hidden="1" customWidth="1"/>
    <col min="18" max="18" width="7.85546875" customWidth="1"/>
    <col min="19" max="20" width="7.140625" customWidth="1"/>
    <col min="21" max="23" width="7.85546875" customWidth="1"/>
    <col min="24" max="24" width="7.140625" customWidth="1"/>
    <col min="25" max="25" width="8.42578125" bestFit="1" customWidth="1"/>
    <col min="26" max="27" width="8.140625" hidden="1" customWidth="1"/>
    <col min="28" max="28" width="6.42578125" hidden="1" customWidth="1"/>
    <col min="29" max="29" width="8.85546875" hidden="1" customWidth="1"/>
    <col min="30" max="43" width="8.42578125" hidden="1" customWidth="1"/>
    <col min="44" max="48" width="10" hidden="1" customWidth="1"/>
    <col min="49" max="49" width="9.28515625" customWidth="1"/>
    <col min="50" max="50" width="10.7109375" customWidth="1"/>
    <col min="51" max="51" width="10" customWidth="1"/>
    <col min="52" max="53" width="8.5703125" customWidth="1"/>
    <col min="54" max="54" width="9.28515625" customWidth="1"/>
    <col min="55" max="55" width="10" customWidth="1"/>
    <col min="56" max="59" width="9.28515625" customWidth="1"/>
    <col min="60" max="60" width="3.85546875" customWidth="1"/>
    <col min="61" max="61" width="18.5703125" customWidth="1"/>
    <col min="62" max="69" width="9.140625" customWidth="1"/>
    <col min="70" max="70" width="10" bestFit="1" customWidth="1"/>
    <col min="71" max="71" width="11.140625" customWidth="1"/>
    <col min="72" max="72" width="20" customWidth="1"/>
    <col min="73" max="74" width="10.7109375" customWidth="1"/>
    <col min="75" max="75" width="9.140625" customWidth="1"/>
    <col min="78" max="78" width="10.140625" customWidth="1"/>
    <col min="79" max="79" width="10.42578125" bestFit="1" customWidth="1"/>
    <col min="80" max="82" width="20.28515625" hidden="1" customWidth="1"/>
    <col min="83" max="83" width="20.28515625" customWidth="1"/>
  </cols>
  <sheetData>
    <row r="1" spans="1:82" ht="31.5" customHeight="1" x14ac:dyDescent="0.25">
      <c r="A1" s="218" t="s">
        <v>0</v>
      </c>
      <c r="B1" s="218"/>
      <c r="C1" s="218"/>
      <c r="D1" s="218"/>
      <c r="E1" s="218"/>
      <c r="F1" s="218"/>
      <c r="G1" s="218"/>
      <c r="H1" s="218"/>
      <c r="I1" s="218"/>
      <c r="J1" s="218"/>
      <c r="K1" s="218"/>
      <c r="L1" s="213" t="str">
        <f>IF(OR(L16="",L16="No"),IF(OR(C10&gt;40,L13="Yes"),"70%", "100%"),IF(L16="70%","70%","100%"))</f>
        <v>100%</v>
      </c>
      <c r="M1" s="213" t="str">
        <f>A26</f>
        <v>Warrant 1: Eight - Hour Vehicular Volume</v>
      </c>
      <c r="N1" s="213"/>
      <c r="O1" s="213"/>
      <c r="P1" s="213"/>
      <c r="Q1" s="213"/>
      <c r="R1" s="213"/>
      <c r="S1" s="213"/>
      <c r="T1" s="213"/>
      <c r="U1" s="213"/>
      <c r="V1" s="213"/>
      <c r="W1" s="213"/>
      <c r="X1" s="213" t="str">
        <f>$L$1</f>
        <v>100%</v>
      </c>
      <c r="Y1" s="213"/>
      <c r="Z1" s="247" t="s">
        <v>1</v>
      </c>
      <c r="AA1" s="247"/>
      <c r="AB1" s="247"/>
      <c r="AC1" s="247"/>
      <c r="AD1" s="247"/>
      <c r="AE1" s="247"/>
      <c r="AF1" s="247"/>
      <c r="AG1" s="247"/>
      <c r="AH1" s="247"/>
      <c r="AI1" s="247"/>
      <c r="AJ1" s="247"/>
      <c r="AK1" s="247"/>
      <c r="AL1" s="247"/>
      <c r="AM1" s="247"/>
      <c r="AN1" s="247"/>
      <c r="AO1" s="247"/>
      <c r="AP1" s="247"/>
      <c r="AQ1" s="247"/>
      <c r="AR1" s="247"/>
      <c r="AS1" s="247"/>
      <c r="AT1" s="247"/>
      <c r="AU1" s="247"/>
      <c r="AV1" s="247"/>
      <c r="AW1" s="213" t="str">
        <f>A31</f>
        <v>Warrant 3: Peak Hour Volume</v>
      </c>
      <c r="AX1" s="213"/>
      <c r="AY1" s="213"/>
      <c r="AZ1" s="213"/>
      <c r="BA1" s="213"/>
      <c r="BB1" s="213"/>
      <c r="BC1" s="213"/>
      <c r="BD1" s="213"/>
      <c r="BE1" s="213"/>
      <c r="BF1" s="213"/>
      <c r="BG1" s="10" t="str">
        <f>$L$1</f>
        <v>100%</v>
      </c>
      <c r="BH1" s="213" t="str">
        <f>A35</f>
        <v>Warrant 5: School Crossing</v>
      </c>
      <c r="BI1" s="213"/>
      <c r="BJ1" s="213"/>
      <c r="BK1" s="213"/>
      <c r="BL1" s="213"/>
      <c r="BM1" s="213"/>
      <c r="BN1" s="213"/>
      <c r="BO1" s="213"/>
      <c r="BP1" s="213"/>
      <c r="BQ1" s="213"/>
      <c r="BR1" s="144" t="str">
        <f>$L$1</f>
        <v>100%</v>
      </c>
      <c r="BS1" s="213" t="str">
        <f>A39</f>
        <v>Warrant 9: Intersection Near a Grade Crossing</v>
      </c>
      <c r="BT1" s="213"/>
      <c r="BU1" s="213"/>
      <c r="BV1" s="213"/>
      <c r="BW1" s="213"/>
      <c r="BX1" s="213"/>
      <c r="BY1" s="213"/>
      <c r="BZ1" s="213"/>
      <c r="CA1" s="144" t="str">
        <f>$L$1</f>
        <v>100%</v>
      </c>
    </row>
    <row r="2" spans="1:82" ht="15.75" customHeight="1" x14ac:dyDescent="0.25">
      <c r="A2" s="218"/>
      <c r="B2" s="218"/>
      <c r="C2" s="218"/>
      <c r="D2" s="218"/>
      <c r="E2" s="218"/>
      <c r="F2" s="218"/>
      <c r="G2" s="218"/>
      <c r="H2" s="218"/>
      <c r="I2" s="218"/>
      <c r="J2" s="218"/>
      <c r="K2" s="218"/>
      <c r="L2" s="213"/>
      <c r="M2" s="186" t="s">
        <v>2</v>
      </c>
      <c r="N2" s="186"/>
      <c r="O2" s="186"/>
      <c r="P2" s="54" t="s">
        <v>3</v>
      </c>
      <c r="R2" s="241" t="s">
        <v>4</v>
      </c>
      <c r="S2" s="241"/>
      <c r="T2" s="241"/>
      <c r="U2" s="29" t="str">
        <f>IF(OR(P2="",P2="No"),"N/A",IF(OR(P9="",P17="",P21=""),"",IF(OR(P9= "Yes", P17 = "Yes", P21 = "Yes"), "Yes", "No")))</f>
        <v>No</v>
      </c>
      <c r="V2" s="186" t="s">
        <v>5</v>
      </c>
      <c r="W2" s="186"/>
      <c r="X2" s="186"/>
      <c r="Y2" s="54"/>
      <c r="Z2" s="29"/>
      <c r="AA2" s="29"/>
      <c r="AB2" s="29"/>
      <c r="AC2" s="29"/>
      <c r="AD2" s="29"/>
      <c r="AE2" s="29"/>
      <c r="AF2" s="29"/>
      <c r="AG2" s="29"/>
      <c r="AH2" s="29"/>
      <c r="AI2" s="29"/>
      <c r="AM2" s="29"/>
      <c r="AN2" s="29"/>
      <c r="AO2" s="29"/>
      <c r="AP2" s="29"/>
      <c r="AQ2" s="29"/>
      <c r="AR2" s="29"/>
      <c r="AS2" s="29"/>
      <c r="AT2" s="29"/>
      <c r="AU2" s="29"/>
      <c r="AW2" s="186" t="s">
        <v>2</v>
      </c>
      <c r="AX2" s="186"/>
      <c r="AY2" s="186"/>
      <c r="AZ2" s="54" t="s">
        <v>6</v>
      </c>
      <c r="BA2" s="186" t="s">
        <v>4</v>
      </c>
      <c r="BB2" s="186"/>
      <c r="BC2" s="186"/>
      <c r="BD2" s="29" t="str">
        <f>IF(OR(AZ2="",AZ2="No"),"N/A",IF(OR(AND(BA7="Yes",BA8="Yes",BA9="Yes"),COUNTIF(AV30:AV45,"Yes")&gt;0),"Yes","No"))</f>
        <v>N/A</v>
      </c>
      <c r="BE2" s="186" t="s">
        <v>5</v>
      </c>
      <c r="BF2" s="186"/>
      <c r="BG2" s="54"/>
      <c r="BH2" s="186" t="s">
        <v>2</v>
      </c>
      <c r="BI2" s="186"/>
      <c r="BJ2" s="186"/>
      <c r="BK2" s="54"/>
      <c r="BL2" s="186" t="s">
        <v>4</v>
      </c>
      <c r="BM2" s="186"/>
      <c r="BN2" s="186"/>
      <c r="BO2" s="29" t="str">
        <f>IF(OR(BK2="",BK2="No"),"N/A",IF(AND(BR4="",BR5="",BR7=""),"",IF(AND(BR4="Yes",BR5="Yes",BR7="Yes"),"Yes","No")))</f>
        <v>N/A</v>
      </c>
      <c r="BP2" s="186" t="s">
        <v>5</v>
      </c>
      <c r="BQ2" s="186"/>
      <c r="BR2" s="54"/>
      <c r="BS2" s="186" t="s">
        <v>2</v>
      </c>
      <c r="BT2" s="186"/>
      <c r="BU2" s="54"/>
      <c r="BV2" s="186" t="s">
        <v>4</v>
      </c>
      <c r="BW2" s="186"/>
      <c r="BX2" s="29" t="str">
        <f>IF(OR(BU2="",BU2="No"),"N/A",IF(COUNTIF(CD17:CD25,"Yes")&gt;0,"Yes","No"))</f>
        <v>N/A</v>
      </c>
      <c r="BY2" s="186" t="s">
        <v>5</v>
      </c>
      <c r="BZ2" s="186"/>
      <c r="CA2" s="54"/>
      <c r="CB2" s="247" t="s">
        <v>7</v>
      </c>
      <c r="CC2" s="247"/>
      <c r="CD2" s="247"/>
    </row>
    <row r="3" spans="1:82" ht="15.75" customHeight="1" x14ac:dyDescent="0.25">
      <c r="A3" s="219" t="s">
        <v>8</v>
      </c>
      <c r="B3" s="219"/>
      <c r="C3" s="219"/>
      <c r="D3" s="219"/>
      <c r="E3" s="219"/>
      <c r="F3" s="219"/>
      <c r="G3" s="219"/>
      <c r="H3" s="219"/>
      <c r="I3" s="219"/>
      <c r="J3" s="219"/>
      <c r="K3" s="219"/>
      <c r="L3" s="219"/>
      <c r="M3" s="215" t="s">
        <v>9</v>
      </c>
      <c r="N3" s="216"/>
      <c r="O3" s="217"/>
      <c r="R3" s="245">
        <f>'Hourly Volume Data'!B5</f>
        <v>0.25</v>
      </c>
      <c r="S3" s="245"/>
      <c r="T3" s="172" t="s">
        <v>10</v>
      </c>
      <c r="U3" s="172"/>
      <c r="V3" s="172"/>
      <c r="W3" s="172"/>
      <c r="X3" s="172"/>
      <c r="AB3" s="181" t="s">
        <v>11</v>
      </c>
      <c r="AC3" s="181"/>
      <c r="AD3" s="46"/>
      <c r="AE3" s="46"/>
      <c r="AF3" s="46"/>
      <c r="AG3" s="46"/>
      <c r="AH3" s="46"/>
      <c r="AI3" s="46"/>
      <c r="AJ3" s="246" t="s">
        <v>12</v>
      </c>
      <c r="AK3" s="246"/>
      <c r="AL3" s="246"/>
      <c r="AM3" s="246"/>
      <c r="AO3" s="244" t="s">
        <v>13</v>
      </c>
      <c r="AP3" s="244"/>
      <c r="AQ3" s="244"/>
      <c r="AR3" s="244"/>
      <c r="AS3" s="244"/>
      <c r="AT3" s="244"/>
      <c r="AU3" s="244"/>
      <c r="AV3" s="244"/>
      <c r="AW3" s="242" t="s">
        <v>14</v>
      </c>
      <c r="AX3" s="242"/>
      <c r="AY3" s="242"/>
      <c r="AZ3" s="242"/>
      <c r="BA3" s="242"/>
      <c r="BH3" s="204" t="s">
        <v>15</v>
      </c>
      <c r="BI3" s="204"/>
      <c r="BJ3" s="204"/>
      <c r="BK3" s="204"/>
      <c r="BL3" s="204"/>
      <c r="BM3" s="204"/>
      <c r="BN3" s="204"/>
      <c r="BO3" s="204"/>
      <c r="BR3" s="150" t="s">
        <v>16</v>
      </c>
      <c r="BY3" s="96"/>
      <c r="BZ3" s="96"/>
      <c r="CB3" s="247"/>
      <c r="CC3" s="247"/>
      <c r="CD3" s="247"/>
    </row>
    <row r="4" spans="1:82" ht="15.75" customHeight="1" x14ac:dyDescent="0.25">
      <c r="M4" s="195" t="s">
        <v>17</v>
      </c>
      <c r="N4" s="196"/>
      <c r="O4" s="197"/>
      <c r="P4" s="150"/>
      <c r="Q4" s="31" t="s">
        <v>18</v>
      </c>
      <c r="R4" s="214" t="s">
        <v>19</v>
      </c>
      <c r="S4" s="214" t="s">
        <v>20</v>
      </c>
      <c r="T4" s="214" t="s">
        <v>21</v>
      </c>
      <c r="U4" s="214" t="s">
        <v>22</v>
      </c>
      <c r="V4" s="214"/>
      <c r="W4" s="214" t="s">
        <v>23</v>
      </c>
      <c r="X4" s="214"/>
      <c r="Y4" s="214" t="s">
        <v>24</v>
      </c>
      <c r="AB4" s="172" t="s">
        <v>15</v>
      </c>
      <c r="AC4" s="172"/>
      <c r="AD4" s="172"/>
      <c r="AJ4" s="150">
        <f>IF(OR($B$11 ="",$H$11="",AK4=""),"",Sheet3!K55)</f>
        <v>1800</v>
      </c>
      <c r="AK4" s="150">
        <f>IF($BG$17="","",IF($AZ$29="Yes",IF($BG$17="70%",IF(Sheet3!L55="",#N/A,Sheet3!L55*0.5),IF(Sheet3!N55="", #N/A, Sheet3!N55*0.5)),IF($BG$17="70%",IF(Sheet3!L55="",#N/A,Sheet3!L55),IF(Sheet3!N55="", #N/A, Sheet3!N55))))</f>
        <v>133</v>
      </c>
      <c r="AM4" s="120"/>
      <c r="AO4" s="1"/>
      <c r="AP4" s="150">
        <f>IF(OR($B$11 ="",$H$11="",AQ4=""),"",Sheet3!A55)</f>
        <v>1400</v>
      </c>
      <c r="AQ4" s="150">
        <f>IF($BG$17="","",IF($AZ$29="Yes",IF($BG$17="70%",IF(Sheet3!B55="",#N/A,Sheet3!B55*0.5),IF(Sheet3!D55="", #N/A, Sheet3!D55*0.5)),IF($BG$17="70%",IF(Sheet3!B55="",#N/A,Sheet3!B55),IF(Sheet3!D55="", #N/A, Sheet3!D55))))</f>
        <v>107</v>
      </c>
      <c r="AR4" s="150" t="s">
        <v>25</v>
      </c>
      <c r="AS4" s="36">
        <f>AW24</f>
        <v>0</v>
      </c>
      <c r="AT4" s="36">
        <f>AW25</f>
        <v>0</v>
      </c>
      <c r="AU4" s="36">
        <f>AW26</f>
        <v>0</v>
      </c>
      <c r="AV4" s="36">
        <f>AW27</f>
        <v>0</v>
      </c>
      <c r="AW4" s="183"/>
      <c r="AX4" s="183"/>
      <c r="AY4" s="183"/>
      <c r="AZ4" s="183"/>
      <c r="BA4" s="183"/>
      <c r="BH4" s="143">
        <v>1</v>
      </c>
      <c r="BI4" s="252" t="s">
        <v>26</v>
      </c>
      <c r="BJ4" s="253"/>
      <c r="BK4" s="253"/>
      <c r="BL4" s="253"/>
      <c r="BM4" s="253"/>
      <c r="BN4" s="253"/>
      <c r="BO4" s="253"/>
      <c r="BP4" s="253"/>
      <c r="BQ4" s="254"/>
      <c r="BR4" s="145"/>
      <c r="BS4" s="234" t="s">
        <v>27</v>
      </c>
      <c r="BT4" s="235"/>
      <c r="BU4" s="235"/>
      <c r="BV4" s="236"/>
      <c r="BX4" s="179" t="s">
        <v>28</v>
      </c>
      <c r="BY4" s="179"/>
      <c r="BZ4" s="179"/>
      <c r="CA4" s="52"/>
    </row>
    <row r="5" spans="1:82" ht="15.75" customHeight="1" x14ac:dyDescent="0.25">
      <c r="A5" s="176" t="s">
        <v>29</v>
      </c>
      <c r="B5" s="176"/>
      <c r="C5" s="164"/>
      <c r="D5" s="164"/>
      <c r="E5" s="164"/>
      <c r="F5" s="164"/>
      <c r="G5" s="164"/>
      <c r="H5" s="164"/>
      <c r="I5" s="164"/>
      <c r="J5" s="164"/>
      <c r="K5" s="6"/>
      <c r="L5" s="6"/>
      <c r="M5" s="24" t="s">
        <v>30</v>
      </c>
      <c r="N5" s="35" t="str">
        <f>IF($L$1="100%", "100%", "70%")</f>
        <v>100%</v>
      </c>
      <c r="O5" s="35" t="str">
        <f>IF($L$1="100%", "80%", "56%")</f>
        <v>80%</v>
      </c>
      <c r="P5" s="150"/>
      <c r="Q5" t="s">
        <v>31</v>
      </c>
      <c r="R5" s="214"/>
      <c r="S5" s="214"/>
      <c r="T5" s="214"/>
      <c r="U5" s="214"/>
      <c r="V5" s="214"/>
      <c r="W5" s="214"/>
      <c r="X5" s="214"/>
      <c r="Y5" s="214"/>
      <c r="AB5" s="150">
        <v>2</v>
      </c>
      <c r="AC5" s="150">
        <v>3</v>
      </c>
      <c r="AD5" s="1" t="s">
        <v>32</v>
      </c>
      <c r="AE5" s="55" t="s">
        <v>33</v>
      </c>
      <c r="AF5" s="55"/>
      <c r="AG5" s="55"/>
      <c r="AH5" s="149"/>
      <c r="AI5" s="149"/>
      <c r="AJ5" s="150">
        <f>IF(OR($B$11 ="",$H$11="",AK5=""),"",Sheet3!K56)</f>
        <v>1800</v>
      </c>
      <c r="AK5" s="150">
        <f>IF($BG$17="","",IF($AZ$29="Yes",IF($BG$17="70%",IF(Sheet3!L56="",#N/A,Sheet3!L56*0.5),IF(Sheet3!N56="", #N/A, Sheet3!N56*0.5)),IF($BG$17="70%",IF(Sheet3!L56="",#N/A,Sheet3!L56),IF(Sheet3!N56="", #N/A, Sheet3!N56))))</f>
        <v>133</v>
      </c>
      <c r="AM5" s="119" t="str">
        <f t="shared" ref="AM5:AM21" si="0">IF(AND($AY$37&gt;=$AJ5,$AY$37&lt;$AJ4),IF($AX$37&gt;$AK5,"Yes","No"),"")</f>
        <v/>
      </c>
      <c r="AO5" s="1"/>
      <c r="AP5" s="150">
        <f>IF(OR($B$11 ="",$H$11="",AQ5=""),"",Sheet3!A56)</f>
        <v>1400</v>
      </c>
      <c r="AQ5" s="150">
        <f>IF($BG$17="","",IF($AZ$29="Yes",IF($BG$17="70%",IF(Sheet3!B56="",#N/A,Sheet3!B56*0.5),IF(Sheet3!D56="", #N/A, Sheet3!D56*0.5)),IF($BG$17="70%",IF(Sheet3!B56="",#N/A,Sheet3!B56),IF(Sheet3!D56="", #N/A, Sheet3!D56))))</f>
        <v>107</v>
      </c>
      <c r="AR5" s="150" t="str">
        <f>IF($BG$17="","",IF($BG$17="70%",IF(Sheet3!C56="","No","Yes"),IF(Sheet3!E56="", "No","Yes")))</f>
        <v>No</v>
      </c>
      <c r="AS5" s="38" t="str">
        <f>IF(AND($AY$24&gt;=$AP5,$AY$24&lt;$AP4),IF($AR5="No",IF($AX$24&gt;=$AQ5,"Yes","No"),IF($AZ$29="Yes",IF($BG$1="70%",IF($AX$24&gt;=((0.00042*$AY$24^2)-(0.8829*$AY$24)+503.43)*0.5,"Yes","No"),IF($AX$24&gt;=((0.0003247*$AY$24^2)-(0.9248*$AY$24)+724.77)*0.5,"Yes","No")),IF($BG$1="70%",IF($AX$24&gt;=(0.00042*$AY$24^2)-(0.8829*$AY$24)+503.43,"Yes","No"),IF($AX$24&gt;=(0.0003247*$AY$24^2)-(0.9248*$AY$24)+724.77,"Yes","No")))),"")</f>
        <v/>
      </c>
      <c r="AT5" s="38" t="str">
        <f t="shared" ref="AT5:AT15" si="1">IF(AND($AY$25&gt;=$AP5,$AY$25&lt;$AP4),IF($AR5="No",IF($AX$25&gt;=$AQ5,"Yes","No"),IF($AZ$29="Yes",IF($BG$1="70%",IF($AX$25&gt;=((0.00042*$AY$25^2)-(0.8829*$AY$25)+503.43)*0.5,"Yes","No"),IF($AX$25&gt;=((0.0003247*$AY$25^2)-(0.9248*$AY$25)+724.77)*0.5,"Yes","No")),IF($BG$1="70%",IF($AX$25&gt;=(0.00042*$AY$25^2)-(0.8829*$AY$25)+503.43,"Yes","No"),IF($AX$25&gt;=(0.0003247*$AY$25^2)-(0.9248*$AY$25)+724.77,"Yes","No")))),"")</f>
        <v/>
      </c>
      <c r="AU5" s="38" t="str">
        <f>IF(AND($AY$26&gt;=$AP5,$AY$26&lt;$AP4),IF($AR5="No",IF($AX$26&gt;=$AQ5,"Yes","No"),IF($AZ$29="Yes",IF($BG$1="70%",IF($AX$26&gt;=((0.00042*$AY$26^2)-(0.8829*$AY$26)+503.43)*0.5,"Yes","No"),IF($AX$26&gt;=((0.0003247*$AY$26^2)-(0.9248*$AY$26)+724.77)*0.5,"Yes","No")),IF($BG$1="70%",IF($AX$26&gt;=(0.00042*$AY$26^2)-(0.8829*$AY$26)+503.43,"Yes","No"),IF($AX$26&gt;=(0.0003247*$AY$26^2)-(0.9248*$AY$26)+724.77,"Yes","No")))),"")</f>
        <v/>
      </c>
      <c r="AV5" s="38" t="str">
        <f>IF(AND($AY$27&gt;=$AP5,$AY$27&lt;$AP4),IF($AR5="No",IF($AX$27&gt;=$AQ5,"Yes","No"),IF($AZ$29="Yes",IF($BG$1="70%",IF($AX$27&gt;=((0.00042*$AY$27^2)-(0.8829*$AY$27)+503.43)*0.5,"Yes","No"),IF($AX$27&gt;=((0.0003247*$AY$27^2)-(0.9248*$AY$27)+724.77)*0.5,"Yes","No")),IF($BG$1="70%",IF($AX$27&gt;=(0.00042*$AY$27^2)-(0.8829*$AY$27)+503.43,"Yes","No"),IF($AX$27&gt;=(0.0003247*$AY$27^2)-(0.9248*$AY$27)+724.77,"Yes","No")))),"")</f>
        <v/>
      </c>
      <c r="AW5" s="183"/>
      <c r="AX5" s="183"/>
      <c r="AY5" s="183"/>
      <c r="AZ5" s="183"/>
      <c r="BA5" s="183"/>
      <c r="BH5" s="171">
        <v>2</v>
      </c>
      <c r="BI5" s="229" t="s">
        <v>34</v>
      </c>
      <c r="BJ5" s="229"/>
      <c r="BK5" s="229"/>
      <c r="BL5" s="229"/>
      <c r="BM5" s="229"/>
      <c r="BN5" s="229"/>
      <c r="BO5" s="229"/>
      <c r="BP5" s="229"/>
      <c r="BQ5" s="229"/>
      <c r="BR5" s="228"/>
      <c r="BS5" s="170" t="s">
        <v>35</v>
      </c>
      <c r="BT5" s="255" t="s">
        <v>36</v>
      </c>
      <c r="BU5" s="170" t="s">
        <v>37</v>
      </c>
      <c r="BV5" s="170"/>
      <c r="BW5" s="170" t="s">
        <v>38</v>
      </c>
      <c r="BX5" s="170" t="s">
        <v>39</v>
      </c>
      <c r="BY5" s="170" t="s">
        <v>40</v>
      </c>
      <c r="BZ5" s="170" t="s">
        <v>41</v>
      </c>
      <c r="CA5" s="170" t="s">
        <v>42</v>
      </c>
      <c r="CB5" s="140"/>
      <c r="CC5" s="140"/>
      <c r="CD5" s="140"/>
    </row>
    <row r="6" spans="1:82" ht="15.75" customHeight="1" x14ac:dyDescent="0.25">
      <c r="A6" s="176" t="s">
        <v>43</v>
      </c>
      <c r="B6" s="176"/>
      <c r="C6" s="164"/>
      <c r="D6" s="164"/>
      <c r="E6" s="164"/>
      <c r="F6" s="164"/>
      <c r="G6" s="164"/>
      <c r="H6" s="164"/>
      <c r="I6" s="164"/>
      <c r="J6" s="164"/>
      <c r="K6" s="6"/>
      <c r="L6" s="6"/>
      <c r="M6" s="24" t="s">
        <v>44</v>
      </c>
      <c r="N6" s="143">
        <f>IF(B11="","",IF(B11="1 lane",IF($L$1="70%",350,500),IF($L$1="70%",420,600)))</f>
        <v>500</v>
      </c>
      <c r="O6" s="143">
        <f>IF(B11="","",IF(B11="1 lane",IF($L$1="70%",280,400),IF($L$1="70%",336,480)))</f>
        <v>400</v>
      </c>
      <c r="P6" s="150"/>
      <c r="Q6" s="150">
        <f>RANK(Y6,$Y$6:$Y$21,0)+COUNTIF(Y$6:Y6, "="&amp;Y6)-1</f>
        <v>1</v>
      </c>
      <c r="R6" s="150">
        <v>1</v>
      </c>
      <c r="S6" s="36">
        <f>R3</f>
        <v>0.25</v>
      </c>
      <c r="T6" s="36">
        <f t="shared" ref="T6:T20" si="2">S6+TIME(1,0,0)</f>
        <v>0.29166666666666669</v>
      </c>
      <c r="U6" s="182">
        <f>IF('Hourly Volume Data'!$J$28="","",'Hourly Volume Data'!Q26)</f>
        <v>0</v>
      </c>
      <c r="V6" s="183"/>
      <c r="W6" s="182">
        <f>IF('Hourly Volume Data'!$J$28="","",'Hourly Volume Data'!W26)</f>
        <v>0</v>
      </c>
      <c r="X6" s="183"/>
      <c r="Y6" s="150">
        <f>IF(OR(U6="",W6=""),"",U6+W6)</f>
        <v>0</v>
      </c>
      <c r="Z6" s="135"/>
      <c r="AA6" s="135"/>
      <c r="AB6" s="150" t="str">
        <f t="shared" ref="AB6:AB21" si="3">IF($H$11="","",IF($H$11="1 lane",IF(W6&gt;=100,"Yes","No"),IF($H$11="2 or more lanes", IF(W6&gt;=150,"Yes","No"),"Error")))</f>
        <v>No</v>
      </c>
      <c r="AC6" s="150" t="str">
        <f t="shared" ref="AC6:AC21" si="4">IF($L$14="","",IF($L$14=3,IF(Y6&gt;= 650, "Yes", "No"),IF($L$14="4 or more",IF(Y6&gt;=800,"Yes","No"),"Error")))</f>
        <v>No</v>
      </c>
      <c r="AD6" s="1" t="str">
        <f>IF(AND(AB6="Yes",AC6="Yes"),"Yes","No")</f>
        <v>No</v>
      </c>
      <c r="AE6">
        <v>2</v>
      </c>
      <c r="AF6">
        <v>3</v>
      </c>
      <c r="AG6" s="149" t="s">
        <v>45</v>
      </c>
      <c r="AH6" s="149" t="s">
        <v>12</v>
      </c>
      <c r="AI6" s="149">
        <v>9</v>
      </c>
      <c r="AJ6" s="150">
        <f>IF(OR($B$11 ="",$H$11="",AK6=""),"",Sheet3!K57)</f>
        <v>1700</v>
      </c>
      <c r="AK6" s="150">
        <f>IF($BG$17="","",IF($AZ$29="Yes",IF($BG$17="70%",IF(Sheet3!L57="",#N/A,Sheet3!L57*0.5),IF(Sheet3!N57="", #N/A, Sheet3!N57*0.5)),IF($BG$17="70%",IF(Sheet3!L57="",#N/A,Sheet3!L57),IF(Sheet3!N57="", #N/A, Sheet3!N57))))</f>
        <v>133</v>
      </c>
      <c r="AM6" s="119" t="str">
        <f t="shared" si="0"/>
        <v/>
      </c>
      <c r="AO6" s="150">
        <f>AX24+AY24</f>
        <v>0</v>
      </c>
      <c r="AP6" s="150">
        <f>IF(OR($B$11 ="",$H$11="",AQ6=""),"",Sheet3!A57)</f>
        <v>1300</v>
      </c>
      <c r="AQ6" s="150">
        <f>IF($BG$17="","",IF($AZ$29="Yes",IF($BG$17="70%",IF(Sheet3!B57="",#N/A,Sheet3!B57*0.5),IF(Sheet3!D57="", #N/A, Sheet3!D57*0.5)),IF($BG$17="70%",IF(Sheet3!B57="",#N/A,Sheet3!B57),IF(Sheet3!D57="", #N/A, Sheet3!D57))))</f>
        <v>107</v>
      </c>
      <c r="AR6" s="150" t="str">
        <f>IF($BG$17="","",IF($BG$17="70%",IF(Sheet3!C57="","No","Yes"),IF(Sheet3!E57="", "No","Yes")))</f>
        <v>No</v>
      </c>
      <c r="AS6" s="38" t="str">
        <f t="shared" ref="AS6:AS16" si="5">IF(AND($AY$24&gt;=$AP6,$AY$24&lt;$AP5),IF($AR6="No",IF($AX$24&gt;=$AQ6,"Yes","No"),IF($AZ$29="Yes",IF($BG$1="70%",IF($AX$24&gt;=((0.00042*$AY$24^2)-(0.8829*$AY$24)+503.43)*0.5,"Yes","No"),IF($AX$24&gt;=((0.0003247*$AY$24^2)-(0.9248*$AY$24)+724.77)*0.5,"Yes","No")),IF($BG$1="70%",IF($AX$24&gt;=(0.00042*$AY$24^2)-(0.8829*$AY$24)+503.43,"Yes","No"),IF($AX$24&gt;=(0.0003247*$AY$24^2)-(0.9248*$AY$24)+724.77,"Yes","No")))),"")</f>
        <v/>
      </c>
      <c r="AT6" s="38" t="str">
        <f t="shared" si="1"/>
        <v/>
      </c>
      <c r="AU6" s="38" t="str">
        <f t="shared" ref="AU6:AU16" si="6">IF(AND($AY$26&gt;=$AP6,$AY$26&lt;$AP5),IF($AR6="No",IF($AX$26&gt;=$AQ6,"Yes","No"),IF($AZ$29="Yes",IF($BG$1="70%",IF($AX$26&gt;=((0.00042*$AY$26^2)-(0.8829*$AY$26)+503.43)*0.5,"Yes","No"),IF($AX$26&gt;=((0.0003247*$AY$26^2)-(0.9248*$AY$26)+724.77)*0.5,"Yes","No")),IF($BG$1="70%",IF($AX$26&gt;=(0.00042*$AY$26^2)-(0.8829*$AY$26)+503.43,"Yes","No"),IF($AX$26&gt;=(0.0003247*$AY$26^2)-(0.9248*$AY$26)+724.77,"Yes","No")))),"")</f>
        <v/>
      </c>
      <c r="AV6" s="38" t="str">
        <f t="shared" ref="AV6:AV16" si="7">IF(AND($AY$27&gt;=$AP6,$AY$27&lt;$AP5),IF($AR6="No",IF($AX$27&gt;=$AQ6,"Yes","No"),IF($AZ$29="Yes",IF($BG$1="70%",IF($AX$27&gt;=((0.00042*$AY$27^2)-(0.8829*$AY$27)+503.43)*0.5,"Yes","No"),IF($AX$27&gt;=((0.0003247*$AY$27^2)-(0.9248*$AY$27)+724.77)*0.5,"Yes","No")),IF($BG$1="70%",IF($AX$27&gt;=(0.00042*$AY$27^2)-(0.8829*$AY$27)+503.43,"Yes","No"),IF($AX$27&gt;=(0.0003247*$AY$27^2)-(0.9248*$AY$27)+724.77,"Yes","No")))),"")</f>
        <v/>
      </c>
      <c r="AW6" s="169" t="s">
        <v>15</v>
      </c>
      <c r="AX6" s="169"/>
      <c r="AY6" s="169"/>
      <c r="AZ6" s="169"/>
      <c r="BA6" s="141" t="s">
        <v>46</v>
      </c>
      <c r="BH6" s="171"/>
      <c r="BI6" s="229"/>
      <c r="BJ6" s="229"/>
      <c r="BK6" s="229"/>
      <c r="BL6" s="229"/>
      <c r="BM6" s="229"/>
      <c r="BN6" s="229"/>
      <c r="BO6" s="229"/>
      <c r="BP6" s="229"/>
      <c r="BQ6" s="229"/>
      <c r="BR6" s="228"/>
      <c r="BS6" s="170"/>
      <c r="BT6" s="255"/>
      <c r="BU6" s="170"/>
      <c r="BV6" s="170"/>
      <c r="BW6" s="170"/>
      <c r="BX6" s="170"/>
      <c r="BY6" s="170"/>
      <c r="BZ6" s="170"/>
      <c r="CA6" s="170"/>
      <c r="CB6" s="140" t="s">
        <v>47</v>
      </c>
      <c r="CC6" s="140" t="s">
        <v>48</v>
      </c>
      <c r="CD6" s="140" t="s">
        <v>49</v>
      </c>
    </row>
    <row r="7" spans="1:82" ht="15.75" customHeight="1" x14ac:dyDescent="0.25">
      <c r="B7" s="49" t="s">
        <v>50</v>
      </c>
      <c r="C7" s="164"/>
      <c r="D7" s="164"/>
      <c r="E7" s="164"/>
      <c r="F7" s="164"/>
      <c r="G7" s="164"/>
      <c r="H7" s="164"/>
      <c r="I7" s="164"/>
      <c r="J7" s="164"/>
      <c r="K7" s="6"/>
      <c r="L7" s="6"/>
      <c r="M7" s="24" t="s">
        <v>51</v>
      </c>
      <c r="N7" s="143">
        <f>IF(H11="","",IF(L15="Yes",IF(H11="1 lane",IF($L$1="70%",105*1.5,150*1.5),IF($L$1="70%",140*1.5,200*1.5)),IF(H11="1 lane",IF($L$1="70%",105,150),IF($L$1="70%",140,200))))</f>
        <v>150</v>
      </c>
      <c r="O7" s="143">
        <f>IF(H11="","",IF(L15="Yes",IF(H11="1 lane",IF($L$1="70%",84*1.5,120*1.5),IF($L$1="70%",112*1.5,160*1.5)),IF(H11="1 lane",IF($L$1="70%",84,120),IF($L$1="70%",112,160))))</f>
        <v>120</v>
      </c>
      <c r="P7" s="150"/>
      <c r="Q7" s="150">
        <f>RANK(Y7,$Y$6:$Y$21,0)+COUNTIF(Y$6:Y7, "="&amp;Y7)-1</f>
        <v>2</v>
      </c>
      <c r="R7" s="150">
        <v>2</v>
      </c>
      <c r="S7" s="36">
        <f>S6+TIME(1,0,0)</f>
        <v>0.29166666666666669</v>
      </c>
      <c r="T7" s="36">
        <f t="shared" si="2"/>
        <v>0.33333333333333337</v>
      </c>
      <c r="U7" s="182">
        <f>IF('Hourly Volume Data'!$J$28="","",'Hourly Volume Data'!Q27)</f>
        <v>0</v>
      </c>
      <c r="V7" s="183"/>
      <c r="W7" s="182">
        <f>IF('Hourly Volume Data'!$J$28="","",'Hourly Volume Data'!W27)</f>
        <v>0</v>
      </c>
      <c r="X7" s="183"/>
      <c r="Y7" s="150">
        <f>IF(OR(U7="",W7=""),"",U7+W7)</f>
        <v>0</v>
      </c>
      <c r="Z7" s="135"/>
      <c r="AA7" s="135"/>
      <c r="AB7" s="150" t="str">
        <f t="shared" si="3"/>
        <v>No</v>
      </c>
      <c r="AC7" s="150" t="str">
        <f t="shared" si="4"/>
        <v>No</v>
      </c>
      <c r="AD7" s="1" t="str">
        <f t="shared" ref="AD7:AD21" si="8">IF(AND(AB7="Yes",AC7="Yes"),"Yes","No")</f>
        <v>No</v>
      </c>
      <c r="AE7" s="149" t="str">
        <f>IF(X23="100%", "Figure 4C-1 Warrant 2, Four-Hour Vehicular Volume", "Figure 4C-2 Warrant 2, Four-Hour Vehicular Volume (70% Factor)")</f>
        <v>Figure 4C-1 Warrant 2, Four-Hour Vehicular Volume</v>
      </c>
      <c r="AF7" s="149" t="str">
        <f>IF($X$1="100%", "Figure 4C-3 Warrant 3, Peak Hour", "Figure 4C-4 Warrant 3, Peak Hour (70% Factor)")</f>
        <v>Figure 4C-3 Warrant 3, Peak Hour</v>
      </c>
      <c r="AG7" s="149" t="str">
        <f>IF($X$1="100%", "Figure 4C-5 Warrant 4, Pedestrian Four-Hour Volume", "Figure 4C-6 Warrant 4, Pedestrian Four-Hour Volume (70% Factor)")</f>
        <v>Figure 4C-5 Warrant 4, Pedestrian Four-Hour Volume</v>
      </c>
      <c r="AH7" s="149" t="str">
        <f>IF($X$1="100%", "Figure 4C-7 Warrant 4, Pedestrian Peak Hour", "Figure 4C-8 Warrant 4, Pedestrian Peak Hour (70% Factor)")</f>
        <v>Figure 4C-7 Warrant 4, Pedestrian Peak Hour</v>
      </c>
      <c r="AI7" s="149" t="str">
        <f>IF($H$11="1 lane", "Figure 4C-9 Warrant9, Intersection Near a grade Crossing (One Approach Lane at the Track Crossing)", "Figure 4C-10 Warrant 9, Intersection Near a grade Crossing (Two or More Approach Lanes at the Track Crossing)")</f>
        <v>Figure 4C-9 Warrant9, Intersection Near a grade Crossing (One Approach Lane at the Track Crossing)</v>
      </c>
      <c r="AJ7" s="150">
        <f>IF(OR($B$11 ="",$H$11="",AK7=""),"",Sheet3!K58)</f>
        <v>1600</v>
      </c>
      <c r="AK7" s="150">
        <f>IF($BG$17="","",IF($AZ$29="Yes",IF($BG$17="70%",IF(Sheet3!L58="",#N/A,Sheet3!L58*0.5),IF(Sheet3!N58="", #N/A, Sheet3!N58*0.5)),IF($BG$17="70%",IF(Sheet3!L58="",#N/A,Sheet3!L58),IF(Sheet3!N58="", #N/A, Sheet3!N58))))</f>
        <v>133</v>
      </c>
      <c r="AM7" s="119" t="str">
        <f t="shared" si="0"/>
        <v/>
      </c>
      <c r="AO7" s="150">
        <f>AX25+AY25</f>
        <v>0</v>
      </c>
      <c r="AP7" s="150">
        <f>IF(OR($B$11 ="",$H$11="",AQ7=""),"",Sheet3!A58)</f>
        <v>1200</v>
      </c>
      <c r="AQ7" s="150">
        <f>IF($BG$17="","",IF($AZ$29="Yes",IF($BG$17="70%",IF(Sheet3!B58="",#N/A,Sheet3!B58*0.5),IF(Sheet3!D58="", #N/A, Sheet3!D58*0.5)),IF($BG$17="70%",IF(Sheet3!B58="",#N/A,Sheet3!B58),IF(Sheet3!D58="", #N/A, Sheet3!D58))))</f>
        <v>107</v>
      </c>
      <c r="AR7" s="150" t="str">
        <f>IF($BG$17="","",IF($BG$17="70%",IF(Sheet3!C58="","No","Yes"),IF(Sheet3!E58="", "No","Yes")))</f>
        <v>No</v>
      </c>
      <c r="AS7" s="38" t="str">
        <f t="shared" si="5"/>
        <v/>
      </c>
      <c r="AT7" s="38" t="str">
        <f t="shared" si="1"/>
        <v/>
      </c>
      <c r="AU7" s="38" t="str">
        <f t="shared" si="6"/>
        <v/>
      </c>
      <c r="AV7" s="38" t="str">
        <f t="shared" si="7"/>
        <v/>
      </c>
      <c r="AW7" s="238" t="s">
        <v>52</v>
      </c>
      <c r="AX7" s="239"/>
      <c r="AY7" s="240"/>
      <c r="AZ7" s="147">
        <f>IF(H11="","", IF(H11= "1 lane", 4, 5))</f>
        <v>4</v>
      </c>
      <c r="BA7" s="137"/>
      <c r="BH7" s="171">
        <v>3</v>
      </c>
      <c r="BI7" s="229" t="s">
        <v>53</v>
      </c>
      <c r="BJ7" s="229"/>
      <c r="BK7" s="229"/>
      <c r="BL7" s="229"/>
      <c r="BM7" s="229"/>
      <c r="BN7" s="229"/>
      <c r="BO7" s="229"/>
      <c r="BP7" s="229"/>
      <c r="BQ7" s="229"/>
      <c r="BR7" s="228"/>
      <c r="BS7" s="148">
        <v>1</v>
      </c>
      <c r="BT7" s="148">
        <v>0</v>
      </c>
      <c r="BU7" s="237" t="s">
        <v>54</v>
      </c>
      <c r="BV7" s="237"/>
      <c r="BW7" s="148">
        <v>660</v>
      </c>
      <c r="BX7" s="37">
        <f>IF(CA4="Yes",BX8,IF(AZ11="Yes",AW14,VLOOKUP(1,$Q$6:$Y$21,3,FALSE)))</f>
        <v>0.25</v>
      </c>
      <c r="BY7" s="141">
        <f>IF(CA4="Yes",BY8,IF(AZ11="Yes",AX14,VLOOKUP(1,$Q$6:$Y$21,5,FALSE)))</f>
        <v>0</v>
      </c>
      <c r="BZ7" s="141">
        <f>IF(CA4="Yes",BZ8,IF(AZ11="Yes",AZ14,VLOOKUP(1,$Q$6:$Y$21,7,FALSE)))</f>
        <v>0</v>
      </c>
      <c r="CA7" s="141">
        <f>IF(BZ7="","",CB7*CC7*CD7*BZ7)</f>
        <v>0</v>
      </c>
      <c r="CB7" s="141">
        <f>IF(BS7=1,Sheet3!M2,IF(BS7=2,Sheet3!M3,IF(BS7="3 to 5",Sheet3!M4,IF(BS7="6 to 8",Sheet3!M5,IF(BS7="9 to 11",Sheet3!M6,IF(BS7="12 or more",Sheet3!M7,1))))))</f>
        <v>0.67</v>
      </c>
      <c r="CC7" s="141">
        <f>IF(BT7="0%",Sheet3!O2,IF(BT7="2%",Sheet3!O3,IF(BT7="4%",Sheet3!O4, IF(BT7="6% or more",Sheet3!O5,1))))</f>
        <v>1</v>
      </c>
      <c r="CD7" s="141">
        <f>IF(BW7="",1,IF(BW7&lt;70,IF(BU7=Sheet3!P2,Sheet3!Q2,IF(BU7=Sheet3!P3,Sheet3!Q3,IF(BU7=Sheet3!P4,Sheet3!Q4,IF(BU7=Sheet3!P5,Sheet3!Q5,IF(BU7=Sheet3!P6,Sheet3!Q6,IF(BU7=Sheet3!P7,Sheet3!Q7,IF(BU7=Sheet3!P8,Sheet3!Q8,1))))))),IF(BU7=Sheet3!P2,Sheet3!R2,IF(BU7=Sheet3!P3,Sheet3!R3,IF(BU7=Sheet3!P4,Sheet3!R4,IF(BU7=Sheet3!P5,Sheet3!R5,IF(BU7=Sheet3!P6,Sheet3!R6,IF(BU7=Sheet3!P7,Sheet3!R7,IF(BU7=Sheet3!P8,Sheet3!R8,1)))))))))</f>
        <v>0.5</v>
      </c>
    </row>
    <row r="8" spans="1:82" ht="15.75" customHeight="1" x14ac:dyDescent="0.25">
      <c r="A8" s="161"/>
      <c r="B8" s="161"/>
      <c r="C8" s="6"/>
      <c r="D8" s="6"/>
      <c r="E8" s="6"/>
      <c r="F8" s="6"/>
      <c r="G8" s="6"/>
      <c r="H8" s="6"/>
      <c r="I8" s="6"/>
      <c r="J8" s="6"/>
      <c r="K8" s="6"/>
      <c r="L8" s="6"/>
      <c r="M8" s="24" t="s">
        <v>55</v>
      </c>
      <c r="N8" s="141">
        <f>COUNTIFS($U$6:$V$21, "&gt;=" &amp; N6,$W$6:$X$21,"&gt;="&amp;N7)</f>
        <v>0</v>
      </c>
      <c r="O8" s="141">
        <f>COUNTIFS($U$6:$V$21, "&gt;=" &amp; O6,$W$6:$X$21,"&gt;="&amp;O7)</f>
        <v>0</v>
      </c>
      <c r="P8" s="150"/>
      <c r="Q8" s="150">
        <f>RANK(Y8,$Y$6:$Y$21,0)+COUNTIF(Y$6:Y8, "="&amp;Y8)-1</f>
        <v>3</v>
      </c>
      <c r="R8" s="150">
        <v>3</v>
      </c>
      <c r="S8" s="36">
        <f t="shared" ref="S8:S20" si="9">S7+TIME(1,0,0)</f>
        <v>0.33333333333333337</v>
      </c>
      <c r="T8" s="36">
        <f t="shared" si="2"/>
        <v>0.37500000000000006</v>
      </c>
      <c r="U8" s="182">
        <f>IF('Hourly Volume Data'!$J$28="","",'Hourly Volume Data'!Q28)</f>
        <v>0</v>
      </c>
      <c r="V8" s="183"/>
      <c r="W8" s="182">
        <f>IF('Hourly Volume Data'!$J$28="","",'Hourly Volume Data'!W28)</f>
        <v>0</v>
      </c>
      <c r="X8" s="183"/>
      <c r="Y8" s="150">
        <f t="shared" ref="Y8:Y21" si="10">IF(OR(U8="",W8=""),"",U8+W8)</f>
        <v>0</v>
      </c>
      <c r="Z8" s="135"/>
      <c r="AA8" s="135"/>
      <c r="AB8" s="150" t="str">
        <f t="shared" si="3"/>
        <v>No</v>
      </c>
      <c r="AC8" s="150" t="str">
        <f t="shared" si="4"/>
        <v>No</v>
      </c>
      <c r="AD8" s="1" t="str">
        <f t="shared" si="8"/>
        <v>No</v>
      </c>
      <c r="AE8" s="150"/>
      <c r="AF8" s="150"/>
      <c r="AG8" s="150"/>
      <c r="AH8" s="150"/>
      <c r="AI8" s="150"/>
      <c r="AJ8" s="150">
        <f>IF(OR($B$11 ="",$H$11="",AK8=""),"",Sheet3!K59)</f>
        <v>1500</v>
      </c>
      <c r="AK8" s="150">
        <f>IF($BG$17="","",IF($AZ$29="Yes",IF($BG$17="70%",IF(Sheet3!L59="",#N/A,Sheet3!L59*0.5),IF(Sheet3!N59="", #N/A, Sheet3!N59*0.5)),IF($BG$17="70%",IF(Sheet3!L59="",#N/A,Sheet3!L59),IF(Sheet3!N59="", #N/A, Sheet3!N59))))</f>
        <v>133</v>
      </c>
      <c r="AM8" s="119" t="str">
        <f t="shared" si="0"/>
        <v/>
      </c>
      <c r="AO8" s="150">
        <f>AX26+AY26</f>
        <v>0</v>
      </c>
      <c r="AP8" s="150">
        <f>IF(OR($B$11 ="",$H$11="",AQ8=""),"",Sheet3!A59)</f>
        <v>1100</v>
      </c>
      <c r="AQ8" s="150">
        <f>IF($BG$17="","",IF($AZ$29="Yes",IF($BG$17="70%",IF(Sheet3!B59="",#N/A,Sheet3!B59*0.5),IF(Sheet3!D59="", #N/A, Sheet3!D59*0.5)),IF($BG$17="70%",IF(Sheet3!B59="",#N/A,Sheet3!B59),IF(Sheet3!D59="", #N/A, Sheet3!D59))))</f>
        <v>107</v>
      </c>
      <c r="AR8" s="150" t="str">
        <f>IF($BG$17="","",IF($BG$17="70%",IF(Sheet3!C59="","No","Yes"),IF(Sheet3!E59="", "No","Yes")))</f>
        <v>No</v>
      </c>
      <c r="AS8" s="38" t="str">
        <f t="shared" si="5"/>
        <v/>
      </c>
      <c r="AT8" s="38" t="str">
        <f t="shared" si="1"/>
        <v/>
      </c>
      <c r="AU8" s="38" t="str">
        <f t="shared" si="6"/>
        <v/>
      </c>
      <c r="AV8" s="38" t="str">
        <f t="shared" si="7"/>
        <v/>
      </c>
      <c r="AW8" s="238" t="s">
        <v>56</v>
      </c>
      <c r="AX8" s="239"/>
      <c r="AY8" s="240"/>
      <c r="AZ8" s="147">
        <f>IF(H11="","", IF(H11= "1 lane", 100, 150))</f>
        <v>100</v>
      </c>
      <c r="BA8" s="225" t="str">
        <f>IF(OR($AZ$2="",$AZ$2="No"),"",IF(OR($AZ$11="",$AZ$11="No"),IF(COUNTIF($AD$6:$AD$21,"Yes")&gt;0,"Yes","No"),IF($AZ$11="Yes",IF(OR(AND($H$11="2 or more lanes",$AZ$14&gt;=150),AND($H$11="1 lane",$AZ$14&gt;=100)),IF(AND($L$14=3,$AX$14&gt;=650),"Yes",IF(AND($L$14="4 or more",$AX$14&gt;=800),"Yes","No")),"No"))))</f>
        <v/>
      </c>
      <c r="BH8" s="171"/>
      <c r="BI8" s="229"/>
      <c r="BJ8" s="229"/>
      <c r="BK8" s="229"/>
      <c r="BL8" s="229"/>
      <c r="BM8" s="229"/>
      <c r="BN8" s="229"/>
      <c r="BO8" s="229"/>
      <c r="BP8" s="229"/>
      <c r="BQ8" s="229"/>
      <c r="BR8" s="228"/>
    </row>
    <row r="9" spans="1:82" ht="15.75" customHeight="1" x14ac:dyDescent="0.25">
      <c r="A9" t="s">
        <v>57</v>
      </c>
      <c r="B9" s="164"/>
      <c r="C9" s="164"/>
      <c r="D9" s="164"/>
      <c r="E9" s="164"/>
      <c r="F9" s="164"/>
      <c r="G9" t="s">
        <v>58</v>
      </c>
      <c r="H9" s="164"/>
      <c r="I9" s="164"/>
      <c r="J9" s="164"/>
      <c r="K9" s="164"/>
      <c r="L9" s="164"/>
      <c r="N9" s="220" t="s">
        <v>59</v>
      </c>
      <c r="O9" s="220"/>
      <c r="P9" s="9" t="str">
        <f>IF(OR($P$2="",$P$2="No"),"",IF(N8&gt;7,"Yes","No"))</f>
        <v>No</v>
      </c>
      <c r="Q9" s="150">
        <f>RANK(Y9,$Y$6:$Y$21,0)+COUNTIF(Y$6:Y9, "="&amp;Y9)-1</f>
        <v>4</v>
      </c>
      <c r="R9" s="150">
        <v>4</v>
      </c>
      <c r="S9" s="36">
        <f t="shared" si="9"/>
        <v>0.37500000000000006</v>
      </c>
      <c r="T9" s="36">
        <f t="shared" si="2"/>
        <v>0.41666666666666674</v>
      </c>
      <c r="U9" s="182">
        <f>IF('Hourly Volume Data'!$J$28="","",'Hourly Volume Data'!Q29)</f>
        <v>0</v>
      </c>
      <c r="V9" s="183"/>
      <c r="W9" s="182">
        <f>IF('Hourly Volume Data'!$J$28="","",'Hourly Volume Data'!W29)</f>
        <v>0</v>
      </c>
      <c r="X9" s="183"/>
      <c r="Y9" s="150">
        <f t="shared" si="10"/>
        <v>0</v>
      </c>
      <c r="Z9" s="135"/>
      <c r="AA9" s="135"/>
      <c r="AB9" s="150" t="str">
        <f t="shared" si="3"/>
        <v>No</v>
      </c>
      <c r="AC9" s="150" t="str">
        <f t="shared" si="4"/>
        <v>No</v>
      </c>
      <c r="AD9" s="1" t="str">
        <f t="shared" si="8"/>
        <v>No</v>
      </c>
      <c r="AE9" s="150"/>
      <c r="AF9" s="150"/>
      <c r="AG9" s="150"/>
      <c r="AH9" s="150"/>
      <c r="AI9" s="150"/>
      <c r="AJ9" s="150">
        <f>IF(OR($B$11 ="",$H$11="",AK9=""),"",Sheet3!K60)</f>
        <v>1400</v>
      </c>
      <c r="AK9" s="150">
        <f>IF($BG$17="","",IF($AZ$29="Yes",IF($BG$17="70%",IF(Sheet3!L60="",#N/A,Sheet3!L60*0.5),IF(Sheet3!N60="", #N/A, Sheet3!N60*0.5)),IF($BG$17="70%",IF(Sheet3!L60="",#N/A,Sheet3!L60),IF(Sheet3!N60="", #N/A, Sheet3!N60))))</f>
        <v>150</v>
      </c>
      <c r="AM9" s="119" t="str">
        <f t="shared" si="0"/>
        <v/>
      </c>
      <c r="AO9" s="150">
        <f>AX27+AY27</f>
        <v>0</v>
      </c>
      <c r="AP9" s="150">
        <f>IF(OR($B$11 ="",$H$11="",AQ9=""),"",Sheet3!A60)</f>
        <v>1000</v>
      </c>
      <c r="AQ9" s="150">
        <f>IF($BG$17="","",IF($AZ$29="Yes",IF($BG$17="70%",IF(Sheet3!B60="",#N/A,Sheet3!B60*0.5),IF(Sheet3!D60="", #N/A, Sheet3!D60*0.5)),IF($BG$17="70%",IF(Sheet3!B60="",#N/A,Sheet3!B60),IF(Sheet3!D60="", #N/A, Sheet3!D60))))</f>
        <v>125</v>
      </c>
      <c r="AR9" s="150" t="str">
        <f>IF($BG$17="","",IF($BG$17="70%",IF(Sheet3!C60="","No","Yes"),IF(Sheet3!E60="", "No","Yes")))</f>
        <v>Yes</v>
      </c>
      <c r="AS9" s="38" t="str">
        <f t="shared" si="5"/>
        <v/>
      </c>
      <c r="AT9" s="38" t="str">
        <f t="shared" si="1"/>
        <v/>
      </c>
      <c r="AU9" s="38" t="str">
        <f t="shared" si="6"/>
        <v/>
      </c>
      <c r="AV9" s="38" t="str">
        <f t="shared" si="7"/>
        <v/>
      </c>
      <c r="AW9" s="252" t="s">
        <v>60</v>
      </c>
      <c r="AX9" s="253"/>
      <c r="AY9" s="254"/>
      <c r="AZ9" s="143">
        <f>IF(L14="","", IF(L14= 3, 650, 800))</f>
        <v>650</v>
      </c>
      <c r="BA9" s="227"/>
      <c r="BH9" s="28"/>
      <c r="BI9" s="32"/>
      <c r="BJ9" s="32"/>
      <c r="BK9" s="32"/>
      <c r="BL9" s="32"/>
      <c r="BM9" s="32"/>
      <c r="BN9" s="32"/>
      <c r="BO9" s="32"/>
    </row>
    <row r="10" spans="1:82" ht="15.75" customHeight="1" x14ac:dyDescent="0.25">
      <c r="A10" s="180" t="s">
        <v>61</v>
      </c>
      <c r="B10" s="180"/>
      <c r="C10" s="153"/>
      <c r="D10" s="28" t="s">
        <v>62</v>
      </c>
      <c r="E10" s="28"/>
      <c r="G10" s="180" t="s">
        <v>61</v>
      </c>
      <c r="H10" s="180"/>
      <c r="I10" s="142"/>
      <c r="J10" t="s">
        <v>62</v>
      </c>
      <c r="Q10" s="150">
        <f>RANK(Y10,$Y$6:$Y$21,0)+COUNTIF(Y$6:Y10, "="&amp;Y10)-1</f>
        <v>5</v>
      </c>
      <c r="R10" s="150">
        <v>5</v>
      </c>
      <c r="S10" s="36">
        <f t="shared" si="9"/>
        <v>0.41666666666666674</v>
      </c>
      <c r="T10" s="36">
        <f t="shared" si="2"/>
        <v>0.45833333333333343</v>
      </c>
      <c r="U10" s="182">
        <f>IF('Hourly Volume Data'!$J$28="","",'Hourly Volume Data'!Q30)</f>
        <v>0</v>
      </c>
      <c r="V10" s="183"/>
      <c r="W10" s="182">
        <f>IF('Hourly Volume Data'!$J$28="","",'Hourly Volume Data'!W30)</f>
        <v>0</v>
      </c>
      <c r="X10" s="183"/>
      <c r="Y10" s="150">
        <f t="shared" si="10"/>
        <v>0</v>
      </c>
      <c r="Z10" s="135"/>
      <c r="AA10" s="135"/>
      <c r="AB10" s="150" t="str">
        <f t="shared" si="3"/>
        <v>No</v>
      </c>
      <c r="AC10" s="150" t="str">
        <f t="shared" si="4"/>
        <v>No</v>
      </c>
      <c r="AD10" s="1" t="str">
        <f t="shared" si="8"/>
        <v>No</v>
      </c>
      <c r="AE10" s="150"/>
      <c r="AF10" s="150"/>
      <c r="AG10" s="150"/>
      <c r="AH10" s="150"/>
      <c r="AI10" s="150"/>
      <c r="AJ10" s="150">
        <f>IF(OR($B$11 ="",$H$11="",AK10=""),"",Sheet3!K61)</f>
        <v>1300</v>
      </c>
      <c r="AK10" s="150">
        <f>IF($BG$17="","",IF($AZ$29="Yes",IF($BG$17="70%",IF(Sheet3!L61="",#N/A,Sheet3!L61*0.5),IF(Sheet3!N61="", #N/A, Sheet3!N61*0.5)),IF($BG$17="70%",IF(Sheet3!L61="",#N/A,Sheet3!L61),IF(Sheet3!N61="", #N/A, Sheet3!N61))))</f>
        <v>171</v>
      </c>
      <c r="AM10" s="119" t="str">
        <f t="shared" si="0"/>
        <v/>
      </c>
      <c r="AP10" s="150">
        <f>IF(OR($B$11 ="",$H$11="",AQ10=""),"",Sheet3!A61)</f>
        <v>900</v>
      </c>
      <c r="AQ10" s="150">
        <f>IF($BG$17="","",IF($AZ$29="Yes",IF($BG$17="70%",IF(Sheet3!B61="",#N/A,Sheet3!B61*0.5),IF(Sheet3!D61="", #N/A, Sheet3!D61*0.5)),IF($BG$17="70%",IF(Sheet3!B61="",#N/A,Sheet3!B61),IF(Sheet3!D61="", #N/A, Sheet3!D61))))</f>
        <v>156</v>
      </c>
      <c r="AR10" s="150" t="str">
        <f>IF($BG$17="","",IF($BG$17="70%",IF(Sheet3!C61="","No","Yes"),IF(Sheet3!E61="", "No","Yes")))</f>
        <v>Yes</v>
      </c>
      <c r="AS10" s="38" t="str">
        <f t="shared" si="5"/>
        <v/>
      </c>
      <c r="AT10" s="38" t="str">
        <f t="shared" si="1"/>
        <v/>
      </c>
      <c r="AU10" s="38" t="str">
        <f t="shared" si="6"/>
        <v/>
      </c>
      <c r="AV10" s="38" t="str">
        <f t="shared" si="7"/>
        <v/>
      </c>
      <c r="BH10" s="213" t="s">
        <v>63</v>
      </c>
      <c r="BI10" s="213"/>
      <c r="BJ10" s="213"/>
      <c r="BK10" s="213"/>
      <c r="BL10" s="213"/>
      <c r="BM10" s="213"/>
      <c r="BN10" s="213"/>
      <c r="BO10" s="213"/>
      <c r="BP10" s="213"/>
      <c r="BQ10" s="213"/>
      <c r="BR10" s="213" t="str">
        <f>$L$1</f>
        <v>100%</v>
      </c>
    </row>
    <row r="11" spans="1:82" ht="15.75" customHeight="1" x14ac:dyDescent="0.25">
      <c r="A11" t="s">
        <v>64</v>
      </c>
      <c r="B11" s="164" t="s">
        <v>65</v>
      </c>
      <c r="C11" s="164"/>
      <c r="D11" s="28"/>
      <c r="E11" s="28"/>
      <c r="F11" s="28"/>
      <c r="G11" t="s">
        <v>64</v>
      </c>
      <c r="H11" s="164" t="s">
        <v>65</v>
      </c>
      <c r="I11" s="164"/>
      <c r="M11" s="215" t="s">
        <v>66</v>
      </c>
      <c r="N11" s="231"/>
      <c r="O11" s="232"/>
      <c r="Q11" s="150">
        <f>RANK(Y11,$Y$6:$Y$21,0)+COUNTIF(Y$6:Y11, "="&amp;Y11)-1</f>
        <v>6</v>
      </c>
      <c r="R11" s="150">
        <v>6</v>
      </c>
      <c r="S11" s="36">
        <f t="shared" si="9"/>
        <v>0.45833333333333343</v>
      </c>
      <c r="T11" s="36">
        <f t="shared" si="2"/>
        <v>0.50000000000000011</v>
      </c>
      <c r="U11" s="182">
        <f>IF('Hourly Volume Data'!$J$28="","",'Hourly Volume Data'!Q31)</f>
        <v>0</v>
      </c>
      <c r="V11" s="183"/>
      <c r="W11" s="182">
        <f>IF('Hourly Volume Data'!$J$28="","",'Hourly Volume Data'!W31)</f>
        <v>0</v>
      </c>
      <c r="X11" s="183"/>
      <c r="Y11" s="150">
        <f t="shared" si="10"/>
        <v>0</v>
      </c>
      <c r="Z11" s="135"/>
      <c r="AA11" s="135"/>
      <c r="AB11" s="150" t="str">
        <f t="shared" si="3"/>
        <v>No</v>
      </c>
      <c r="AC11" s="150" t="str">
        <f t="shared" si="4"/>
        <v>No</v>
      </c>
      <c r="AD11" s="1" t="str">
        <f t="shared" si="8"/>
        <v>No</v>
      </c>
      <c r="AF11" s="150"/>
      <c r="AG11" s="150"/>
      <c r="AH11" s="150"/>
      <c r="AI11" s="150"/>
      <c r="AJ11" s="150">
        <f>IF(OR($B$11 ="",$H$11="",AK11=""),"",Sheet3!K62)</f>
        <v>1200</v>
      </c>
      <c r="AK11" s="150">
        <f>IF($BG$17="","",IF($AZ$29="Yes",IF($BG$17="70%",IF(Sheet3!L62="",#N/A,Sheet3!L62*0.5),IF(Sheet3!N62="", #N/A, Sheet3!N62*0.5)),IF($BG$17="70%",IF(Sheet3!L62="",#N/A,Sheet3!L62),IF(Sheet3!N62="", #N/A, Sheet3!N62))))</f>
        <v>199</v>
      </c>
      <c r="AM11" s="119" t="str">
        <f t="shared" si="0"/>
        <v/>
      </c>
      <c r="AP11" s="150">
        <f>IF(OR($B$11 ="",$H$11="",AQ11=""),"",Sheet3!A62)</f>
        <v>800</v>
      </c>
      <c r="AQ11" s="150">
        <f>IF($BG$17="","",IF($AZ$29="Yes",IF($BG$17="70%",IF(Sheet3!B62="",#N/A,Sheet3!B62*0.5),IF(Sheet3!D62="", #N/A, Sheet3!D62*0.5)),IF($BG$17="70%",IF(Sheet3!B62="",#N/A,Sheet3!B62),IF(Sheet3!D62="", #N/A, Sheet3!D62))))</f>
        <v>193</v>
      </c>
      <c r="AR11" s="150" t="str">
        <f>IF($BG$17="","",IF($BG$17="70%",IF(Sheet3!C62="","No","Yes"),IF(Sheet3!E62="", "No","Yes")))</f>
        <v>Yes</v>
      </c>
      <c r="AS11" s="38" t="str">
        <f t="shared" si="5"/>
        <v/>
      </c>
      <c r="AT11" s="38" t="str">
        <f t="shared" si="1"/>
        <v/>
      </c>
      <c r="AU11" s="38" t="str">
        <f t="shared" si="6"/>
        <v/>
      </c>
      <c r="AV11" s="38" t="str">
        <f t="shared" si="7"/>
        <v/>
      </c>
      <c r="AW11" s="179" t="s">
        <v>28</v>
      </c>
      <c r="AX11" s="179"/>
      <c r="AY11" s="179"/>
      <c r="AZ11" s="52"/>
      <c r="BH11" s="213"/>
      <c r="BI11" s="213"/>
      <c r="BJ11" s="213"/>
      <c r="BK11" s="213"/>
      <c r="BL11" s="213"/>
      <c r="BM11" s="213"/>
      <c r="BN11" s="213"/>
      <c r="BO11" s="213"/>
      <c r="BP11" s="213"/>
      <c r="BQ11" s="213"/>
      <c r="BR11" s="213"/>
    </row>
    <row r="12" spans="1:82" ht="15.75" customHeight="1" x14ac:dyDescent="0.25">
      <c r="M12" s="195" t="s">
        <v>67</v>
      </c>
      <c r="N12" s="196"/>
      <c r="O12" s="197"/>
      <c r="Q12" s="150">
        <f>RANK(Y12,$Y$6:$Y$21,0)+COUNTIF(Y$6:Y12, "="&amp;Y12)-1</f>
        <v>7</v>
      </c>
      <c r="R12" s="150">
        <v>7</v>
      </c>
      <c r="S12" s="36">
        <f t="shared" si="9"/>
        <v>0.50000000000000011</v>
      </c>
      <c r="T12" s="36">
        <f t="shared" si="2"/>
        <v>0.54166666666666674</v>
      </c>
      <c r="U12" s="182">
        <f>IF('Hourly Volume Data'!$J$28="","",'Hourly Volume Data'!Q32)</f>
        <v>0</v>
      </c>
      <c r="V12" s="183"/>
      <c r="W12" s="182">
        <f>IF('Hourly Volume Data'!$J$28="","",'Hourly Volume Data'!W32)</f>
        <v>0</v>
      </c>
      <c r="X12" s="183"/>
      <c r="Y12" s="150">
        <f t="shared" si="10"/>
        <v>0</v>
      </c>
      <c r="Z12" s="135"/>
      <c r="AA12" s="135"/>
      <c r="AB12" s="150" t="str">
        <f t="shared" si="3"/>
        <v>No</v>
      </c>
      <c r="AC12" s="150" t="str">
        <f t="shared" si="4"/>
        <v>No</v>
      </c>
      <c r="AD12" s="1" t="str">
        <f t="shared" si="8"/>
        <v>No</v>
      </c>
      <c r="AG12" s="150"/>
      <c r="AH12" s="150"/>
      <c r="AI12" s="150"/>
      <c r="AJ12" s="150">
        <f>IF(OR($B$11 ="",$H$11="",AK12=""),"",Sheet3!K63)</f>
        <v>1100</v>
      </c>
      <c r="AK12" s="150">
        <f>IF($BG$17="","",IF($AZ$29="Yes",IF($BG$17="70%",IF(Sheet3!L63="",#N/A,Sheet3!L63*0.5),IF(Sheet3!N63="", #N/A, Sheet3!N63*0.5)),IF($BG$17="70%",IF(Sheet3!L63="",#N/A,Sheet3!L63),IF(Sheet3!N63="", #N/A, Sheet3!N63))))</f>
        <v>233</v>
      </c>
      <c r="AM12" s="119" t="str">
        <f t="shared" si="0"/>
        <v/>
      </c>
      <c r="AP12" s="150">
        <f>IF(OR($B$11 ="",$H$11="",AQ12=""),"",Sheet3!A63)</f>
        <v>700</v>
      </c>
      <c r="AQ12" s="150">
        <f>IF($BG$17="","",IF($AZ$29="Yes",IF($BG$17="70%",IF(Sheet3!B63="",#N/A,Sheet3!B63*0.5),IF(Sheet3!D63="", #N/A, Sheet3!D63*0.5)),IF($BG$17="70%",IF(Sheet3!B63="",#N/A,Sheet3!B63),IF(Sheet3!D63="", #N/A, Sheet3!D63))))</f>
        <v>237</v>
      </c>
      <c r="AR12" s="150" t="str">
        <f>IF($BG$17="","",IF($BG$17="70%",IF(Sheet3!C63="","No","Yes"),IF(Sheet3!E63="", "No","Yes")))</f>
        <v>Yes</v>
      </c>
      <c r="AS12" s="38" t="str">
        <f t="shared" si="5"/>
        <v/>
      </c>
      <c r="AT12" s="38" t="str">
        <f t="shared" si="1"/>
        <v/>
      </c>
      <c r="AU12" s="38" t="str">
        <f t="shared" si="6"/>
        <v/>
      </c>
      <c r="AV12" s="38" t="str">
        <f t="shared" si="7"/>
        <v/>
      </c>
      <c r="AW12" s="170" t="s">
        <v>39</v>
      </c>
      <c r="AX12" s="170" t="s">
        <v>68</v>
      </c>
      <c r="AY12" s="170"/>
      <c r="AZ12" s="256" t="s">
        <v>69</v>
      </c>
      <c r="BA12" s="257"/>
      <c r="BH12" s="186" t="s">
        <v>2</v>
      </c>
      <c r="BI12" s="186"/>
      <c r="BJ12" s="186"/>
      <c r="BK12" s="54"/>
      <c r="BL12" s="186" t="s">
        <v>4</v>
      </c>
      <c r="BM12" s="186"/>
      <c r="BN12" s="186"/>
      <c r="BO12" s="29" t="str">
        <f>IF(OR(BK12="",BK12="No"),"N/A",IF(AND(BR14="",BR15="",BR17=""),"",IF(BR14="No","N/A",IF(OR(BR15="Yes",BR17="Yes"),"Yes","No"))))</f>
        <v>N/A</v>
      </c>
      <c r="BP12" s="186" t="s">
        <v>5</v>
      </c>
      <c r="BQ12" s="186"/>
      <c r="BR12" s="54"/>
    </row>
    <row r="13" spans="1:82" ht="15.75" customHeight="1" x14ac:dyDescent="0.25">
      <c r="A13" s="172" t="s">
        <v>70</v>
      </c>
      <c r="B13" s="172"/>
      <c r="C13" s="172"/>
      <c r="D13" s="172"/>
      <c r="E13" s="176" t="s">
        <v>71</v>
      </c>
      <c r="F13" s="176"/>
      <c r="G13" s="176"/>
      <c r="H13" s="176"/>
      <c r="I13" s="176"/>
      <c r="J13" s="176"/>
      <c r="K13" s="176"/>
      <c r="L13" s="152" t="s">
        <v>6</v>
      </c>
      <c r="M13" s="24" t="s">
        <v>30</v>
      </c>
      <c r="N13" s="35" t="str">
        <f>IF($L$1="100%", "100%", "70%")</f>
        <v>100%</v>
      </c>
      <c r="O13" s="35" t="str">
        <f>IF($L$1="100%", "80%", "56%")</f>
        <v>80%</v>
      </c>
      <c r="Q13" s="150">
        <f>RANK(Y13,$Y$6:$Y$21,0)+COUNTIF(Y$6:Y13, "="&amp;Y13)-1</f>
        <v>8</v>
      </c>
      <c r="R13" s="150">
        <v>8</v>
      </c>
      <c r="S13" s="36">
        <f t="shared" si="9"/>
        <v>0.54166666666666674</v>
      </c>
      <c r="T13" s="36">
        <f t="shared" si="2"/>
        <v>0.58333333333333337</v>
      </c>
      <c r="U13" s="182">
        <f>IF('Hourly Volume Data'!$J$28="","",'Hourly Volume Data'!Q33)</f>
        <v>0</v>
      </c>
      <c r="V13" s="183"/>
      <c r="W13" s="182">
        <f>IF('Hourly Volume Data'!$J$28="","",'Hourly Volume Data'!W33)</f>
        <v>0</v>
      </c>
      <c r="X13" s="183"/>
      <c r="Y13" s="150">
        <f t="shared" si="10"/>
        <v>0</v>
      </c>
      <c r="Z13" s="135"/>
      <c r="AA13" s="135"/>
      <c r="AB13" s="150" t="str">
        <f t="shared" si="3"/>
        <v>No</v>
      </c>
      <c r="AC13" s="150" t="str">
        <f t="shared" si="4"/>
        <v>No</v>
      </c>
      <c r="AD13" s="1" t="str">
        <f t="shared" si="8"/>
        <v>No</v>
      </c>
      <c r="AG13" s="150"/>
      <c r="AH13" s="150"/>
      <c r="AI13" s="150"/>
      <c r="AJ13" s="150">
        <f>IF(OR($B$11 ="",$H$11="",AK13=""),"",Sheet3!K64)</f>
        <v>1000</v>
      </c>
      <c r="AK13" s="150">
        <f>IF($BG$17="","",IF($AZ$29="Yes",IF($BG$17="70%",IF(Sheet3!L64="",#N/A,Sheet3!L64*0.5),IF(Sheet3!N64="", #N/A, Sheet3!N64*0.5)),IF($BG$17="70%",IF(Sheet3!L64="",#N/A,Sheet3!L64),IF(Sheet3!N64="", #N/A, Sheet3!N64))))</f>
        <v>273</v>
      </c>
      <c r="AM13" s="119" t="str">
        <f t="shared" si="0"/>
        <v/>
      </c>
      <c r="AP13" s="150">
        <f>IF(OR($B$11 ="",$H$11="",AQ13=""),"",Sheet3!A64)</f>
        <v>600</v>
      </c>
      <c r="AQ13" s="150">
        <f>IF($BG$17="","",IF($AZ$29="Yes",IF($BG$17="70%",IF(Sheet3!B64="",#N/A,Sheet3!B64*0.5),IF(Sheet3!D64="", #N/A, Sheet3!D64*0.5)),IF($BG$17="70%",IF(Sheet3!B64="",#N/A,Sheet3!B64),IF(Sheet3!D64="", #N/A, Sheet3!D64))))</f>
        <v>287</v>
      </c>
      <c r="AR13" s="150" t="str">
        <f>IF($BG$17="","",IF($BG$17="70%",IF(Sheet3!C64="","No","Yes"),IF(Sheet3!E64="", "No","Yes")))</f>
        <v>Yes</v>
      </c>
      <c r="AS13" s="38" t="str">
        <f t="shared" si="5"/>
        <v/>
      </c>
      <c r="AT13" s="38" t="str">
        <f t="shared" si="1"/>
        <v/>
      </c>
      <c r="AU13" s="38" t="str">
        <f t="shared" si="6"/>
        <v/>
      </c>
      <c r="AV13" s="38" t="str">
        <f t="shared" si="7"/>
        <v/>
      </c>
      <c r="AW13" s="170"/>
      <c r="AX13" s="170"/>
      <c r="AY13" s="170"/>
      <c r="AZ13" s="258"/>
      <c r="BA13" s="259"/>
      <c r="BH13" s="204" t="s">
        <v>15</v>
      </c>
      <c r="BI13" s="204"/>
      <c r="BJ13" s="204"/>
      <c r="BK13" s="204"/>
      <c r="BL13" s="204"/>
      <c r="BM13" s="204"/>
      <c r="BN13" s="204"/>
      <c r="BO13" s="204"/>
      <c r="BP13" s="204"/>
      <c r="BQ13" s="204"/>
      <c r="BR13" s="150" t="s">
        <v>16</v>
      </c>
    </row>
    <row r="14" spans="1:82" ht="15.75" customHeight="1" x14ac:dyDescent="0.25">
      <c r="B14" s="161" t="s">
        <v>72</v>
      </c>
      <c r="C14" s="6" t="str">
        <f>IF('Hourly Volume Data'!J34="","0%",'Hourly Volume Data'!J34)</f>
        <v>100%</v>
      </c>
      <c r="E14" s="176" t="s">
        <v>73</v>
      </c>
      <c r="F14" s="176"/>
      <c r="G14" s="176"/>
      <c r="H14" s="176"/>
      <c r="I14" s="176"/>
      <c r="J14" s="176"/>
      <c r="K14" s="176"/>
      <c r="L14" s="152">
        <v>3</v>
      </c>
      <c r="M14" s="24" t="s">
        <v>44</v>
      </c>
      <c r="N14" s="143">
        <f>IF(B11="","",IF(B11="1 lane",IF($L$1="70%",525,750),IF($L$1="70%",630,900)))</f>
        <v>750</v>
      </c>
      <c r="O14" s="143">
        <f>IF(B11="","",IF(B11="1 lane",IF($L$1="70%",420,600),IF($L$1="70%",504,720)))</f>
        <v>600</v>
      </c>
      <c r="Q14" s="150">
        <f>RANK(Y14,$Y$6:$Y$21,0)+COUNTIF(Y$6:Y14, "="&amp;Y14)-1</f>
        <v>9</v>
      </c>
      <c r="R14" s="150">
        <v>9</v>
      </c>
      <c r="S14" s="36">
        <f t="shared" si="9"/>
        <v>0.58333333333333337</v>
      </c>
      <c r="T14" s="36">
        <f t="shared" si="2"/>
        <v>0.625</v>
      </c>
      <c r="U14" s="182">
        <f>IF('Hourly Volume Data'!$J$28="","",'Hourly Volume Data'!Q34)</f>
        <v>0</v>
      </c>
      <c r="V14" s="183"/>
      <c r="W14" s="182">
        <f>IF('Hourly Volume Data'!$J$28="","",'Hourly Volume Data'!W34)</f>
        <v>0</v>
      </c>
      <c r="X14" s="183"/>
      <c r="Y14" s="150">
        <f t="shared" si="10"/>
        <v>0</v>
      </c>
      <c r="Z14" s="135"/>
      <c r="AA14" s="135"/>
      <c r="AB14" s="150" t="str">
        <f t="shared" si="3"/>
        <v>No</v>
      </c>
      <c r="AC14" s="150" t="str">
        <f t="shared" si="4"/>
        <v>No</v>
      </c>
      <c r="AD14" s="1" t="str">
        <f t="shared" si="8"/>
        <v>No</v>
      </c>
      <c r="AG14" s="150"/>
      <c r="AH14" s="150"/>
      <c r="AI14" s="150"/>
      <c r="AJ14" s="150">
        <f>IF(OR($B$11 ="",$H$11="",AK14=""),"",Sheet3!K65)</f>
        <v>900</v>
      </c>
      <c r="AK14" s="150">
        <f>IF($BG$17="","",IF($AZ$29="Yes",IF($BG$17="70%",IF(Sheet3!L65="",#N/A,Sheet3!L65*0.5),IF(Sheet3!N65="", #N/A, Sheet3!N65*0.5)),IF($BG$17="70%",IF(Sheet3!L65="",#N/A,Sheet3!L65),IF(Sheet3!N65="", #N/A, Sheet3!N65))))</f>
        <v>320</v>
      </c>
      <c r="AM14" s="119" t="str">
        <f t="shared" si="0"/>
        <v/>
      </c>
      <c r="AP14" s="150">
        <f>IF(OR($B$11 ="",$H$11="",AQ14=""),"",Sheet3!A65)</f>
        <v>500</v>
      </c>
      <c r="AQ14" s="150">
        <f>IF($BG$17="","",IF($AZ$29="Yes",IF($BG$17="70%",IF(Sheet3!B65="",#N/A,Sheet3!B65*0.5),IF(Sheet3!D65="", #N/A, Sheet3!D65*0.5)),IF($BG$17="70%",IF(Sheet3!B65="",#N/A,Sheet3!B65),IF(Sheet3!D65="", #N/A, Sheet3!D65))))</f>
        <v>344</v>
      </c>
      <c r="AR14" s="150" t="str">
        <f>IF($BG$17="","",IF($BG$17="70%",IF(Sheet3!C65="","No","Yes"),IF(Sheet3!E65="", "No","Yes")))</f>
        <v>Yes</v>
      </c>
      <c r="AS14" s="38" t="str">
        <f t="shared" si="5"/>
        <v/>
      </c>
      <c r="AT14" s="38" t="str">
        <f t="shared" si="1"/>
        <v/>
      </c>
      <c r="AU14" s="38" t="str">
        <f t="shared" si="6"/>
        <v/>
      </c>
      <c r="AV14" s="38" t="str">
        <f t="shared" si="7"/>
        <v/>
      </c>
      <c r="AW14" s="37">
        <f>IF(AZ11="Yes",AW15,VLOOKUP(1,$Q$6:$Y$21,3,FALSE))</f>
        <v>0.25</v>
      </c>
      <c r="AX14" s="169">
        <f>IF(AZ11="Yes",AX15,VLOOKUP(1,$Q$6:$Y$21,5,FALSE))</f>
        <v>0</v>
      </c>
      <c r="AY14" s="169"/>
      <c r="AZ14" s="169">
        <f>IF(AZ11="Yes",AZ15,VLOOKUP(1,$Q$6:$Y$21,7,FALSE))</f>
        <v>0</v>
      </c>
      <c r="BA14" s="169"/>
      <c r="BH14" s="143">
        <v>1</v>
      </c>
      <c r="BI14" s="221" t="s">
        <v>74</v>
      </c>
      <c r="BJ14" s="221"/>
      <c r="BK14" s="221"/>
      <c r="BL14" s="221"/>
      <c r="BM14" s="221"/>
      <c r="BN14" s="221"/>
      <c r="BO14" s="221"/>
      <c r="BP14" s="221"/>
      <c r="BQ14" s="221"/>
      <c r="BR14" s="145"/>
    </row>
    <row r="15" spans="1:82" ht="15.75" customHeight="1" x14ac:dyDescent="0.25">
      <c r="B15" s="161" t="s">
        <v>75</v>
      </c>
      <c r="C15" s="6" t="str">
        <f>IF('Hourly Volume Data'!J35="","0%",'Hourly Volume Data'!J35)</f>
        <v>100%</v>
      </c>
      <c r="E15" s="176" t="s">
        <v>76</v>
      </c>
      <c r="F15" s="176"/>
      <c r="G15" s="176"/>
      <c r="H15" s="176"/>
      <c r="I15" s="176"/>
      <c r="J15" s="176"/>
      <c r="K15" s="176"/>
      <c r="L15" s="152" t="s">
        <v>6</v>
      </c>
      <c r="M15" s="24" t="s">
        <v>51</v>
      </c>
      <c r="N15" s="143">
        <f>IF(H11="","",IF(L15="Yes",IF(H11="1 lane",IF($L$1="70%",53*1.5,75*1.5),IF($L$1="70%",70*1.5,100*1.5)),IF(H11="1 lane",IF($L$1="70%",53,75),IF($L$1="70%",70,100))))</f>
        <v>75</v>
      </c>
      <c r="O15" s="143">
        <f>IF(H11="","",IF(L15="Yes",IF(H11="1 lane",IF($L$1="70%",42*1.5,60*1.5),IF($L$1="70%",56*1.5,80*1.5)),IF(H11="1 lane",IF($L$1="70%",42,60),IF($L$1="70%",56,80))))</f>
        <v>60</v>
      </c>
      <c r="P15" s="150"/>
      <c r="Q15" s="150">
        <f>RANK(Y15,$Y$6:$Y$21,0)+COUNTIF(Y$6:Y15, "="&amp;Y15)-1</f>
        <v>10</v>
      </c>
      <c r="R15" s="150">
        <v>10</v>
      </c>
      <c r="S15" s="36">
        <f t="shared" si="9"/>
        <v>0.625</v>
      </c>
      <c r="T15" s="36">
        <f t="shared" si="2"/>
        <v>0.66666666666666663</v>
      </c>
      <c r="U15" s="182">
        <f>IF('Hourly Volume Data'!$J$28="","",'Hourly Volume Data'!Q35)</f>
        <v>0</v>
      </c>
      <c r="V15" s="183"/>
      <c r="W15" s="182">
        <f>IF('Hourly Volume Data'!$J$28="","",'Hourly Volume Data'!W35)</f>
        <v>0</v>
      </c>
      <c r="X15" s="183"/>
      <c r="Y15" s="150">
        <f t="shared" si="10"/>
        <v>0</v>
      </c>
      <c r="Z15" s="135"/>
      <c r="AA15" s="135"/>
      <c r="AB15" s="150" t="str">
        <f t="shared" si="3"/>
        <v>No</v>
      </c>
      <c r="AC15" s="150" t="str">
        <f t="shared" si="4"/>
        <v>No</v>
      </c>
      <c r="AD15" s="1" t="str">
        <f t="shared" si="8"/>
        <v>No</v>
      </c>
      <c r="AG15" s="150"/>
      <c r="AH15" s="150"/>
      <c r="AI15" s="150"/>
      <c r="AJ15" s="150">
        <f>IF(OR($B$11 ="",$H$11="",AK15=""),"",Sheet3!K66)</f>
        <v>800</v>
      </c>
      <c r="AK15" s="150">
        <f>IF($BG$17="","",IF($AZ$29="Yes",IF($BG$17="70%",IF(Sheet3!L66="",#N/A,Sheet3!L66*0.5),IF(Sheet3!N66="", #N/A, Sheet3!N66*0.5)),IF($BG$17="70%",IF(Sheet3!L66="",#N/A,Sheet3!L66),IF(Sheet3!N66="", #N/A, Sheet3!N66))))</f>
        <v>374</v>
      </c>
      <c r="AM15" s="119" t="str">
        <f t="shared" si="0"/>
        <v/>
      </c>
      <c r="AP15" s="150">
        <f>IF(OR($B$11 ="",$H$11="",AQ15=""),"",Sheet3!A66)</f>
        <v>400</v>
      </c>
      <c r="AQ15" s="150">
        <f>IF($BG$17="","",IF($AZ$29="Yes",IF($BG$17="70%",IF(Sheet3!B66="",#N/A,Sheet3!B66*0.5),IF(Sheet3!D66="", #N/A, Sheet3!D66*0.5)),IF($BG$17="70%",IF(Sheet3!B66="",#N/A,Sheet3!B66),IF(Sheet3!D66="", #N/A, Sheet3!D66))))</f>
        <v>407</v>
      </c>
      <c r="AR15" s="150" t="str">
        <f>IF($BG$17="","",IF($BG$17="70%",IF(Sheet3!C66="","No","Yes"),IF(Sheet3!E66="", "No","Yes")))</f>
        <v>Yes</v>
      </c>
      <c r="AS15" s="38" t="str">
        <f t="shared" si="5"/>
        <v/>
      </c>
      <c r="AT15" s="38" t="str">
        <f t="shared" si="1"/>
        <v/>
      </c>
      <c r="AU15" s="38" t="str">
        <f t="shared" si="6"/>
        <v/>
      </c>
      <c r="AV15" s="38" t="str">
        <f t="shared" si="7"/>
        <v/>
      </c>
      <c r="AW15" s="95"/>
      <c r="AX15" s="260"/>
      <c r="AY15" s="260"/>
      <c r="AZ15" s="260"/>
      <c r="BA15" s="260"/>
      <c r="BH15" s="171">
        <v>2</v>
      </c>
      <c r="BI15" s="229" t="s">
        <v>77</v>
      </c>
      <c r="BJ15" s="229"/>
      <c r="BK15" s="229"/>
      <c r="BL15" s="229"/>
      <c r="BM15" s="229"/>
      <c r="BN15" s="229"/>
      <c r="BO15" s="229"/>
      <c r="BP15" s="229"/>
      <c r="BQ15" s="229"/>
      <c r="BR15" s="228"/>
      <c r="CB15" t="s">
        <v>78</v>
      </c>
      <c r="CC15" t="s">
        <v>79</v>
      </c>
    </row>
    <row r="16" spans="1:82" ht="15.75" customHeight="1" x14ac:dyDescent="0.25">
      <c r="B16" s="161" t="s">
        <v>80</v>
      </c>
      <c r="C16" s="6" t="str">
        <f>IF('Hourly Volume Data'!J36="","0%",'Hourly Volume Data'!J36)</f>
        <v>100%</v>
      </c>
      <c r="H16" s="172" t="s">
        <v>81</v>
      </c>
      <c r="I16" s="172"/>
      <c r="J16" s="172"/>
      <c r="K16" s="172"/>
      <c r="L16" s="152" t="s">
        <v>6</v>
      </c>
      <c r="M16" s="24" t="s">
        <v>55</v>
      </c>
      <c r="N16" s="141">
        <f>COUNTIFS($U$6:$V$21, "&gt;=" &amp; N14,$W$6:$X$21,"&gt;="&amp;N15)</f>
        <v>0</v>
      </c>
      <c r="O16" s="141">
        <f>COUNTIFS($U$6:$V$21, "&gt;=" &amp; O14,$W$6:$X$21,"&gt;="&amp;O15)</f>
        <v>0</v>
      </c>
      <c r="Q16" s="150">
        <f>RANK(Y16,$Y$6:$Y$21,0)+COUNTIF(Y$6:Y16, "="&amp;Y16)-1</f>
        <v>11</v>
      </c>
      <c r="R16" s="150">
        <v>11</v>
      </c>
      <c r="S16" s="36">
        <f t="shared" si="9"/>
        <v>0.66666666666666663</v>
      </c>
      <c r="T16" s="36">
        <f t="shared" si="2"/>
        <v>0.70833333333333326</v>
      </c>
      <c r="U16" s="182">
        <f>IF('Hourly Volume Data'!$J$28="","",'Hourly Volume Data'!Q36)</f>
        <v>0</v>
      </c>
      <c r="V16" s="183"/>
      <c r="W16" s="182">
        <f>IF('Hourly Volume Data'!$J$28="","",'Hourly Volume Data'!W36)</f>
        <v>0</v>
      </c>
      <c r="X16" s="183"/>
      <c r="Y16" s="150">
        <f t="shared" si="10"/>
        <v>0</v>
      </c>
      <c r="Z16" s="135"/>
      <c r="AA16" s="135"/>
      <c r="AB16" s="150" t="str">
        <f t="shared" si="3"/>
        <v>No</v>
      </c>
      <c r="AC16" s="150" t="str">
        <f t="shared" si="4"/>
        <v>No</v>
      </c>
      <c r="AD16" s="1" t="str">
        <f t="shared" si="8"/>
        <v>No</v>
      </c>
      <c r="AF16" s="150"/>
      <c r="AG16" s="150"/>
      <c r="AH16" s="150"/>
      <c r="AI16" s="150"/>
      <c r="AJ16" s="150">
        <f>IF(OR($B$11 ="",$H$11="",AK16=""),"",Sheet3!K67)</f>
        <v>700</v>
      </c>
      <c r="AK16" s="150">
        <f>IF($BG$17="","",IF($AZ$29="Yes",IF($BG$17="70%",IF(Sheet3!L67="",#N/A,Sheet3!L67*0.5),IF(Sheet3!N67="", #N/A, Sheet3!N67*0.5)),IF($BG$17="70%",IF(Sheet3!L67="",#N/A,Sheet3!L67),IF(Sheet3!N67="", #N/A, Sheet3!N67))))</f>
        <v>433</v>
      </c>
      <c r="AM16" s="119" t="str">
        <f t="shared" si="0"/>
        <v/>
      </c>
      <c r="AP16" s="150" t="e">
        <f>IF(OR($B$11 ="",$H$11="",AQ16=""),"",Sheet3!A67)</f>
        <v>#N/A</v>
      </c>
      <c r="AQ16" s="150" t="e">
        <f>IF($BG$17="","",IF($AZ$29="Yes",IF($BG$17="70%",IF(Sheet3!B67="",#N/A,Sheet3!B67*0.5),IF(Sheet3!D67="", #N/A, Sheet3!D67*0.5)),IF($BG$17="70%",IF(Sheet3!B67="",#N/A,Sheet3!B67),IF(Sheet3!D67="", #N/A, Sheet3!D67))))</f>
        <v>#N/A</v>
      </c>
      <c r="AR16" s="150" t="str">
        <f>IF($BG$17="","",IF($BG$17="70%",IF(Sheet3!C67="","No","Yes"),IF(Sheet3!E67="", "No","Yes")))</f>
        <v>No</v>
      </c>
      <c r="AS16" s="38" t="e">
        <f t="shared" si="5"/>
        <v>#N/A</v>
      </c>
      <c r="AT16" s="38" t="e">
        <f>IF(AND($AY$25&gt;=$AP16,$AY$25&lt;$AP15),IF($AR16="No",IF($AX$25&gt;=$AQ16,"Yes","No"),IF($AZ$29="Yes",IF($BG$1="70%",IF($AX$25&gt;=((0.00042*$AY$25^2)-(0.8829*$AY$25)+503.43)*0.5,"Yes","No"),IF($AX$25&gt;=((0.0003247*$AY$25^2)-(0.9248*$AY$25)+724.77)*0.5,"Yes","No")),IF($BG$1="70%",IF($AX$25&gt;=(0.00042*$AY$25^2)-(0.8829*$AY$25)+503.43,"Yes","No"),IF($AX$25&gt;=(0.0003247*$AY$25^2)-(0.9248*$AY$25)+724.77,"Yes","No")))),"")</f>
        <v>#N/A</v>
      </c>
      <c r="AU16" s="38" t="e">
        <f t="shared" si="6"/>
        <v>#N/A</v>
      </c>
      <c r="AV16" s="38" t="e">
        <f t="shared" si="7"/>
        <v>#N/A</v>
      </c>
      <c r="BH16" s="171"/>
      <c r="BI16" s="229"/>
      <c r="BJ16" s="229"/>
      <c r="BK16" s="229"/>
      <c r="BL16" s="229"/>
      <c r="BM16" s="229"/>
      <c r="BN16" s="229"/>
      <c r="BO16" s="229"/>
      <c r="BP16" s="229"/>
      <c r="BQ16" s="229"/>
      <c r="BR16" s="228"/>
      <c r="CB16" s="151">
        <f>IF(BY7="",#N/A,IF(BY7&gt;=CB17,BY7+100,CB17))</f>
        <v>800</v>
      </c>
      <c r="CC16" s="151">
        <v>25</v>
      </c>
    </row>
    <row r="17" spans="1:82" ht="15.75" customHeight="1" x14ac:dyDescent="0.25">
      <c r="B17" s="161" t="s">
        <v>82</v>
      </c>
      <c r="C17" s="6" t="str">
        <f>IF('Hourly Volume Data'!J37="","0%",'Hourly Volume Data'!J37)</f>
        <v>100%</v>
      </c>
      <c r="N17" s="220" t="s">
        <v>59</v>
      </c>
      <c r="O17" s="220"/>
      <c r="P17" s="9" t="str">
        <f>IF(OR($P$2="",$P$2="No"),"",IF(N16&gt;7,"Yes","No"))</f>
        <v>No</v>
      </c>
      <c r="Q17" s="150">
        <f>RANK(Y17,$Y$6:$Y$21,0)+COUNTIF(Y$6:Y17, "="&amp;Y17)-1</f>
        <v>12</v>
      </c>
      <c r="R17" s="150">
        <v>12</v>
      </c>
      <c r="S17" s="36">
        <f t="shared" si="9"/>
        <v>0.70833333333333326</v>
      </c>
      <c r="T17" s="36">
        <f t="shared" si="2"/>
        <v>0.74999999999999989</v>
      </c>
      <c r="U17" s="182">
        <f>IF('Hourly Volume Data'!$J$28="","",'Hourly Volume Data'!Q37)</f>
        <v>0</v>
      </c>
      <c r="V17" s="183"/>
      <c r="W17" s="182">
        <f>IF('Hourly Volume Data'!$J$28="","",'Hourly Volume Data'!W37)</f>
        <v>0</v>
      </c>
      <c r="X17" s="183"/>
      <c r="Y17" s="150">
        <f t="shared" si="10"/>
        <v>0</v>
      </c>
      <c r="Z17" s="135"/>
      <c r="AA17" s="135"/>
      <c r="AB17" s="150" t="str">
        <f t="shared" si="3"/>
        <v>No</v>
      </c>
      <c r="AC17" s="150" t="str">
        <f t="shared" si="4"/>
        <v>No</v>
      </c>
      <c r="AD17" s="1" t="str">
        <f t="shared" si="8"/>
        <v>No</v>
      </c>
      <c r="AF17" s="150"/>
      <c r="AG17" s="150"/>
      <c r="AH17" s="150"/>
      <c r="AI17" s="150"/>
      <c r="AJ17" s="150">
        <f>IF(OR($B$11 ="",$H$11="",AK17=""),"",Sheet3!K68)</f>
        <v>600</v>
      </c>
      <c r="AK17" s="150">
        <f>IF($BG$17="","",IF($AZ$29="Yes",IF($BG$17="70%",IF(Sheet3!L68="",#N/A,Sheet3!L68*0.5),IF(Sheet3!N68="", #N/A, Sheet3!N68*0.5)),IF($BG$17="70%",IF(Sheet3!L68="",#N/A,Sheet3!L68),IF(Sheet3!N68="", #N/A, Sheet3!N68))))</f>
        <v>499</v>
      </c>
      <c r="AM17" s="119" t="str">
        <f t="shared" si="0"/>
        <v/>
      </c>
      <c r="AO17" s="150"/>
      <c r="AP17" s="150"/>
      <c r="AQ17" s="150"/>
      <c r="AR17" s="150"/>
      <c r="AS17" s="150"/>
      <c r="AT17" s="150"/>
      <c r="AU17" s="150"/>
      <c r="AW17" s="213" t="str">
        <f>A32</f>
        <v>Warrant 4: Pedestrian Volume</v>
      </c>
      <c r="AX17" s="213"/>
      <c r="AY17" s="213"/>
      <c r="AZ17" s="213"/>
      <c r="BA17" s="213"/>
      <c r="BB17" s="213"/>
      <c r="BC17" s="213"/>
      <c r="BD17" s="213"/>
      <c r="BE17" s="213"/>
      <c r="BF17" s="213"/>
      <c r="BG17" s="213" t="str">
        <f>$L$1</f>
        <v>100%</v>
      </c>
      <c r="BH17" s="171">
        <v>3</v>
      </c>
      <c r="BI17" s="229" t="s">
        <v>83</v>
      </c>
      <c r="BJ17" s="229"/>
      <c r="BK17" s="229"/>
      <c r="BL17" s="229"/>
      <c r="BM17" s="229"/>
      <c r="BN17" s="229"/>
      <c r="BO17" s="229"/>
      <c r="BP17" s="229"/>
      <c r="BQ17" s="229"/>
      <c r="BR17" s="228"/>
      <c r="CB17" s="150">
        <f>IF(CC17="#N/A", #N/A, Sheet3!A82)</f>
        <v>800</v>
      </c>
      <c r="CC17" s="150">
        <f>IF($H$11="1 lane",IF($BW$7&lt;50,IF(Sheet3!G82="",#N/A,Sheet3!G82),IF($BW$7&lt;70,IF(Sheet3!F82="",#N/A,Sheet3!F82),IF($BW$7&lt;90,IF(Sheet3!E82="",#N/A,Sheet3!E82),IF($BW$7&lt;110,IF(Sheet3!D82="",#N/A,Sheet3!D82),IF($BW$7&lt;130,IF(Sheet3!C82="",#N/A,Sheet3!C82),IF(Sheet3!B82="",#N/A,Sheet3!B82)))))),IF($BW$7&lt;50,IF(Sheet3!G95="",#N/A,Sheet3!G95),IF($BW$7&lt;70,IF(Sheet3!F95="",#N/A,Sheet3!F95),IF($BW$7&lt;90,IF(Sheet3!E95="",#N/A,Sheet3!E95),IF($BW$7&lt;110,IF(Sheet3!D95="",#N/A,Sheet3!D95),IF($BW$7&lt;130,IF(Sheet3!C95="",#N/A,Sheet3!C95),IF(Sheet3!B95="",#N/A,Sheet3!B95)))))))</f>
        <v>25</v>
      </c>
      <c r="CD17" s="150" t="str">
        <f>IF(AND($BY$7&gt;=$CB17,$BY$7&lt;$CB16),IF($CA$7&gt;$CC17,"Yes","No"),"")</f>
        <v/>
      </c>
    </row>
    <row r="18" spans="1:82" ht="15.75" customHeight="1" x14ac:dyDescent="0.25">
      <c r="Q18" s="150">
        <f>RANK(Y18,$Y$6:$Y$21,0)+COUNTIF(Y$6:Y18, "="&amp;Y18)-1</f>
        <v>13</v>
      </c>
      <c r="R18" s="150">
        <v>13</v>
      </c>
      <c r="S18" s="36">
        <f t="shared" si="9"/>
        <v>0.74999999999999989</v>
      </c>
      <c r="T18" s="36">
        <f t="shared" si="2"/>
        <v>0.79166666666666652</v>
      </c>
      <c r="U18" s="182">
        <f>IF('Hourly Volume Data'!$J$28="","",'Hourly Volume Data'!Q38)</f>
        <v>0</v>
      </c>
      <c r="V18" s="183"/>
      <c r="W18" s="182">
        <f>IF('Hourly Volume Data'!$J$28="","",'Hourly Volume Data'!W38)</f>
        <v>0</v>
      </c>
      <c r="X18" s="183"/>
      <c r="Y18" s="150">
        <f t="shared" si="10"/>
        <v>0</v>
      </c>
      <c r="Z18" s="135"/>
      <c r="AA18" s="135"/>
      <c r="AB18" s="150" t="str">
        <f t="shared" si="3"/>
        <v>No</v>
      </c>
      <c r="AC18" s="150" t="str">
        <f t="shared" si="4"/>
        <v>No</v>
      </c>
      <c r="AD18" s="1" t="str">
        <f t="shared" si="8"/>
        <v>No</v>
      </c>
      <c r="AF18" s="150"/>
      <c r="AG18" s="150"/>
      <c r="AH18" s="150"/>
      <c r="AI18" s="150"/>
      <c r="AJ18" s="150">
        <f>IF(OR($B$11 ="",$H$11="",AK18=""),"",Sheet3!K69)</f>
        <v>500</v>
      </c>
      <c r="AK18" s="150">
        <f>IF($BG$17="","",IF($AZ$29="Yes",IF($BG$17="70%",IF(Sheet3!L69="",#N/A,Sheet3!L69*0.5),IF(Sheet3!N69="", #N/A, Sheet3!N69*0.5)),IF($BG$17="70%",IF(Sheet3!L69="",#N/A,Sheet3!L69),IF(Sheet3!N69="", #N/A, Sheet3!N69))))</f>
        <v>571</v>
      </c>
      <c r="AM18" s="119" t="str">
        <f t="shared" si="0"/>
        <v/>
      </c>
      <c r="AO18" s="150"/>
      <c r="AP18" s="150"/>
      <c r="AQ18" s="150"/>
      <c r="AR18" s="150"/>
      <c r="AS18" s="150"/>
      <c r="AT18" s="150"/>
      <c r="AU18" s="150"/>
      <c r="AW18" s="213"/>
      <c r="AX18" s="213"/>
      <c r="AY18" s="213"/>
      <c r="AZ18" s="213"/>
      <c r="BA18" s="213"/>
      <c r="BB18" s="213"/>
      <c r="BC18" s="213"/>
      <c r="BD18" s="213"/>
      <c r="BE18" s="213"/>
      <c r="BF18" s="213"/>
      <c r="BG18" s="213"/>
      <c r="BH18" s="171"/>
      <c r="BI18" s="229"/>
      <c r="BJ18" s="229"/>
      <c r="BK18" s="229"/>
      <c r="BL18" s="229"/>
      <c r="BM18" s="229"/>
      <c r="BN18" s="229"/>
      <c r="BO18" s="229"/>
      <c r="BP18" s="229"/>
      <c r="BQ18" s="229"/>
      <c r="BR18" s="228"/>
      <c r="CB18" s="150">
        <f>IF(CC18="#N/A", #N/A, Sheet3!A83)</f>
        <v>700</v>
      </c>
      <c r="CC18" s="150">
        <f>IF($H$11="1 lane",IF($BW$7&lt;50,IF(Sheet3!G83="",#N/A,Sheet3!G83),IF($BW$7&lt;70,IF(Sheet3!F83="",#N/A,Sheet3!F83),IF($BW$7&lt;90,IF(Sheet3!E83="",#N/A,Sheet3!E83),IF($BW$7&lt;110,IF(Sheet3!D83="",#N/A,Sheet3!D83),IF($BW$7&lt;130,IF(Sheet3!C83="",#N/A,Sheet3!C83),IF(Sheet3!B83="",#N/A,Sheet3!B83)))))),IF($BW$7&lt;50,IF(Sheet3!G96="",#N/A,Sheet3!G96),IF($BW$7&lt;70,IF(Sheet3!F96="",#N/A,Sheet3!F96),IF($BW$7&lt;90,IF(Sheet3!E96="",#N/A,Sheet3!E96),IF($BW$7&lt;110,IF(Sheet3!D96="",#N/A,Sheet3!D96),IF($BW$7&lt;130,IF(Sheet3!C96="",#N/A,Sheet3!C96),IF(Sheet3!B96="",#N/A,Sheet3!B96)))))))</f>
        <v>25</v>
      </c>
      <c r="CD18" s="150" t="str">
        <f t="shared" ref="CD18:CD25" si="11">IF(AND($BY$7&gt;=$CB18,$BY$7&lt;$CB17),IF($CA$7&gt;$CC18,"Yes","No"),"")</f>
        <v/>
      </c>
    </row>
    <row r="19" spans="1:82" ht="15.75" customHeight="1" x14ac:dyDescent="0.25">
      <c r="A19" s="179" t="s">
        <v>84</v>
      </c>
      <c r="B19" s="179"/>
      <c r="C19" s="179"/>
      <c r="D19" s="194" t="s">
        <v>85</v>
      </c>
      <c r="E19" s="194"/>
      <c r="F19" s="146" t="s">
        <v>86</v>
      </c>
      <c r="M19" s="215" t="s">
        <v>87</v>
      </c>
      <c r="N19" s="231"/>
      <c r="O19" s="232"/>
      <c r="P19" s="150"/>
      <c r="Q19" s="150">
        <f>RANK(Y19,$Y$6:$Y$21,0)+COUNTIF(Y$6:Y19, "="&amp;Y19)-1</f>
        <v>14</v>
      </c>
      <c r="R19" s="150">
        <v>14</v>
      </c>
      <c r="S19" s="36">
        <f t="shared" si="9"/>
        <v>0.79166666666666652</v>
      </c>
      <c r="T19" s="36">
        <f t="shared" si="2"/>
        <v>0.83333333333333315</v>
      </c>
      <c r="U19" s="182">
        <f>IF('Hourly Volume Data'!$J$28="","",'Hourly Volume Data'!Q39)</f>
        <v>0</v>
      </c>
      <c r="V19" s="183"/>
      <c r="W19" s="182">
        <f>IF('Hourly Volume Data'!$J$28="","",'Hourly Volume Data'!W39)</f>
        <v>0</v>
      </c>
      <c r="X19" s="183"/>
      <c r="Y19" s="150">
        <f t="shared" si="10"/>
        <v>0</v>
      </c>
      <c r="Z19" s="135"/>
      <c r="AA19" s="135"/>
      <c r="AB19" s="150" t="str">
        <f t="shared" si="3"/>
        <v>No</v>
      </c>
      <c r="AC19" s="150" t="str">
        <f t="shared" si="4"/>
        <v>No</v>
      </c>
      <c r="AD19" s="1" t="str">
        <f t="shared" si="8"/>
        <v>No</v>
      </c>
      <c r="AF19" s="150"/>
      <c r="AG19" s="150"/>
      <c r="AH19" s="150"/>
      <c r="AI19" s="150"/>
      <c r="AJ19" s="150">
        <f>IF(OR($B$11 ="",$H$11="",AK19=""),"",Sheet3!K70)</f>
        <v>400</v>
      </c>
      <c r="AK19" s="150">
        <f>IF($BG$17="","",IF($AZ$29="Yes",IF($BG$17="70%",IF(Sheet3!L70="",#N/A,Sheet3!L70*0.5),IF(Sheet3!N70="", #N/A, Sheet3!N70*0.5)),IF($BG$17="70%",IF(Sheet3!L70="",#N/A,Sheet3!L70),IF(Sheet3!N70="", #N/A, Sheet3!N70))))</f>
        <v>650</v>
      </c>
      <c r="AM19" s="119" t="str">
        <f t="shared" si="0"/>
        <v/>
      </c>
      <c r="AO19" s="150"/>
      <c r="AP19" s="150" t="s">
        <v>88</v>
      </c>
      <c r="AQ19" s="150" t="s">
        <v>89</v>
      </c>
      <c r="AR19" s="150"/>
      <c r="AS19" s="150"/>
      <c r="AT19" s="150"/>
      <c r="AU19" s="7"/>
      <c r="AW19" s="186" t="s">
        <v>2</v>
      </c>
      <c r="AX19" s="186"/>
      <c r="AY19" s="186"/>
      <c r="AZ19" s="54"/>
      <c r="BA19" s="186" t="s">
        <v>4</v>
      </c>
      <c r="BB19" s="186"/>
      <c r="BC19" s="186"/>
      <c r="BD19" s="29" t="str">
        <f>IF(OR(AZ19="",AZ19="No"),"N/A",IF(OR(AND(COUNTIF(AS5:AS16,"Yes")&gt;0,COUNTIF(AT5:AT16,"Yes")&gt;0,COUNTIF(AU5:AU16,"Yes")&gt;0,COUNTIF(AV5:AV16,"Yes")&gt;0),COUNTIF(AM5:AM21,"Yes")&gt;0)=TRUE,"Yes","No"))</f>
        <v>N/A</v>
      </c>
      <c r="BE19" s="186" t="s">
        <v>5</v>
      </c>
      <c r="BF19" s="186"/>
      <c r="BG19" s="54"/>
      <c r="BH19" s="28"/>
      <c r="BI19" s="32"/>
      <c r="BJ19" s="32"/>
      <c r="BK19" s="32"/>
      <c r="BL19" s="32"/>
      <c r="BM19" s="32"/>
      <c r="BN19" s="32"/>
      <c r="BO19" s="32"/>
      <c r="BP19" s="32"/>
      <c r="CB19" s="150">
        <f>IF(CC19="#N/A", #N/A, Sheet3!A84)</f>
        <v>600</v>
      </c>
      <c r="CC19" s="150">
        <f>IF($H$11="1 lane",IF($BW$7&lt;50,IF(Sheet3!G84="",#N/A,Sheet3!G84),IF($BW$7&lt;70,IF(Sheet3!F84="",#N/A,Sheet3!F84),IF($BW$7&lt;90,IF(Sheet3!E84="",#N/A,Sheet3!E84),IF($BW$7&lt;110,IF(Sheet3!D84="",#N/A,Sheet3!D84),IF($BW$7&lt;130,IF(Sheet3!C84="",#N/A,Sheet3!C84),IF(Sheet3!B84="",#N/A,Sheet3!B84)))))),IF($BW$7&lt;50,IF(Sheet3!G97="",#N/A,Sheet3!G97),IF($BW$7&lt;70,IF(Sheet3!F97="",#N/A,Sheet3!F97),IF($BW$7&lt;90,IF(Sheet3!E97="",#N/A,Sheet3!E97),IF($BW$7&lt;110,IF(Sheet3!D97="",#N/A,Sheet3!D97),IF($BW$7&lt;130,IF(Sheet3!C97="",#N/A,Sheet3!C97),IF(Sheet3!B97="",#N/A,Sheet3!B97)))))))</f>
        <v>25</v>
      </c>
      <c r="CD19" s="150" t="str">
        <f t="shared" si="11"/>
        <v/>
      </c>
    </row>
    <row r="20" spans="1:82" ht="15.75" customHeight="1" x14ac:dyDescent="0.25">
      <c r="A20" s="171" t="str">
        <f>IF(D19="EXISTING","Date",IF(D19="PROJECTED", "Forecast Year",""))</f>
        <v>Date</v>
      </c>
      <c r="B20" s="171"/>
      <c r="C20" s="171"/>
      <c r="D20" s="171"/>
      <c r="E20" s="170" t="str">
        <f>IF(D19="EXISTING","Day of the Week",IF(D19="PROJECTED", "Within 5 Years of Construction?",""))</f>
        <v>Day of the Week</v>
      </c>
      <c r="F20" s="170"/>
      <c r="G20" s="169" t="s">
        <v>90</v>
      </c>
      <c r="H20" s="169"/>
      <c r="I20" s="169"/>
      <c r="J20" s="169"/>
      <c r="K20" s="169"/>
      <c r="L20" s="169"/>
      <c r="M20" s="195" t="str">
        <f>IF(X1="100%","Combination of A &amp; B at 80%","Combination of A &amp; B at 56%")</f>
        <v>Combination of A &amp; B at 80%</v>
      </c>
      <c r="N20" s="196"/>
      <c r="O20" s="197"/>
      <c r="Q20" s="150">
        <f>RANK(Y20,$Y$6:$Y$21,0)+COUNTIF(Y$6:Y20, "="&amp;Y20)-1</f>
        <v>15</v>
      </c>
      <c r="R20" s="150">
        <v>15</v>
      </c>
      <c r="S20" s="36">
        <f t="shared" si="9"/>
        <v>0.83333333333333315</v>
      </c>
      <c r="T20" s="36">
        <f t="shared" si="2"/>
        <v>0.87499999999999978</v>
      </c>
      <c r="U20" s="182">
        <f>IF('Hourly Volume Data'!$J$28="","",'Hourly Volume Data'!Q40)</f>
        <v>0</v>
      </c>
      <c r="V20" s="183"/>
      <c r="W20" s="182">
        <f>IF('Hourly Volume Data'!$J$28="","",'Hourly Volume Data'!W40)</f>
        <v>0</v>
      </c>
      <c r="X20" s="183"/>
      <c r="Y20" s="150">
        <f t="shared" si="10"/>
        <v>0</v>
      </c>
      <c r="Z20" s="135"/>
      <c r="AA20" s="135"/>
      <c r="AB20" s="150" t="str">
        <f t="shared" si="3"/>
        <v>No</v>
      </c>
      <c r="AC20" s="150" t="str">
        <f t="shared" si="4"/>
        <v>No</v>
      </c>
      <c r="AD20" s="1" t="str">
        <f t="shared" si="8"/>
        <v>No</v>
      </c>
      <c r="AE20" s="150"/>
      <c r="AF20" s="150"/>
      <c r="AG20" s="150"/>
      <c r="AH20" s="150"/>
      <c r="AI20" s="150"/>
      <c r="AJ20" s="150" t="e">
        <f>IF(OR($B$11 ="",$H$11="",AK20=""),"",Sheet3!K71)</f>
        <v>#N/A</v>
      </c>
      <c r="AK20" s="150" t="e">
        <f>IF($BG$17="","",IF($AZ$29="Yes",IF($BG$17="70%",IF(Sheet3!L71="",#N/A,Sheet3!L71*0.5),IF(Sheet3!N71="", #N/A, Sheet3!N71*0.5)),IF($BG$17="70%",IF(Sheet3!L71="",#N/A,Sheet3!L71),IF(Sheet3!N71="", #N/A, Sheet3!N71))))</f>
        <v>#N/A</v>
      </c>
      <c r="AM20" s="119" t="e">
        <f t="shared" si="0"/>
        <v>#N/A</v>
      </c>
      <c r="AO20" s="150"/>
      <c r="AP20" s="25" t="s">
        <v>91</v>
      </c>
      <c r="AQ20" s="25" t="s">
        <v>91</v>
      </c>
      <c r="AR20" s="150"/>
      <c r="AS20" s="150"/>
      <c r="AT20" s="150"/>
      <c r="BH20" s="213" t="str">
        <f>A37</f>
        <v>Warrant 7: Crash Experience</v>
      </c>
      <c r="BI20" s="213"/>
      <c r="BJ20" s="213"/>
      <c r="BK20" s="213"/>
      <c r="BL20" s="213"/>
      <c r="BM20" s="213"/>
      <c r="BN20" s="213"/>
      <c r="BO20" s="213"/>
      <c r="BP20" s="213"/>
      <c r="BQ20" s="213"/>
      <c r="BR20" s="213" t="str">
        <f>$L$1</f>
        <v>100%</v>
      </c>
      <c r="CB20" s="150">
        <f>IF(CC20="#N/A", #N/A, Sheet3!A85)</f>
        <v>500</v>
      </c>
      <c r="CC20" s="150">
        <f>IF($H$11="1 lane",IF($BW$7&lt;50,IF(Sheet3!G85="",#N/A,Sheet3!G85),IF($BW$7&lt;70,IF(Sheet3!F85="",#N/A,Sheet3!F85),IF($BW$7&lt;90,IF(Sheet3!E85="",#N/A,Sheet3!E85),IF($BW$7&lt;110,IF(Sheet3!D85="",#N/A,Sheet3!D85),IF($BW$7&lt;130,IF(Sheet3!C85="",#N/A,Sheet3!C85),IF(Sheet3!B85="",#N/A,Sheet3!B85)))))),IF($BW$7&lt;50,IF(Sheet3!G98="",#N/A,Sheet3!G98),IF($BW$7&lt;70,IF(Sheet3!F98="",#N/A,Sheet3!F98),IF($BW$7&lt;90,IF(Sheet3!E98="",#N/A,Sheet3!E98),IF($BW$7&lt;110,IF(Sheet3!D98="",#N/A,Sheet3!D98),IF($BW$7&lt;130,IF(Sheet3!C98="",#N/A,Sheet3!C98),IF(Sheet3!B98="",#N/A,Sheet3!B98)))))))</f>
        <v>25</v>
      </c>
      <c r="CD20" s="150" t="str">
        <f t="shared" si="11"/>
        <v/>
      </c>
    </row>
    <row r="21" spans="1:82" ht="15.75" customHeight="1" x14ac:dyDescent="0.25">
      <c r="A21" s="171"/>
      <c r="B21" s="171"/>
      <c r="C21" s="171"/>
      <c r="D21" s="171"/>
      <c r="E21" s="170"/>
      <c r="F21" s="170"/>
      <c r="G21" s="141" t="s">
        <v>20</v>
      </c>
      <c r="H21" s="169" t="s">
        <v>92</v>
      </c>
      <c r="I21" s="169"/>
      <c r="J21" s="169" t="s">
        <v>21</v>
      </c>
      <c r="K21" s="169"/>
      <c r="L21" s="141" t="s">
        <v>92</v>
      </c>
      <c r="N21" s="220" t="s">
        <v>59</v>
      </c>
      <c r="O21" s="220"/>
      <c r="P21" s="9" t="str">
        <f>IF(OR($P$2="",$P$2="No"),"",IF(AND(O8&gt;7,O16&gt;7),"Yes","No"))</f>
        <v>No</v>
      </c>
      <c r="Q21" s="150">
        <f>RANK(Y21,$Y$6:$Y$21,0)+COUNTIF(Y$6:Y21, "="&amp;Y21)-1</f>
        <v>16</v>
      </c>
      <c r="R21" s="150">
        <v>16</v>
      </c>
      <c r="S21" s="36">
        <f>S20+TIME(1,0,0)</f>
        <v>0.87499999999999978</v>
      </c>
      <c r="T21" s="36">
        <f t="shared" ref="T21" si="12">S21+TIME(1,0,0)</f>
        <v>0.91666666666666641</v>
      </c>
      <c r="U21" s="182">
        <f>IF('Hourly Volume Data'!$J$28="","",'Hourly Volume Data'!Q41)</f>
        <v>0</v>
      </c>
      <c r="V21" s="183"/>
      <c r="W21" s="182">
        <f>IF('Hourly Volume Data'!$J$28="","",'Hourly Volume Data'!W41)</f>
        <v>0</v>
      </c>
      <c r="X21" s="183"/>
      <c r="Y21" s="150">
        <f t="shared" si="10"/>
        <v>0</v>
      </c>
      <c r="Z21" s="135"/>
      <c r="AA21" s="135"/>
      <c r="AB21" s="150" t="str">
        <f t="shared" si="3"/>
        <v>No</v>
      </c>
      <c r="AC21" s="150" t="str">
        <f t="shared" si="4"/>
        <v>No</v>
      </c>
      <c r="AD21" s="1" t="str">
        <f t="shared" si="8"/>
        <v>No</v>
      </c>
      <c r="AE21" s="150"/>
      <c r="AF21" s="150"/>
      <c r="AG21" s="150"/>
      <c r="AH21" s="150"/>
      <c r="AI21" s="150"/>
      <c r="AJ21" s="150" t="e">
        <f>IF(OR($B$11 ="",$H$11="",AK21=""),"",Sheet3!K72)</f>
        <v>#N/A</v>
      </c>
      <c r="AK21" s="150" t="e">
        <f>IF($BG$17="","",IF($AZ$29="Yes",IF($BG$17="70%",IF(Sheet3!L72="",#N/A,Sheet3!L72*0.5),IF(Sheet3!N72="", #N/A, Sheet3!N72*0.5)),IF($BG$17="70%",IF(Sheet3!L72="",#N/A,Sheet3!L72),IF(Sheet3!N72="", #N/A, Sheet3!N72))))</f>
        <v>#N/A</v>
      </c>
      <c r="AM21" s="119" t="e">
        <f t="shared" si="0"/>
        <v>#N/A</v>
      </c>
      <c r="AO21" s="150"/>
      <c r="AP21" s="1">
        <f>IF($BG$17="70%",IF(AY24&gt;799,75,ROUNDUP((0.0004335*AY24^2 - 0.8829*AY24 + 503.43),0)),IF(AY24&gt;1099,107,ROUNDUP((0.00033*AY24^2 - 0.9248*AY24 + 724.77),0)))</f>
        <v>725</v>
      </c>
      <c r="AQ21" s="30">
        <f>IF($BG$17="70%",IF(AY37&gt;1099,60,ROUNDUP((0.0003751*AY37^2 - 0.9318*AY37 + 663.69)*0.8,0)),IF(AY37&gt;1499,86,ROUNDUP((0.0003175*AY37^2 - 1.0729*+ 1027.9)*0.8,0)))</f>
        <v>-883</v>
      </c>
      <c r="AS21" s="150"/>
      <c r="AT21" s="150"/>
      <c r="AW21" s="230" t="s">
        <v>93</v>
      </c>
      <c r="AX21" s="230"/>
      <c r="AY21" s="230"/>
      <c r="BH21" s="213"/>
      <c r="BI21" s="213"/>
      <c r="BJ21" s="213"/>
      <c r="BK21" s="213"/>
      <c r="BL21" s="213"/>
      <c r="BM21" s="213"/>
      <c r="BN21" s="213"/>
      <c r="BO21" s="213"/>
      <c r="BP21" s="213"/>
      <c r="BQ21" s="213"/>
      <c r="BR21" s="213"/>
      <c r="CB21" s="150">
        <f>IF(CC21="#N/A", #N/A, Sheet3!A86)</f>
        <v>400</v>
      </c>
      <c r="CC21" s="150">
        <f>IF($H$11="1 lane",IF($BW$7&lt;50,IF(Sheet3!G86="",#N/A,Sheet3!G86),IF($BW$7&lt;70,IF(Sheet3!F86="",#N/A,Sheet3!F86),IF($BW$7&lt;90,IF(Sheet3!E86="",#N/A,Sheet3!E86),IF($BW$7&lt;110,IF(Sheet3!D86="",#N/A,Sheet3!D86),IF($BW$7&lt;130,IF(Sheet3!C86="",#N/A,Sheet3!C86),IF(Sheet3!B86="",#N/A,Sheet3!B86)))))),IF($BW$7&lt;50,IF(Sheet3!G99="",#N/A,Sheet3!G99),IF($BW$7&lt;70,IF(Sheet3!F99="",#N/A,Sheet3!F99),IF($BW$7&lt;90,IF(Sheet3!E99="",#N/A,Sheet3!E99),IF($BW$7&lt;110,IF(Sheet3!D99="",#N/A,Sheet3!D99),IF($BW$7&lt;130,IF(Sheet3!C99="",#N/A,Sheet3!C99),IF(Sheet3!B99="",#N/A,Sheet3!B99)))))))</f>
        <v>45</v>
      </c>
      <c r="CD21" s="150" t="str">
        <f t="shared" si="11"/>
        <v/>
      </c>
    </row>
    <row r="22" spans="1:82" ht="15.75" customHeight="1" x14ac:dyDescent="0.25">
      <c r="A22" s="173">
        <v>42676</v>
      </c>
      <c r="B22" s="174"/>
      <c r="C22" s="174"/>
      <c r="D22" s="174"/>
      <c r="E22" s="174" t="s">
        <v>94</v>
      </c>
      <c r="F22" s="174"/>
      <c r="G22" s="51">
        <v>12</v>
      </c>
      <c r="H22" s="175" t="s">
        <v>95</v>
      </c>
      <c r="I22" s="175"/>
      <c r="J22" s="175">
        <v>12</v>
      </c>
      <c r="K22" s="175"/>
      <c r="L22" s="153" t="s">
        <v>95</v>
      </c>
      <c r="U22" s="150"/>
      <c r="AP22" s="1">
        <f>IF($BG$17="70%",IF(AY25&gt;799,75,ROUNDUP((0.0004335*AY25^2 - 0.8829*AY25 + 503.43),0)),IF(AY25&gt;1099,107,ROUNDUP((0.00033*AY25^2 - 0.9248*AY25 + 724.77),0)))</f>
        <v>725</v>
      </c>
      <c r="AV22" s="34" t="s">
        <v>96</v>
      </c>
      <c r="AW22" s="170" t="s">
        <v>97</v>
      </c>
      <c r="AX22" s="170" t="s">
        <v>98</v>
      </c>
      <c r="AY22" s="170" t="s">
        <v>40</v>
      </c>
      <c r="BH22" s="186" t="s">
        <v>2</v>
      </c>
      <c r="BI22" s="186"/>
      <c r="BJ22" s="186"/>
      <c r="BK22" s="54"/>
      <c r="BL22" s="186" t="s">
        <v>4</v>
      </c>
      <c r="BM22" s="186"/>
      <c r="BN22" s="186"/>
      <c r="BO22" s="29" t="str">
        <f>IF(OR(BK22="",BK22="No"),"N/A",IF(AND(BR24="",BR26="",BR28=""),"",IF(AND(BR24="Yes",BR26="Yes",BR28="Yes"),"Yes","No")))</f>
        <v>N/A</v>
      </c>
      <c r="BP22" s="186" t="s">
        <v>5</v>
      </c>
      <c r="BQ22" s="186"/>
      <c r="BR22" s="54"/>
      <c r="CB22" s="150">
        <f>IF(CC22="#N/A", #N/A, Sheet3!A87)</f>
        <v>300</v>
      </c>
      <c r="CC22" s="150">
        <f>IF($H$11="1 lane",IF($BW$7&lt;50,IF(Sheet3!G87="",#N/A,Sheet3!G87),IF($BW$7&lt;70,IF(Sheet3!F87="",#N/A,Sheet3!F87),IF($BW$7&lt;90,IF(Sheet3!E87="",#N/A,Sheet3!E87),IF($BW$7&lt;110,IF(Sheet3!D87="",#N/A,Sheet3!D87),IF($BW$7&lt;130,IF(Sheet3!C87="",#N/A,Sheet3!C87),IF(Sheet3!B87="",#N/A,Sheet3!B87)))))),IF($BW$7&lt;50,IF(Sheet3!G100="",#N/A,Sheet3!G100),IF($BW$7&lt;70,IF(Sheet3!F100="",#N/A,Sheet3!F100),IF($BW$7&lt;90,IF(Sheet3!E100="",#N/A,Sheet3!E100),IF($BW$7&lt;110,IF(Sheet3!D100="",#N/A,Sheet3!D100),IF($BW$7&lt;130,IF(Sheet3!C100="",#N/A,Sheet3!C100),IF(Sheet3!B100="",#N/A,Sheet3!B100)))))))</f>
        <v>60</v>
      </c>
      <c r="CD22" s="150" t="str">
        <f t="shared" si="11"/>
        <v/>
      </c>
    </row>
    <row r="23" spans="1:82" ht="15.75" customHeight="1" x14ac:dyDescent="0.25">
      <c r="A23" s="175"/>
      <c r="B23" s="175"/>
      <c r="C23" s="175"/>
      <c r="D23" s="175"/>
      <c r="E23" s="175"/>
      <c r="F23" s="175"/>
      <c r="G23" s="51"/>
      <c r="H23" s="175"/>
      <c r="I23" s="175"/>
      <c r="J23" s="175"/>
      <c r="K23" s="175"/>
      <c r="L23" s="153"/>
      <c r="M23" s="213" t="str">
        <f>A30</f>
        <v>Warrant 2: Four-Hour Volume</v>
      </c>
      <c r="N23" s="213"/>
      <c r="O23" s="213"/>
      <c r="P23" s="213"/>
      <c r="Q23" s="213"/>
      <c r="R23" s="213"/>
      <c r="S23" s="213"/>
      <c r="T23" s="213"/>
      <c r="U23" s="213"/>
      <c r="V23" s="213"/>
      <c r="W23" s="213"/>
      <c r="X23" s="213" t="str">
        <f>$L$1</f>
        <v>100%</v>
      </c>
      <c r="Y23" s="213"/>
      <c r="Z23" s="144"/>
      <c r="AA23" s="144"/>
      <c r="AB23" s="144"/>
      <c r="AC23" s="144"/>
      <c r="AD23" s="144"/>
      <c r="AE23" s="144"/>
      <c r="AF23" s="144"/>
      <c r="AG23" s="144"/>
      <c r="AH23" s="144"/>
      <c r="AI23" s="144"/>
      <c r="AJ23" s="144"/>
      <c r="AK23" s="144"/>
      <c r="AP23" s="1">
        <f>IF($BG$17="70%",IF(AY26&gt;799,75,ROUNDUP((0.0004335*AY26^2 - 0.8829*AY26 + 503.43),0)),IF(AY26&gt;1099,107,ROUNDUP((0.00033*AY26^2 - 0.9248*AY26 + 724.77),0)))</f>
        <v>725</v>
      </c>
      <c r="AV23" s="33" t="s">
        <v>31</v>
      </c>
      <c r="AW23" s="170"/>
      <c r="AX23" s="170"/>
      <c r="AY23" s="170"/>
      <c r="BB23" s="10"/>
      <c r="BC23" s="10"/>
      <c r="BD23" s="10"/>
      <c r="BE23" s="10"/>
      <c r="BF23" s="10"/>
      <c r="BH23" s="204" t="s">
        <v>15</v>
      </c>
      <c r="BI23" s="204"/>
      <c r="BJ23" s="204"/>
      <c r="BK23" s="204"/>
      <c r="BL23" s="204"/>
      <c r="BM23" s="204"/>
      <c r="BN23" s="204"/>
      <c r="BO23" s="204"/>
      <c r="BP23" s="204"/>
      <c r="BQ23" s="150" t="s">
        <v>46</v>
      </c>
      <c r="BR23" s="150" t="s">
        <v>16</v>
      </c>
      <c r="CB23" s="150">
        <f>IF(CC23="#N/A", #N/A, Sheet3!A88)</f>
        <v>200</v>
      </c>
      <c r="CC23" s="150">
        <f>IF($H$11="1 lane",IF($BW$7&lt;50,IF(Sheet3!G88="",#N/A,Sheet3!G88),IF($BW$7&lt;70,IF(Sheet3!F88="",#N/A,Sheet3!F88),IF($BW$7&lt;90,IF(Sheet3!E88="",#N/A,Sheet3!E88),IF($BW$7&lt;110,IF(Sheet3!D88="",#N/A,Sheet3!D88),IF($BW$7&lt;130,IF(Sheet3!C88="",#N/A,Sheet3!C88),IF(Sheet3!B88="",#N/A,Sheet3!B88)))))),IF($BW$7&lt;50,IF(Sheet3!G101="",#N/A,Sheet3!G101),IF($BW$7&lt;70,IF(Sheet3!F101="",#N/A,Sheet3!F101),IF($BW$7&lt;90,IF(Sheet3!E101="",#N/A,Sheet3!E101),IF($BW$7&lt;110,IF(Sheet3!D101="",#N/A,Sheet3!D101),IF($BW$7&lt;130,IF(Sheet3!C101="",#N/A,Sheet3!C101),IF(Sheet3!B101="",#N/A,Sheet3!B101)))))))</f>
        <v>140</v>
      </c>
      <c r="CD23" s="150" t="str">
        <f t="shared" si="11"/>
        <v/>
      </c>
    </row>
    <row r="24" spans="1:82" ht="15.75" customHeight="1" x14ac:dyDescent="0.25">
      <c r="M24" s="213"/>
      <c r="N24" s="213"/>
      <c r="O24" s="213"/>
      <c r="P24" s="213"/>
      <c r="Q24" s="213"/>
      <c r="R24" s="213"/>
      <c r="S24" s="213"/>
      <c r="T24" s="213"/>
      <c r="U24" s="213"/>
      <c r="V24" s="213"/>
      <c r="W24" s="213"/>
      <c r="X24" s="213"/>
      <c r="Y24" s="213"/>
      <c r="AA24" s="144"/>
      <c r="AB24" s="144"/>
      <c r="AD24" s="144"/>
      <c r="AE24" s="144"/>
      <c r="AF24" s="144"/>
      <c r="AG24" s="144"/>
      <c r="AH24" s="144"/>
      <c r="AI24" s="144"/>
      <c r="AJ24" s="144"/>
      <c r="AK24" s="144"/>
      <c r="AP24" s="1">
        <f>IF($BG$17="70%",IF(AY27&gt;799,75,ROUNDUP((0.0004335*AY27^2 - 0.8829*AY27 + 503.43),0)),IF(AY27&gt;1099,107,ROUNDUP((0.00033*AY27^2 - 0.9248*AY27 + 724.77),0)))</f>
        <v>725</v>
      </c>
      <c r="AV24" s="150">
        <f>RANK(AO6,$AO$6:$AO$9,0)+COUNTIF(AO$6:AO6, "="&amp;AO6)-1</f>
        <v>1</v>
      </c>
      <c r="AW24" s="53"/>
      <c r="AX24" s="148"/>
      <c r="AY24" s="141">
        <f>IF(AW24="",0,IF(AZ28="Yes",AZ24,VLOOKUP(AW24+TIME(0,0,1),$S$6:$V$21,3,TRUE)))</f>
        <v>0</v>
      </c>
      <c r="AZ24" s="50"/>
      <c r="BH24" s="171">
        <v>1</v>
      </c>
      <c r="BI24" s="221" t="s">
        <v>99</v>
      </c>
      <c r="BJ24" s="221"/>
      <c r="BK24" s="221"/>
      <c r="BL24" s="221"/>
      <c r="BM24" s="221"/>
      <c r="BN24" s="221"/>
      <c r="BO24" s="221"/>
      <c r="BP24" s="221"/>
      <c r="BQ24" s="221"/>
      <c r="BR24" s="228"/>
      <c r="CB24" s="150">
        <f>IF(CC24="#N/A", #N/A, Sheet3!A89)</f>
        <v>100</v>
      </c>
      <c r="CC24" s="150">
        <f>IF($H$11="1 lane",IF($BW$7&lt;50,IF(Sheet3!G89="",#N/A,Sheet3!G89),IF($BW$7&lt;70,IF(Sheet3!F89="",#N/A,Sheet3!F89),IF($BW$7&lt;90,IF(Sheet3!E89="",#N/A,Sheet3!E89),IF($BW$7&lt;110,IF(Sheet3!D89="",#N/A,Sheet3!D89),IF($BW$7&lt;130,IF(Sheet3!C89="",#N/A,Sheet3!C89),IF(Sheet3!B89="",#N/A,Sheet3!B89)))))),IF($BW$7&lt;50,IF(Sheet3!G102="",#N/A,Sheet3!G102),IF($BW$7&lt;70,IF(Sheet3!F102="",#N/A,Sheet3!F102),IF($BW$7&lt;90,IF(Sheet3!E102="",#N/A,Sheet3!E102),IF($BW$7&lt;110,IF(Sheet3!D102="",#N/A,Sheet3!D102),IF($BW$7&lt;130,IF(Sheet3!C102="",#N/A,Sheet3!C102),IF(Sheet3!B102="",#N/A,Sheet3!B102)))))))</f>
        <v>190</v>
      </c>
      <c r="CD24" s="150" t="str">
        <f t="shared" si="11"/>
        <v/>
      </c>
    </row>
    <row r="25" spans="1:82" ht="15.75" customHeight="1" x14ac:dyDescent="0.25">
      <c r="A25" s="207" t="s">
        <v>100</v>
      </c>
      <c r="B25" s="207"/>
      <c r="C25" s="207"/>
      <c r="D25" s="207"/>
      <c r="E25" s="207"/>
      <c r="F25" s="207"/>
      <c r="G25" s="207"/>
      <c r="H25" s="207"/>
      <c r="I25" s="207"/>
      <c r="J25" s="207" t="s">
        <v>101</v>
      </c>
      <c r="K25" s="207"/>
      <c r="L25" s="207"/>
      <c r="V25" s="186" t="s">
        <v>2</v>
      </c>
      <c r="W25" s="186"/>
      <c r="X25" s="186"/>
      <c r="Y25" s="54" t="s">
        <v>3</v>
      </c>
      <c r="Z25" s="198" t="s">
        <v>102</v>
      </c>
      <c r="AA25" s="198"/>
      <c r="AB25" s="198"/>
      <c r="AC25" s="198"/>
      <c r="AD25" s="198"/>
      <c r="AE25" s="198"/>
      <c r="AF25" s="198"/>
      <c r="AG25" s="198"/>
      <c r="AH25" s="198"/>
      <c r="AI25" s="198"/>
      <c r="AJ25" s="198"/>
      <c r="AK25" s="198"/>
      <c r="AL25" s="198"/>
      <c r="AM25" s="198"/>
      <c r="AN25" s="198"/>
      <c r="AO25" s="198"/>
      <c r="AP25" s="198"/>
      <c r="AQ25" s="198"/>
      <c r="AR25" s="198"/>
      <c r="AS25" s="144"/>
      <c r="AT25" s="144"/>
      <c r="AV25" s="150">
        <f>RANK(AO7,$AO$6:$AO$9,0)+COUNTIF(AO$6:AO7, "="&amp;AO7)-1</f>
        <v>2</v>
      </c>
      <c r="AW25" s="53"/>
      <c r="AX25" s="148"/>
      <c r="AY25" s="141">
        <f>IF(AW25="",0,IF(AZ28="Yes",AZ25,VLOOKUP(AW25+TIME(0,0,1),$S$6:$V$21,3,TRUE)))</f>
        <v>0</v>
      </c>
      <c r="AZ25" s="50"/>
      <c r="BH25" s="171"/>
      <c r="BI25" s="39" t="s">
        <v>103</v>
      </c>
      <c r="BJ25" s="249"/>
      <c r="BK25" s="250"/>
      <c r="BL25" s="250"/>
      <c r="BM25" s="250"/>
      <c r="BN25" s="250"/>
      <c r="BO25" s="250"/>
      <c r="BP25" s="250"/>
      <c r="BQ25" s="251"/>
      <c r="BR25" s="228"/>
      <c r="CB25" s="150">
        <f>IF(CC25="#N/A", #N/A, Sheet3!A90)</f>
        <v>50</v>
      </c>
      <c r="CC25" s="150">
        <f>IF($H$11="1 lane",IF($BW$7&lt;50,IF(Sheet3!G90="",#N/A,Sheet3!G90),IF($BW$7&lt;70,IF(Sheet3!F90="",#N/A,Sheet3!F90),IF($BW$7&lt;90,IF(Sheet3!E90="",#N/A,Sheet3!E90),IF($BW$7&lt;110,IF(Sheet3!D90="",#N/A,Sheet3!D90),IF($BW$7&lt;130,IF(Sheet3!C90="",#N/A,Sheet3!C90),IF(Sheet3!B90="",#N/A,Sheet3!B90)))))),IF($BW$7&lt;50,IF(Sheet3!G103="",#N/A,Sheet3!G103),IF($BW$7&lt;70,IF(Sheet3!F103="",#N/A,Sheet3!F103),IF($BW$7&lt;90,IF(Sheet3!E103="",#N/A,Sheet3!E103),IF($BW$7&lt;110,IF(Sheet3!D103="",#N/A,Sheet3!D103),IF($BW$7&lt;130,IF(Sheet3!C103="",#N/A,Sheet3!C103),IF(Sheet3!B103="",#N/A,Sheet3!B103)))))))</f>
        <v>225</v>
      </c>
      <c r="CD25" s="150" t="str">
        <f t="shared" si="11"/>
        <v/>
      </c>
    </row>
    <row r="26" spans="1:82" ht="15.75" customHeight="1" x14ac:dyDescent="0.25">
      <c r="A26" s="184" t="s">
        <v>104</v>
      </c>
      <c r="B26" s="185"/>
      <c r="C26" s="185"/>
      <c r="D26" s="185"/>
      <c r="E26" s="185"/>
      <c r="F26" s="185"/>
      <c r="G26" s="185"/>
      <c r="H26" s="185"/>
      <c r="I26" s="157"/>
      <c r="J26" s="177" t="str">
        <f>IF((Y2=""),U2, Y2)</f>
        <v>No</v>
      </c>
      <c r="K26" s="177"/>
      <c r="L26" s="178"/>
      <c r="M26" s="24" t="s">
        <v>105</v>
      </c>
      <c r="N26" s="37" t="e">
        <f>IF(COUNTIF(AC29:AR41,"Yes")&gt;0,HLOOKUP(1,$AC$27:$AR$45,2,FALSE),HLOOKUP(1,$AC$26:$AR$45,3,FALSE))</f>
        <v>#N/A</v>
      </c>
      <c r="O26" s="37" t="e">
        <f>IF(OR(COUNTIF(AC29:AR41,"Yes")&gt;1),HLOOKUP(2,$AC$27:$AR$45,2,FALSE),IF((4-COUNTIF(AC29:AR41,"Yes"))=3,HLOOKUP(1,$AC$26:$AR$45,3,FALSE),IF((4-COUNTIF(AC29:AR41,"Yes"))=4,HLOOKUP(2,$AC$26:$AR$45,3,FALSE),"Failure")))</f>
        <v>#N/A</v>
      </c>
      <c r="P26" s="37" t="e">
        <f>IF(OR(COUNTIF(AC29:AR41,"Yes")&gt;2),HLOOKUP(3,$AC$27:$AR$45,2,FALSE),IF((4-COUNTIF(AC29:AR41,"Yes"))=2,HLOOKUP(1,$AC$26:$AR$45,3,FALSE),IF((4-COUNTIF(AC29:AR41,"Yes"))=3,HLOOKUP(2,$AC$26:$AR$45,3,FALSE),IF((4-COUNTIF(AC29:AR41,"Yes"))=4,HLOOKUP(3,$AC$26:$AR$45,3,FALSE),"Failure"))))</f>
        <v>#N/A</v>
      </c>
      <c r="Q26" s="24" t="e">
        <v>#N/A</v>
      </c>
      <c r="R26" s="37" t="e">
        <f>IF(COUNTIF(AC29:AR41,"Yes")&gt;3,HLOOKUP(4,$AC$27:$AR$45,2,FALSE),IF((4-COUNTIF(AC29:AR41,"Yes"))=1,HLOOKUP(1,$AC$26:$AR$45,3,FALSE),IF((4-COUNTIF(AC29:AR41,"Yes"))=2,HLOOKUP(2,$AC$26:$AR$45,3,FALSE),IF((4-COUNTIF(AC29:AR41,"Yes"))=3,HLOOKUP(3,$AC$26:$AR$45,3,FALSE),IF((4-COUNTIF(AC29:AR41,"Yes"))=4,HLOOKUP(4,$AC$26:$AR$45,3,FALSE),"Failure")))))</f>
        <v>#N/A</v>
      </c>
      <c r="V26" s="186" t="s">
        <v>4</v>
      </c>
      <c r="W26" s="186"/>
      <c r="X26" s="186"/>
      <c r="Y26" s="29" t="str">
        <f>IF(OR(Y25="",Y25="No"),"N/A",IF(COUNTIF(AC29:AR41,"Yes")&gt;3,"Yes","No"))</f>
        <v>No</v>
      </c>
      <c r="AB26" s="161" t="s">
        <v>106</v>
      </c>
      <c r="AC26" s="150" t="str">
        <f>IF(COUNTIF($AC$29:$AR$41,"YES")&lt;4,IF(MAX(AC29:AC42)&gt;0,RANK(AC46,$AC$46:$AR$46,1)+COUNTIF($AC46:AC46, "="&amp;AC46)-1,""),"False")</f>
        <v/>
      </c>
      <c r="AD26" s="150" t="str">
        <f>IF(COUNTIF($AC$29:$AR$41,"YES")&lt;4,IF(MAX(AD29:AD42)&gt;0,RANK(AD46,$AC$46:$AR$46,1)+COUNTIF($AC46:AD46, "="&amp;AD46)-1,""),"False")</f>
        <v/>
      </c>
      <c r="AE26" s="150" t="str">
        <f>IF(COUNTIF($AC$29:$AR$41,"YES")&lt;4,IF(MAX(AE29:AE42)&gt;0,RANK(AE46,$AC$46:$AR$46,1)+COUNTIF($AC46:AE46, "="&amp;AE46)-1,""),"False")</f>
        <v/>
      </c>
      <c r="AF26" s="150" t="str">
        <f>IF(COUNTIF($AC$29:$AR$41,"YES")&lt;4,IF(MAX(AF29:AF42)&gt;0,RANK(AF46,$AC$46:$AR$46,1)+COUNTIF($AC46:AF46, "="&amp;AF46)-1,""),"False")</f>
        <v/>
      </c>
      <c r="AG26" s="150" t="str">
        <f>IF(COUNTIF($AC$29:$AR$41,"YES")&lt;4,IF(MAX(AG29:AG42)&gt;0,RANK(AG46,$AC$46:$AR$46,1)+COUNTIF($AC46:AG46, "="&amp;AG46)-1,""),"False")</f>
        <v/>
      </c>
      <c r="AH26" s="150" t="str">
        <f>IF(COUNTIF($AC$29:$AR$41,"YES")&lt;4,IF(MAX(AH29:AH42)&gt;0,RANK(AH46,$AC$46:$AR$46,1)+COUNTIF($AC46:AH46, "="&amp;AH46)-1,""),"False")</f>
        <v/>
      </c>
      <c r="AI26" s="150" t="str">
        <f>IF(COUNTIF($AC$29:$AR$41,"YES")&lt;4,IF(MAX(AI29:AI42)&gt;0,RANK(AI46,$AC$46:$AR$46,1)+COUNTIF($AC46:AI46, "="&amp;AI46)-1,""),"False")</f>
        <v/>
      </c>
      <c r="AJ26" s="150" t="str">
        <f>IF(COUNTIF($AC$29:$AR$41,"YES")&lt;4,IF(MAX(AJ29:AJ42)&gt;0,RANK(AJ46,$AC$46:$AR$46,1)+COUNTIF($AC46:AJ46, "="&amp;AJ46)-1,""),"False")</f>
        <v/>
      </c>
      <c r="AK26" s="150" t="str">
        <f>IF(COUNTIF($AC$29:$AR$41,"YES")&lt;4,IF(MAX(AK29:AK42)&gt;0,RANK(AK46,$AC$46:$AR$46,1)+COUNTIF($AC46:AK46, "="&amp;AK46)-1,""),"False")</f>
        <v/>
      </c>
      <c r="AL26" s="150" t="str">
        <f>IF(COUNTIF($AC$29:$AR$41,"YES")&lt;4,IF(MAX(AL29:AL42)&gt;0,RANK(AL46,$AC$46:$AR$46,1)+COUNTIF($AC46:AL46, "="&amp;AL46)-1,""),"False")</f>
        <v/>
      </c>
      <c r="AM26" s="150" t="str">
        <f>IF(COUNTIF($AC$29:$AR$41,"YES")&lt;4,IF(MAX(AM29:AM42)&gt;0,RANK(AM46,$AC$46:$AR$46,1)+COUNTIF($AC46:AM46, "="&amp;AM46)-1,""),"False")</f>
        <v/>
      </c>
      <c r="AN26" s="150" t="str">
        <f>IF(COUNTIF($AC$29:$AR$41,"YES")&lt;4,IF(MAX(AN29:AN42)&gt;0,RANK(AN46,$AC$46:$AR$46,1)+COUNTIF($AC46:AN46, "="&amp;AN46)-1,""),"False")</f>
        <v/>
      </c>
      <c r="AO26" s="150" t="str">
        <f>IF(COUNTIF($AC$29:$AR$41,"YES")&lt;4,IF(MAX(AO29:AO42)&gt;0,RANK(AO46,$AC$46:$AR$46,1)+COUNTIF($AC46:AO46, "="&amp;AO46)-1,""),"False")</f>
        <v/>
      </c>
      <c r="AP26" s="150" t="str">
        <f>IF(COUNTIF($AC$29:$AR$41,"YES")&lt;4,IF(MAX(AP29:AP42)&gt;0,RANK(AP46,$AC$46:$AR$46,1)+COUNTIF($AC46:AP46, "="&amp;AP46)-1,""),"False")</f>
        <v/>
      </c>
      <c r="AQ26" s="150" t="str">
        <f>IF(COUNTIF($AC$29:$AR$41,"YES")&lt;4,IF(MAX(AQ29:AQ42)&gt;0,RANK(AQ46,$AC$46:$AR$46,1)+COUNTIF($AC46:AQ46, "="&amp;AQ46)-1,""),"False")</f>
        <v/>
      </c>
      <c r="AR26" s="150" t="str">
        <f>IF(COUNTIF($AC$29:$AR$41,"YES")&lt;4,IF(MAX(AR29:AR42)&gt;0,RANK(AR46,$AC$46:$AR$46,1)+COUNTIF($AC46:AR46, "="&amp;AR46)-1,""),"False")</f>
        <v/>
      </c>
      <c r="AS26" s="181" t="s">
        <v>11</v>
      </c>
      <c r="AT26" s="181"/>
      <c r="AU26" s="102"/>
      <c r="AV26" s="150">
        <f>RANK(AO8,$AO$6:$AO$9,0)+COUNTIF(AO$6:AO8, "="&amp;AO8)-1</f>
        <v>3</v>
      </c>
      <c r="AW26" s="53"/>
      <c r="AX26" s="148"/>
      <c r="AY26" s="141">
        <f>IF(AW26="",0,IF(AZ28="Yes",AZ26,VLOOKUP(AW26+TIME(0,0,1),$S$6:$V$21,3,TRUE)))</f>
        <v>0</v>
      </c>
      <c r="AZ26" s="50"/>
      <c r="BH26" s="171">
        <v>2</v>
      </c>
      <c r="BI26" s="229" t="s">
        <v>107</v>
      </c>
      <c r="BJ26" s="229"/>
      <c r="BK26" s="229"/>
      <c r="BL26" s="229"/>
      <c r="BM26" s="229"/>
      <c r="BN26" s="229"/>
      <c r="BO26" s="169" t="s">
        <v>108</v>
      </c>
      <c r="BP26" s="169"/>
      <c r="BQ26" s="169"/>
      <c r="BR26" s="228"/>
      <c r="BU26" s="150"/>
    </row>
    <row r="27" spans="1:82" ht="15.75" customHeight="1" x14ac:dyDescent="0.25">
      <c r="A27" s="2"/>
      <c r="B27" s="203" t="s">
        <v>109</v>
      </c>
      <c r="C27" s="203"/>
      <c r="D27" s="203"/>
      <c r="E27" s="203"/>
      <c r="F27" s="203"/>
      <c r="G27" s="203"/>
      <c r="H27" s="203"/>
      <c r="I27" s="156"/>
      <c r="J27" s="209" t="str">
        <f>P9</f>
        <v>No</v>
      </c>
      <c r="K27" s="209"/>
      <c r="L27" s="210"/>
      <c r="M27" s="24" t="s">
        <v>40</v>
      </c>
      <c r="N27" s="141" t="e">
        <f>IF(COUNTIF(AC29:AR41,"Yes")&gt;0,HLOOKUP(1,$AC$27:$AR$45,17,FALSE),HLOOKUP(1,$AC$26:$AR$45,18,FALSE))</f>
        <v>#N/A</v>
      </c>
      <c r="O27" s="141" t="e">
        <f>IF(OR(COUNTIF(AC29:AR41,"Yes")&gt;1),HLOOKUP(2,$AC$27:$AR$45,17,FALSE),IF((4-COUNTIF(AC29:AR41,"Yes"))=3,HLOOKUP(1,$AC$26:$AR$45,18,FALSE),IF((4-COUNTIF(AC29:AR41,"Yes"))=4,HLOOKUP(2,$AC$26:$AR$45,18,FALSE),"Failure")))</f>
        <v>#N/A</v>
      </c>
      <c r="P27" s="141" t="e">
        <f>IF(OR(COUNTIF(AC29:AR41,"Yes")&gt;2),HLOOKUP(3,$AC$27:$AR$45,17,FALSE),IF((4-COUNTIF(AC29:AR41,"Yes"))=2,HLOOKUP(1,$AC$26:$AR$45,18,FALSE),IF((4-COUNTIF(AC29:AR41,"Yes"))=3,HLOOKUP(2,$AC$26:$AR$45,18,FALSE),IF((4-COUNTIF(AC29:AR41,"Yes"))=4,HLOOKUP(3,$AC$26:$AR$45,18,FALSE),"Failure"))))</f>
        <v>#N/A</v>
      </c>
      <c r="Q27" s="24" t="e">
        <v>#N/A</v>
      </c>
      <c r="R27" s="141" t="e">
        <f>IF(COUNTIF(AC29:AR41,"Yes")&gt;3,HLOOKUP(4,$AC$27:$AR$45,17,FALSE),IF((4-COUNTIF(AC29:AR41,"Yes"))=1,HLOOKUP(1,$AC$26:$AR$45,18,FALSE),IF((4-COUNTIF(AC29:AR41,"Yes"))=2,HLOOKUP(2,$AC$26:$AR$45,18,FALSE),IF((4-COUNTIF(AC29:AR41,"Yes"))=3,HLOOKUP(3,$AC$26:$AR$45,18,FALSE),IF((4-COUNTIF(AC29:AR41,"Yes"))=4,HLOOKUP(4,$AC$26:$AR$45,18,FALSE),"Failure")))))</f>
        <v>#N/A</v>
      </c>
      <c r="V27" s="186" t="s">
        <v>5</v>
      </c>
      <c r="W27" s="186"/>
      <c r="X27" s="186"/>
      <c r="Y27" s="54"/>
      <c r="AB27" s="161" t="s">
        <v>110</v>
      </c>
      <c r="AC27" s="150" t="str">
        <f>IF(COUNTIF(AC29:AC41,"Yes")&gt;0,RANK(AC47,$AC$47:$AR$47,0)+COUNTIF($AC47:AC47, "="&amp;AC47)-1,"")</f>
        <v/>
      </c>
      <c r="AD27" s="150" t="str">
        <f>IF(COUNTIF(AD29:AD41,"Yes")&gt;0,RANK(AD47,$AC$47:$AR$47,0)+COUNTIF($AC47:AD47, "="&amp;AD47)-1,"")</f>
        <v/>
      </c>
      <c r="AE27" s="150" t="str">
        <f>IF(COUNTIF(AE29:AE41,"Yes")&gt;0,RANK(AE47,$AC$47:$AR$47,0)+COUNTIF($AC47:AE47, "="&amp;AE47)-1,"")</f>
        <v/>
      </c>
      <c r="AF27" s="150" t="str">
        <f>IF(COUNTIF(AF29:AF41,"Yes")&gt;0,RANK(AF47,$AC$47:$AR$47,0)+COUNTIF($AC47:AF47, "="&amp;AF47)-1,"")</f>
        <v/>
      </c>
      <c r="AG27" s="150" t="str">
        <f>IF(COUNTIF(AG29:AG41,"Yes")&gt;0,RANK(AG47,$AC$47:$AR$47,0)+COUNTIF($AC47:AG47, "="&amp;AG47)-1,"")</f>
        <v/>
      </c>
      <c r="AH27" s="150" t="str">
        <f>IF(COUNTIF(AH29:AH41,"Yes")&gt;0,RANK(AH47,$AC$47:$AR$47,0)+COUNTIF($AC47:AH47, "="&amp;AH47)-1,"")</f>
        <v/>
      </c>
      <c r="AI27" s="150" t="str">
        <f>IF(COUNTIF(AI29:AI41,"Yes")&gt;0,RANK(AI47,$AC$47:$AR$47,0)+COUNTIF($AC47:AI47, "="&amp;AI47)-1,"")</f>
        <v/>
      </c>
      <c r="AJ27" s="150" t="str">
        <f>IF(COUNTIF(AJ29:AJ41,"Yes")&gt;0,RANK(AJ47,$AC$47:$AR$47,0)+COUNTIF($AC47:AJ47, "="&amp;AJ47)-1,"")</f>
        <v/>
      </c>
      <c r="AK27" s="150" t="str">
        <f>IF(COUNTIF(AK29:AK41,"Yes")&gt;0,RANK(AK47,$AC$47:$AR$47,0)+COUNTIF($AC47:AK47, "="&amp;AK47)-1,"")</f>
        <v/>
      </c>
      <c r="AL27" s="150" t="str">
        <f>IF(COUNTIF(AL29:AL41,"Yes")&gt;0,RANK(AL47,$AC$47:$AR$47,0)+COUNTIF($AC47:AL47, "="&amp;AL47)-1,"")</f>
        <v/>
      </c>
      <c r="AM27" s="150" t="str">
        <f>IF(COUNTIF(AM29:AM41,"Yes")&gt;0,RANK(AM47,$AC$47:$AR$47,0)+COUNTIF($AC47:AM47, "="&amp;AM47)-1,"")</f>
        <v/>
      </c>
      <c r="AN27" s="150" t="str">
        <f>IF(COUNTIF(AN29:AN41,"Yes")&gt;0,RANK(AN47,$AC$47:$AR$47,0)+COUNTIF($AC47:AN47, "="&amp;AN47)-1,"")</f>
        <v/>
      </c>
      <c r="AO27" s="150" t="str">
        <f>IF(COUNTIF(AO29:AO41,"Yes")&gt;0,RANK(AO47,$AC$47:$AR$47,0)+COUNTIF($AC47:AO47, "="&amp;AO47)-1,"")</f>
        <v/>
      </c>
      <c r="AP27" s="150" t="str">
        <f>IF(COUNTIF(AP29:AP41,"Yes")&gt;0,RANK(AP47,$AC$47:$AR$47,0)+COUNTIF($AC47:AP47, "="&amp;AP47)-1,"")</f>
        <v/>
      </c>
      <c r="AQ27" s="150" t="str">
        <f>IF(COUNTIF(AQ29:AQ41,"Yes")&gt;0,RANK(AQ47,$AC$47:$AR$47,0)+COUNTIF($AC47:AQ47, "="&amp;AQ47)-1,"")</f>
        <v/>
      </c>
      <c r="AR27" s="150" t="str">
        <f>IF(COUNTIF(AR29:AR41,"Yes")&gt;0,RANK(AR47,$AC$47:$AR$47,0)+COUNTIF($AC47:AR47, "="&amp;AR47)-1,"")</f>
        <v/>
      </c>
      <c r="AS27" s="172" t="s">
        <v>111</v>
      </c>
      <c r="AT27" s="172"/>
      <c r="AV27" s="150">
        <f>RANK(AO9,$AO$6:$AO$9,0)+COUNTIF(AO$6:AO9, "="&amp;AO9)-1</f>
        <v>4</v>
      </c>
      <c r="AW27" s="53"/>
      <c r="AX27" s="148"/>
      <c r="AY27" s="141">
        <f>IF(AW27="",0,IF(AZ28="Yes",AZ27,VLOOKUP(AW27+TIME(0,0,1),$S$6:$V$21,3,TRUE)))</f>
        <v>0</v>
      </c>
      <c r="AZ27" s="50"/>
      <c r="BH27" s="171"/>
      <c r="BI27" s="229"/>
      <c r="BJ27" s="229"/>
      <c r="BK27" s="229"/>
      <c r="BL27" s="229"/>
      <c r="BM27" s="229"/>
      <c r="BN27" s="229"/>
      <c r="BO27" s="237"/>
      <c r="BP27" s="237"/>
      <c r="BQ27" s="237"/>
      <c r="BR27" s="228"/>
    </row>
    <row r="28" spans="1:82" ht="15.75" customHeight="1" x14ac:dyDescent="0.25">
      <c r="A28" s="3"/>
      <c r="B28" s="208" t="s">
        <v>112</v>
      </c>
      <c r="C28" s="208"/>
      <c r="D28" s="208"/>
      <c r="E28" s="208"/>
      <c r="F28" s="208"/>
      <c r="G28" s="208"/>
      <c r="H28" s="208"/>
      <c r="I28" s="159"/>
      <c r="J28" s="165" t="str">
        <f>P17</f>
        <v>No</v>
      </c>
      <c r="K28" s="165"/>
      <c r="L28" s="166"/>
      <c r="M28" s="24" t="s">
        <v>41</v>
      </c>
      <c r="N28" s="141" t="e">
        <f>IF(COUNTIF(AC29:AR41,"Yes")&gt;0,HLOOKUP(1,$AC$27:$AR$45,18,FALSE),HLOOKUP(1,$AC$26:$AR$45,19,FALSE))</f>
        <v>#N/A</v>
      </c>
      <c r="O28" s="141" t="e">
        <f>IF(OR(COUNTIF(AC29:AR41,"Yes")&gt;1),HLOOKUP(2,$AC$27:$AR$45,18,FALSE),IF((4-COUNTIF(AC29:AR41,"Yes"))=3,HLOOKUP(1,$AC$26:$AR$45,19,FALSE),IF((4-COUNTIF(AC29:AR41,"Yes"))=4,HLOOKUP(2,$AC$26:$AR$45,19,FALSE),"Failure")))</f>
        <v>#N/A</v>
      </c>
      <c r="P28" s="141" t="e">
        <f>IF(OR(COUNTIF(AC29:AR41,"Yes")&gt;2),HLOOKUP(3,$AC$27:$AR$45,18,FALSE),IF((4-COUNTIF(AC29:AR41,"Yes"))=2,HLOOKUP(1,$AC$26:$AR$45,19,FALSE),IF((4-COUNTIF(AC29:AR41,"Yes"))=3,HLOOKUP(2,$AC$26:$AR$45,19,FALSE),IF((4-COUNTIF(AC29:AR41,"Yes"))=4,HLOOKUP(3,$AC$26:$AR$45,19,FALSE),"Failure"))))</f>
        <v>#N/A</v>
      </c>
      <c r="Q28" s="24" t="e">
        <v>#N/A</v>
      </c>
      <c r="R28" s="141" t="e">
        <f>IF(COUNTIF(AC29:AR41,"Yes")&gt;3,HLOOKUP(4,$AC$27:$AR$45,18,FALSE),IF((4-COUNTIF(AC29:AR41,"Yes"))=1,HLOOKUP(1,$AC$26:$AR$45,19,FALSE),IF((4-COUNTIF(AC29:AR41,"Yes"))=2,HLOOKUP(2,$AC$26:$AR$45,19,FALSE),IF((4-COUNTIF(AC29:AR41,"Yes"))=3,HLOOKUP(3,$AC$26:$AR$45,19,FALSE),IF((4-COUNTIF(AC29:AR41,"Yes"))=4,HLOOKUP(4,$AC$26:$AR$45,19,FALSE),"Failure")))))</f>
        <v>#N/A</v>
      </c>
      <c r="Z28" s="150" t="s">
        <v>113</v>
      </c>
      <c r="AA28" s="150" t="s">
        <v>114</v>
      </c>
      <c r="AB28" s="150" t="s">
        <v>25</v>
      </c>
      <c r="AC28" s="47">
        <f>S6</f>
        <v>0.25</v>
      </c>
      <c r="AD28" s="47">
        <f>S7</f>
        <v>0.29166666666666669</v>
      </c>
      <c r="AE28" s="47">
        <f>S8</f>
        <v>0.33333333333333337</v>
      </c>
      <c r="AF28" s="47">
        <f>S9</f>
        <v>0.37500000000000006</v>
      </c>
      <c r="AG28" s="47">
        <f>S10</f>
        <v>0.41666666666666674</v>
      </c>
      <c r="AH28" s="47">
        <f>S11</f>
        <v>0.45833333333333343</v>
      </c>
      <c r="AI28" s="47">
        <f>S12</f>
        <v>0.50000000000000011</v>
      </c>
      <c r="AJ28" s="47">
        <f>S13</f>
        <v>0.54166666666666674</v>
      </c>
      <c r="AK28" s="47">
        <f>S14</f>
        <v>0.58333333333333337</v>
      </c>
      <c r="AL28" s="47">
        <f>S15</f>
        <v>0.625</v>
      </c>
      <c r="AM28" s="47">
        <f>S16</f>
        <v>0.66666666666666663</v>
      </c>
      <c r="AN28" s="47">
        <f>S17</f>
        <v>0.70833333333333326</v>
      </c>
      <c r="AO28" s="47">
        <f>S18</f>
        <v>0.74999999999999989</v>
      </c>
      <c r="AP28" s="47">
        <f>S19</f>
        <v>0.79166666666666652</v>
      </c>
      <c r="AQ28" s="47">
        <f>S20</f>
        <v>0.83333333333333315</v>
      </c>
      <c r="AR28" s="47">
        <f>S21</f>
        <v>0.87499999999999978</v>
      </c>
      <c r="AS28" s="150" t="s">
        <v>113</v>
      </c>
      <c r="AT28" s="150" t="s">
        <v>114</v>
      </c>
      <c r="AU28" s="150" t="s">
        <v>25</v>
      </c>
      <c r="AW28" s="233" t="s">
        <v>115</v>
      </c>
      <c r="AX28" s="233"/>
      <c r="AY28" s="233"/>
      <c r="AZ28" s="52"/>
      <c r="BH28" s="171">
        <v>3</v>
      </c>
      <c r="BI28" s="221" t="s">
        <v>116</v>
      </c>
      <c r="BJ28" s="221"/>
      <c r="BK28" s="221"/>
      <c r="BL28" s="221"/>
      <c r="BM28" s="221"/>
      <c r="BN28" s="221"/>
      <c r="BO28" s="221"/>
      <c r="BP28" s="221"/>
      <c r="BQ28" s="141" t="str">
        <f>IF((O8&gt;7),"Yes","No")</f>
        <v>No</v>
      </c>
      <c r="BR28" s="171" t="str">
        <f>IF(OR(BQ28="Yes",BQ29="Yes",BQ30="Yes",BQ31="Yes"),"Yes", "No")</f>
        <v>Yes</v>
      </c>
      <c r="CB28" t="s">
        <v>117</v>
      </c>
    </row>
    <row r="29" spans="1:82" ht="15.75" customHeight="1" x14ac:dyDescent="0.25">
      <c r="A29" s="3"/>
      <c r="B29" s="208" t="s">
        <v>118</v>
      </c>
      <c r="C29" s="208"/>
      <c r="D29" s="208"/>
      <c r="E29" s="208"/>
      <c r="F29" s="208"/>
      <c r="G29" s="208"/>
      <c r="H29" s="208"/>
      <c r="I29" s="159"/>
      <c r="J29" s="165" t="str">
        <f>P21</f>
        <v>No</v>
      </c>
      <c r="K29" s="165"/>
      <c r="L29" s="166"/>
      <c r="Z29" s="150">
        <f>IF(OR($B$11 ="",$H$11="",AA29=""),"",Sheet3!A15)</f>
        <v>1400</v>
      </c>
      <c r="AA29" s="150">
        <f>IF(OR($B$11 ="",$H$11=""),"",IF($L$15="Yes",
IF($L$1="70%",
IF($B$11="1 lane",IF($H$11="1 lane",IF(Sheet3!B15="",#N/A,Sheet3!B15*1.5),IF(Sheet3!F15="",#N/A,Sheet3!F15*1.5)),IF($H$11="1 lane",IF(Sheet3!D15="",#N/A,Sheet3!D15*1.5),IF(Sheet3!H15="",#N/A,Sheet3!H15*1.5))),
IF($B$11="1 lane",IF($H$11="1 lane",IF(Sheet3!J15="",#N/A,Sheet3!J15*1.5),IF(Sheet3!N15="",#N/A,Sheet3!N15*1.5)),IF($H$11="1 lane",IF(Sheet3!L15="",#N/A,Sheet3!L15*1.5),IF(Sheet3!P15="",#N/A,Sheet3!P15*1.5)))),
IF($L$1="70%",
IF($B$11="1 lane",IF($H$11="1 lane",IF(Sheet3!B15="",#N/A,Sheet3!B15),IF(Sheet3!F15="",#N/A,Sheet3!F15)),IF($H$11="1 lane",IF(Sheet3!D15="",#N/A,Sheet3!D15),IF(Sheet3!H15="",#N/A,Sheet3!H15))),
IF($B$11="1 lane",IF($H$11="1 lane",IF(Sheet3!J15="",#N/A,Sheet3!J15),IF(Sheet3!N15="",#N/A,Sheet3!N15)),IF($H$11="1 lane",IF(Sheet3!L15="",#N/A,Sheet3!L15),IF(Sheet3!P15="",#N/A,Sheet3!P15))))))</f>
        <v>80</v>
      </c>
      <c r="AB29" s="150" t="str">
        <f>IF(OR($B$11 ="",$H$11=""),"",IF($L$1="70%",IF($B$11="1 lane",IF($H$11="1 lane",IF(Sheet3!C15="","No","Yes"),IF(Sheet3!G15="","No","Yes")),IF($H$11="1 lane",IF(Sheet3!E15="","No","Yes"),IF(Sheet3!I15="","No","Yes"))),IF($B$11="1 lane",IF($H$11="1 lane",IF(Sheet3!K15="","No","Yes"),IF(Sheet3!O15="","No","Yes")),IF(H$11="1 lane",IF(Sheet3!M15="","No","Yes"),IF(Sheet3!Q15="","No","Yes")))))</f>
        <v>No</v>
      </c>
      <c r="AC29" s="121"/>
      <c r="AD29" s="122"/>
      <c r="AE29" s="122"/>
      <c r="AF29" s="122"/>
      <c r="AG29" s="121"/>
      <c r="AH29" s="121"/>
      <c r="AI29" s="121"/>
      <c r="AJ29" s="121"/>
      <c r="AK29" s="121"/>
      <c r="AL29" s="121"/>
      <c r="AM29" s="121"/>
      <c r="AN29" s="121"/>
      <c r="AO29" s="121"/>
      <c r="AP29" s="121"/>
      <c r="AQ29" s="121"/>
      <c r="AR29" s="121"/>
      <c r="AS29" s="150">
        <f>IF(OR($B$11 ="",$H$11="",AT29=""),"",Sheet3!A34)</f>
        <v>1800</v>
      </c>
      <c r="AT29" s="150">
        <f>IF(OR($B$11 ="",$H$11=""),"",IF($L$15="Yes",
IF($L$1="70%",
IF($B$11="1 lane",IF($H$11="1 lane",IF(Sheet3!B34="",#N/A,Sheet3!B34*1.5),IF(Sheet3!F34="",#N/A,Sheet3!F34*1.5)),IF($H$11="1 lane",IF(Sheet3!D34="",#N/A,Sheet3!D34*1.5),IF(Sheet3!H34="",#N/A,Sheet3!H34*1.5))),
IF($B$11="1 lane",IF($H$11="1 lane",IF(Sheet3!J34="",#N/A,Sheet3!J34*1.5),IF(Sheet3!N34="",#N/A,Sheet3!N34*1.5)),IF($H$11="1 lane",IF(Sheet3!L34="",#N/A,Sheet3!L34*1.5),IF(Sheet3!P34="",#N/A,Sheet3!P34*1.5)))),
IF($L$1="70%",
IF($B$11="1 lane",IF($H$11="1 lane",IF(Sheet3!B34="",#N/A,Sheet3!B34),IF(Sheet3!F34="",#N/A,Sheet3!F34)),IF($H$11="1 lane",IF(Sheet3!D34="",#N/A,Sheet3!D34),IF(Sheet3!H34="",#N/A,Sheet3!H34))),
IF($B$11="1 lane",IF($H$11="1 lane",IF(Sheet3!J34="",#N/A,Sheet3!J34),IF(Sheet3!N34="",#N/A,Sheet3!N34)),IF($H$11="1 lane",IF(Sheet3!L34="",#N/A,Sheet3!L34),IF(Sheet3!P34="",#N/A,Sheet3!P34))))))</f>
        <v>100</v>
      </c>
      <c r="AU29" s="150" t="str">
        <f>IF(OR($B$11 ="",$H$11=""),"",IF($L$1="70%",IF($B$11="1 lane",IF($H$11="1 lane",IF(Sheet3!C34="","No","Yes"),IF(Sheet3!G34="","No","Yes")),IF($H$11="1 lane",IF(Sheet3!E34="","No","Yes"),IF(Sheet3!I34="","No","Yes"))),IF($B$11="1 lane",IF($H$11="1 lane",IF(Sheet3!K34="","No","Yes"),IF(Sheet3!O34="","No","Yes")),IF(H$11="1 lane",IF(Sheet3!M34="","No","Yes"),IF(Sheet3!Q34="","No","Yes")))))</f>
        <v>No</v>
      </c>
      <c r="AV29" s="102"/>
      <c r="AW29" s="243" t="s">
        <v>119</v>
      </c>
      <c r="AX29" s="243"/>
      <c r="AY29" s="243"/>
      <c r="AZ29" s="52"/>
      <c r="BH29" s="171"/>
      <c r="BI29" s="221" t="s">
        <v>120</v>
      </c>
      <c r="BJ29" s="221"/>
      <c r="BK29" s="221"/>
      <c r="BL29" s="221"/>
      <c r="BM29" s="221"/>
      <c r="BN29" s="221"/>
      <c r="BO29" s="221"/>
      <c r="BP29" s="221"/>
      <c r="BQ29" s="141" t="str">
        <f>IF((O16&gt;7),"Yes","No")</f>
        <v>No</v>
      </c>
      <c r="BR29" s="171"/>
      <c r="CB29" s="248" t="s">
        <v>121</v>
      </c>
      <c r="CC29" s="248"/>
      <c r="CD29" s="248"/>
    </row>
    <row r="30" spans="1:82" ht="15.75" customHeight="1" x14ac:dyDescent="0.25">
      <c r="A30" s="205" t="s">
        <v>122</v>
      </c>
      <c r="B30" s="206"/>
      <c r="C30" s="206"/>
      <c r="D30" s="206"/>
      <c r="E30" s="206"/>
      <c r="F30" s="206"/>
      <c r="G30" s="206"/>
      <c r="H30" s="206"/>
      <c r="I30" s="158"/>
      <c r="J30" s="167" t="str">
        <f>IF(Y27="",Y26,Y27)</f>
        <v>No</v>
      </c>
      <c r="K30" s="167"/>
      <c r="L30" s="168"/>
      <c r="V30" s="150"/>
      <c r="W30" s="150"/>
      <c r="X30" s="150"/>
      <c r="Y30" s="150"/>
      <c r="Z30" s="150">
        <f>IF(OR($B$11 ="",$H$11=""),"",Sheet3!A16)</f>
        <v>1400</v>
      </c>
      <c r="AA30" s="150">
        <f>IF(OR($B$11 ="",$H$11=""),"",IF($L$15="Yes",
IF($L$1="70%",
IF($B$11="1 lane",IF($H$11="1 lane",IF(Sheet3!B16="",#N/A,Sheet3!B16*1.5),IF(Sheet3!F16="",#N/A,Sheet3!F16*1.5)),IF($H$11="1 lane",IF(Sheet3!D16="",#N/A,Sheet3!D16*1.5),IF(Sheet3!H16="",#N/A,Sheet3!H16*1.5))),
IF($B$11="1 lane",IF($H$11="1 lane",IF(Sheet3!J16="",#N/A,Sheet3!J16*1.5),IF(Sheet3!N16="",#N/A,Sheet3!N16*1.5)),IF($H$11="1 lane",IF(Sheet3!L16="",#N/A,Sheet3!L16*1.5),IF(Sheet3!P16="",#N/A,Sheet3!P16*1.5)))),
IF($L$1="70%",
IF($B$11="1 lane",IF($H$11="1 lane",IF(Sheet3!B16="",#N/A,Sheet3!B16),IF(Sheet3!F16="",#N/A,Sheet3!F16)),IF($H$11="1 lane",IF(Sheet3!D16="",#N/A,Sheet3!D16),IF(Sheet3!H16="",#N/A,Sheet3!H16))),
IF($B$11="1 lane",IF($H$11="1 lane",IF(Sheet3!J16="",#N/A,Sheet3!J16),IF(Sheet3!N16="",#N/A,Sheet3!N16)),IF($H$11="1 lane",IF(Sheet3!L16="",#N/A,Sheet3!L16),IF(Sheet3!P16="",#N/A,Sheet3!P16))))))</f>
        <v>80</v>
      </c>
      <c r="AB30" s="150" t="str">
        <f>IF(OR($B$11 ="",$H$11=""),"",IF($L$1="70%",IF($B$11="1 lane",IF($H$11="1 lane",IF(Sheet3!C16="","No","Yes"),IF(Sheet3!G16="","No","Yes")),IF($H$11="1 lane",IF(Sheet3!E16="","No","Yes"),IF(Sheet3!I16="","No","Yes"))),IF($B$11="1 lane",IF($H$11="1 lane",IF(Sheet3!K16="","No","Yes"),IF(Sheet3!O16="","No","Yes")),IF(H$11="1 lane",IF(Sheet3!M16="","No","Yes"),IF(Sheet3!Q16="","No","Yes")))))</f>
        <v>No</v>
      </c>
      <c r="AC30" s="122" t="str">
        <f>IF(AND($U$6&gt;=$Z30,$U$6&lt;$Z29),IF($AB30="No",IF($W$6&gt;=$AA30,"Yes",$AA30-$W$6),
IF($L$15="Yes",
IF($AA$44="70%",
IF($AA$45="1-1",IF($W$6&gt;=((0.000415*$U$6^2)-(0.7559*$U$6)+394.89)*1.5,"Yes",(((0.000415*$U$6^2)-(0.7559*$U$6)+394.89)*1.5)-$W$6),
IF(OR($AA$45="2-1",$AA$45="1-2"),IF($W$6&gt;=((0.0004*$U$6^2)-(0.8125*$U$6)+473.69)*1.5,"Yes",(((0.0004*$U$6^2)-(0.8125*$U$6)+473.69)*1.5)-$W$6),
IF($AA$45="2-2",IF($W$6&gt;=((0.00047*$U$6^2)-(1.0164*$U$6)+620.14)*1.5,"Yes",(((0.00047*$U$6^2)-(1.0164*$U$6)+620.14)*1.5)-$W$6),"Error"))),
IF($AA$45="1-1",IF($W$6&gt;=((0.0003*$U$6^2)-(0.7722*$U$6)+572.22)*1.5,"Yes",(((0.0003*$U$6^2)-(0.7722*$U$6)+572.22)*1.5)-$W$6),
IF(OR($AA$45="2-1",$AA$45="1-2"),IF($W$6&gt;=((0.000247*$U$6^2)-(0.7566*$U$6)+654.7)*1.5,"Yes",(((0.000247*$U$6^2)-(0.7566*$U$6)+654.7)*1.5)-$W$6),
IF($AA$45="2-2",IF($W$6&gt;=((0.000315*$U$6^2)-(0.9941*$U$6)+875.6)*1.5,"Yes",(((0.000315*$U$6^2)-(0.9941*$U$6)+875.6)*1.5)-$W$6),"Error")))),
IF($AA$44="70%",
IF($AA$45="1-1",IF($W$6&gt;=(0.000415*$U$6^2)-(0.7559*$U$6)+394.89,"Yes",((0.000415*$U$6^2)-(0.7559*$U$6)+394.89)-$W$6),
IF(OR($AA$45="2-1",$AA$45="1-2"),IF($W$6&gt;=(0.0004*$U$6^2)-(0.8125*$U$6)+473.69,"Yes",((0.0004*$U$6^2)-(0.8125*$U$6)+473.69)-$W$6),
IF($AA$45="2-2",IF($W$6&gt;=(0.00047*$U$6^2)-(1.0164*$U$6)+620.14,"Yes",((0.00047*$U$6^2)-(1.0164*$U$6)+620.14)-$W$6),"Error"))),
IF($AA$45="1-1",IF($W$6&gt;=(0.0003*$U$6^2)-(0.7722*$U$6)+572.22,"Yes",((0.0003*$U$6^2)-(0.7722*$U$6)+572.22)-$W$6),
IF(OR($AA$45="2-1",$AA$45="1-2"),IF($W$6&gt;=(0.000247*$U$6^2)-(0.7566*$U$6)+654.7,"Yes",((0.000247*$U$6^2)-(0.7566*$U$6)+654.7)-$W$6),
IF($AA$45="2-2",IF($W$6&gt;=(0.000315*$U$6^2)-(0.9941*$U$6)+875.6,"Yes",((0.000315*$U$6^2)-(0.9941*$U$6)+875.6)-$W$6),"Error")))))),"")</f>
        <v/>
      </c>
      <c r="AD30" s="122" t="str">
        <f>IF(AND($U$7&gt;=$Z30,$U$7&lt;$Z29),IF($AB30="No",IF($W$7&gt;=$AA30,"Yes",$AA30-$W$7),
IF($L$15="Yes",
IF($AA$44="70%",
IF($AA$45="1-1",IF($W$7&gt;=((0.000415*$U$7^2)-(0.7559*$U$7)+394.89)*1.5,"Yes",(((0.000415*$U$7^2)-(0.7559*$U$7)+394.89)*1.5)-$W$7),
IF(OR($AA$45="2-1",$AA$45="1-2"),IF($W$7&gt;=((0.0004*$U$7^2)-(0.8125*$U$7)+473.69)*1.5,"Yes",(((0.0004*$U$7^2)-(0.8125*$U$7)+473.69)*1.5)-$W$7),
IF($AA$45="2-2",IF($W$7&gt;=((0.00047*$U$7^2)-(1.0164*$U$7)+620.14)*1.5,"Yes",(((0.00047*$U$7^2)-(1.0164*$U$7)+620.14)*1.5)-$W$7),"Error"))),
IF($AA$45="1-1",IF($W$7&gt;=((0.0003*$U$7^2)-(0.7722*$U$7)+572.22)*1.5,"Yes",(((0.0003*$U$7^2)-(0.7722*$U$7)+572.22)*1.5)-$W$7),
IF(OR($AA$45="2-1",$AA$45="1-2"),IF($W$7&gt;=((0.000247*$U$7^2)-(0.7566*$U$7)+654.7)*1.5,"Yes",(((0.000247*$U$7^2)-(0.7566*$U$7)+654.7)*1.5)-$W$7),
IF($AA$45="2-2",IF($W$7&gt;=((0.000315*$U$7^2)-(0.9941*$U$7)+875.6)*1.5,"Yes",(((0.000315*$U$7^2)-(0.9941*$U$7)+875.6)*1.5)-$W$7),"Error")))),
IF($AA$44="70%",
IF($AA$45="1-1",IF($W$7&gt;=(0.000415*$U$7^2)-(0.7559*$U$7)+394.89,"Yes",((0.000415*$U$7^2)-(0.7559*$U$7)+394.89)-$W$7),
IF(OR($AA$45="2-1",$AA$45="1-2"),IF($W$7&gt;=(0.0004*$U$7^2)-(0.8125*$U$7)+473.69,"Yes",((0.0004*$U$7^2)-(0.8125*$U$7)+473.69)-$W$7),
IF($AA$45="2-2",IF($W$7&gt;=(0.00047*$U$7^2)-(1.0164*$U$7)+620.14,"Yes",((0.00047*$U$7^2)-(1.0164*$U$7)+620.14)-$W$7),"Error"))),
IF($AA$45="1-1",IF($W$7&gt;=(0.0003*$U$7^2)-(0.7722*$U$7)+572.22,"Yes",((0.0003*$U$7^2)-(0.7722*$U$7)+572.22)-$W$7),
IF(OR($AA$45="2-1",$AA$45="1-2"),IF($W$7&gt;=(0.000247*$U$7^2)-(0.7566*$U$7)+654.7,"Yes",((0.000247*$U$7^2)-(0.7566*$U$7)+654.7)-$W$7),
IF($AA$45="2-2",IF($W$7&gt;=(0.000315*$U$7^2)-(0.9941*$U$7)+875.6,"Yes",((0.000315*$U$7^2)-(0.9941*$U$7)+875.6)-$W$7),"Error")))))),"")</f>
        <v/>
      </c>
      <c r="AE30" s="122" t="str">
        <f>IF(AND($U$8&gt;=$Z30,$U$8&lt;$Z29),IF($AB30="No",IF($W$8&gt;=$AA30,"Yes",$AA30-$W$8),
IF($L$15="Yes",
IF($AA$44="70%",
IF($AA$45="1-1",IF($W$8&gt;=((0.000415*$U$8^2)-(0.7559*$U$8)+394.89)*1.5,"Yes",(((0.000415*$U$8^2)-(0.7559*$U$8)+394.89)*1.5)-$W$8),
IF(OR($AA$45="2-1",$AA$45="1-2"),IF($W$8&gt;=((0.0004*$U$8^2)-(0.8125*$U$8)+473.69)*1.5,"Yes",(((0.0004*$U$8^2)-(0.8125*$U$8)+473.69)*1.5)-$W$8),
IF($AA$45="2-2",IF($W$8&gt;=((0.00047*$U$8^2)-(1.0164*$U$8)+620.14)*1.5,"Yes",(((0.00047*$U$8^2)-(1.0164*$U$8)+620.14)*1.5)-$W$8),"Error"))),
IF($AA$45="1-1",IF($W$8&gt;=((0.0003*$U$8^2)-(0.7722*$U$8)+572.22)*1.5,"Yes",(((0.0003*$U$8^2)-(0.7722*$U$8)+572.22)*1.5)-$W$8),
IF(OR($AA$45="2-1",$AA$45="1-2"),IF($W$8&gt;=((0.000247*$U$8^2)-(0.7566*$U$8)+654.7)*1.5,"Yes",(((0.000247*$U$8^2)-(0.7566*$U$8)+654.7)*1.5)-$W$8),
IF($AA$45="2-2",IF($W$8&gt;=((0.000315*$U$8^2)-(0.9941*$U$8)+875.6)*1.5,"Yes",(((0.000315*$U$8^2)-(0.9941*$U$8)+875.6)*1.5)-$W$8),"Error")))),
IF($AA$44="70%",
IF($AA$45="1-1",IF($W$8&gt;=(0.000415*$U$8^2)-(0.7559*$U$8)+394.89,"Yes",((0.000415*$U$8^2)-(0.7559*$U$8)+394.89)-$W$8),
IF(OR($AA$45="2-1",$AA$45="1-2"),IF($W$8&gt;=(0.0004*$U$8^2)-(0.8125*$U$8)+473.69,"Yes",((0.0004*$U$8^2)-(0.8125*$U$8)+473.69)-$W$8),
IF($AA$45="2-2",IF($W$8&gt;=(0.00047*$U$8^2)-(1.0164*$U$8)+620.14,"Yes",((0.00047*$U$8^2)-(1.0164*$U$8)+620.14)-$W$8),"Error"))),
IF($AA$45="1-1",IF($W$8&gt;=(0.0003*$U$8^2)-(0.7722*$U$8)+572.22,"Yes",((0.0003*$U$8^2)-(0.7722*$U$8)+572.22)-$W$8),
IF(OR($AA$45="2-1",$AA$45="1-2"),IF($W$8&gt;=(0.000247*$U$8^2)-(0.7566*$U$8)+654.7,"Yes",((0.000247*$U$8^2)-(0.7566*$U$8)+654.7)-$W$8),
IF($AA$45="2-2",IF($W$8&gt;=(0.000315*$U$8^2)-(0.9941*$U$8)+875.6,"Yes",((0.000315*$U$8^2)-(0.9941*$U$8)+875.6)-$W$8),"Error")))))),"")</f>
        <v/>
      </c>
      <c r="AF30" s="122" t="str">
        <f>IF(AND($U$9&gt;=$Z30,$U$9&lt;$Z29),IF($AB30="No",IF($W$9&gt;=$AA30,"Yes",$AA30-$W$9),
IF($L$15="Yes",
IF($AA$44="70%",
IF($AA$45="1-1",IF($W$9&gt;=((0.000415*$U$9^2)-(0.7559*$U$9)+394.89)*1.5,"Yes",(((0.000415*$U$9^2)-(0.7559*$U$9)+394.89)*1.5)-$W$9),
IF(OR($AA$45="2-1",$AA$45="1-2"),IF($W$9&gt;=((0.0004*$U$9^2)-(0.8125*$U$9)+473.69)*1.5,"Yes",(((0.0004*$U$9^2)-(0.8125*$U$9)+473.69)*1.5)-$W$9),
IF($AA$45="2-2",IF($W$9&gt;=((0.00047*$U$9^2)-(1.0164*$U$9)+620.14)*1.5,"Yes",(((0.00047*$U$9^2)-(1.0164*$U$9)+620.14)*1.5)-$W$9),"Error"))),
IF($AA$45="1-1",IF($W$9&gt;=((0.0003*$U$9^2)-(0.7722*$U$9)+572.22)*1.5,"Yes",(((0.0003*$U$9^2)-(0.7722*$U$9)+572.22)*1.5)-$W$9),
IF(OR($AA$45="2-1",$AA$45="1-2"),IF($W$9&gt;=((0.000247*$U$9^2)-(0.7566*$U$9)+654.7)*1.5,"Yes",(((0.000247*$U$9^2)-(0.7566*$U$9)+654.7)*1.5)-$W$9),
IF($AA$45="2-2",IF($W$9&gt;=((0.000315*$U$9^2)-(0.9941*$U$9)+875.6)*1.5,"Yes",(((0.000315*$U$9^2)-(0.9941*$U$9)+875.6)*1.5)-$W$9),"Error")))),
IF($AA$44="70%",
IF($AA$45="1-1",IF($W$9&gt;=(0.000415*$U$9^2)-(0.7559*$U$9)+394.89,"Yes",((0.000415*$U$9^2)-(0.7559*$U$9)+394.89)-$W$9),
IF(OR($AA$45="2-1",$AA$45="1-2"),IF($W$9&gt;=(0.0004*$U$9^2)-(0.8125*$U$9)+473.69,"Yes",((0.0004*$U$9^2)-(0.8125*$U$9)+473.69)-$W$9),
IF($AA$45="2-2",IF($W$9&gt;=(0.00047*$U$9^2)-(1.0164*$U$9)+620.14,"Yes",((0.00047*$U$9^2)-(1.0164*$U$9)+620.14)-$W$9),"Error"))),
IF($AA$45="1-1",IF($W$9&gt;=(0.0003*$U$9^2)-(0.7722*$U$9)+572.22,"Yes",((0.0003*$U$9^2)-(0.7722*$U$9)+572.22)-$W$9),
IF(OR($AA$45="2-1",$AA$45="1-2"),IF($W$9&gt;=(0.000247*$U$9^2)-(0.7566*$U$9)+654.7,"Yes",((0.000247*$U$9^2)-(0.7566*$U$9)+654.7)-$W$9),
IF($AA$45="2-2",IF($W$9&gt;=(0.000315*$U$9^2)-(0.9941*$U$9)+875.6,"Yes",((0.000315*$U$9^2)-(0.9941*$U$9)+875.6)-$W$9),"Error")))))),"")</f>
        <v/>
      </c>
      <c r="AG30" s="122" t="str">
        <f>IF(AND($U$10&gt;=$Z30,$U$10&lt;$Z29),IF($AB30="No",IF($W$10&gt;=$AA30,"Yes",$AA30-$W$10),
IF($L$15="Yes",
IF($AA$44="70%",
IF($AA$45="1-1",IF($W$10&gt;=((0.000415*$U$10^2)-(0.7559*$U$10)+394.89)*1.5,"Yes",(((0.000415*$U$10^2)-(0.7559*$U$10)+394.89)*1.5)-$W$10),
IF(OR($AA$45="2-1",$AA$45="1-2"),IF($W$10&gt;=((0.0004*$U$10^2)-(0.8125*$U$10)+473.69)*1.5,"Yes",(((0.0004*$U$10^2)-(0.8125*$U$10)+473.69)*1.5)-$W$10),
IF($AA$45="2-2",IF($W$10&gt;=((0.00047*$U$10^2)-(1.0164*$U$10)+620.14)*1.5,"Yes",(((0.00047*$U$10^2)-(1.0164*$U$10)+620.14)*1.5)-$W$10),"Error"))),
IF($AA$45="1-1",IF($W$10&gt;=((0.0003*$U$10^2)-(0.7722*$U$10)+572.22)*1.5,"Yes",(((0.0003*$U$10^2)-(0.7722*$U$10)+572.22)*1.5)-$W$10),
IF(OR($AA$45="2-1",$AA$45="1-2"),IF($W$10&gt;=((0.000247*$U$10^2)-(0.7566*$U$10)+654.7)*1.5,"Yes",(((0.000247*$U$10^2)-(0.7566*$U$10)+654.7)*1.5)-$W$10),
IF($AA$45="2-2",IF($W$10&gt;=((0.000315*$U$10^2)-(0.9941*$U$10)+875.6)*1.5,"Yes",(((0.000315*$U$10^2)-(0.9941*$U$10)+875.6)*1.5)-$W$10),"Error")))),
IF($AA$44="70%",
IF($AA$45="1-1",IF($W$10&gt;=(0.000415*$U$10^2)-(0.7559*$U$10)+394.89,"Yes",((0.000415*$U$10^2)-(0.7559*$U$10)+394.89)-$W$10),
IF(OR($AA$45="2-1",$AA$45="1-2"),IF($W$10&gt;=(0.0004*$U$10^2)-(0.8125*$U$10)+473.69,"Yes",((0.0004*$U$10^2)-(0.8125*$U$10)+473.69)-$W$10),
IF($AA$45="2-2",IF($W$10&gt;=(0.00047*$U$10^2)-(1.0164*$U$10)+620.14,"Yes",((0.00047*$U$10^2)-(1.0164*$U$10)+620.14)-$W$10),"Error"))),
IF($AA$45="1-1",IF($W$10&gt;=(0.0003*$U$10^2)-(0.7722*$U$10)+572.22,"Yes",((0.0003*$U$10^2)-(0.7722*$U$10)+572.22)-$W$10),
IF(OR($AA$45="2-1",$AA$45="1-2"),IF($W$10&gt;=(0.000247*$U$10^2)-(0.7566*$U$10)+654.7,"Yes",((0.000247*$U$10^2)-(0.7566*$U$10)+654.7)-$W$10),
IF($AA$45="2-2",IF($W$10&gt;=(0.000315*$U$10^2)-(0.9941*$U$10)+875.6,"Yes",((0.000315*$U$10^2)-(0.9941*$U$10)+875.6)-$W$10),"Error")))))),"")</f>
        <v/>
      </c>
      <c r="AH30" s="122" t="str">
        <f>IF(AND($U$11&gt;=$Z30,$U$11&lt;$Z29),IF($AB30="No",IF($W$11&gt;=$AA30,"Yes",$AA30-$W$11),
IF($L$15="Yes",
IF($AA$44="70%",
IF($AA$45="1-1",IF($W$11&gt;=((0.000415*$U$11^2)-(0.7559*$U$11)+394.89)*1.5,"Yes",(((0.000415*$U$11^2)-(0.7559*$U$11)+394.89)*1.5)-$W$11),
IF(OR($AA$45="2-1",$AA$45="1-2"),IF($W$11&gt;=((0.0004*$U$11^2)-(0.8125*$U$11)+473.69)*1.5,"Yes",(((0.0004*$U$11^2)-(0.8125*$U$11)+473.69)*1.5)-$W$11),
IF($AA$45="2-2",IF($W$11&gt;=((0.00047*$U$11^2)-(1.0164*$U$11)+620.14)*1.5,"Yes",(((0.00047*$U$11^2)-(1.0164*$U$11)+620.14)*1.5)-$W$11),"Error"))),
IF($AA$45="1-1",IF($W$11&gt;=((0.0003*$U$11^2)-(0.7722*$U$11)+572.22)*1.5,"Yes",(((0.0003*$U$11^2)-(0.7722*$U$11)+572.22)*1.5)-$W$11),
IF(OR($AA$45="2-1",$AA$45="1-2"),IF($W$11&gt;=((0.000247*$U$11^2)-(0.7566*$U$11)+654.7)*1.5,"Yes",(((0.000247*$U$11^2)-(0.7566*$U$11)+654.7)*1.5)-$W$11),
IF($AA$45="2-2",IF($W$11&gt;=((0.000315*$U$11^2)-(0.9941*$U$11)+875.6)*1.5,"Yes",(((0.000315*$U$11^2)-(0.9941*$U$11)+875.6)*1.5)-$W$11),"Error")))),
IF($AA$44="70%",
IF($AA$45="1-1",IF($W$11&gt;=(0.000415*$U$11^2)-(0.7559*$U$11)+394.89,"Yes",((0.000415*$U$11^2)-(0.7559*$U$11)+394.89)-$W$11),
IF(OR($AA$45="2-1",$AA$45="1-2"),IF($W$11&gt;=(0.0004*$U$11^2)-(0.8125*$U$11)+473.69,"Yes",((0.0004*$U$11^2)-(0.8125*$U$11)+473.69)-$W$11),
IF($AA$45="2-2",IF($W$11&gt;=(0.00047*$U$11^2)-(1.0164*$U$11)+620.14,"Yes",((0.00047*$U$11^2)-(1.0164*$U$11)+620.14)-$W$11),"Error"))),
IF($AA$45="1-1",IF($W$11&gt;=(0.0003*$U$11^2)-(0.7722*$U$11)+572.22,"Yes",((0.0003*$U$11^2)-(0.7722*$U$11)+572.22)-$W$11),
IF(OR($AA$45="2-1",$AA$45="1-2"),IF($W$11&gt;=(0.000247*$U$11^2)-(0.7566*$U$11)+654.7,"Yes",((0.000247*$U$11^2)-(0.7566*$U$11)+654.7)-$W$11),
IF($AA$45="2-2",IF($W$11&gt;=(0.000315*$U$11^2)-(0.9941*$U$11)+875.6,"Yes",((0.000315*$U$11^2)-(0.9941*$U$11)+875.6)-$W$11),"Error")))))),"")</f>
        <v/>
      </c>
      <c r="AI30" s="122" t="str">
        <f>IF(AND($U$12&gt;=$Z30,$U$12&lt;$Z29),IF($AB30="No",IF($W$12&gt;=$AA30,"Yes",$AA30-$W$12),
IF($L$15="Yes",
IF($AA$44="70%",
IF($AA$45="1-1",IF($W$12&gt;=((0.000415*$U$12^2)-(0.7559*$U$12)+394.89)*1.5,"Yes",(((0.000415*$U$12^2)-(0.7559*$U$12)+394.89)*1.5)-$W$12),
IF(OR($AA$45="2-1",$AA$45="1-2"),IF($W$12&gt;=((0.0004*$U$12^2)-(0.8125*$U$12)+473.69)*1.5,"Yes",(((0.0004*$U$12^2)-(0.8125*$U$12)+473.69)*1.5)-$W$12),
IF($AA$45="2-2",IF($W$12&gt;=((0.00047*$U$12^2)-(1.0164*$U$12)+620.14)*1.5,"Yes",(((0.00047*$U$12^2)-(1.0164*$U$12)+620.14)*1.5)-$W$12),"Error"))),
IF($AA$45="1-1",IF($W$12&gt;=((0.0003*$U$12^2)-(0.7722*$U$12)+572.22)*1.5,"Yes",(((0.0003*$U$12^2)-(0.7722*$U$12)+572.22)*1.5)-$W$12),
IF(OR($AA$45="2-1",$AA$45="1-2"),IF($W$12&gt;=((0.000247*$U$12^2)-(0.7566*$U$12)+654.7)*1.5,"Yes",(((0.000247*$U$12^2)-(0.7566*$U$12)+654.7)*1.5)-$W$12),
IF($AA$45="2-2",IF($W$12&gt;=((0.000315*$U$12^2)-(0.9941*$U$12)+875.6)*1.5,"Yes",(((0.000315*$U$12^2)-(0.9941*$U$12)+875.6)*1.5)-$W$12),"Error")))),
IF($AA$44="70%",
IF($AA$45="1-1",IF($W$12&gt;=(0.000415*$U$12^2)-(0.7559*$U$12)+394.89,"Yes",((0.000415*$U$12^2)-(0.7559*$U$12)+394.89)-$W$12),
IF(OR($AA$45="2-1",$AA$45="1-2"),IF($W$12&gt;=(0.0004*$U$12^2)-(0.8125*$U$12)+473.69,"Yes",((0.0004*$U$12^2)-(0.8125*$U$12)+473.69)-$W$12),
IF($AA$45="2-2",IF($W$12&gt;=(0.00047*$U$12^2)-(1.0164*$U$12)+620.14,"Yes",((0.00047*$U$12^2)-(1.0164*$U$12)+620.14)-$W$12),"Error"))),
IF($AA$45="1-1",IF($W$12&gt;=(0.0003*$U$12^2)-(0.7722*$U$12)+572.22,"Yes",((0.0003*$U$12^2)-(0.7722*$U$12)+572.22)-$W$12),
IF(OR($AA$45="2-1",$AA$45="1-2"),IF($W$12&gt;=(0.000247*$U$12^2)-(0.7566*$U$12)+654.7,"Yes",((0.000247*$U$12^2)-(0.7566*$U$12)+654.7)-$W$12),
IF($AA$45="2-2",IF($W$12&gt;=(0.000315*$U$12^2)-(0.9941*$U$12)+875.6,"Yes",((0.000315*$U$12^2)-(0.9941*$U$12)+875.6)-$W$12),"Error")))))),"")</f>
        <v/>
      </c>
      <c r="AJ30" s="122" t="str">
        <f>IF(AND($U$13&gt;=$Z30,$U$13&lt;$Z29),IF($AB30="No",IF($W$13&gt;=$AA30,"Yes",$AA30-$W$13),
IF($L$15="Yes",
IF($AA$44="70%",
IF($AA$45="1-1",IF($W$13&gt;=((0.000415*$U$13^2)-(0.7559*$U$13)+394.89)*1.5,"Yes",(((0.000415*$U$13^2)-(0.7559*$U$13)+394.89)*1.5)-$W$13),
IF(OR($AA$45="2-1",$AA$45="1-2"),IF($W$13&gt;=((0.0004*$U$13^2)-(0.8125*$U$13)+473.69)*1.5,"Yes",(((0.0004*$U$13^2)-(0.8125*$U$13)+473.69)*1.5)-$W$13),
IF($AA$45="2-2",IF($W$13&gt;=((0.00047*$U$13^2)-(1.0164*$U$13)+620.14)*1.5,"Yes",(((0.00047*$U$13^2)-(1.0164*$U$13)+620.14)*1.5)-$W$13),"Error"))),
IF($AA$45="1-1",IF($W$13&gt;=((0.0003*$U$13^2)-(0.7722*$U$13)+572.22)*1.5,"Yes",(((0.0003*$U$13^2)-(0.7722*$U$13)+572.22)*1.5)-$W$13),
IF(OR($AA$45="2-1",$AA$45="1-2"),IF($W$13&gt;=((0.000247*$U$13^2)-(0.7566*$U$13)+654.7)*1.5,"Yes",(((0.000247*$U$13^2)-(0.7566*$U$13)+654.7)*1.5)-$W$13),
IF($AA$45="2-2",IF($W$13&gt;=((0.000315*$U$13^2)-(0.9941*$U$13)+875.6)*1.5,"Yes",(((0.000315*$U$13^2)-(0.9941*$U$13)+875.6)*1.5)-$W$13),"Error")))),
IF($AA$44="70%",
IF($AA$45="1-1",IF($W$13&gt;=(0.000415*$U$13^2)-(0.7559*$U$13)+394.89,"Yes",((0.000415*$U$13^2)-(0.7559*$U$13)+394.89)-$W$13),
IF(OR($AA$45="2-1",$AA$45="1-2"),IF($W$13&gt;=(0.0004*$U$13^2)-(0.8125*$U$13)+473.69,"Yes",((0.0004*$U$13^2)-(0.8125*$U$13)+473.69)-$W$13),
IF($AA$45="2-2",IF($W$13&gt;=(0.00047*$U$13^2)-(1.0164*$U$13)+620.14,"Yes",((0.00047*$U$13^2)-(1.0164*$U$13)+620.14)-$W$13),"Error"))),
IF($AA$45="1-1",IF($W$13&gt;=(0.0003*$U$13^2)-(0.7722*$U$13)+572.22,"Yes",((0.0003*$U$13^2)-(0.7722*$U$13)+572.22)-$W$13),
IF(OR($AA$45="2-1",$AA$45="1-2"),IF($W$13&gt;=(0.000247*$U$13^2)-(0.7566*$U$13)+654.7,"Yes",((0.000247*$U$13^2)-(0.7566*$U$13)+654.7)-$W$13),
IF($AA$45="2-2",IF($W$13&gt;=(0.000315*$U$13^2)-(0.9941*$U$13)+875.6,"Yes",((0.000315*$U$13^2)-(0.9941*$U$13)+875.6)-$W$13),"Error")))))),"")</f>
        <v/>
      </c>
      <c r="AK30" s="122" t="str">
        <f>IF(AND($U$14&gt;=$Z30,$U$14&lt;$Z29),IF($AB30="No",IF($W$14&gt;=$AA30,"Yes",$AA30-$W$14),
IF($L$15="Yes",
IF($AA$44="70%",
IF($AA$45="1-1",IF($W$14&gt;=((0.000415*$U$14^2)-(0.7559*$U$14)+394.89)*1.5,"Yes",(((0.000415*$U$14^2)-(0.7559*$U$14)+394.89)*1.5)-$W$14),
IF(OR($AA$45="2-1",$AA$45="1-2"),IF($W$14&gt;=((0.0004*$U$14^2)-(0.8125*$U$14)+473.69)*1.5,"Yes",(((0.0004*$U$14^2)-(0.8125*$U$14)+473.69)*1.5)-$W$14),
IF($AA$45="2-2",IF($W$14&gt;=((0.00047*$U$14^2)-(1.0164*$U$14)+620.14)*1.5,"Yes",(((0.00047*$U$14^2)-(1.0164*$U$14)+620.14)*1.5)-$W$14),"Error"))),
IF($AA$45="1-1",IF($W$14&gt;=((0.0003*$U$14^2)-(0.7722*$U$14)+572.22)*1.5,"Yes",(((0.0003*$U$14^2)-(0.7722*$U$14)+572.22)*1.5)-$W$14),
IF(OR($AA$45="2-1",$AA$45="1-2"),IF($W$14&gt;=((0.000247*$U$14^2)-(0.7566*$U$14)+654.7)*1.5,"Yes",(((0.000247*$U$14^2)-(0.7566*$U$14)+654.7)*1.5)-$W$14),
IF($AA$45="2-2",IF($W$14&gt;=((0.000315*$U$14^2)-(0.9941*$U$14)+875.6)*1.5,"Yes",(((0.000315*$U$14^2)-(0.9941*$U$14)+875.6)*1.5)-$W$14),"Error")))),
IF($AA$44="70%",
IF($AA$45="1-1",IF($W$14&gt;=(0.000415*$U$14^2)-(0.7559*$U$14)+394.89,"Yes",((0.000415*$U$14^2)-(0.7559*$U$14)+394.89)-$W$14),
IF(OR($AA$45="2-1",$AA$45="1-2"),IF($W$14&gt;=(0.0004*$U$14^2)-(0.8125*$U$14)+473.69,"Yes",((0.0004*$U$14^2)-(0.8125*$U$14)+473.69)-$W$14),
IF($AA$45="2-2",IF($W$14&gt;=(0.00047*$U$14^2)-(1.0164*$U$14)+620.14,"Yes",((0.00047*$U$14^2)-(1.0164*$U$14)+620.14)-$W$14),"Error"))),
IF($AA$45="1-1",IF($W$14&gt;=(0.0003*$U$14^2)-(0.7722*$U$14)+572.22,"Yes",((0.0003*$U$14^2)-(0.7722*$U$14)+572.22)-$W$14),
IF(OR($AA$45="2-1",$AA$45="1-2"),IF($W$14&gt;=(0.000247*$U$14^2)-(0.7566*$U$14)+654.7,"Yes",((0.000247*$U$14^2)-(0.7566*$U$14)+654.7)-$W$14),
IF($AA$45="2-2",IF($W$14&gt;=(0.000315*$U$14^2)-(0.9941*$U$14)+875.6,"Yes",((0.000315*$U$14^2)-(0.9941*$U$14)+875.6)-$W$14),"Error")))))),"")</f>
        <v/>
      </c>
      <c r="AL30" s="122" t="str">
        <f>IF(AND($U$15&gt;=$Z30,$U$15&lt;$Z29),IF($AB30="No",IF($W$15&gt;=$AA30,"Yes",$AA30-$W$15),
IF($L$15="Yes",
IF($AA$44="70%",
IF($AA$45="1-1",IF($W$15&gt;=((0.000415*$U$15^2)-(0.7559*$U$15)+394.89)*1.5,"Yes",(((0.000415*$U$15^2)-(0.7559*$U$15)+394.89)*1.5)-$W$15),
IF(OR($AA$45="2-1",$AA$45="1-2"),IF($W$15&gt;=((0.0004*$U$15^2)-(0.8125*$U$15)+473.69)*1.5,"Yes",(((0.0004*$U$15^2)-(0.8125*$U$15)+473.69)*1.5)-$W$15),
IF($AA$45="2-2",IF($W$15&gt;=((0.00047*$U$15^2)-(1.0164*$U$15)+620.14)*1.5,"Yes",(((0.00047*$U$15^2)-(1.0164*$U$15)+620.14)*1.5)-$W$15),"Error"))),
IF($AA$45="1-1",IF($W$15&gt;=((0.0003*$U$15^2)-(0.7722*$U$15)+572.22)*1.5,"Yes",(((0.0003*$U$15^2)-(0.7722*$U$15)+572.22)*1.5)-$W$15),
IF(OR($AA$45="2-1",$AA$45="1-2"),IF($W$15&gt;=((0.000247*$U$15^2)-(0.7566*$U$15)+654.7)*1.5,"Yes",(((0.000247*$U$15^2)-(0.7566*$U$15)+654.7)*1.5)-$W$15),
IF($AA$45="2-2",IF($W$15&gt;=((0.000315*$U$15^2)-(0.9941*$U$15)+875.6)*1.5,"Yes",(((0.000315*$U$15^2)-(0.9941*$U$15)+875.6)*1.5)-$W$15),"Error")))),
IF($AA$44="70%",
IF($AA$45="1-1",IF($W$15&gt;=(0.000415*$U$15^2)-(0.7559*$U$15)+394.89,"Yes",((0.000415*$U$15^2)-(0.7559*$U$15)+394.89)-$W$15),
IF(OR($AA$45="2-1",$AA$45="1-2"),IF($W$15&gt;=(0.0004*$U$15^2)-(0.8125*$U$15)+473.69,"Yes",((0.0004*$U$15^2)-(0.8125*$U$15)+473.69)-$W$15),
IF($AA$45="2-2",IF($W$15&gt;=(0.00047*$U$15^2)-(1.0164*$U$15)+620.14,"Yes",((0.00047*$U$15^2)-(1.0164*$U$15)+620.14)-$W$15),"Error"))),
IF($AA$45="1-1",IF($W$15&gt;=(0.0003*$U$15^2)-(0.7722*$U$15)+572.22,"Yes",((0.0003*$U$15^2)-(0.7722*$U$15)+572.22)-$W$15),
IF(OR($AA$45="2-1",$AA$45="1-2"),IF($W$15&gt;=(0.000247*$U$15^2)-(0.7566*$U$15)+654.7,"Yes",((0.000247*$U$15^2)-(0.7566*$U$15)+654.7)-$W$15),
IF($AA$45="2-2",IF($W$15&gt;=(0.000315*$U$15^2)-(0.9941*$U$15)+875.6,"Yes",((0.000315*$U$15^2)-(0.9941*$U$15)+875.6)-$W$15),"Error")))))),"")</f>
        <v/>
      </c>
      <c r="AM30" s="122" t="str">
        <f>IF(AND($U$16&gt;=$Z30,$U$16&lt;$Z29),IF($AB30="No",IF($W$16&gt;=$AA30,"Yes",$AA30-$W$16),
IF($L$15="Yes",
IF($AA$44="70%",
IF($AA$45="1-1",IF($W$16&gt;=((0.000415*$U$16^2)-(0.7559*$U$16)+394.89)*1.5,"Yes",(((0.000415*$U$16^2)-(0.7559*$U$16)+394.89)*1.5)-$W$16),
IF(OR($AA$45="2-1",$AA$45="1-2"),IF($W$16&gt;=((0.0004*$U$16^2)-(0.8125*$U$16)+473.69)*1.5,"Yes",(((0.0004*$U$16^2)-(0.8125*$U$16)+473.69)*1.5)-$W$16),
IF($AA$45="2-2",IF($W$16&gt;=((0.00047*$U$16^2)-(1.0164*$U$16)+620.14)*1.5,"Yes",(((0.00047*$U$16^2)-(1.0164*$U$16)+620.14)*1.5)-$W$16),"Error"))),
IF($AA$45="1-1",IF($W$16&gt;=((0.0003*$U$16^2)-(0.7722*$U$16)+572.22)*1.5,"Yes",(((0.0003*$U$16^2)-(0.7722*$U$16)+572.22)*1.5)-$W$16),
IF(OR($AA$45="2-1",$AA$45="1-2"),IF($W$16&gt;=((0.000247*$U$16^2)-(0.7566*$U$16)+654.7)*1.5,"Yes",(((0.000247*$U$16^2)-(0.7566*$U$16)+654.7)*1.5)-$W$16),
IF($AA$45="2-2",IF($W$16&gt;=((0.000315*$U$16^2)-(0.9941*$U$16)+875.6)*1.5,"Yes",(((0.000315*$U$16^2)-(0.9941*$U$16)+875.6)*1.5)-$W$16),"Error")))),
IF($AA$44="70%",
IF($AA$45="1-1",IF($W$16&gt;=(0.000415*$U$16^2)-(0.7559*$U$16)+394.89,"Yes",((0.000415*$U$16^2)-(0.7559*$U$16)+394.89)-$W$16),
IF(OR($AA$45="2-1",$AA$45="1-2"),IF($W$16&gt;=(0.0004*$U$16^2)-(0.8125*$U$16)+473.69,"Yes",((0.0004*$U$16^2)-(0.8125*$U$16)+473.69)-$W$16),
IF($AA$45="2-2",IF($W$16&gt;=(0.00047*$U$16^2)-(1.0164*$U$16)+620.14,"Yes",((0.00047*$U$16^2)-(1.0164*$U$16)+620.14)-$W$16),"Error"))),
IF($AA$45="1-1",IF($W$16&gt;=(0.0003*$U$16^2)-(0.7722*$U$16)+572.22,"Yes",((0.0003*$U$16^2)-(0.7722*$U$16)+572.22)-$W$16),
IF(OR($AA$45="2-1",$AA$45="1-2"),IF($W$16&gt;=(0.000247*$U$16^2)-(0.7566*$U$16)+654.7,"Yes",((0.000247*$U$16^2)-(0.7566*$U$16)+654.7)-$W$16),
IF($AA$45="2-2",IF($W$16&gt;=(0.000315*$U$16^2)-(0.9941*$U$16)+875.6,"Yes",((0.000315*$U$16^2)-(0.9941*$U$16)+875.6)-$W$16),"Error")))))),"")</f>
        <v/>
      </c>
      <c r="AN30" s="122" t="str">
        <f>IF(AND($U$17&gt;=$Z30,$U$17&lt;$Z29),IF($AB30="No",IF($W$17&gt;=$AA30,"Yes",$AA30-$W$17),
IF($L$15="Yes",
IF($AA$44="70%",
IF($AA$45="1-1",IF($W$17&gt;=((0.000415*$U$17^2)-(0.7559*$U$17)+394.89)*1.5,"Yes",(((0.000415*$U$17^2)-(0.7559*$U$17)+394.89)*1.5)-$W$17),
IF(OR($AA$45="2-1",$AA$45="1-2"),IF($W$17&gt;=((0.0004*$U$17^2)-(0.8125*$U$17)+473.69)*1.5,"Yes",(((0.0004*$U$17^2)-(0.8125*$U$17)+473.69)*1.5)-$W$17),
IF($AA$45="2-2",IF($W$17&gt;=((0.00047*$U$17^2)-(1.0164*$U$17)+620.14)*1.5,"Yes",(((0.00047*$U$17^2)-(1.0164*$U$17)+620.14)*1.5)-$W$17),"Error"))),
IF($AA$45="1-1",IF($W$17&gt;=((0.0003*$U$17^2)-(0.7722*$U$17)+572.22)*1.5,"Yes",(((0.0003*$U$17^2)-(0.7722*$U$17)+572.22)*1.5)-$W$17),
IF(OR($AA$45="2-1",$AA$45="1-2"),IF($W$17&gt;=((0.000247*$U$17^2)-(0.7566*$U$17)+654.7)*1.5,"Yes",(((0.000247*$U$17^2)-(0.7566*$U$17)+654.7)*1.5)-$W$17),
IF($AA$45="2-2",IF($W$17&gt;=((0.000315*$U$17^2)-(0.9941*$U$17)+875.6)*1.5,"Yes",(((0.000315*$U$17^2)-(0.9941*$U$17)+875.6)*1.5)-$W$17),"Error")))),
IF($AA$44="70%",
IF($AA$45="1-1",IF($W$17&gt;=(0.000415*$U$17^2)-(0.7559*$U$17)+394.89,"Yes",((0.000415*$U$17^2)-(0.7559*$U$17)+394.89)-$W$17),
IF(OR($AA$45="2-1",$AA$45="1-2"),IF($W$17&gt;=(0.0004*$U$17^2)-(0.8125*$U$17)+473.69,"Yes",((0.0004*$U$17^2)-(0.8125*$U$17)+473.69)-$W$17),
IF($AA$45="2-2",IF($W$17&gt;=(0.00047*$U$17^2)-(1.0164*$U$17)+620.14,"Yes",((0.00047*$U$17^2)-(1.0164*$U$17)+620.14)-$W$17),"Error"))),
IF($AA$45="1-1",IF($W$17&gt;=(0.0003*$U$17^2)-(0.7722*$U$17)+572.22,"Yes",((0.0003*$U$17^2)-(0.7722*$U$17)+572.22)-$W$17),
IF(OR($AA$45="2-1",$AA$45="1-2"),IF($W$17&gt;=(0.000247*$U$17^2)-(0.7566*$U$17)+654.7,"Yes",((0.000247*$U$17^2)-(0.7566*$U$17)+654.7)-$W$17),
IF($AA$45="2-2",IF($W$17&gt;=(0.000315*$U$17^2)-(0.9941*$U$17)+875.6,"Yes",((0.000315*$U$17^2)-(0.9941*$U$17)+875.6)-$W$17),"Error")))))),"")</f>
        <v/>
      </c>
      <c r="AO30" s="122" t="str">
        <f>IF(AND($U$18&gt;=$Z30,$U$18&lt;$Z29),IF($AB30="No",IF($W$18&gt;=$AA30,"Yes",$AA30-$W$18),
IF($L$15="Yes",
IF($AA$44="70%",
IF($AA$45="1-1",IF($W$18&gt;=((0.000415*$U$18^2)-(0.7559*$U$18)+394.89)*1.5,"Yes",(((0.000415*$U$18^2)-(0.7559*$U$18)+394.89)*1.5)-$W$18),
IF(OR($AA$45="2-1",$AA$45="1-2"),IF($W$18&gt;=((0.0004*$U$18^2)-(0.8125*$U$18)+473.69)*1.5,"Yes",(((0.0004*$U$18^2)-(0.8125*$U$18)+473.69)*1.5)-$W$18),
IF($AA$45="2-2",IF($W$18&gt;=((0.00047*$U$18^2)-(1.0164*$U$18)+620.14)*1.5,"Yes",(((0.00047*$U$18^2)-(1.0164*$U$18)+620.14)*1.5)-$W$18),"Error"))),
IF($AA$45="1-1",IF($W$18&gt;=((0.0003*$U$18^2)-(0.7722*$U$18)+572.22)*1.5,"Yes",(((0.0003*$U$18^2)-(0.7722*$U$18)+572.22)*1.5)-$W$18),
IF(OR($AA$45="2-1",$AA$45="1-2"),IF($W$18&gt;=((0.000247*$U$18^2)-(0.7566*$U$18)+654.7)*1.5,"Yes",(((0.000247*$U$18^2)-(0.7566*$U$18)+654.7)*1.5)-$W$18),
IF($AA$45="2-2",IF($W$18&gt;=((0.000315*$U$18^2)-(0.9941*$U$18)+875.6)*1.5,"Yes",(((0.000315*$U$18^2)-(0.9941*$U$18)+875.6)*1.5)-$W$18),"Error")))),
IF($AA$44="70%",
IF($AA$45="1-1",IF($W$18&gt;=(0.000415*$U$18^2)-(0.7559*$U$18)+394.89,"Yes",((0.000415*$U$18^2)-(0.7559*$U$18)+394.89)-$W$18),
IF(OR($AA$45="2-1",$AA$45="1-2"),IF($W$18&gt;=(0.0004*$U$18^2)-(0.8125*$U$18)+473.69,"Yes",((0.0004*$U$18^2)-(0.8125*$U$18)+473.69)-$W$18),
IF($AA$45="2-2",IF($W$18&gt;=(0.00047*$U$18^2)-(1.0164*$U$18)+620.14,"Yes",((0.00047*$U$18^2)-(1.0164*$U$18)+620.14)-$W$18),"Error"))),
IF($AA$45="1-1",IF($W$18&gt;=(0.0003*$U$18^2)-(0.7722*$U$18)+572.22,"Yes",((0.0003*$U$18^2)-(0.7722*$U$18)+572.22)-$W$18),
IF(OR($AA$45="2-1",$AA$45="1-2"),IF($W$18&gt;=(0.000247*$U$18^2)-(0.7566*$U$18)+654.7,"Yes",((0.000247*$U$18^2)-(0.7566*$U$18)+654.7)-$W$18),
IF($AA$45="2-2",IF($W$18&gt;=(0.000315*$U$18^2)-(0.9941*$U$18)+875.6,"Yes",((0.000315*$U$18^2)-(0.9941*$U$18)+875.6)-$W$18),"Error")))))),"")</f>
        <v/>
      </c>
      <c r="AP30" s="122" t="str">
        <f>IF(AND($U$19&gt;=$Z30,$U$19&lt;$Z29),IF($AB30="No",IF($W$19&gt;=$AA30,"Yes",$AA30-$W$19),
IF($L$15="Yes",
IF($AA$44="70%",
IF($AA$45="1-1",IF($W$19&gt;=((0.000415*$U$19^2)-(0.7559*$U$19)+394.89)*1.5,"Yes",(((0.000415*$U$19^2)-(0.7559*$U$19)+394.89)*1.5)-$W$19),
IF(OR($AA$45="2-1",$AA$45="1-2"),IF($W$19&gt;=((0.0004*$U$19^2)-(0.8125*$U$19)+473.69)*1.5,"Yes",(((0.0004*$U$19^2)-(0.8125*$U$19)+473.69)*1.5)-$W$19),
IF($AA$45="2-2",IF($W$19&gt;=((0.00047*$U$19^2)-(1.0164*$U$19)+620.14)*1.5,"Yes",(((0.00047*$U$19^2)-(1.0164*$U$19)+620.14)*1.5)-$W$19),"Error"))),
IF($AA$45="1-1",IF($W$19&gt;=((0.0003*$U$19^2)-(0.7722*$U$19)+572.22)*1.5,"Yes",(((0.0003*$U$19^2)-(0.7722*$U$19)+572.22)*1.5)-$W$19),
IF(OR($AA$45="2-1",$AA$45="1-2"),IF($W$19&gt;=((0.000247*$U$19^2)-(0.7566*$U$19)+654.7)*1.5,"Yes",(((0.000247*$U$19^2)-(0.7566*$U$19)+654.7)*1.5)-$W$19),
IF($AA$45="2-2",IF($W$19&gt;=((0.000315*$U$19^2)-(0.9941*$U$19)+875.6)*1.5,"Yes",(((0.000315*$U$19^2)-(0.9941*$U$19)+875.6)*1.5)-$W$19),"Error")))),
IF($AA$44="70%",
IF($AA$45="1-1",IF($W$19&gt;=(0.000415*$U$19^2)-(0.7559*$U$19)+394.89,"Yes",((0.000415*$U$19^2)-(0.7559*$U$19)+394.89)-$W$19),
IF(OR($AA$45="2-1",$AA$45="1-2"),IF($W$19&gt;=(0.0004*$U$19^2)-(0.8125*$U$19)+473.69,"Yes",((0.0004*$U$19^2)-(0.8125*$U$19)+473.69)-$W$19),
IF($AA$45="2-2",IF($W$19&gt;=(0.00047*$U$19^2)-(1.0164*$U$19)+620.14,"Yes",((0.00047*$U$19^2)-(1.0164*$U$19)+620.14)-$W$19),"Error"))),
IF($AA$45="1-1",IF($W$19&gt;=(0.0003*$U$19^2)-(0.7722*$U$19)+572.22,"Yes",((0.0003*$U$19^2)-(0.7722*$U$19)+572.22)-$W$19),
IF(OR($AA$45="2-1",$AA$45="1-2"),IF($W$19&gt;=(0.000247*$U$19^2)-(0.7566*$U$19)+654.7,"Yes",((0.000247*$U$19^2)-(0.7566*$U$19)+654.7)-$W$19),
IF($AA$45="2-2",IF($W$19&gt;=(0.000315*$U$19^2)-(0.9941*$U$19)+875.6,"Yes",((0.000315*$U$19^2)-(0.9941*$U$19)+875.6)-$W$19),"Error")))))),"")</f>
        <v/>
      </c>
      <c r="AQ30" s="122" t="str">
        <f>IF(AND($U$20&gt;=$Z30,$U$20&lt;$Z29),IF($AB30="No",IF($W$20&gt;=$AA30,"Yes",$AA30-$W$20),
IF($L$15="Yes",
IF($AA$44="70%",
IF($AA$45="1-1",IF($W$20&gt;=((0.000415*$U$20^2)-(0.7559*$U$20)+394.89)*1.5,"Yes",(((0.000415*$U$20^2)-(0.7559*$U$20)+394.89)*1.5)-$W$20),
IF(OR($AA$45="2-1",$AA$45="1-2"),IF($W$20&gt;=((0.0004*$U$20^2)-(0.8125*$U$20)+473.69)*1.5,"Yes",(((0.0004*$U$20^2)-(0.8125*$U$20)+473.69)*1.5)-$W$20),
IF($AA$45="2-2",IF($W$20&gt;=((0.00047*$U$20^2)-(1.0164*$U$20)+620.14)*1.5,"Yes",(((0.00047*$U$20^2)-(1.0164*$U$20)+620.14)*1.5)-$W$20),"Error"))),
IF($AA$45="1-1",IF($W$20&gt;=((0.0003*$U$20^2)-(0.7722*$U$20)+572.22)*1.5,"Yes",(((0.0003*$U$20^2)-(0.7722*$U$20)+572.22)*1.5)-$W$20),
IF(OR($AA$45="2-1",$AA$45="1-2"),IF($W$20&gt;=((0.000247*$U$20^2)-(0.7566*$U$20)+654.7)*1.5,"Yes",(((0.000247*$U$20^2)-(0.7566*$U$20)+654.7)*1.5)-$W$20),
IF($AA$45="2-2",IF($W$20&gt;=((0.000315*$U$20^2)-(0.9941*$U$20)+875.6)*1.5,"Yes",(((0.000315*$U$20^2)-(0.9941*$U$20)+875.6)*1.5)-$W$20),"Error")))),
IF($AA$44="70%",
IF($AA$45="1-1",IF($W$20&gt;=(0.000415*$U$20^2)-(0.7559*$U$20)+394.89,"Yes",((0.000415*$U$20^2)-(0.7559*$U$20)+394.89)-$W$20),
IF(OR($AA$45="2-1",$AA$45="1-2"),IF($W$20&gt;=(0.0004*$U$20^2)-(0.8125*$U$20)+473.69,"Yes",((0.0004*$U$20^2)-(0.8125*$U$20)+473.69)-$W$20),
IF($AA$45="2-2",IF($W$20&gt;=(0.00047*$U$20^2)-(1.0164*$U$20)+620.14,"Yes",((0.00047*$U$20^2)-(1.0164*$U$20)+620.14)-$W$20),"Error"))),
IF($AA$45="1-1",IF($W$20&gt;=(0.0003*$U$20^2)-(0.7722*$U$20)+572.22,"Yes",((0.0003*$U$20^2)-(0.7722*$U$20)+572.22)-$W$20),
IF(OR($AA$45="2-1",$AA$45="1-2"),IF($W$20&gt;=(0.000247*$U$20^2)-(0.7566*$U$20)+654.7,"Yes",((0.000247*$U$20^2)-(0.7566*$U$20)+654.7)-$W$20),
IF($AA$45="2-2",IF($W$20&gt;=(0.000315*$U$20^2)-(0.9941*$U$20)+875.6,"Yes",((0.000315*$U$20^2)-(0.9941*$U$20)+875.6)-$W$20),"Error")))))),"")</f>
        <v/>
      </c>
      <c r="AR30" s="122" t="str">
        <f>IF(AND($U$21&gt;=$Z30,$U$21&lt;$Z29),IF($AB30="No",IF($W$21&gt;=$AA30,"Yes",$AA30-$W$21),
IF($L$15="Yes",
IF($AA$44="70%",
IF($AA$45="1-1",IF($W$21&gt;=((0.000415*$U$21^2)-(0.7559*$U$21)+394.89)*1.5,"Yes",(((0.000415*$U$21^2)-(0.7559*$U$21)+394.89)*1.5)-$W$21),
IF(OR($AA$45="2-1",$AA$45="1-2"),IF($W$21&gt;=((0.0004*$U$21^2)-(0.8125*$U$21)+473.69)*1.5,"Yes",(((0.0004*$U$21^2)-(0.8125*$U$21)+473.69)*1.5)-$W$21),
IF($AA$45="2-2",IF($W$21&gt;=((0.00047*$U$21^2)-(1.0164*$U$21)+620.14)*1.5,"Yes",(((0.00047*$U$21^2)-(1.0164*$U$21)+620.14)*1.5)-$W$21),"Error"))),
IF($AA$45="1-1",IF($W$21&gt;=((0.0003*$U$21^2)-(0.7722*$U$21)+572.22)*1.5,"Yes",(((0.0003*$U$21^2)-(0.7722*$U$21)+572.22)*1.5)-$W$21),
IF(OR($AA$45="2-1",$AA$45="1-2"),IF($W$21&gt;=((0.000247*$U$21^2)-(0.7566*$U$21)+654.7)*1.5,"Yes",(((0.000247*$U$21^2)-(0.7566*$U$21)+654.7)*1.5)-$W$21),
IF($AA$45="2-2",IF($W$21&gt;=((0.000315*$U$21^2)-(0.9941*$U$21)+875.6)*1.5,"Yes",(((0.000315*$U$21^2)-(0.9941*$U$21)+875.6)*1.5)-$W$21),"Error")))),
IF($AA$44="70%",
IF($AA$45="1-1",IF($W$21&gt;=(0.000415*$U$21^2)-(0.7559*$U$21)+394.89,"Yes",((0.000415*$U$21^2)-(0.7559*$U$21)+394.89)-$W$21),
IF(OR($AA$45="2-1",$AA$45="1-2"),IF($W$21&gt;=(0.0004*$U$21^2)-(0.8125*$U$21)+473.69,"Yes",((0.0004*$U$21^2)-(0.8125*$U$21)+473.69)-$W$21),
IF($AA$45="2-2",IF($W$21&gt;=(0.00047*$U$21^2)-(1.0164*$U$21)+620.14,"Yes",((0.00047*$U$21^2)-(1.0164*$U$21)+620.14)-$W$21),"Error"))),
IF($AA$45="1-1",IF($W$21&gt;=(0.0003*$U$21^2)-(0.7722*$U$21)+572.22,"Yes",((0.0003*$U$21^2)-(0.7722*$U$21)+572.22)-$W$21),
IF(OR($AA$45="2-1",$AA$45="1-2"),IF($W$21&gt;=(0.000247*$U$21^2)-(0.7566*$U$21)+654.7,"Yes",((0.000247*$U$21^2)-(0.7566*$U$21)+654.7)-$W$21),
IF($AA$45="2-2",IF($W$21&gt;=(0.000315*$U$21^2)-(0.9941*$U$21)+875.6,"Yes",((0.000315*$U$21^2)-(0.9941*$U$21)+875.6)-$W$21),"Error")))))),"")</f>
        <v/>
      </c>
      <c r="AS30" s="150">
        <f>IF(OR($B$11 ="",$H$11="",AT30=""),"",Sheet3!A35)</f>
        <v>1800</v>
      </c>
      <c r="AT30" s="150">
        <f>IF(OR($B$11 ="",$H$11=""),"",IF($L$15="Yes",
IF($L$1="70%",
IF($B$11="1 lane",IF($H$11="1 lane",IF(Sheet3!B35="",#N/A,Sheet3!B35*1.5),IF(Sheet3!F35="",#N/A,Sheet3!F35*1.5)),IF($H$11="1 lane",IF(Sheet3!D35="",#N/A,Sheet3!D35*1.5),IF(Sheet3!H35="",#N/A,Sheet3!H35*1.5))),
IF($B$11="1 lane",IF($H$11="1 lane",IF(Sheet3!J35="",#N/A,Sheet3!J35*1.5),IF(Sheet3!N35="",#N/A,Sheet3!N35*1.5)),IF($H$11="1 lane",IF(Sheet3!L35="",#N/A,Sheet3!L35*1.5),IF(Sheet3!P35="",#N/A,Sheet3!P35*1.5)))),
IF($L$1="70%",
IF($B$11="1 lane",IF($H$11="1 lane",IF(Sheet3!B35="",#N/A,Sheet3!B35),IF(Sheet3!F35="",#N/A,Sheet3!F35)),IF($H$11="1 lane",IF(Sheet3!D35="",#N/A,Sheet3!D35),IF(Sheet3!H35="",#N/A,Sheet3!H35))),
IF($B$11="1 lane",IF($H$11="1 lane",IF(Sheet3!J35="",#N/A,Sheet3!J35),IF(Sheet3!N35="",#N/A,Sheet3!N35)),IF($H$11="1 lane",IF(Sheet3!L35="",#N/A,Sheet3!L35),IF(Sheet3!P35="",#N/A,Sheet3!P35))))))</f>
        <v>100</v>
      </c>
      <c r="AU30" s="150" t="str">
        <f>IF(OR($B$11 ="",$H$11=""),"",IF($L$1="70%",IF($B$11="1 lane",IF($H$11="1 lane",IF(Sheet3!C35="","No","Yes"),IF(Sheet3!G35="","No","Yes")),IF($H$11="1 lane",IF(Sheet3!E35="","No","Yes"),IF(Sheet3!I35="","No","Yes"))),IF($B$11="1 lane",IF($H$11="1 lane",IF(Sheet3!K35="","No","Yes"),IF(Sheet3!O35="","No","Yes")),IF(H$11="1 lane",IF(Sheet3!M35="","No","Yes"),IF(Sheet3!Q35="","No","Yes")))))</f>
        <v>No</v>
      </c>
      <c r="AV30" s="119" t="str">
        <f t="shared" ref="AV30:AV45" si="13">IF(AND($AX$14&gt;=$AS30,$AX$14&lt;$AS29),IF($AU30="No",IF($AZ$14&gt;=$AT30,"Yes","No"),IF($AA$44="70%",IF($AA$45="1-1",IF($AZ$14&gt;=(0.0003*$AX$14^2)-(0.7208*$AX$14)+500.18,"Yes","No"),IF(OR($AA$45="2-1",$AA$45="1-2"),IF($AZ$14&gt;=(0.000267*$AX$14^2)-(0.7431*$AX$14)+590.64,"Yes","No"),IF($AA$45="2-2",IF($AZ$14&gt;=(0.000295*$AX$14^2)-(0.8872*$AX$14)+740.15,"Yes","No"),"Error"))),IF($AA$45="1-1",IF($AZ$14&gt;=(0.000221*$AX$14^2)-(0.7603*$AX$14)+743.98,"Yes","No"),IF(OR($AA$45="2-1",$AA$45="1-2"),IF($AZ$14&gt;=(0.0001593*$AX$14^2)-(0.695*$AX$14)+820.6,"Yes","No"),IF($AA$45="2-2",IF($AZ$14&gt;=(0.000208*$AX$14^2)-(0.8841*$AX$14)+1051.4,"Yes","No"),"Error"))))),"")</f>
        <v/>
      </c>
      <c r="BH30" s="171"/>
      <c r="BI30" s="221" t="s">
        <v>123</v>
      </c>
      <c r="BJ30" s="221"/>
      <c r="BK30" s="221"/>
      <c r="BL30" s="221"/>
      <c r="BM30" s="221"/>
      <c r="BN30" s="221"/>
      <c r="BO30" s="221"/>
      <c r="BP30" s="221"/>
      <c r="BQ30" s="141" t="str">
        <f>IF(AND(AX24&gt;AP21,AX25&gt;AP22,AX26&gt;AP23,AX27&gt;AP24),"Yes","No")</f>
        <v>No</v>
      </c>
      <c r="BR30" s="171"/>
      <c r="CB30" s="248"/>
      <c r="CC30" s="248"/>
      <c r="CD30" s="248"/>
    </row>
    <row r="31" spans="1:82" ht="15.75" customHeight="1" x14ac:dyDescent="0.25">
      <c r="A31" s="184" t="s">
        <v>124</v>
      </c>
      <c r="B31" s="185"/>
      <c r="C31" s="185"/>
      <c r="D31" s="185"/>
      <c r="E31" s="185"/>
      <c r="F31" s="185"/>
      <c r="G31" s="185"/>
      <c r="H31" s="185"/>
      <c r="I31" s="157"/>
      <c r="J31" s="177" t="str">
        <f>IF(BG2="",BD2,BG2)</f>
        <v>N/A</v>
      </c>
      <c r="K31" s="177"/>
      <c r="L31" s="178"/>
      <c r="Z31" s="150">
        <f>IF(OR($B$11 ="",$H$11=""),"",Sheet3!A17)</f>
        <v>1300</v>
      </c>
      <c r="AA31" s="150">
        <f>IF(OR($B$11 ="",$H$11=""),"",IF($L$15="Yes",
IF($L$1="70%",
IF($B$11="1 lane",IF($H$11="1 lane",IF(Sheet3!B17="",#N/A,Sheet3!B17*1.5),IF(Sheet3!F17="",#N/A,Sheet3!F17*1.5)),IF($H$11="1 lane",IF(Sheet3!D17="",#N/A,Sheet3!D17*1.5),IF(Sheet3!H17="",#N/A,Sheet3!H17*1.5))),
IF($B$11="1 lane",IF($H$11="1 lane",IF(Sheet3!J17="",#N/A,Sheet3!J17*1.5),IF(Sheet3!N17="",#N/A,Sheet3!N17*1.5)),IF($H$11="1 lane",IF(Sheet3!L17="",#N/A,Sheet3!L17*1.5),IF(Sheet3!P17="",#N/A,Sheet3!P17*1.5)))),
IF($L$1="70%",
IF($B$11="1 lane",IF($H$11="1 lane",IF(Sheet3!B17="",#N/A,Sheet3!B17),IF(Sheet3!F17="",#N/A,Sheet3!F17)),IF($H$11="1 lane",IF(Sheet3!D17="",#N/A,Sheet3!D17),IF(Sheet3!H17="",#N/A,Sheet3!H17))),
IF($B$11="1 lane",IF($H$11="1 lane",IF(Sheet3!J17="",#N/A,Sheet3!J17),IF(Sheet3!N17="",#N/A,Sheet3!N17)),IF($H$11="1 lane",IF(Sheet3!L17="",#N/A,Sheet3!L17),IF(Sheet3!P17="",#N/A,Sheet3!P17))))))</f>
        <v>80</v>
      </c>
      <c r="AB31" s="150" t="str">
        <f>IF(OR($B$11 ="",$H$11=""),"",IF($L$1="70%",IF($B$11="1 lane",IF($H$11="1 lane",IF(Sheet3!C17="","No","Yes"),IF(Sheet3!G17="","No","Yes")),IF($H$11="1 lane",IF(Sheet3!E17="","No","Yes"),IF(Sheet3!I17="","No","Yes"))),IF($B$11="1 lane",IF($H$11="1 lane",IF(Sheet3!K17="","No","Yes"),IF(Sheet3!O17="","No","Yes")),IF(H$11="1 lane",IF(Sheet3!M17="","No","Yes"),IF(Sheet3!Q17="","No","Yes")))))</f>
        <v>No</v>
      </c>
      <c r="AC31" s="122" t="str">
        <f t="shared" ref="AC31:AC42" si="14">IF(AND($U$6&gt;=$Z31,$U$6&lt;$Z30),IF($AB31="No",IF($W$6&gt;=$AA31,"Yes",$AA31-$W$6),
IF($L$15="Yes",
IF($AA$44="70%",
IF($AA$45="1-1",IF($W$6&gt;=((0.000415*$U$6^2)-(0.7559*$U$6)+394.89)*1.5,"Yes",(((0.000415*$U$6^2)-(0.7559*$U$6)+394.89)*1.5)-$W$6),
IF(OR($AA$45="2-1",$AA$45="1-2"),IF($W$6&gt;=((0.0004*$U$6^2)-(0.8125*$U$6)+473.69)*1.5,"Yes",(((0.0004*$U$6^2)-(0.8125*$U$6)+473.69)*1.5)-$W$6),
IF($AA$45="2-2",IF($W$6&gt;=((0.00047*$U$6^2)-(1.0164*$U$6)+620.14)*1.5,"Yes",(((0.00047*$U$6^2)-(1.0164*$U$6)+620.14)*1.5)-$W$6),"Error"))),
IF($AA$45="1-1",IF($W$6&gt;=((0.0003*$U$6^2)-(0.7722*$U$6)+572.22)*1.5,"Yes",(((0.0003*$U$6^2)-(0.7722*$U$6)+572.22)*1.5)-$W$6),
IF(OR($AA$45="2-1",$AA$45="1-2"),IF($W$6&gt;=((0.000247*$U$6^2)-(0.7566*$U$6)+654.7)*1.5,"Yes",(((0.000247*$U$6^2)-(0.7566*$U$6)+654.7)*1.5)-$W$6),
IF($AA$45="2-2",IF($W$6&gt;=((0.000315*$U$6^2)-(0.9941*$U$6)+875.6)*1.5,"Yes",(((0.000315*$U$6^2)-(0.9941*$U$6)+875.6)*1.5)-$W$6),"Error")))),
IF($AA$44="70%",
IF($AA$45="1-1",IF($W$6&gt;=(0.000415*$U$6^2)-(0.7559*$U$6)+394.89,"Yes",((0.000415*$U$6^2)-(0.7559*$U$6)+394.89)-$W$6),
IF(OR($AA$45="2-1",$AA$45="1-2"),IF($W$6&gt;=(0.0004*$U$6^2)-(0.8125*$U$6)+473.69,"Yes",((0.0004*$U$6^2)-(0.8125*$U$6)+473.69)-$W$6),
IF($AA$45="2-2",IF($W$6&gt;=(0.00047*$U$6^2)-(1.0164*$U$6)+620.14,"Yes",((0.00047*$U$6^2)-(1.0164*$U$6)+620.14)-$W$6),"Error"))),
IF($AA$45="1-1",IF($W$6&gt;=(0.0003*$U$6^2)-(0.7722*$U$6)+572.22,"Yes",((0.0003*$U$6^2)-(0.7722*$U$6)+572.22)-$W$6),
IF(OR($AA$45="2-1",$AA$45="1-2"),IF($W$6&gt;=(0.000247*$U$6^2)-(0.7566*$U$6)+654.7,"Yes",((0.000247*$U$6^2)-(0.7566*$U$6)+654.7)-$W$6),
IF($AA$45="2-2",IF($W$6&gt;=(0.000315*$U$6^2)-(0.9941*$U$6)+875.6,"Yes",((0.000315*$U$6^2)-(0.9941*$U$6)+875.6)-$W$6),"Error")))))),"")</f>
        <v/>
      </c>
      <c r="AD31" s="122" t="str">
        <f t="shared" ref="AD31:AD42" si="15">IF(AND($U$7&gt;=$Z31,$U$7&lt;$Z30),IF($AB31="No",IF($W$7&gt;=$AA31,"Yes",$AA31-$W$7),
IF($L$15="Yes",
IF($AA$44="70%",
IF($AA$45="1-1",IF($W$7&gt;=((0.000415*$U$7^2)-(0.7559*$U$7)+394.89)*1.5,"Yes",(((0.000415*$U$7^2)-(0.7559*$U$7)+394.89)*1.5)-$W$7),
IF(OR($AA$45="2-1",$AA$45="1-2"),IF($W$7&gt;=((0.0004*$U$7^2)-(0.8125*$U$7)+473.69)*1.5,"Yes",(((0.0004*$U$7^2)-(0.8125*$U$7)+473.69)*1.5)-$W$7),
IF($AA$45="2-2",IF($W$7&gt;=((0.00047*$U$7^2)-(1.0164*$U$7)+620.14)*1.5,"Yes",(((0.00047*$U$7^2)-(1.0164*$U$7)+620.14)*1.5)-$W$7),"Error"))),
IF($AA$45="1-1",IF($W$7&gt;=((0.0003*$U$7^2)-(0.7722*$U$7)+572.22)*1.5,"Yes",(((0.0003*$U$7^2)-(0.7722*$U$7)+572.22)*1.5)-$W$7),
IF(OR($AA$45="2-1",$AA$45="1-2"),IF($W$7&gt;=((0.000247*$U$7^2)-(0.7566*$U$7)+654.7)*1.5,"Yes",(((0.000247*$U$7^2)-(0.7566*$U$7)+654.7)*1.5)-$W$7),
IF($AA$45="2-2",IF($W$7&gt;=((0.000315*$U$7^2)-(0.9941*$U$7)+875.6)*1.5,"Yes",(((0.000315*$U$7^2)-(0.9941*$U$7)+875.6)*1.5)-$W$7),"Error")))),
IF($AA$44="70%",
IF($AA$45="1-1",IF($W$7&gt;=(0.000415*$U$7^2)-(0.7559*$U$7)+394.89,"Yes",((0.000415*$U$7^2)-(0.7559*$U$7)+394.89)-$W$7),
IF(OR($AA$45="2-1",$AA$45="1-2"),IF($W$7&gt;=(0.0004*$U$7^2)-(0.8125*$U$7)+473.69,"Yes",((0.0004*$U$7^2)-(0.8125*$U$7)+473.69)-$W$7),
IF($AA$45="2-2",IF($W$7&gt;=(0.00047*$U$7^2)-(1.0164*$U$7)+620.14,"Yes",((0.00047*$U$7^2)-(1.0164*$U$7)+620.14)-$W$7),"Error"))),
IF($AA$45="1-1",IF($W$7&gt;=(0.0003*$U$7^2)-(0.7722*$U$7)+572.22,"Yes",((0.0003*$U$7^2)-(0.7722*$U$7)+572.22)-$W$7),
IF(OR($AA$45="2-1",$AA$45="1-2"),IF($W$7&gt;=(0.000247*$U$7^2)-(0.7566*$U$7)+654.7,"Yes",((0.000247*$U$7^2)-(0.7566*$U$7)+654.7)-$W$7),
IF($AA$45="2-2",IF($W$7&gt;=(0.000315*$U$7^2)-(0.9941*$U$7)+875.6,"Yes",((0.000315*$U$7^2)-(0.9941*$U$7)+875.6)-$W$7),"Error")))))),"")</f>
        <v/>
      </c>
      <c r="AE31" s="122" t="str">
        <f t="shared" ref="AE31:AE42" si="16">IF(AND($U$8&gt;=$Z31,$U$8&lt;$Z30),IF($AB31="No",IF($W$8&gt;=$AA31,"Yes",$AA31-$W$8),
IF($L$15="Yes",
IF($AA$44="70%",
IF($AA$45="1-1",IF($W$8&gt;=((0.000415*$U$8^2)-(0.7559*$U$8)+394.89)*1.5,"Yes",(((0.000415*$U$8^2)-(0.7559*$U$8)+394.89)*1.5)-$W$8),
IF(OR($AA$45="2-1",$AA$45="1-2"),IF($W$8&gt;=((0.0004*$U$8^2)-(0.8125*$U$8)+473.69)*1.5,"Yes",(((0.0004*$U$8^2)-(0.8125*$U$8)+473.69)*1.5)-$W$8),
IF($AA$45="2-2",IF($W$8&gt;=((0.00047*$U$8^2)-(1.0164*$U$8)+620.14)*1.5,"Yes",(((0.00047*$U$8^2)-(1.0164*$U$8)+620.14)*1.5)-$W$8),"Error"))),
IF($AA$45="1-1",IF($W$8&gt;=((0.0003*$U$8^2)-(0.7722*$U$8)+572.22)*1.5,"Yes",(((0.0003*$U$8^2)-(0.7722*$U$8)+572.22)*1.5)-$W$8),
IF(OR($AA$45="2-1",$AA$45="1-2"),IF($W$8&gt;=((0.000247*$U$8^2)-(0.7566*$U$8)+654.7)*1.5,"Yes",(((0.000247*$U$8^2)-(0.7566*$U$8)+654.7)*1.5)-$W$8),
IF($AA$45="2-2",IF($W$8&gt;=((0.000315*$U$8^2)-(0.9941*$U$8)+875.6)*1.5,"Yes",(((0.000315*$U$8^2)-(0.9941*$U$8)+875.6)*1.5)-$W$8),"Error")))),
IF($AA$44="70%",
IF($AA$45="1-1",IF($W$8&gt;=(0.000415*$U$8^2)-(0.7559*$U$8)+394.89,"Yes",((0.000415*$U$8^2)-(0.7559*$U$8)+394.89)-$W$8),
IF(OR($AA$45="2-1",$AA$45="1-2"),IF($W$8&gt;=(0.0004*$U$8^2)-(0.8125*$U$8)+473.69,"Yes",((0.0004*$U$8^2)-(0.8125*$U$8)+473.69)-$W$8),
IF($AA$45="2-2",IF($W$8&gt;=(0.00047*$U$8^2)-(1.0164*$U$8)+620.14,"Yes",((0.00047*$U$8^2)-(1.0164*$U$8)+620.14)-$W$8),"Error"))),
IF($AA$45="1-1",IF($W$8&gt;=(0.0003*$U$8^2)-(0.7722*$U$8)+572.22,"Yes",((0.0003*$U$8^2)-(0.7722*$U$8)+572.22)-$W$8),
IF(OR($AA$45="2-1",$AA$45="1-2"),IF($W$8&gt;=(0.000247*$U$8^2)-(0.7566*$U$8)+654.7,"Yes",((0.000247*$U$8^2)-(0.7566*$U$8)+654.7)-$W$8),
IF($AA$45="2-2",IF($W$8&gt;=(0.000315*$U$8^2)-(0.9941*$U$8)+875.6,"Yes",((0.000315*$U$8^2)-(0.9941*$U$8)+875.6)-$W$8),"Error")))))),"")</f>
        <v/>
      </c>
      <c r="AF31" s="122" t="str">
        <f t="shared" ref="AF31:AF42" si="17">IF(AND($U$9&gt;=$Z31,$U$9&lt;$Z30),IF($AB31="No",IF($W$9&gt;=$AA31,"Yes",$AA31-$W$9),
IF($L$15="Yes",
IF($AA$44="70%",
IF($AA$45="1-1",IF($W$9&gt;=((0.000415*$U$9^2)-(0.7559*$U$9)+394.89)*1.5,"Yes",(((0.000415*$U$9^2)-(0.7559*$U$9)+394.89)*1.5)-$W$9),
IF(OR($AA$45="2-1",$AA$45="1-2"),IF($W$9&gt;=((0.0004*$U$9^2)-(0.8125*$U$9)+473.69)*1.5,"Yes",(((0.0004*$U$9^2)-(0.8125*$U$9)+473.69)*1.5)-$W$9),
IF($AA$45="2-2",IF($W$9&gt;=((0.00047*$U$9^2)-(1.0164*$U$9)+620.14)*1.5,"Yes",(((0.00047*$U$9^2)-(1.0164*$U$9)+620.14)*1.5)-$W$9),"Error"))),
IF($AA$45="1-1",IF($W$9&gt;=((0.0003*$U$9^2)-(0.7722*$U$9)+572.22)*1.5,"Yes",(((0.0003*$U$9^2)-(0.7722*$U$9)+572.22)*1.5)-$W$9),
IF(OR($AA$45="2-1",$AA$45="1-2"),IF($W$9&gt;=((0.000247*$U$9^2)-(0.7566*$U$9)+654.7)*1.5,"Yes",(((0.000247*$U$9^2)-(0.7566*$U$9)+654.7)*1.5)-$W$9),
IF($AA$45="2-2",IF($W$9&gt;=((0.000315*$U$9^2)-(0.9941*$U$9)+875.6)*1.5,"Yes",(((0.000315*$U$9^2)-(0.9941*$U$9)+875.6)*1.5)-$W$9),"Error")))),
IF($AA$44="70%",
IF($AA$45="1-1",IF($W$9&gt;=(0.000415*$U$9^2)-(0.7559*$U$9)+394.89,"Yes",((0.000415*$U$9^2)-(0.7559*$U$9)+394.89)-$W$9),
IF(OR($AA$45="2-1",$AA$45="1-2"),IF($W$9&gt;=(0.0004*$U$9^2)-(0.8125*$U$9)+473.69,"Yes",((0.0004*$U$9^2)-(0.8125*$U$9)+473.69)-$W$9),
IF($AA$45="2-2",IF($W$9&gt;=(0.00047*$U$9^2)-(1.0164*$U$9)+620.14,"Yes",((0.00047*$U$9^2)-(1.0164*$U$9)+620.14)-$W$9),"Error"))),
IF($AA$45="1-1",IF($W$9&gt;=(0.0003*$U$9^2)-(0.7722*$U$9)+572.22,"Yes",((0.0003*$U$9^2)-(0.7722*$U$9)+572.22)-$W$9),
IF(OR($AA$45="2-1",$AA$45="1-2"),IF($W$9&gt;=(0.000247*$U$9^2)-(0.7566*$U$9)+654.7,"Yes",((0.000247*$U$9^2)-(0.7566*$U$9)+654.7)-$W$9),
IF($AA$45="2-2",IF($W$9&gt;=(0.000315*$U$9^2)-(0.9941*$U$9)+875.6,"Yes",((0.000315*$U$9^2)-(0.9941*$U$9)+875.6)-$W$9),"Error")))))),"")</f>
        <v/>
      </c>
      <c r="AG31" s="122" t="str">
        <f t="shared" ref="AG31:AG42" si="18">IF(AND($U$10&gt;=$Z31,$U$10&lt;$Z30),IF($AB31="No",IF($W$10&gt;=$AA31,"Yes",$AA31-$W$10),
IF($L$15="Yes",
IF($AA$44="70%",
IF($AA$45="1-1",IF($W$10&gt;=((0.000415*$U$10^2)-(0.7559*$U$10)+394.89)*1.5,"Yes",(((0.000415*$U$10^2)-(0.7559*$U$10)+394.89)*1.5)-$W$10),
IF(OR($AA$45="2-1",$AA$45="1-2"),IF($W$10&gt;=((0.0004*$U$10^2)-(0.8125*$U$10)+473.69)*1.5,"Yes",(((0.0004*$U$10^2)-(0.8125*$U$10)+473.69)*1.5)-$W$10),
IF($AA$45="2-2",IF($W$10&gt;=((0.00047*$U$10^2)-(1.0164*$U$10)+620.14)*1.5,"Yes",(((0.00047*$U$10^2)-(1.0164*$U$10)+620.14)*1.5)-$W$10),"Error"))),
IF($AA$45="1-1",IF($W$10&gt;=((0.0003*$U$10^2)-(0.7722*$U$10)+572.22)*1.5,"Yes",(((0.0003*$U$10^2)-(0.7722*$U$10)+572.22)*1.5)-$W$10),
IF(OR($AA$45="2-1",$AA$45="1-2"),IF($W$10&gt;=((0.000247*$U$10^2)-(0.7566*$U$10)+654.7)*1.5,"Yes",(((0.000247*$U$10^2)-(0.7566*$U$10)+654.7)*1.5)-$W$10),
IF($AA$45="2-2",IF($W$10&gt;=((0.000315*$U$10^2)-(0.9941*$U$10)+875.6)*1.5,"Yes",(((0.000315*$U$10^2)-(0.9941*$U$10)+875.6)*1.5)-$W$10),"Error")))),
IF($AA$44="70%",
IF($AA$45="1-1",IF($W$10&gt;=(0.000415*$U$10^2)-(0.7559*$U$10)+394.89,"Yes",((0.000415*$U$10^2)-(0.7559*$U$10)+394.89)-$W$10),
IF(OR($AA$45="2-1",$AA$45="1-2"),IF($W$10&gt;=(0.0004*$U$10^2)-(0.8125*$U$10)+473.69,"Yes",((0.0004*$U$10^2)-(0.8125*$U$10)+473.69)-$W$10),
IF($AA$45="2-2",IF($W$10&gt;=(0.00047*$U$10^2)-(1.0164*$U$10)+620.14,"Yes",((0.00047*$U$10^2)-(1.0164*$U$10)+620.14)-$W$10),"Error"))),
IF($AA$45="1-1",IF($W$10&gt;=(0.0003*$U$10^2)-(0.7722*$U$10)+572.22,"Yes",((0.0003*$U$10^2)-(0.7722*$U$10)+572.22)-$W$10),
IF(OR($AA$45="2-1",$AA$45="1-2"),IF($W$10&gt;=(0.000247*$U$10^2)-(0.7566*$U$10)+654.7,"Yes",((0.000247*$U$10^2)-(0.7566*$U$10)+654.7)-$W$10),
IF($AA$45="2-2",IF($W$10&gt;=(0.000315*$U$10^2)-(0.9941*$U$10)+875.6,"Yes",((0.000315*$U$10^2)-(0.9941*$U$10)+875.6)-$W$10),"Error")))))),"")</f>
        <v/>
      </c>
      <c r="AH31" s="122" t="str">
        <f t="shared" ref="AH31:AH42" si="19">IF(AND($U$11&gt;=$Z31,$U$11&lt;$Z30),IF($AB31="No",IF($W$11&gt;=$AA31,"Yes",$AA31-$W$11),
IF($L$15="Yes",
IF($AA$44="70%",
IF($AA$45="1-1",IF($W$11&gt;=((0.000415*$U$11^2)-(0.7559*$U$11)+394.89)*1.5,"Yes",(((0.000415*$U$11^2)-(0.7559*$U$11)+394.89)*1.5)-$W$11),
IF(OR($AA$45="2-1",$AA$45="1-2"),IF($W$11&gt;=((0.0004*$U$11^2)-(0.8125*$U$11)+473.69)*1.5,"Yes",(((0.0004*$U$11^2)-(0.8125*$U$11)+473.69)*1.5)-$W$11),
IF($AA$45="2-2",IF($W$11&gt;=((0.00047*$U$11^2)-(1.0164*$U$11)+620.14)*1.5,"Yes",(((0.00047*$U$11^2)-(1.0164*$U$11)+620.14)*1.5)-$W$11),"Error"))),
IF($AA$45="1-1",IF($W$11&gt;=((0.0003*$U$11^2)-(0.7722*$U$11)+572.22)*1.5,"Yes",(((0.0003*$U$11^2)-(0.7722*$U$11)+572.22)*1.5)-$W$11),
IF(OR($AA$45="2-1",$AA$45="1-2"),IF($W$11&gt;=((0.000247*$U$11^2)-(0.7566*$U$11)+654.7)*1.5,"Yes",(((0.000247*$U$11^2)-(0.7566*$U$11)+654.7)*1.5)-$W$11),
IF($AA$45="2-2",IF($W$11&gt;=((0.000315*$U$11^2)-(0.9941*$U$11)+875.6)*1.5,"Yes",(((0.000315*$U$11^2)-(0.9941*$U$11)+875.6)*1.5)-$W$11),"Error")))),
IF($AA$44="70%",
IF($AA$45="1-1",IF($W$11&gt;=(0.000415*$U$11^2)-(0.7559*$U$11)+394.89,"Yes",((0.000415*$U$11^2)-(0.7559*$U$11)+394.89)-$W$11),
IF(OR($AA$45="2-1",$AA$45="1-2"),IF($W$11&gt;=(0.0004*$U$11^2)-(0.8125*$U$11)+473.69,"Yes",((0.0004*$U$11^2)-(0.8125*$U$11)+473.69)-$W$11),
IF($AA$45="2-2",IF($W$11&gt;=(0.00047*$U$11^2)-(1.0164*$U$11)+620.14,"Yes",((0.00047*$U$11^2)-(1.0164*$U$11)+620.14)-$W$11),"Error"))),
IF($AA$45="1-1",IF($W$11&gt;=(0.0003*$U$11^2)-(0.7722*$U$11)+572.22,"Yes",((0.0003*$U$11^2)-(0.7722*$U$11)+572.22)-$W$11),
IF(OR($AA$45="2-1",$AA$45="1-2"),IF($W$11&gt;=(0.000247*$U$11^2)-(0.7566*$U$11)+654.7,"Yes",((0.000247*$U$11^2)-(0.7566*$U$11)+654.7)-$W$11),
IF($AA$45="2-2",IF($W$11&gt;=(0.000315*$U$11^2)-(0.9941*$U$11)+875.6,"Yes",((0.000315*$U$11^2)-(0.9941*$U$11)+875.6)-$W$11),"Error")))))),"")</f>
        <v/>
      </c>
      <c r="AI31" s="122" t="str">
        <f t="shared" ref="AI31:AI42" si="20">IF(AND($U$12&gt;=$Z31,$U$12&lt;$Z30),IF($AB31="No",IF($W$12&gt;=$AA31,"Yes",$AA31-$W$12),
IF($L$15="Yes",
IF($AA$44="70%",
IF($AA$45="1-1",IF($W$12&gt;=((0.000415*$U$12^2)-(0.7559*$U$12)+394.89)*1.5,"Yes",(((0.000415*$U$12^2)-(0.7559*$U$12)+394.89)*1.5)-$W$12),
IF(OR($AA$45="2-1",$AA$45="1-2"),IF($W$12&gt;=((0.0004*$U$12^2)-(0.8125*$U$12)+473.69)*1.5,"Yes",(((0.0004*$U$12^2)-(0.8125*$U$12)+473.69)*1.5)-$W$12),
IF($AA$45="2-2",IF($W$12&gt;=((0.00047*$U$12^2)-(1.0164*$U$12)+620.14)*1.5,"Yes",(((0.00047*$U$12^2)-(1.0164*$U$12)+620.14)*1.5)-$W$12),"Error"))),
IF($AA$45="1-1",IF($W$12&gt;=((0.0003*$U$12^2)-(0.7722*$U$12)+572.22)*1.5,"Yes",(((0.0003*$U$12^2)-(0.7722*$U$12)+572.22)*1.5)-$W$12),
IF(OR($AA$45="2-1",$AA$45="1-2"),IF($W$12&gt;=((0.000247*$U$12^2)-(0.7566*$U$12)+654.7)*1.5,"Yes",(((0.000247*$U$12^2)-(0.7566*$U$12)+654.7)*1.5)-$W$12),
IF($AA$45="2-2",IF($W$12&gt;=((0.000315*$U$12^2)-(0.9941*$U$12)+875.6)*1.5,"Yes",(((0.000315*$U$12^2)-(0.9941*$U$12)+875.6)*1.5)-$W$12),"Error")))),
IF($AA$44="70%",
IF($AA$45="1-1",IF($W$12&gt;=(0.000415*$U$12^2)-(0.7559*$U$12)+394.89,"Yes",((0.000415*$U$12^2)-(0.7559*$U$12)+394.89)-$W$12),
IF(OR($AA$45="2-1",$AA$45="1-2"),IF($W$12&gt;=(0.0004*$U$12^2)-(0.8125*$U$12)+473.69,"Yes",((0.0004*$U$12^2)-(0.8125*$U$12)+473.69)-$W$12),
IF($AA$45="2-2",IF($W$12&gt;=(0.00047*$U$12^2)-(1.0164*$U$12)+620.14,"Yes",((0.00047*$U$12^2)-(1.0164*$U$12)+620.14)-$W$12),"Error"))),
IF($AA$45="1-1",IF($W$12&gt;=(0.0003*$U$12^2)-(0.7722*$U$12)+572.22,"Yes",((0.0003*$U$12^2)-(0.7722*$U$12)+572.22)-$W$12),
IF(OR($AA$45="2-1",$AA$45="1-2"),IF($W$12&gt;=(0.000247*$U$12^2)-(0.7566*$U$12)+654.7,"Yes",((0.000247*$U$12^2)-(0.7566*$U$12)+654.7)-$W$12),
IF($AA$45="2-2",IF($W$12&gt;=(0.000315*$U$12^2)-(0.9941*$U$12)+875.6,"Yes",((0.000315*$U$12^2)-(0.9941*$U$12)+875.6)-$W$12),"Error")))))),"")</f>
        <v/>
      </c>
      <c r="AJ31" s="122" t="str">
        <f t="shared" ref="AJ31:AJ42" si="21">IF(AND($U$13&gt;=$Z31,$U$13&lt;$Z30),IF($AB31="No",IF($W$13&gt;=$AA31,"Yes",$AA31-$W$13),
IF($L$15="Yes",
IF($AA$44="70%",
IF($AA$45="1-1",IF($W$13&gt;=((0.000415*$U$13^2)-(0.7559*$U$13)+394.89)*1.5,"Yes",(((0.000415*$U$13^2)-(0.7559*$U$13)+394.89)*1.5)-$W$13),
IF(OR($AA$45="2-1",$AA$45="1-2"),IF($W$13&gt;=((0.0004*$U$13^2)-(0.8125*$U$13)+473.69)*1.5,"Yes",(((0.0004*$U$13^2)-(0.8125*$U$13)+473.69)*1.5)-$W$13),
IF($AA$45="2-2",IF($W$13&gt;=((0.00047*$U$13^2)-(1.0164*$U$13)+620.14)*1.5,"Yes",(((0.00047*$U$13^2)-(1.0164*$U$13)+620.14)*1.5)-$W$13),"Error"))),
IF($AA$45="1-1",IF($W$13&gt;=((0.0003*$U$13^2)-(0.7722*$U$13)+572.22)*1.5,"Yes",(((0.0003*$U$13^2)-(0.7722*$U$13)+572.22)*1.5)-$W$13),
IF(OR($AA$45="2-1",$AA$45="1-2"),IF($W$13&gt;=((0.000247*$U$13^2)-(0.7566*$U$13)+654.7)*1.5,"Yes",(((0.000247*$U$13^2)-(0.7566*$U$13)+654.7)*1.5)-$W$13),
IF($AA$45="2-2",IF($W$13&gt;=((0.000315*$U$13^2)-(0.9941*$U$13)+875.6)*1.5,"Yes",(((0.000315*$U$13^2)-(0.9941*$U$13)+875.6)*1.5)-$W$13),"Error")))),
IF($AA$44="70%",
IF($AA$45="1-1",IF($W$13&gt;=(0.000415*$U$13^2)-(0.7559*$U$13)+394.89,"Yes",((0.000415*$U$13^2)-(0.7559*$U$13)+394.89)-$W$13),
IF(OR($AA$45="2-1",$AA$45="1-2"),IF($W$13&gt;=(0.0004*$U$13^2)-(0.8125*$U$13)+473.69,"Yes",((0.0004*$U$13^2)-(0.8125*$U$13)+473.69)-$W$13),
IF($AA$45="2-2",IF($W$13&gt;=(0.00047*$U$13^2)-(1.0164*$U$13)+620.14,"Yes",((0.00047*$U$13^2)-(1.0164*$U$13)+620.14)-$W$13),"Error"))),
IF($AA$45="1-1",IF($W$13&gt;=(0.0003*$U$13^2)-(0.7722*$U$13)+572.22,"Yes",((0.0003*$U$13^2)-(0.7722*$U$13)+572.22)-$W$13),
IF(OR($AA$45="2-1",$AA$45="1-2"),IF($W$13&gt;=(0.000247*$U$13^2)-(0.7566*$U$13)+654.7,"Yes",((0.000247*$U$13^2)-(0.7566*$U$13)+654.7)-$W$13),
IF($AA$45="2-2",IF($W$13&gt;=(0.000315*$U$13^2)-(0.9941*$U$13)+875.6,"Yes",((0.000315*$U$13^2)-(0.9941*$U$13)+875.6)-$W$13),"Error")))))),"")</f>
        <v/>
      </c>
      <c r="AK31" s="122" t="str">
        <f t="shared" ref="AK31:AK42" si="22">IF(AND($U$14&gt;=$Z31,$U$14&lt;$Z30),IF($AB31="No",IF($W$14&gt;=$AA31,"Yes",$AA31-$W$14),
IF($L$15="Yes",
IF($AA$44="70%",
IF($AA$45="1-1",IF($W$14&gt;=((0.000415*$U$14^2)-(0.7559*$U$14)+394.89)*1.5,"Yes",(((0.000415*$U$14^2)-(0.7559*$U$14)+394.89)*1.5)-$W$14),
IF(OR($AA$45="2-1",$AA$45="1-2"),IF($W$14&gt;=((0.0004*$U$14^2)-(0.8125*$U$14)+473.69)*1.5,"Yes",(((0.0004*$U$14^2)-(0.8125*$U$14)+473.69)*1.5)-$W$14),
IF($AA$45="2-2",IF($W$14&gt;=((0.00047*$U$14^2)-(1.0164*$U$14)+620.14)*1.5,"Yes",(((0.00047*$U$14^2)-(1.0164*$U$14)+620.14)*1.5)-$W$14),"Error"))),
IF($AA$45="1-1",IF($W$14&gt;=((0.0003*$U$14^2)-(0.7722*$U$14)+572.22)*1.5,"Yes",(((0.0003*$U$14^2)-(0.7722*$U$14)+572.22)*1.5)-$W$14),
IF(OR($AA$45="2-1",$AA$45="1-2"),IF($W$14&gt;=((0.000247*$U$14^2)-(0.7566*$U$14)+654.7)*1.5,"Yes",(((0.000247*$U$14^2)-(0.7566*$U$14)+654.7)*1.5)-$W$14),
IF($AA$45="2-2",IF($W$14&gt;=((0.000315*$U$14^2)-(0.9941*$U$14)+875.6)*1.5,"Yes",(((0.000315*$U$14^2)-(0.9941*$U$14)+875.6)*1.5)-$W$14),"Error")))),
IF($AA$44="70%",
IF($AA$45="1-1",IF($W$14&gt;=(0.000415*$U$14^2)-(0.7559*$U$14)+394.89,"Yes",((0.000415*$U$14^2)-(0.7559*$U$14)+394.89)-$W$14),
IF(OR($AA$45="2-1",$AA$45="1-2"),IF($W$14&gt;=(0.0004*$U$14^2)-(0.8125*$U$14)+473.69,"Yes",((0.0004*$U$14^2)-(0.8125*$U$14)+473.69)-$W$14),
IF($AA$45="2-2",IF($W$14&gt;=(0.00047*$U$14^2)-(1.0164*$U$14)+620.14,"Yes",((0.00047*$U$14^2)-(1.0164*$U$14)+620.14)-$W$14),"Error"))),
IF($AA$45="1-1",IF($W$14&gt;=(0.0003*$U$14^2)-(0.7722*$U$14)+572.22,"Yes",((0.0003*$U$14^2)-(0.7722*$U$14)+572.22)-$W$14),
IF(OR($AA$45="2-1",$AA$45="1-2"),IF($W$14&gt;=(0.000247*$U$14^2)-(0.7566*$U$14)+654.7,"Yes",((0.000247*$U$14^2)-(0.7566*$U$14)+654.7)-$W$14),
IF($AA$45="2-2",IF($W$14&gt;=(0.000315*$U$14^2)-(0.9941*$U$14)+875.6,"Yes",((0.000315*$U$14^2)-(0.9941*$U$14)+875.6)-$W$14),"Error")))))),"")</f>
        <v/>
      </c>
      <c r="AL31" s="122" t="str">
        <f t="shared" ref="AL31:AL42" si="23">IF(AND($U$15&gt;=$Z31,$U$15&lt;$Z30),IF($AB31="No",IF($W$15&gt;=$AA31,"Yes",$AA31-$W$15),
IF($L$15="Yes",
IF($AA$44="70%",
IF($AA$45="1-1",IF($W$15&gt;=((0.000415*$U$15^2)-(0.7559*$U$15)+394.89)*1.5,"Yes",(((0.000415*$U$15^2)-(0.7559*$U$15)+394.89)*1.5)-$W$15),
IF(OR($AA$45="2-1",$AA$45="1-2"),IF($W$15&gt;=((0.0004*$U$15^2)-(0.8125*$U$15)+473.69)*1.5,"Yes",(((0.0004*$U$15^2)-(0.8125*$U$15)+473.69)*1.5)-$W$15),
IF($AA$45="2-2",IF($W$15&gt;=((0.00047*$U$15^2)-(1.0164*$U$15)+620.14)*1.5,"Yes",(((0.00047*$U$15^2)-(1.0164*$U$15)+620.14)*1.5)-$W$15),"Error"))),
IF($AA$45="1-1",IF($W$15&gt;=((0.0003*$U$15^2)-(0.7722*$U$15)+572.22)*1.5,"Yes",(((0.0003*$U$15^2)-(0.7722*$U$15)+572.22)*1.5)-$W$15),
IF(OR($AA$45="2-1",$AA$45="1-2"),IF($W$15&gt;=((0.000247*$U$15^2)-(0.7566*$U$15)+654.7)*1.5,"Yes",(((0.000247*$U$15^2)-(0.7566*$U$15)+654.7)*1.5)-$W$15),
IF($AA$45="2-2",IF($W$15&gt;=((0.000315*$U$15^2)-(0.9941*$U$15)+875.6)*1.5,"Yes",(((0.000315*$U$15^2)-(0.9941*$U$15)+875.6)*1.5)-$W$15),"Error")))),
IF($AA$44="70%",
IF($AA$45="1-1",IF($W$15&gt;=(0.000415*$U$15^2)-(0.7559*$U$15)+394.89,"Yes",((0.000415*$U$15^2)-(0.7559*$U$15)+394.89)-$W$15),
IF(OR($AA$45="2-1",$AA$45="1-2"),IF($W$15&gt;=(0.0004*$U$15^2)-(0.8125*$U$15)+473.69,"Yes",((0.0004*$U$15^2)-(0.8125*$U$15)+473.69)-$W$15),
IF($AA$45="2-2",IF($W$15&gt;=(0.00047*$U$15^2)-(1.0164*$U$15)+620.14,"Yes",((0.00047*$U$15^2)-(1.0164*$U$15)+620.14)-$W$15),"Error"))),
IF($AA$45="1-1",IF($W$15&gt;=(0.0003*$U$15^2)-(0.7722*$U$15)+572.22,"Yes",((0.0003*$U$15^2)-(0.7722*$U$15)+572.22)-$W$15),
IF(OR($AA$45="2-1",$AA$45="1-2"),IF($W$15&gt;=(0.000247*$U$15^2)-(0.7566*$U$15)+654.7,"Yes",((0.000247*$U$15^2)-(0.7566*$U$15)+654.7)-$W$15),
IF($AA$45="2-2",IF($W$15&gt;=(0.000315*$U$15^2)-(0.9941*$U$15)+875.6,"Yes",((0.000315*$U$15^2)-(0.9941*$U$15)+875.6)-$W$15),"Error")))))),"")</f>
        <v/>
      </c>
      <c r="AM31" s="122" t="str">
        <f t="shared" ref="AM31:AM42" si="24">IF(AND($U$16&gt;=$Z31,$U$16&lt;$Z30),IF($AB31="No",IF($W$16&gt;=$AA31,"Yes",$AA31-$W$16),
IF($L$15="Yes",
IF($AA$44="70%",
IF($AA$45="1-1",IF($W$16&gt;=((0.000415*$U$16^2)-(0.7559*$U$16)+394.89)*1.5,"Yes",(((0.000415*$U$16^2)-(0.7559*$U$16)+394.89)*1.5)-$W$16),
IF(OR($AA$45="2-1",$AA$45="1-2"),IF($W$16&gt;=((0.0004*$U$16^2)-(0.8125*$U$16)+473.69)*1.5,"Yes",(((0.0004*$U$16^2)-(0.8125*$U$16)+473.69)*1.5)-$W$16),
IF($AA$45="2-2",IF($W$16&gt;=((0.00047*$U$16^2)-(1.0164*$U$16)+620.14)*1.5,"Yes",(((0.00047*$U$16^2)-(1.0164*$U$16)+620.14)*1.5)-$W$16),"Error"))),
IF($AA$45="1-1",IF($W$16&gt;=((0.0003*$U$16^2)-(0.7722*$U$16)+572.22)*1.5,"Yes",(((0.0003*$U$16^2)-(0.7722*$U$16)+572.22)*1.5)-$W$16),
IF(OR($AA$45="2-1",$AA$45="1-2"),IF($W$16&gt;=((0.000247*$U$16^2)-(0.7566*$U$16)+654.7)*1.5,"Yes",(((0.000247*$U$16^2)-(0.7566*$U$16)+654.7)*1.5)-$W$16),
IF($AA$45="2-2",IF($W$16&gt;=((0.000315*$U$16^2)-(0.9941*$U$16)+875.6)*1.5,"Yes",(((0.000315*$U$16^2)-(0.9941*$U$16)+875.6)*1.5)-$W$16),"Error")))),
IF($AA$44="70%",
IF($AA$45="1-1",IF($W$16&gt;=(0.000415*$U$16^2)-(0.7559*$U$16)+394.89,"Yes",((0.000415*$U$16^2)-(0.7559*$U$16)+394.89)-$W$16),
IF(OR($AA$45="2-1",$AA$45="1-2"),IF($W$16&gt;=(0.0004*$U$16^2)-(0.8125*$U$16)+473.69,"Yes",((0.0004*$U$16^2)-(0.8125*$U$16)+473.69)-$W$16),
IF($AA$45="2-2",IF($W$16&gt;=(0.00047*$U$16^2)-(1.0164*$U$16)+620.14,"Yes",((0.00047*$U$16^2)-(1.0164*$U$16)+620.14)-$W$16),"Error"))),
IF($AA$45="1-1",IF($W$16&gt;=(0.0003*$U$16^2)-(0.7722*$U$16)+572.22,"Yes",((0.0003*$U$16^2)-(0.7722*$U$16)+572.22)-$W$16),
IF(OR($AA$45="2-1",$AA$45="1-2"),IF($W$16&gt;=(0.000247*$U$16^2)-(0.7566*$U$16)+654.7,"Yes",((0.000247*$U$16^2)-(0.7566*$U$16)+654.7)-$W$16),
IF($AA$45="2-2",IF($W$16&gt;=(0.000315*$U$16^2)-(0.9941*$U$16)+875.6,"Yes",((0.000315*$U$16^2)-(0.9941*$U$16)+875.6)-$W$16),"Error")))))),"")</f>
        <v/>
      </c>
      <c r="AN31" s="122" t="str">
        <f t="shared" ref="AN31:AN42" si="25">IF(AND($U$17&gt;=$Z31,$U$17&lt;$Z30),IF($AB31="No",IF($W$17&gt;=$AA31,"Yes",$AA31-$W$17),
IF($L$15="Yes",
IF($AA$44="70%",
IF($AA$45="1-1",IF($W$17&gt;=((0.000415*$U$17^2)-(0.7559*$U$17)+394.89)*1.5,"Yes",(((0.000415*$U$17^2)-(0.7559*$U$17)+394.89)*1.5)-$W$17),
IF(OR($AA$45="2-1",$AA$45="1-2"),IF($W$17&gt;=((0.0004*$U$17^2)-(0.8125*$U$17)+473.69)*1.5,"Yes",(((0.0004*$U$17^2)-(0.8125*$U$17)+473.69)*1.5)-$W$17),
IF($AA$45="2-2",IF($W$17&gt;=((0.00047*$U$17^2)-(1.0164*$U$17)+620.14)*1.5,"Yes",(((0.00047*$U$17^2)-(1.0164*$U$17)+620.14)*1.5)-$W$17),"Error"))),
IF($AA$45="1-1",IF($W$17&gt;=((0.0003*$U$17^2)-(0.7722*$U$17)+572.22)*1.5,"Yes",(((0.0003*$U$17^2)-(0.7722*$U$17)+572.22)*1.5)-$W$17),
IF(OR($AA$45="2-1",$AA$45="1-2"),IF($W$17&gt;=((0.000247*$U$17^2)-(0.7566*$U$17)+654.7)*1.5,"Yes",(((0.000247*$U$17^2)-(0.7566*$U$17)+654.7)*1.5)-$W$17),
IF($AA$45="2-2",IF($W$17&gt;=((0.000315*$U$17^2)-(0.9941*$U$17)+875.6)*1.5,"Yes",(((0.000315*$U$17^2)-(0.9941*$U$17)+875.6)*1.5)-$W$17),"Error")))),
IF($AA$44="70%",
IF($AA$45="1-1",IF($W$17&gt;=(0.000415*$U$17^2)-(0.7559*$U$17)+394.89,"Yes",((0.000415*$U$17^2)-(0.7559*$U$17)+394.89)-$W$17),
IF(OR($AA$45="2-1",$AA$45="1-2"),IF($W$17&gt;=(0.0004*$U$17^2)-(0.8125*$U$17)+473.69,"Yes",((0.0004*$U$17^2)-(0.8125*$U$17)+473.69)-$W$17),
IF($AA$45="2-2",IF($W$17&gt;=(0.00047*$U$17^2)-(1.0164*$U$17)+620.14,"Yes",((0.00047*$U$17^2)-(1.0164*$U$17)+620.14)-$W$17),"Error"))),
IF($AA$45="1-1",IF($W$17&gt;=(0.0003*$U$17^2)-(0.7722*$U$17)+572.22,"Yes",((0.0003*$U$17^2)-(0.7722*$U$17)+572.22)-$W$17),
IF(OR($AA$45="2-1",$AA$45="1-2"),IF($W$17&gt;=(0.000247*$U$17^2)-(0.7566*$U$17)+654.7,"Yes",((0.000247*$U$17^2)-(0.7566*$U$17)+654.7)-$W$17),
IF($AA$45="2-2",IF($W$17&gt;=(0.000315*$U$17^2)-(0.9941*$U$17)+875.6,"Yes",((0.000315*$U$17^2)-(0.9941*$U$17)+875.6)-$W$17),"Error")))))),"")</f>
        <v/>
      </c>
      <c r="AO31" s="122" t="str">
        <f t="shared" ref="AO31:AO42" si="26">IF(AND($U$18&gt;=$Z31,$U$18&lt;$Z30),IF($AB31="No",IF($W$18&gt;=$AA31,"Yes",$AA31-$W$18),
IF($L$15="Yes",
IF($AA$44="70%",
IF($AA$45="1-1",IF($W$18&gt;=((0.000415*$U$18^2)-(0.7559*$U$18)+394.89)*1.5,"Yes",(((0.000415*$U$18^2)-(0.7559*$U$18)+394.89)*1.5)-$W$18),
IF(OR($AA$45="2-1",$AA$45="1-2"),IF($W$18&gt;=((0.0004*$U$18^2)-(0.8125*$U$18)+473.69)*1.5,"Yes",(((0.0004*$U$18^2)-(0.8125*$U$18)+473.69)*1.5)-$W$18),
IF($AA$45="2-2",IF($W$18&gt;=((0.00047*$U$18^2)-(1.0164*$U$18)+620.14)*1.5,"Yes",(((0.00047*$U$18^2)-(1.0164*$U$18)+620.14)*1.5)-$W$18),"Error"))),
IF($AA$45="1-1",IF($W$18&gt;=((0.0003*$U$18^2)-(0.7722*$U$18)+572.22)*1.5,"Yes",(((0.0003*$U$18^2)-(0.7722*$U$18)+572.22)*1.5)-$W$18),
IF(OR($AA$45="2-1",$AA$45="1-2"),IF($W$18&gt;=((0.000247*$U$18^2)-(0.7566*$U$18)+654.7)*1.5,"Yes",(((0.000247*$U$18^2)-(0.7566*$U$18)+654.7)*1.5)-$W$18),
IF($AA$45="2-2",IF($W$18&gt;=((0.000315*$U$18^2)-(0.9941*$U$18)+875.6)*1.5,"Yes",(((0.000315*$U$18^2)-(0.9941*$U$18)+875.6)*1.5)-$W$18),"Error")))),
IF($AA$44="70%",
IF($AA$45="1-1",IF($W$18&gt;=(0.000415*$U$18^2)-(0.7559*$U$18)+394.89,"Yes",((0.000415*$U$18^2)-(0.7559*$U$18)+394.89)-$W$18),
IF(OR($AA$45="2-1",$AA$45="1-2"),IF($W$18&gt;=(0.0004*$U$18^2)-(0.8125*$U$18)+473.69,"Yes",((0.0004*$U$18^2)-(0.8125*$U$18)+473.69)-$W$18),
IF($AA$45="2-2",IF($W$18&gt;=(0.00047*$U$18^2)-(1.0164*$U$18)+620.14,"Yes",((0.00047*$U$18^2)-(1.0164*$U$18)+620.14)-$W$18),"Error"))),
IF($AA$45="1-1",IF($W$18&gt;=(0.0003*$U$18^2)-(0.7722*$U$18)+572.22,"Yes",((0.0003*$U$18^2)-(0.7722*$U$18)+572.22)-$W$18),
IF(OR($AA$45="2-1",$AA$45="1-2"),IF($W$18&gt;=(0.000247*$U$18^2)-(0.7566*$U$18)+654.7,"Yes",((0.000247*$U$18^2)-(0.7566*$U$18)+654.7)-$W$18),
IF($AA$45="2-2",IF($W$18&gt;=(0.000315*$U$18^2)-(0.9941*$U$18)+875.6,"Yes",((0.000315*$U$18^2)-(0.9941*$U$18)+875.6)-$W$18),"Error")))))),"")</f>
        <v/>
      </c>
      <c r="AP31" s="122" t="str">
        <f t="shared" ref="AP31:AP42" si="27">IF(AND($U$19&gt;=$Z31,$U$19&lt;$Z30),IF($AB31="No",IF($W$19&gt;=$AA31,"Yes",$AA31-$W$19),
IF($L$15="Yes",
IF($AA$44="70%",
IF($AA$45="1-1",IF($W$19&gt;=((0.000415*$U$19^2)-(0.7559*$U$19)+394.89)*1.5,"Yes",(((0.000415*$U$19^2)-(0.7559*$U$19)+394.89)*1.5)-$W$19),
IF(OR($AA$45="2-1",$AA$45="1-2"),IF($W$19&gt;=((0.0004*$U$19^2)-(0.8125*$U$19)+473.69)*1.5,"Yes",(((0.0004*$U$19^2)-(0.8125*$U$19)+473.69)*1.5)-$W$19),
IF($AA$45="2-2",IF($W$19&gt;=((0.00047*$U$19^2)-(1.0164*$U$19)+620.14)*1.5,"Yes",(((0.00047*$U$19^2)-(1.0164*$U$19)+620.14)*1.5)-$W$19),"Error"))),
IF($AA$45="1-1",IF($W$19&gt;=((0.0003*$U$19^2)-(0.7722*$U$19)+572.22)*1.5,"Yes",(((0.0003*$U$19^2)-(0.7722*$U$19)+572.22)*1.5)-$W$19),
IF(OR($AA$45="2-1",$AA$45="1-2"),IF($W$19&gt;=((0.000247*$U$19^2)-(0.7566*$U$19)+654.7)*1.5,"Yes",(((0.000247*$U$19^2)-(0.7566*$U$19)+654.7)*1.5)-$W$19),
IF($AA$45="2-2",IF($W$19&gt;=((0.000315*$U$19^2)-(0.9941*$U$19)+875.6)*1.5,"Yes",(((0.000315*$U$19^2)-(0.9941*$U$19)+875.6)*1.5)-$W$19),"Error")))),
IF($AA$44="70%",
IF($AA$45="1-1",IF($W$19&gt;=(0.000415*$U$19^2)-(0.7559*$U$19)+394.89,"Yes",((0.000415*$U$19^2)-(0.7559*$U$19)+394.89)-$W$19),
IF(OR($AA$45="2-1",$AA$45="1-2"),IF($W$19&gt;=(0.0004*$U$19^2)-(0.8125*$U$19)+473.69,"Yes",((0.0004*$U$19^2)-(0.8125*$U$19)+473.69)-$W$19),
IF($AA$45="2-2",IF($W$19&gt;=(0.00047*$U$19^2)-(1.0164*$U$19)+620.14,"Yes",((0.00047*$U$19^2)-(1.0164*$U$19)+620.14)-$W$19),"Error"))),
IF($AA$45="1-1",IF($W$19&gt;=(0.0003*$U$19^2)-(0.7722*$U$19)+572.22,"Yes",((0.0003*$U$19^2)-(0.7722*$U$19)+572.22)-$W$19),
IF(OR($AA$45="2-1",$AA$45="1-2"),IF($W$19&gt;=(0.000247*$U$19^2)-(0.7566*$U$19)+654.7,"Yes",((0.000247*$U$19^2)-(0.7566*$U$19)+654.7)-$W$19),
IF($AA$45="2-2",IF($W$19&gt;=(0.000315*$U$19^2)-(0.9941*$U$19)+875.6,"Yes",((0.000315*$U$19^2)-(0.9941*$U$19)+875.6)-$W$19),"Error")))))),"")</f>
        <v/>
      </c>
      <c r="AQ31" s="122" t="str">
        <f t="shared" ref="AQ31:AQ42" si="28">IF(AND($U$20&gt;=$Z31,$U$20&lt;$Z30),IF($AB31="No",IF($W$20&gt;=$AA31,"Yes",$AA31-$W$20),
IF($L$15="Yes",
IF($AA$44="70%",
IF($AA$45="1-1",IF($W$20&gt;=((0.000415*$U$20^2)-(0.7559*$U$20)+394.89)*1.5,"Yes",(((0.000415*$U$20^2)-(0.7559*$U$20)+394.89)*1.5)-$W$20),
IF(OR($AA$45="2-1",$AA$45="1-2"),IF($W$20&gt;=((0.0004*$U$20^2)-(0.8125*$U$20)+473.69)*1.5,"Yes",(((0.0004*$U$20^2)-(0.8125*$U$20)+473.69)*1.5)-$W$20),
IF($AA$45="2-2",IF($W$20&gt;=((0.00047*$U$20^2)-(1.0164*$U$20)+620.14)*1.5,"Yes",(((0.00047*$U$20^2)-(1.0164*$U$20)+620.14)*1.5)-$W$20),"Error"))),
IF($AA$45="1-1",IF($W$20&gt;=((0.0003*$U$20^2)-(0.7722*$U$20)+572.22)*1.5,"Yes",(((0.0003*$U$20^2)-(0.7722*$U$20)+572.22)*1.5)-$W$20),
IF(OR($AA$45="2-1",$AA$45="1-2"),IF($W$20&gt;=((0.000247*$U$20^2)-(0.7566*$U$20)+654.7)*1.5,"Yes",(((0.000247*$U$20^2)-(0.7566*$U$20)+654.7)*1.5)-$W$20),
IF($AA$45="2-2",IF($W$20&gt;=((0.000315*$U$20^2)-(0.9941*$U$20)+875.6)*1.5,"Yes",(((0.000315*$U$20^2)-(0.9941*$U$20)+875.6)*1.5)-$W$20),"Error")))),
IF($AA$44="70%",
IF($AA$45="1-1",IF($W$20&gt;=(0.000415*$U$20^2)-(0.7559*$U$20)+394.89,"Yes",((0.000415*$U$20^2)-(0.7559*$U$20)+394.89)-$W$20),
IF(OR($AA$45="2-1",$AA$45="1-2"),IF($W$20&gt;=(0.0004*$U$20^2)-(0.8125*$U$20)+473.69,"Yes",((0.0004*$U$20^2)-(0.8125*$U$20)+473.69)-$W$20),
IF($AA$45="2-2",IF($W$20&gt;=(0.00047*$U$20^2)-(1.0164*$U$20)+620.14,"Yes",((0.00047*$U$20^2)-(1.0164*$U$20)+620.14)-$W$20),"Error"))),
IF($AA$45="1-1",IF($W$20&gt;=(0.0003*$U$20^2)-(0.7722*$U$20)+572.22,"Yes",((0.0003*$U$20^2)-(0.7722*$U$20)+572.22)-$W$20),
IF(OR($AA$45="2-1",$AA$45="1-2"),IF($W$20&gt;=(0.000247*$U$20^2)-(0.7566*$U$20)+654.7,"Yes",((0.000247*$U$20^2)-(0.7566*$U$20)+654.7)-$W$20),
IF($AA$45="2-2",IF($W$20&gt;=(0.000315*$U$20^2)-(0.9941*$U$20)+875.6,"Yes",((0.000315*$U$20^2)-(0.9941*$U$20)+875.6)-$W$20),"Error")))))),"")</f>
        <v/>
      </c>
      <c r="AR31" s="122" t="str">
        <f t="shared" ref="AR31:AR42" si="29">IF(AND($U$21&gt;=$Z31,$U$21&lt;$Z30),IF($AB31="No",IF($W$21&gt;=$AA31,"Yes",$AA31-$W$21),
IF($L$15="Yes",
IF($AA$44="70%",
IF($AA$45="1-1",IF($W$21&gt;=((0.000415*$U$21^2)-(0.7559*$U$21)+394.89)*1.5,"Yes",(((0.000415*$U$21^2)-(0.7559*$U$21)+394.89)*1.5)-$W$21),
IF(OR($AA$45="2-1",$AA$45="1-2"),IF($W$21&gt;=((0.0004*$U$21^2)-(0.8125*$U$21)+473.69)*1.5,"Yes",(((0.0004*$U$21^2)-(0.8125*$U$21)+473.69)*1.5)-$W$21),
IF($AA$45="2-2",IF($W$21&gt;=((0.00047*$U$21^2)-(1.0164*$U$21)+620.14)*1.5,"Yes",(((0.00047*$U$21^2)-(1.0164*$U$21)+620.14)*1.5)-$W$21),"Error"))),
IF($AA$45="1-1",IF($W$21&gt;=((0.0003*$U$21^2)-(0.7722*$U$21)+572.22)*1.5,"Yes",(((0.0003*$U$21^2)-(0.7722*$U$21)+572.22)*1.5)-$W$21),
IF(OR($AA$45="2-1",$AA$45="1-2"),IF($W$21&gt;=((0.000247*$U$21^2)-(0.7566*$U$21)+654.7)*1.5,"Yes",(((0.000247*$U$21^2)-(0.7566*$U$21)+654.7)*1.5)-$W$21),
IF($AA$45="2-2",IF($W$21&gt;=((0.000315*$U$21^2)-(0.9941*$U$21)+875.6)*1.5,"Yes",(((0.000315*$U$21^2)-(0.9941*$U$21)+875.6)*1.5)-$W$21),"Error")))),
IF($AA$44="70%",
IF($AA$45="1-1",IF($W$21&gt;=(0.000415*$U$21^2)-(0.7559*$U$21)+394.89,"Yes",((0.000415*$U$21^2)-(0.7559*$U$21)+394.89)-$W$21),
IF(OR($AA$45="2-1",$AA$45="1-2"),IF($W$21&gt;=(0.0004*$U$21^2)-(0.8125*$U$21)+473.69,"Yes",((0.0004*$U$21^2)-(0.8125*$U$21)+473.69)-$W$21),
IF($AA$45="2-2",IF($W$21&gt;=(0.00047*$U$21^2)-(1.0164*$U$21)+620.14,"Yes",((0.00047*$U$21^2)-(1.0164*$U$21)+620.14)-$W$21),"Error"))),
IF($AA$45="1-1",IF($W$21&gt;=(0.0003*$U$21^2)-(0.7722*$U$21)+572.22,"Yes",((0.0003*$U$21^2)-(0.7722*$U$21)+572.22)-$W$21),
IF(OR($AA$45="2-1",$AA$45="1-2"),IF($W$21&gt;=(0.000247*$U$21^2)-(0.7566*$U$21)+654.7,"Yes",((0.000247*$U$21^2)-(0.7566*$U$21)+654.7)-$W$21),
IF($AA$45="2-2",IF($W$21&gt;=(0.000315*$U$21^2)-(0.9941*$U$21)+875.6,"Yes",((0.000315*$U$21^2)-(0.9941*$U$21)+875.6)-$W$21),"Error")))))),"")</f>
        <v/>
      </c>
      <c r="AS31" s="150">
        <f>IF(OR($B$11 ="",$H$11="",AT31=""),"",Sheet3!A36)</f>
        <v>1700</v>
      </c>
      <c r="AT31" s="150">
        <f>IF(OR($B$11 ="",$H$11=""),"",IF($L$15="Yes",
IF($L$1="70%",
IF($B$11="1 lane",IF($H$11="1 lane",IF(Sheet3!B36="",#N/A,Sheet3!B36*1.5),IF(Sheet3!F36="",#N/A,Sheet3!F36*1.5)),IF($H$11="1 lane",IF(Sheet3!D36="",#N/A,Sheet3!D36*1.5),IF(Sheet3!H36="",#N/A,Sheet3!H36*1.5))),
IF($B$11="1 lane",IF($H$11="1 lane",IF(Sheet3!J36="",#N/A,Sheet3!J36*1.5),IF(Sheet3!N36="",#N/A,Sheet3!N36*1.5)),IF($H$11="1 lane",IF(Sheet3!L36="",#N/A,Sheet3!L36*1.5),IF(Sheet3!P36="",#N/A,Sheet3!P36*1.5)))),
IF($L$1="70%",
IF($B$11="1 lane",IF($H$11="1 lane",IF(Sheet3!B36="",#N/A,Sheet3!B36),IF(Sheet3!F36="",#N/A,Sheet3!F36)),IF($H$11="1 lane",IF(Sheet3!D36="",#N/A,Sheet3!D36),IF(Sheet3!H36="",#N/A,Sheet3!H36))),
IF($B$11="1 lane",IF($H$11="1 lane",IF(Sheet3!J36="",#N/A,Sheet3!J36),IF(Sheet3!N36="",#N/A,Sheet3!N36)),IF($H$11="1 lane",IF(Sheet3!L36="",#N/A,Sheet3!L36),IF(Sheet3!P36="",#N/A,Sheet3!P36))))))</f>
        <v>100</v>
      </c>
      <c r="AU31" s="150" t="str">
        <f>IF(OR($B$11 ="",$H$11=""),"",IF($L$1="70%",IF($B$11="1 lane",IF($H$11="1 lane",IF(Sheet3!C36="","No","Yes"),IF(Sheet3!G36="","No","Yes")),IF($H$11="1 lane",IF(Sheet3!E36="","No","Yes"),IF(Sheet3!I36="","No","Yes"))),IF($B$11="1 lane",IF($H$11="1 lane",IF(Sheet3!K36="","No","Yes"),IF(Sheet3!O36="","No","Yes")),IF(H$11="1 lane",IF(Sheet3!M36="","No","Yes"),IF(Sheet3!Q36="","No","Yes")))))</f>
        <v>No</v>
      </c>
      <c r="AV31" s="119" t="str">
        <f t="shared" si="13"/>
        <v/>
      </c>
      <c r="AW31" s="9" t="s">
        <v>125</v>
      </c>
      <c r="AY31" s="48" t="str">
        <f>IF(AND(COUNTIF(AS5:AS16,"Yes")&gt;0,COUNTIF(AT5:AT16,"Yes")&gt;0,COUNTIF(AU5:AU16,"Yes")&gt;0,COUNTIF(AV5:AV16,"Yes")&gt;0),"Yes",IF(OR(COUNTIF(AS5:AS16,"No")&gt;0,COUNTIF(AT5:AT16,"No")&gt;0,COUNTIF(AU5:AU16,"No")&gt;0,COUNTIF(AV5:AV16,"No")&gt;0),"No",""))</f>
        <v/>
      </c>
      <c r="BH31" s="171"/>
      <c r="BI31" s="221" t="s">
        <v>126</v>
      </c>
      <c r="BJ31" s="221"/>
      <c r="BK31" s="221"/>
      <c r="BL31" s="221"/>
      <c r="BM31" s="221"/>
      <c r="BN31" s="221"/>
      <c r="BO31" s="221"/>
      <c r="BP31" s="221"/>
      <c r="BQ31" s="141" t="str">
        <f>IF(AX37&gt;AQ21,"Yes","No")</f>
        <v>Yes</v>
      </c>
      <c r="BR31" s="171"/>
      <c r="CB31" t="s">
        <v>127</v>
      </c>
    </row>
    <row r="32" spans="1:82" ht="15.75" customHeight="1" x14ac:dyDescent="0.25">
      <c r="A32" s="200" t="s">
        <v>128</v>
      </c>
      <c r="B32" s="201"/>
      <c r="C32" s="201"/>
      <c r="D32" s="201"/>
      <c r="E32" s="201"/>
      <c r="F32" s="201"/>
      <c r="G32" s="201"/>
      <c r="H32" s="201"/>
      <c r="I32" s="154"/>
      <c r="J32" s="188" t="str">
        <f>IF(BG19="",BD19,BG19)</f>
        <v>N/A</v>
      </c>
      <c r="K32" s="188"/>
      <c r="L32" s="189"/>
      <c r="R32" s="163"/>
      <c r="Z32" s="150">
        <f>IF(OR($B$11 ="",$H$11=""),"",Sheet3!A18)</f>
        <v>1200</v>
      </c>
      <c r="AA32" s="150">
        <f>IF(OR($B$11 ="",$H$11=""),"",IF($L$15="Yes",
IF($L$1="70%",
IF($B$11="1 lane",IF($H$11="1 lane",IF(Sheet3!B18="",#N/A,Sheet3!B18*1.5),IF(Sheet3!F18="",#N/A,Sheet3!F18*1.5)),IF($H$11="1 lane",IF(Sheet3!D18="",#N/A,Sheet3!D18*1.5),IF(Sheet3!H18="",#N/A,Sheet3!H18*1.5))),
IF($B$11="1 lane",IF($H$11="1 lane",IF(Sheet3!J18="",#N/A,Sheet3!J18*1.5),IF(Sheet3!N18="",#N/A,Sheet3!N18*1.5)),IF($H$11="1 lane",IF(Sheet3!L18="",#N/A,Sheet3!L18*1.5),IF(Sheet3!P18="",#N/A,Sheet3!P18*1.5)))),
IF($L$1="70%",
IF($B$11="1 lane",IF($H$11="1 lane",IF(Sheet3!B18="",#N/A,Sheet3!B18),IF(Sheet3!F18="",#N/A,Sheet3!F18)),IF($H$11="1 lane",IF(Sheet3!D18="",#N/A,Sheet3!D18),IF(Sheet3!H18="",#N/A,Sheet3!H18))),
IF($B$11="1 lane",IF($H$11="1 lane",IF(Sheet3!J18="",#N/A,Sheet3!J18),IF(Sheet3!N18="",#N/A,Sheet3!N18)),IF($H$11="1 lane",IF(Sheet3!L18="",#N/A,Sheet3!L18),IF(Sheet3!P18="",#N/A,Sheet3!P18))))))</f>
        <v>80</v>
      </c>
      <c r="AB32" s="150" t="str">
        <f>IF(OR($B$11 ="",$H$11=""),"",IF($L$1="70%",IF($B$11="1 lane",IF($H$11="1 lane",IF(Sheet3!C18="","No","Yes"),IF(Sheet3!G18="","No","Yes")),IF($H$11="1 lane",IF(Sheet3!E18="","No","Yes"),IF(Sheet3!I18="","No","Yes"))),IF($B$11="1 lane",IF($H$11="1 lane",IF(Sheet3!K18="","No","Yes"),IF(Sheet3!O18="","No","Yes")),IF(H$11="1 lane",IF(Sheet3!M18="","No","Yes"),IF(Sheet3!Q18="","No","Yes")))))</f>
        <v>No</v>
      </c>
      <c r="AC32" s="122" t="str">
        <f t="shared" si="14"/>
        <v/>
      </c>
      <c r="AD32" s="122" t="str">
        <f t="shared" si="15"/>
        <v/>
      </c>
      <c r="AE32" s="122" t="str">
        <f t="shared" si="16"/>
        <v/>
      </c>
      <c r="AF32" s="122" t="str">
        <f t="shared" si="17"/>
        <v/>
      </c>
      <c r="AG32" s="122" t="str">
        <f t="shared" si="18"/>
        <v/>
      </c>
      <c r="AH32" s="122" t="str">
        <f t="shared" si="19"/>
        <v/>
      </c>
      <c r="AI32" s="122" t="str">
        <f t="shared" si="20"/>
        <v/>
      </c>
      <c r="AJ32" s="122" t="str">
        <f t="shared" si="21"/>
        <v/>
      </c>
      <c r="AK32" s="122" t="str">
        <f t="shared" si="22"/>
        <v/>
      </c>
      <c r="AL32" s="122" t="str">
        <f t="shared" si="23"/>
        <v/>
      </c>
      <c r="AM32" s="122" t="str">
        <f t="shared" si="24"/>
        <v/>
      </c>
      <c r="AN32" s="122" t="str">
        <f t="shared" si="25"/>
        <v/>
      </c>
      <c r="AO32" s="122" t="str">
        <f t="shared" si="26"/>
        <v/>
      </c>
      <c r="AP32" s="122" t="str">
        <f t="shared" si="27"/>
        <v/>
      </c>
      <c r="AQ32" s="122" t="str">
        <f t="shared" si="28"/>
        <v/>
      </c>
      <c r="AR32" s="122" t="str">
        <f t="shared" si="29"/>
        <v/>
      </c>
      <c r="AS32" s="150">
        <f>IF(OR($B$11 ="",$H$11="",AT32=""),"",Sheet3!A37)</f>
        <v>1600</v>
      </c>
      <c r="AT32" s="150">
        <f>IF(OR($B$11 ="",$H$11=""),"",IF($L$15="Yes",
IF($L$1="70%",
IF($B$11="1 lane",IF($H$11="1 lane",IF(Sheet3!B37="",#N/A,Sheet3!B37*1.5),IF(Sheet3!F37="",#N/A,Sheet3!F37*1.5)),IF($H$11="1 lane",IF(Sheet3!D37="",#N/A,Sheet3!D37*1.5),IF(Sheet3!H37="",#N/A,Sheet3!H37*1.5))),
IF($B$11="1 lane",IF($H$11="1 lane",IF(Sheet3!J37="",#N/A,Sheet3!J37*1.5),IF(Sheet3!N37="",#N/A,Sheet3!N37*1.5)),IF($H$11="1 lane",IF(Sheet3!L37="",#N/A,Sheet3!L37*1.5),IF(Sheet3!P37="",#N/A,Sheet3!P37*1.5)))),
IF($L$1="70%",
IF($B$11="1 lane",IF($H$11="1 lane",IF(Sheet3!B37="",#N/A,Sheet3!B37),IF(Sheet3!F37="",#N/A,Sheet3!F37)),IF($H$11="1 lane",IF(Sheet3!D37="",#N/A,Sheet3!D37),IF(Sheet3!H37="",#N/A,Sheet3!H37))),
IF($B$11="1 lane",IF($H$11="1 lane",IF(Sheet3!J37="",#N/A,Sheet3!J37),IF(Sheet3!N37="",#N/A,Sheet3!N37)),IF($H$11="1 lane",IF(Sheet3!L37="",#N/A,Sheet3!L37),IF(Sheet3!P37="",#N/A,Sheet3!P37))))))</f>
        <v>100</v>
      </c>
      <c r="AU32" s="150" t="str">
        <f>IF(OR($B$11 ="",$H$11=""),"",IF($L$1="70%",IF($B$11="1 lane",IF($H$11="1 lane",IF(Sheet3!C37="","No","Yes"),IF(Sheet3!G37="","No","Yes")),IF($H$11="1 lane",IF(Sheet3!E37="","No","Yes"),IF(Sheet3!I37="","No","Yes"))),IF($B$11="1 lane",IF($H$11="1 lane",IF(Sheet3!K37="","No","Yes"),IF(Sheet3!O37="","No","Yes")),IF(H$11="1 lane",IF(Sheet3!M37="","No","Yes"),IF(Sheet3!Q37="","No","Yes")))))</f>
        <v>No</v>
      </c>
      <c r="AV32" s="119" t="str">
        <f t="shared" si="13"/>
        <v/>
      </c>
      <c r="BI32" s="10"/>
      <c r="BJ32" s="10"/>
      <c r="BK32" s="10"/>
      <c r="BL32" s="10"/>
      <c r="BM32" s="10"/>
      <c r="BN32" s="10"/>
      <c r="BO32" s="10"/>
      <c r="BP32" s="10"/>
      <c r="BQ32" s="10"/>
    </row>
    <row r="33" spans="1:79" ht="15.75" customHeight="1" x14ac:dyDescent="0.25">
      <c r="A33" s="4"/>
      <c r="B33" s="202" t="s">
        <v>129</v>
      </c>
      <c r="C33" s="202"/>
      <c r="D33" s="202"/>
      <c r="E33" s="202"/>
      <c r="F33" s="202"/>
      <c r="G33" s="202"/>
      <c r="H33" s="202"/>
      <c r="I33" s="155"/>
      <c r="J33" s="190" t="str">
        <f>AY31</f>
        <v/>
      </c>
      <c r="K33" s="190"/>
      <c r="L33" s="191"/>
      <c r="R33" s="150"/>
      <c r="Z33" s="150">
        <f>IF(OR($B$11 ="",$H$11=""),"",Sheet3!A19)</f>
        <v>1100</v>
      </c>
      <c r="AA33" s="150">
        <f>IF(OR($B$11 ="",$H$11=""),"",IF($L$15="Yes",
IF($L$1="70%",
IF($B$11="1 lane",IF($H$11="1 lane",IF(Sheet3!B19="",#N/A,Sheet3!B19*1.5),IF(Sheet3!F19="",#N/A,Sheet3!F19*1.5)),IF($H$11="1 lane",IF(Sheet3!D19="",#N/A,Sheet3!D19*1.5),IF(Sheet3!H19="",#N/A,Sheet3!H19*1.5))),
IF($B$11="1 lane",IF($H$11="1 lane",IF(Sheet3!J19="",#N/A,Sheet3!J19*1.5),IF(Sheet3!N19="",#N/A,Sheet3!N19*1.5)),IF($H$11="1 lane",IF(Sheet3!L19="",#N/A,Sheet3!L19*1.5),IF(Sheet3!P19="",#N/A,Sheet3!P19*1.5)))),
IF($L$1="70%",
IF($B$11="1 lane",IF($H$11="1 lane",IF(Sheet3!B19="",#N/A,Sheet3!B19),IF(Sheet3!F19="",#N/A,Sheet3!F19)),IF($H$11="1 lane",IF(Sheet3!D19="",#N/A,Sheet3!D19),IF(Sheet3!H19="",#N/A,Sheet3!H19))),
IF($B$11="1 lane",IF($H$11="1 lane",IF(Sheet3!J19="",#N/A,Sheet3!J19),IF(Sheet3!N19="",#N/A,Sheet3!N19)),IF($H$11="1 lane",IF(Sheet3!L19="",#N/A,Sheet3!L19),IF(Sheet3!P19="",#N/A,Sheet3!P19))))))</f>
        <v>80</v>
      </c>
      <c r="AB33" s="150" t="str">
        <f>IF(OR($B$11 ="",$H$11=""),"",IF($L$1="70%",IF($B$11="1 lane",IF($H$11="1 lane",IF(Sheet3!C19="","No","Yes"),IF(Sheet3!G19="","No","Yes")),IF($H$11="1 lane",IF(Sheet3!E19="","No","Yes"),IF(Sheet3!I19="","No","Yes"))),IF($B$11="1 lane",IF($H$11="1 lane",IF(Sheet3!K19="","No","Yes"),IF(Sheet3!O19="","No","Yes")),IF(H$11="1 lane",IF(Sheet3!M19="","No","Yes"),IF(Sheet3!Q19="","No","Yes")))))</f>
        <v>No</v>
      </c>
      <c r="AC33" s="122" t="str">
        <f t="shared" si="14"/>
        <v/>
      </c>
      <c r="AD33" s="122" t="str">
        <f t="shared" si="15"/>
        <v/>
      </c>
      <c r="AE33" s="122" t="str">
        <f t="shared" si="16"/>
        <v/>
      </c>
      <c r="AF33" s="122" t="str">
        <f t="shared" si="17"/>
        <v/>
      </c>
      <c r="AG33" s="122" t="str">
        <f t="shared" si="18"/>
        <v/>
      </c>
      <c r="AH33" s="122" t="str">
        <f t="shared" si="19"/>
        <v/>
      </c>
      <c r="AI33" s="122" t="str">
        <f t="shared" si="20"/>
        <v/>
      </c>
      <c r="AJ33" s="122" t="str">
        <f t="shared" si="21"/>
        <v/>
      </c>
      <c r="AK33" s="122" t="str">
        <f t="shared" si="22"/>
        <v/>
      </c>
      <c r="AL33" s="122" t="str">
        <f t="shared" si="23"/>
        <v/>
      </c>
      <c r="AM33" s="122" t="str">
        <f t="shared" si="24"/>
        <v/>
      </c>
      <c r="AN33" s="122" t="str">
        <f t="shared" si="25"/>
        <v/>
      </c>
      <c r="AO33" s="122" t="str">
        <f t="shared" si="26"/>
        <v/>
      </c>
      <c r="AP33" s="122" t="str">
        <f t="shared" si="27"/>
        <v/>
      </c>
      <c r="AQ33" s="122" t="str">
        <f t="shared" si="28"/>
        <v/>
      </c>
      <c r="AR33" s="122" t="str">
        <f t="shared" si="29"/>
        <v/>
      </c>
      <c r="AS33" s="150">
        <f>IF(OR($B$11 ="",$H$11="",AT33=""),"",Sheet3!A38)</f>
        <v>1500</v>
      </c>
      <c r="AT33" s="150">
        <f>IF(OR($B$11 ="",$H$11=""),"",IF($L$15="Yes",
IF($L$1="70%",
IF($B$11="1 lane",IF($H$11="1 lane",IF(Sheet3!B38="",#N/A,Sheet3!B38*1.5),IF(Sheet3!F38="",#N/A,Sheet3!F38*1.5)),IF($H$11="1 lane",IF(Sheet3!D38="",#N/A,Sheet3!D38*1.5),IF(Sheet3!H38="",#N/A,Sheet3!H38*1.5))),
IF($B$11="1 lane",IF($H$11="1 lane",IF(Sheet3!J38="",#N/A,Sheet3!J38*1.5),IF(Sheet3!N38="",#N/A,Sheet3!N38*1.5)),IF($H$11="1 lane",IF(Sheet3!L38="",#N/A,Sheet3!L38*1.5),IF(Sheet3!P38="",#N/A,Sheet3!P38*1.5)))),
IF($L$1="70%",
IF($B$11="1 lane",IF($H$11="1 lane",IF(Sheet3!B38="",#N/A,Sheet3!B38),IF(Sheet3!F38="",#N/A,Sheet3!F38)),IF($H$11="1 lane",IF(Sheet3!D38="",#N/A,Sheet3!D38),IF(Sheet3!H38="",#N/A,Sheet3!H38))),
IF($B$11="1 lane",IF($H$11="1 lane",IF(Sheet3!J38="",#N/A,Sheet3!J38),IF(Sheet3!N38="",#N/A,Sheet3!N38)),IF($H$11="1 lane",IF(Sheet3!L38="",#N/A,Sheet3!L38),IF(Sheet3!P38="",#N/A,Sheet3!P38))))))</f>
        <v>101</v>
      </c>
      <c r="AU33" s="150" t="str">
        <f>IF(OR($B$11 ="",$H$11=""),"",IF($L$1="70%",IF($B$11="1 lane",IF($H$11="1 lane",IF(Sheet3!C38="","No","Yes"),IF(Sheet3!G38="","No","Yes")),IF($H$11="1 lane",IF(Sheet3!E38="","No","Yes"),IF(Sheet3!I38="","No","Yes"))),IF($B$11="1 lane",IF($H$11="1 lane",IF(Sheet3!K38="","No","Yes"),IF(Sheet3!O38="","No","Yes")),IF(H$11="1 lane",IF(Sheet3!M38="","No","Yes"),IF(Sheet3!Q38="","No","Yes")))))</f>
        <v>Yes</v>
      </c>
      <c r="AV33" s="119" t="str">
        <f t="shared" si="13"/>
        <v/>
      </c>
      <c r="BH33" s="213" t="str">
        <f>A38</f>
        <v>Warrant 8: Roadway Network</v>
      </c>
      <c r="BI33" s="213"/>
      <c r="BJ33" s="213"/>
      <c r="BK33" s="213"/>
      <c r="BL33" s="213"/>
      <c r="BM33" s="213"/>
      <c r="BN33" s="213"/>
      <c r="BO33" s="213"/>
      <c r="BP33" s="213"/>
      <c r="BQ33" s="213"/>
      <c r="BR33" s="213" t="str">
        <f>$L$1</f>
        <v>100%</v>
      </c>
    </row>
    <row r="34" spans="1:79" ht="15.75" customHeight="1" x14ac:dyDescent="0.25">
      <c r="A34" s="5"/>
      <c r="B34" s="187" t="s">
        <v>130</v>
      </c>
      <c r="C34" s="187"/>
      <c r="D34" s="187"/>
      <c r="E34" s="187"/>
      <c r="F34" s="187"/>
      <c r="G34" s="187"/>
      <c r="H34" s="187"/>
      <c r="I34" s="160"/>
      <c r="J34" s="192" t="str">
        <f>AY39</f>
        <v/>
      </c>
      <c r="K34" s="192"/>
      <c r="L34" s="193"/>
      <c r="Z34" s="150">
        <f>IF(OR($B$11 ="",$H$11=""),"",Sheet3!A20)</f>
        <v>1000</v>
      </c>
      <c r="AA34" s="150">
        <f>IF(OR($B$11 ="",$H$11=""),"",IF($L$15="Yes",
IF($L$1="70%",
IF($B$11="1 lane",IF($H$11="1 lane",IF(Sheet3!B20="",#N/A,Sheet3!B20*1.5),IF(Sheet3!F20="",#N/A,Sheet3!F20*1.5)),IF($H$11="1 lane",IF(Sheet3!D20="",#N/A,Sheet3!D20*1.5),IF(Sheet3!H20="",#N/A,Sheet3!H20*1.5))),
IF($B$11="1 lane",IF($H$11="1 lane",IF(Sheet3!J20="",#N/A,Sheet3!J20*1.5),IF(Sheet3!N20="",#N/A,Sheet3!N20*1.5)),IF($H$11="1 lane",IF(Sheet3!L20="",#N/A,Sheet3!L20*1.5),IF(Sheet3!P20="",#N/A,Sheet3!P20*1.5)))),
IF($L$1="70%",
IF($B$11="1 lane",IF($H$11="1 lane",IF(Sheet3!B20="",#N/A,Sheet3!B20),IF(Sheet3!F20="",#N/A,Sheet3!F20)),IF($H$11="1 lane",IF(Sheet3!D20="",#N/A,Sheet3!D20),IF(Sheet3!H20="",#N/A,Sheet3!H20))),
IF($B$11="1 lane",IF($H$11="1 lane",IF(Sheet3!J20="",#N/A,Sheet3!J20),IF(Sheet3!N20="",#N/A,Sheet3!N20)),IF($H$11="1 lane",IF(Sheet3!L20="",#N/A,Sheet3!L20),IF(Sheet3!P20="",#N/A,Sheet3!P20))))))</f>
        <v>101</v>
      </c>
      <c r="AB34" s="150" t="str">
        <f>IF(OR($B$11 ="",$H$11=""),"",IF($L$1="70%",IF($B$11="1 lane",IF($H$11="1 lane",IF(Sheet3!C20="","No","Yes"),IF(Sheet3!G20="","No","Yes")),IF($H$11="1 lane",IF(Sheet3!E20="","No","Yes"),IF(Sheet3!I20="","No","Yes"))),IF($B$11="1 lane",IF($H$11="1 lane",IF(Sheet3!K20="","No","Yes"),IF(Sheet3!O20="","No","Yes")),IF(H$11="1 lane",IF(Sheet3!M20="","No","Yes"),IF(Sheet3!Q20="","No","Yes")))))</f>
        <v>Yes</v>
      </c>
      <c r="AC34" s="122" t="str">
        <f t="shared" si="14"/>
        <v/>
      </c>
      <c r="AD34" s="122" t="str">
        <f t="shared" si="15"/>
        <v/>
      </c>
      <c r="AE34" s="122" t="str">
        <f t="shared" si="16"/>
        <v/>
      </c>
      <c r="AF34" s="122" t="str">
        <f t="shared" si="17"/>
        <v/>
      </c>
      <c r="AG34" s="122" t="str">
        <f t="shared" si="18"/>
        <v/>
      </c>
      <c r="AH34" s="122" t="str">
        <f t="shared" si="19"/>
        <v/>
      </c>
      <c r="AI34" s="122" t="str">
        <f t="shared" si="20"/>
        <v/>
      </c>
      <c r="AJ34" s="122" t="str">
        <f t="shared" si="21"/>
        <v/>
      </c>
      <c r="AK34" s="122" t="str">
        <f t="shared" si="22"/>
        <v/>
      </c>
      <c r="AL34" s="122" t="str">
        <f t="shared" si="23"/>
        <v/>
      </c>
      <c r="AM34" s="122" t="str">
        <f t="shared" si="24"/>
        <v/>
      </c>
      <c r="AN34" s="122" t="str">
        <f t="shared" si="25"/>
        <v/>
      </c>
      <c r="AO34" s="122" t="str">
        <f t="shared" si="26"/>
        <v/>
      </c>
      <c r="AP34" s="122" t="str">
        <f t="shared" si="27"/>
        <v/>
      </c>
      <c r="AQ34" s="122" t="str">
        <f t="shared" si="28"/>
        <v/>
      </c>
      <c r="AR34" s="122" t="str">
        <f t="shared" si="29"/>
        <v/>
      </c>
      <c r="AS34" s="150">
        <f>IF(OR($B$11 ="",$H$11="",AT34=""),"",Sheet3!A39)</f>
        <v>1400</v>
      </c>
      <c r="AT34" s="150">
        <f>IF(OR($B$11 ="",$H$11=""),"",IF($L$15="Yes",
IF($L$1="70%",
IF($B$11="1 lane",IF($H$11="1 lane",IF(Sheet3!B39="",#N/A,Sheet3!B39*1.5),IF(Sheet3!F39="",#N/A,Sheet3!F39*1.5)),IF($H$11="1 lane",IF(Sheet3!D39="",#N/A,Sheet3!D39*1.5),IF(Sheet3!H39="",#N/A,Sheet3!H39*1.5))),
IF($B$11="1 lane",IF($H$11="1 lane",IF(Sheet3!J39="",#N/A,Sheet3!J39*1.5),IF(Sheet3!N39="",#N/A,Sheet3!N39*1.5)),IF($H$11="1 lane",IF(Sheet3!L39="",#N/A,Sheet3!L39*1.5),IF(Sheet3!P39="",#N/A,Sheet3!P39*1.5)))),
IF($L$1="70%",
IF($B$11="1 lane",IF($H$11="1 lane",IF(Sheet3!B39="",#N/A,Sheet3!B39),IF(Sheet3!F39="",#N/A,Sheet3!F39)),IF($H$11="1 lane",IF(Sheet3!D39="",#N/A,Sheet3!D39),IF(Sheet3!H39="",#N/A,Sheet3!H39))),
IF($B$11="1 lane",IF($H$11="1 lane",IF(Sheet3!J39="",#N/A,Sheet3!J39),IF(Sheet3!N39="",#N/A,Sheet3!N39)),IF($H$11="1 lane",IF(Sheet3!L39="",#N/A,Sheet3!L39),IF(Sheet3!P39="",#N/A,Sheet3!P39))))))</f>
        <v>113</v>
      </c>
      <c r="AU34" s="150" t="str">
        <f>IF(OR($B$11 ="",$H$11=""),"",IF($L$1="70%",IF($B$11="1 lane",IF($H$11="1 lane",IF(Sheet3!C39="","No","Yes"),IF(Sheet3!G39="","No","Yes")),IF($H$11="1 lane",IF(Sheet3!E39="","No","Yes"),IF(Sheet3!I39="","No","Yes"))),IF($B$11="1 lane",IF($H$11="1 lane",IF(Sheet3!K39="","No","Yes"),IF(Sheet3!O39="","No","Yes")),IF(H$11="1 lane",IF(Sheet3!M39="","No","Yes"),IF(Sheet3!Q39="","No","Yes")))))</f>
        <v>Yes</v>
      </c>
      <c r="AV34" s="119" t="str">
        <f t="shared" si="13"/>
        <v/>
      </c>
      <c r="AW34" s="230" t="s">
        <v>131</v>
      </c>
      <c r="AX34" s="230"/>
      <c r="AY34" s="230"/>
      <c r="BH34" s="213"/>
      <c r="BI34" s="213"/>
      <c r="BJ34" s="213"/>
      <c r="BK34" s="213"/>
      <c r="BL34" s="213"/>
      <c r="BM34" s="213"/>
      <c r="BN34" s="213"/>
      <c r="BO34" s="213"/>
      <c r="BP34" s="213"/>
      <c r="BQ34" s="213"/>
      <c r="BR34" s="213"/>
      <c r="BS34" s="204" t="s">
        <v>132</v>
      </c>
      <c r="BT34" s="204"/>
      <c r="BU34" s="204"/>
      <c r="BV34" s="204"/>
      <c r="BW34" s="204"/>
      <c r="BX34" s="204"/>
      <c r="BY34" s="204"/>
      <c r="BZ34" s="204"/>
    </row>
    <row r="35" spans="1:79" ht="15.75" customHeight="1" x14ac:dyDescent="0.25">
      <c r="A35" s="184" t="s">
        <v>133</v>
      </c>
      <c r="B35" s="185"/>
      <c r="C35" s="185"/>
      <c r="D35" s="185"/>
      <c r="E35" s="185"/>
      <c r="F35" s="185"/>
      <c r="G35" s="185"/>
      <c r="H35" s="185"/>
      <c r="I35" s="157"/>
      <c r="J35" s="177" t="str">
        <f>IF(BR2="",BO2,BR2)</f>
        <v>N/A</v>
      </c>
      <c r="K35" s="177"/>
      <c r="L35" s="178"/>
      <c r="Z35" s="150">
        <f>IF(OR($B$11 ="",$H$11=""),"",Sheet3!A21)</f>
        <v>900</v>
      </c>
      <c r="AA35" s="150">
        <f>IF(OR($B$11 ="",$H$11=""),"",IF($L$15="Yes",
IF($L$1="70%",
IF($B$11="1 lane",IF($H$11="1 lane",IF(Sheet3!B21="",#N/A,Sheet3!B21*1.5),IF(Sheet3!F21="",#N/A,Sheet3!F21*1.5)),IF($H$11="1 lane",IF(Sheet3!D21="",#N/A,Sheet3!D21*1.5),IF(Sheet3!H21="",#N/A,Sheet3!H21*1.5))),
IF($B$11="1 lane",IF($H$11="1 lane",IF(Sheet3!J21="",#N/A,Sheet3!J21*1.5),IF(Sheet3!N21="",#N/A,Sheet3!N21*1.5)),IF($H$11="1 lane",IF(Sheet3!L21="",#N/A,Sheet3!L21*1.5),IF(Sheet3!P21="",#N/A,Sheet3!P21*1.5)))),
IF($L$1="70%",
IF($B$11="1 lane",IF($H$11="1 lane",IF(Sheet3!B21="",#N/A,Sheet3!B21),IF(Sheet3!F21="",#N/A,Sheet3!F21)),IF($H$11="1 lane",IF(Sheet3!D21="",#N/A,Sheet3!D21),IF(Sheet3!H21="",#N/A,Sheet3!H21))),
IF($B$11="1 lane",IF($H$11="1 lane",IF(Sheet3!J21="",#N/A,Sheet3!J21),IF(Sheet3!N21="",#N/A,Sheet3!N21)),IF($H$11="1 lane",IF(Sheet3!L21="",#N/A,Sheet3!L21),IF(Sheet3!P21="",#N/A,Sheet3!P21))))))</f>
        <v>121</v>
      </c>
      <c r="AB35" s="150" t="str">
        <f>IF(OR($B$11 ="",$H$11=""),"",IF($L$1="70%",IF($B$11="1 lane",IF($H$11="1 lane",IF(Sheet3!C21="","No","Yes"),IF(Sheet3!G21="","No","Yes")),IF($H$11="1 lane",IF(Sheet3!E21="","No","Yes"),IF(Sheet3!I21="","No","Yes"))),IF($B$11="1 lane",IF($H$11="1 lane",IF(Sheet3!K21="","No","Yes"),IF(Sheet3!O21="","No","Yes")),IF(H$11="1 lane",IF(Sheet3!M21="","No","Yes"),IF(Sheet3!Q21="","No","Yes")))))</f>
        <v>Yes</v>
      </c>
      <c r="AC35" s="122" t="str">
        <f t="shared" si="14"/>
        <v/>
      </c>
      <c r="AD35" s="122" t="str">
        <f t="shared" si="15"/>
        <v/>
      </c>
      <c r="AE35" s="122" t="str">
        <f t="shared" si="16"/>
        <v/>
      </c>
      <c r="AF35" s="122" t="str">
        <f t="shared" si="17"/>
        <v/>
      </c>
      <c r="AG35" s="122" t="str">
        <f t="shared" si="18"/>
        <v/>
      </c>
      <c r="AH35" s="122" t="str">
        <f t="shared" si="19"/>
        <v/>
      </c>
      <c r="AI35" s="122" t="str">
        <f t="shared" si="20"/>
        <v/>
      </c>
      <c r="AJ35" s="122" t="str">
        <f t="shared" si="21"/>
        <v/>
      </c>
      <c r="AK35" s="122" t="str">
        <f t="shared" si="22"/>
        <v/>
      </c>
      <c r="AL35" s="122" t="str">
        <f t="shared" si="23"/>
        <v/>
      </c>
      <c r="AM35" s="122" t="str">
        <f t="shared" si="24"/>
        <v/>
      </c>
      <c r="AN35" s="122" t="str">
        <f t="shared" si="25"/>
        <v/>
      </c>
      <c r="AO35" s="122" t="str">
        <f t="shared" si="26"/>
        <v/>
      </c>
      <c r="AP35" s="122" t="str">
        <f t="shared" si="27"/>
        <v/>
      </c>
      <c r="AQ35" s="122" t="str">
        <f t="shared" si="28"/>
        <v/>
      </c>
      <c r="AR35" s="122" t="str">
        <f t="shared" si="29"/>
        <v/>
      </c>
      <c r="AS35" s="150">
        <f>IF(OR($B$11 ="",$H$11="",AT35=""),"",Sheet3!A40)</f>
        <v>1300</v>
      </c>
      <c r="AT35" s="150">
        <f>IF(OR($B$11 ="",$H$11=""),"",IF($L$15="Yes",
IF($L$1="70%",
IF($B$11="1 lane",IF($H$11="1 lane",IF(Sheet3!B40="",#N/A,Sheet3!B40*1.5),IF(Sheet3!F40="",#N/A,Sheet3!F40*1.5)),IF($H$11="1 lane",IF(Sheet3!D40="",#N/A,Sheet3!D40*1.5),IF(Sheet3!H40="",#N/A,Sheet3!H40*1.5))),
IF($B$11="1 lane",IF($H$11="1 lane",IF(Sheet3!J40="",#N/A,Sheet3!J40*1.5),IF(Sheet3!N40="",#N/A,Sheet3!N40*1.5)),IF($H$11="1 lane",IF(Sheet3!L40="",#N/A,Sheet3!L40*1.5),IF(Sheet3!P40="",#N/A,Sheet3!P40*1.5)))),
IF($L$1="70%",
IF($B$11="1 lane",IF($H$11="1 lane",IF(Sheet3!B40="",#N/A,Sheet3!B40),IF(Sheet3!F40="",#N/A,Sheet3!F40)),IF($H$11="1 lane",IF(Sheet3!D40="",#N/A,Sheet3!D40),IF(Sheet3!H40="",#N/A,Sheet3!H40))),
IF($B$11="1 lane",IF($H$11="1 lane",IF(Sheet3!J40="",#N/A,Sheet3!J40),IF(Sheet3!N40="",#N/A,Sheet3!N40)),IF($H$11="1 lane",IF(Sheet3!L40="",#N/A,Sheet3!L40),IF(Sheet3!P40="",#N/A,Sheet3!P40))))))</f>
        <v>130</v>
      </c>
      <c r="AU35" s="150" t="str">
        <f>IF(OR($B$11 ="",$H$11=""),"",IF($L$1="70%",IF($B$11="1 lane",IF($H$11="1 lane",IF(Sheet3!C40="","No","Yes"),IF(Sheet3!G40="","No","Yes")),IF($H$11="1 lane",IF(Sheet3!E40="","No","Yes"),IF(Sheet3!I40="","No","Yes"))),IF($B$11="1 lane",IF($H$11="1 lane",IF(Sheet3!K40="","No","Yes"),IF(Sheet3!O40="","No","Yes")),IF(H$11="1 lane",IF(Sheet3!M40="","No","Yes"),IF(Sheet3!Q40="","No","Yes")))))</f>
        <v>Yes</v>
      </c>
      <c r="AV35" s="119" t="str">
        <f t="shared" si="13"/>
        <v/>
      </c>
      <c r="AW35" s="170" t="s">
        <v>39</v>
      </c>
      <c r="AX35" s="170" t="s">
        <v>134</v>
      </c>
      <c r="AY35" s="170" t="s">
        <v>40</v>
      </c>
      <c r="BH35" s="186" t="s">
        <v>2</v>
      </c>
      <c r="BI35" s="186"/>
      <c r="BJ35" s="186"/>
      <c r="BK35" s="54"/>
      <c r="BL35" s="186" t="s">
        <v>4</v>
      </c>
      <c r="BM35" s="186"/>
      <c r="BN35" s="186"/>
      <c r="BO35" s="29" t="str">
        <f>IF(OR(BK35="",BK35="No"),"N/A",IF(AND(OR(BR37="Yes",BR39="Yes"),OR(BR43="Yes",BR44="Yes",BR45="Yes")),"Yes","No"))</f>
        <v>N/A</v>
      </c>
      <c r="BP35" s="186" t="s">
        <v>5</v>
      </c>
      <c r="BQ35" s="186"/>
      <c r="BR35" s="54"/>
      <c r="BS35" s="211"/>
      <c r="BT35" s="211"/>
      <c r="BU35" s="211"/>
      <c r="BV35" s="211"/>
      <c r="BW35" s="211"/>
      <c r="BX35" s="211"/>
      <c r="BY35" s="211"/>
      <c r="BZ35" s="211"/>
    </row>
    <row r="36" spans="1:79" ht="15.75" customHeight="1" x14ac:dyDescent="0.25">
      <c r="A36" s="205" t="s">
        <v>63</v>
      </c>
      <c r="B36" s="206"/>
      <c r="C36" s="206"/>
      <c r="D36" s="206"/>
      <c r="E36" s="206"/>
      <c r="F36" s="206"/>
      <c r="G36" s="206"/>
      <c r="H36" s="206"/>
      <c r="I36" s="158"/>
      <c r="J36" s="167" t="str">
        <f>IF(BR12="",BO12,BR12)</f>
        <v>N/A</v>
      </c>
      <c r="K36" s="167"/>
      <c r="L36" s="168"/>
      <c r="Z36" s="150">
        <f>IF(OR($B$11 ="",$H$11=""),"",Sheet3!A22)</f>
        <v>800</v>
      </c>
      <c r="AA36" s="150">
        <f>IF(OR($B$11 ="",$H$11=""),"",IF($L$15="Yes",
IF($L$1="70%",
IF($B$11="1 lane",IF($H$11="1 lane",IF(Sheet3!B22="",#N/A,Sheet3!B22*1.5),IF(Sheet3!F22="",#N/A,Sheet3!F22*1.5)),IF($H$11="1 lane",IF(Sheet3!D22="",#N/A,Sheet3!D22*1.5),IF(Sheet3!H22="",#N/A,Sheet3!H22*1.5))),
IF($B$11="1 lane",IF($H$11="1 lane",IF(Sheet3!J22="",#N/A,Sheet3!J22*1.5),IF(Sheet3!N22="",#N/A,Sheet3!N22*1.5)),IF($H$11="1 lane",IF(Sheet3!L22="",#N/A,Sheet3!L22*1.5),IF(Sheet3!P22="",#N/A,Sheet3!P22*1.5)))),
IF($L$1="70%",
IF($B$11="1 lane",IF($H$11="1 lane",IF(Sheet3!B22="",#N/A,Sheet3!B22),IF(Sheet3!F22="",#N/A,Sheet3!F22)),IF($H$11="1 lane",IF(Sheet3!D22="",#N/A,Sheet3!D22),IF(Sheet3!H22="",#N/A,Sheet3!H22))),
IF($B$11="1 lane",IF($H$11="1 lane",IF(Sheet3!J22="",#N/A,Sheet3!J22),IF(Sheet3!N22="",#N/A,Sheet3!N22)),IF($H$11="1 lane",IF(Sheet3!L22="",#N/A,Sheet3!L22),IF(Sheet3!P22="",#N/A,Sheet3!P22))))))</f>
        <v>147</v>
      </c>
      <c r="AB36" s="150" t="str">
        <f>IF(OR($B$11 ="",$H$11=""),"",IF($L$1="70%",IF($B$11="1 lane",IF($H$11="1 lane",IF(Sheet3!C22="","No","Yes"),IF(Sheet3!G22="","No","Yes")),IF($H$11="1 lane",IF(Sheet3!E22="","No","Yes"),IF(Sheet3!I22="","No","Yes"))),IF($B$11="1 lane",IF($H$11="1 lane",IF(Sheet3!K22="","No","Yes"),IF(Sheet3!O22="","No","Yes")),IF(H$11="1 lane",IF(Sheet3!M22="","No","Yes"),IF(Sheet3!Q22="","No","Yes")))))</f>
        <v>Yes</v>
      </c>
      <c r="AC36" s="122" t="str">
        <f t="shared" si="14"/>
        <v/>
      </c>
      <c r="AD36" s="122" t="str">
        <f t="shared" si="15"/>
        <v/>
      </c>
      <c r="AE36" s="122" t="str">
        <f t="shared" si="16"/>
        <v/>
      </c>
      <c r="AF36" s="122" t="str">
        <f t="shared" si="17"/>
        <v/>
      </c>
      <c r="AG36" s="122" t="str">
        <f t="shared" si="18"/>
        <v/>
      </c>
      <c r="AH36" s="122" t="str">
        <f t="shared" si="19"/>
        <v/>
      </c>
      <c r="AI36" s="122" t="str">
        <f t="shared" si="20"/>
        <v/>
      </c>
      <c r="AJ36" s="122" t="str">
        <f t="shared" si="21"/>
        <v/>
      </c>
      <c r="AK36" s="122" t="str">
        <f t="shared" si="22"/>
        <v/>
      </c>
      <c r="AL36" s="122" t="str">
        <f t="shared" si="23"/>
        <v/>
      </c>
      <c r="AM36" s="122" t="str">
        <f t="shared" si="24"/>
        <v/>
      </c>
      <c r="AN36" s="122" t="str">
        <f t="shared" si="25"/>
        <v/>
      </c>
      <c r="AO36" s="122" t="str">
        <f t="shared" si="26"/>
        <v/>
      </c>
      <c r="AP36" s="122" t="str">
        <f t="shared" si="27"/>
        <v/>
      </c>
      <c r="AQ36" s="122" t="str">
        <f t="shared" si="28"/>
        <v/>
      </c>
      <c r="AR36" s="122" t="str">
        <f t="shared" si="29"/>
        <v/>
      </c>
      <c r="AS36" s="150">
        <f>IF(OR($B$11 ="",$H$11="",AT36=""),"",Sheet3!A41)</f>
        <v>1200</v>
      </c>
      <c r="AT36" s="150">
        <f>IF(OR($B$11 ="",$H$11=""),"",IF($L$15="Yes",
IF($L$1="70%",
IF($B$11="1 lane",IF($H$11="1 lane",IF(Sheet3!B41="",#N/A,Sheet3!B41*1.5),IF(Sheet3!F41="",#N/A,Sheet3!F41*1.5)),IF($H$11="1 lane",IF(Sheet3!D41="",#N/A,Sheet3!D41*1.5),IF(Sheet3!H41="",#N/A,Sheet3!H41*1.5))),
IF($B$11="1 lane",IF($H$11="1 lane",IF(Sheet3!J41="",#N/A,Sheet3!J41*1.5),IF(Sheet3!N41="",#N/A,Sheet3!N41*1.5)),IF($H$11="1 lane",IF(Sheet3!L41="",#N/A,Sheet3!L41*1.5),IF(Sheet3!P41="",#N/A,Sheet3!P41*1.5)))),
IF($L$1="70%",
IF($B$11="1 lane",IF($H$11="1 lane",IF(Sheet3!B41="",#N/A,Sheet3!B41),IF(Sheet3!F41="",#N/A,Sheet3!F41)),IF($H$11="1 lane",IF(Sheet3!D41="",#N/A,Sheet3!D41),IF(Sheet3!H41="",#N/A,Sheet3!H41))),
IF($B$11="1 lane",IF($H$11="1 lane",IF(Sheet3!J41="",#N/A,Sheet3!J41),IF(Sheet3!N41="",#N/A,Sheet3!N41)),IF($H$11="1 lane",IF(Sheet3!L41="",#N/A,Sheet3!L41),IF(Sheet3!P41="",#N/A,Sheet3!P41))))))</f>
        <v>150</v>
      </c>
      <c r="AU36" s="150" t="str">
        <f>IF(OR($B$11 ="",$H$11=""),"",IF($L$1="70%",IF($B$11="1 lane",IF($H$11="1 lane",IF(Sheet3!C41="","No","Yes"),IF(Sheet3!G41="","No","Yes")),IF($H$11="1 lane",IF(Sheet3!E41="","No","Yes"),IF(Sheet3!I41="","No","Yes"))),IF($B$11="1 lane",IF($H$11="1 lane",IF(Sheet3!K41="","No","Yes"),IF(Sheet3!O41="","No","Yes")),IF(H$11="1 lane",IF(Sheet3!M41="","No","Yes"),IF(Sheet3!Q41="","No","Yes")))))</f>
        <v>Yes</v>
      </c>
      <c r="AV36" s="119" t="str">
        <f t="shared" si="13"/>
        <v/>
      </c>
      <c r="AW36" s="170"/>
      <c r="AX36" s="170"/>
      <c r="AY36" s="170"/>
      <c r="BH36" s="204" t="s">
        <v>15</v>
      </c>
      <c r="BI36" s="204"/>
      <c r="BJ36" s="204"/>
      <c r="BK36" s="204"/>
      <c r="BL36" s="204"/>
      <c r="BM36" s="204"/>
      <c r="BN36" s="204"/>
      <c r="BO36" s="204"/>
      <c r="BP36" s="204"/>
      <c r="BQ36" s="150" t="s">
        <v>46</v>
      </c>
      <c r="BR36" s="150" t="s">
        <v>16</v>
      </c>
      <c r="BS36" s="211"/>
      <c r="BT36" s="211"/>
      <c r="BU36" s="211"/>
      <c r="BV36" s="211"/>
      <c r="BW36" s="211"/>
      <c r="BX36" s="211"/>
      <c r="BY36" s="211"/>
      <c r="BZ36" s="211"/>
    </row>
    <row r="37" spans="1:79" ht="15.75" customHeight="1" x14ac:dyDescent="0.25">
      <c r="A37" s="184" t="s">
        <v>135</v>
      </c>
      <c r="B37" s="185"/>
      <c r="C37" s="185"/>
      <c r="D37" s="185"/>
      <c r="E37" s="185"/>
      <c r="F37" s="185"/>
      <c r="G37" s="185"/>
      <c r="H37" s="185"/>
      <c r="I37" s="157"/>
      <c r="J37" s="177" t="str">
        <f>IF(BR22="",BO22,BR22)</f>
        <v>N/A</v>
      </c>
      <c r="K37" s="177"/>
      <c r="L37" s="178"/>
      <c r="Z37" s="150">
        <f>IF(OR($B$11 ="",$H$11=""),"",Sheet3!A23)</f>
        <v>700</v>
      </c>
      <c r="AA37" s="150">
        <f>IF(OR($B$11 ="",$H$11=""),"",IF($L$15="Yes",
IF($L$1="70%",
IF($B$11="1 lane",IF($H$11="1 lane",IF(Sheet3!B23="",#N/A,Sheet3!B23*1.5),IF(Sheet3!F23="",#N/A,Sheet3!F23*1.5)),IF($H$11="1 lane",IF(Sheet3!D23="",#N/A,Sheet3!D23*1.5),IF(Sheet3!H23="",#N/A,Sheet3!H23*1.5))),
IF($B$11="1 lane",IF($H$11="1 lane",IF(Sheet3!J23="",#N/A,Sheet3!J23*1.5),IF(Sheet3!N23="",#N/A,Sheet3!N23*1.5)),IF($H$11="1 lane",IF(Sheet3!L23="",#N/A,Sheet3!L23*1.5),IF(Sheet3!P23="",#N/A,Sheet3!P23*1.5)))),
IF($L$1="70%",
IF($B$11="1 lane",IF($H$11="1 lane",IF(Sheet3!B23="",#N/A,Sheet3!B23),IF(Sheet3!F23="",#N/A,Sheet3!F23)),IF($H$11="1 lane",IF(Sheet3!D23="",#N/A,Sheet3!D23),IF(Sheet3!H23="",#N/A,Sheet3!H23))),
IF($B$11="1 lane",IF($H$11="1 lane",IF(Sheet3!J23="",#N/A,Sheet3!J23),IF(Sheet3!N23="",#N/A,Sheet3!N23)),IF($H$11="1 lane",IF(Sheet3!L23="",#N/A,Sheet3!L23),IF(Sheet3!P23="",#N/A,Sheet3!P23))))))</f>
        <v>179</v>
      </c>
      <c r="AB37" s="150" t="str">
        <f>IF(OR($B$11 ="",$H$11=""),"",IF($L$1="70%",IF($B$11="1 lane",IF($H$11="1 lane",IF(Sheet3!C23="","No","Yes"),IF(Sheet3!G23="","No","Yes")),IF($H$11="1 lane",IF(Sheet3!E23="","No","Yes"),IF(Sheet3!I23="","No","Yes"))),IF($B$11="1 lane",IF($H$11="1 lane",IF(Sheet3!K23="","No","Yes"),IF(Sheet3!O23="","No","Yes")),IF(H$11="1 lane",IF(Sheet3!M23="","No","Yes"),IF(Sheet3!Q23="","No","Yes")))))</f>
        <v>Yes</v>
      </c>
      <c r="AC37" s="122" t="str">
        <f t="shared" si="14"/>
        <v/>
      </c>
      <c r="AD37" s="122" t="str">
        <f t="shared" si="15"/>
        <v/>
      </c>
      <c r="AE37" s="122" t="str">
        <f t="shared" si="16"/>
        <v/>
      </c>
      <c r="AF37" s="122" t="str">
        <f t="shared" si="17"/>
        <v/>
      </c>
      <c r="AG37" s="122" t="str">
        <f t="shared" si="18"/>
        <v/>
      </c>
      <c r="AH37" s="122" t="str">
        <f t="shared" si="19"/>
        <v/>
      </c>
      <c r="AI37" s="122" t="str">
        <f t="shared" si="20"/>
        <v/>
      </c>
      <c r="AJ37" s="122" t="str">
        <f t="shared" si="21"/>
        <v/>
      </c>
      <c r="AK37" s="122" t="str">
        <f t="shared" si="22"/>
        <v/>
      </c>
      <c r="AL37" s="122" t="str">
        <f t="shared" si="23"/>
        <v/>
      </c>
      <c r="AM37" s="122" t="str">
        <f t="shared" si="24"/>
        <v/>
      </c>
      <c r="AN37" s="122" t="str">
        <f t="shared" si="25"/>
        <v/>
      </c>
      <c r="AO37" s="122" t="str">
        <f t="shared" si="26"/>
        <v/>
      </c>
      <c r="AP37" s="122" t="str">
        <f t="shared" si="27"/>
        <v/>
      </c>
      <c r="AQ37" s="122" t="str">
        <f t="shared" si="28"/>
        <v/>
      </c>
      <c r="AR37" s="122" t="str">
        <f t="shared" si="29"/>
        <v/>
      </c>
      <c r="AS37" s="150">
        <f>IF(OR($B$11 ="",$H$11="",AT37=""),"",Sheet3!A42)</f>
        <v>1100</v>
      </c>
      <c r="AT37" s="150">
        <f>IF(OR($B$11 ="",$H$11=""),"",IF($L$15="Yes",
IF($L$1="70%",
IF($B$11="1 lane",IF($H$11="1 lane",IF(Sheet3!B42="",#N/A,Sheet3!B42*1.5),IF(Sheet3!F42="",#N/A,Sheet3!F42*1.5)),IF($H$11="1 lane",IF(Sheet3!D42="",#N/A,Sheet3!D42*1.5),IF(Sheet3!H42="",#N/A,Sheet3!H42*1.5))),
IF($B$11="1 lane",IF($H$11="1 lane",IF(Sheet3!J42="",#N/A,Sheet3!J42*1.5),IF(Sheet3!N42="",#N/A,Sheet3!N42*1.5)),IF($H$11="1 lane",IF(Sheet3!L42="",#N/A,Sheet3!L42*1.5),IF(Sheet3!P42="",#N/A,Sheet3!P42*1.5)))),
IF($L$1="70%",
IF($B$11="1 lane",IF($H$11="1 lane",IF(Sheet3!B42="",#N/A,Sheet3!B42),IF(Sheet3!F42="",#N/A,Sheet3!F42)),IF($H$11="1 lane",IF(Sheet3!D42="",#N/A,Sheet3!D42),IF(Sheet3!H42="",#N/A,Sheet3!H42))),
IF($B$11="1 lane",IF($H$11="1 lane",IF(Sheet3!J42="",#N/A,Sheet3!J42),IF(Sheet3!N42="",#N/A,Sheet3!N42)),IF($H$11="1 lane",IF(Sheet3!L42="",#N/A,Sheet3!L42),IF(Sheet3!P42="",#N/A,Sheet3!P42))))))</f>
        <v>176</v>
      </c>
      <c r="AU37" s="150" t="str">
        <f>IF(OR($B$11 ="",$H$11=""),"",IF($L$1="70%",IF($B$11="1 lane",IF($H$11="1 lane",IF(Sheet3!C42="","No","Yes"),IF(Sheet3!G42="","No","Yes")),IF($H$11="1 lane",IF(Sheet3!E42="","No","Yes"),IF(Sheet3!I42="","No","Yes"))),IF($B$11="1 lane",IF($H$11="1 lane",IF(Sheet3!K42="","No","Yes"),IF(Sheet3!O42="","No","Yes")),IF(H$11="1 lane",IF(Sheet3!M42="","No","Yes"),IF(Sheet3!Q42="","No","Yes")))))</f>
        <v>Yes</v>
      </c>
      <c r="AV37" s="119" t="str">
        <f t="shared" si="13"/>
        <v/>
      </c>
      <c r="AW37" s="37">
        <f>VLOOKUP(1,$AV$24:$AY$27,2,FALSE)</f>
        <v>0</v>
      </c>
      <c r="AX37" s="141">
        <f>VLOOKUP(1,$AV$24:$AY$27,3,FALSE)</f>
        <v>0</v>
      </c>
      <c r="AY37" s="141">
        <f>IF(VLOOKUP(1,$AV$24:$AY$27,4,FALSE)=0,0,VLOOKUP(1,$AV$24:$AY$27,4,FALSE))</f>
        <v>0</v>
      </c>
      <c r="BH37" s="171">
        <v>1</v>
      </c>
      <c r="BI37" s="24" t="s">
        <v>136</v>
      </c>
      <c r="BJ37" s="24"/>
      <c r="BK37" s="24"/>
      <c r="BL37" s="24"/>
      <c r="BM37" s="24"/>
      <c r="BN37" s="24"/>
      <c r="BO37" s="24"/>
      <c r="BP37" s="141">
        <f>AX14+AZ14</f>
        <v>0</v>
      </c>
      <c r="BQ37" s="141" t="str">
        <f>IF(BP37&gt;=1000, "Yes", "No")</f>
        <v>No</v>
      </c>
      <c r="BR37" s="171" t="str">
        <f>IF(AND(BQ37="Yes",BQ38="Yes"),"Yes", "No")</f>
        <v>No</v>
      </c>
      <c r="BS37" s="211"/>
      <c r="BT37" s="211"/>
      <c r="BU37" s="211"/>
      <c r="BV37" s="211"/>
      <c r="BW37" s="211"/>
      <c r="BX37" s="211"/>
      <c r="BY37" s="211"/>
      <c r="BZ37" s="211"/>
    </row>
    <row r="38" spans="1:79" ht="15.75" customHeight="1" x14ac:dyDescent="0.25">
      <c r="A38" s="205" t="s">
        <v>137</v>
      </c>
      <c r="B38" s="206"/>
      <c r="C38" s="206"/>
      <c r="D38" s="206"/>
      <c r="E38" s="206"/>
      <c r="F38" s="206"/>
      <c r="G38" s="206"/>
      <c r="H38" s="206"/>
      <c r="I38" s="158"/>
      <c r="J38" s="167" t="str">
        <f>IF(BR35="",BO35,BR35)</f>
        <v>N/A</v>
      </c>
      <c r="K38" s="167"/>
      <c r="L38" s="168"/>
      <c r="Z38" s="150">
        <f>IF(OR($B$11 ="",$H$11=""),"",Sheet3!A24)</f>
        <v>600</v>
      </c>
      <c r="AA38" s="150">
        <f>IF(OR($B$11 ="",$H$11=""),"",IF($L$15="Yes",
IF($L$1="70%",
IF($B$11="1 lane",IF($H$11="1 lane",IF(Sheet3!B24="",#N/A,Sheet3!B24*1.5),IF(Sheet3!F24="",#N/A,Sheet3!F24*1.5)),IF($H$11="1 lane",IF(Sheet3!D24="",#N/A,Sheet3!D24*1.5),IF(Sheet3!H24="",#N/A,Sheet3!H24*1.5))),
IF($B$11="1 lane",IF($H$11="1 lane",IF(Sheet3!J24="",#N/A,Sheet3!J24*1.5),IF(Sheet3!N24="",#N/A,Sheet3!N24*1.5)),IF($H$11="1 lane",IF(Sheet3!L24="",#N/A,Sheet3!L24*1.5),IF(Sheet3!P24="",#N/A,Sheet3!P24*1.5)))),
IF($L$1="70%",
IF($B$11="1 lane",IF($H$11="1 lane",IF(Sheet3!B24="",#N/A,Sheet3!B24),IF(Sheet3!F24="",#N/A,Sheet3!F24)),IF($H$11="1 lane",IF(Sheet3!D24="",#N/A,Sheet3!D24),IF(Sheet3!H24="",#N/A,Sheet3!H24))),
IF($B$11="1 lane",IF($H$11="1 lane",IF(Sheet3!J24="",#N/A,Sheet3!J24),IF(Sheet3!N24="",#N/A,Sheet3!N24)),IF($H$11="1 lane",IF(Sheet3!L24="",#N/A,Sheet3!L24),IF(Sheet3!P24="",#N/A,Sheet3!P24))))))</f>
        <v>217</v>
      </c>
      <c r="AB38" s="150" t="str">
        <f>IF(OR($B$11 ="",$H$11=""),"",IF($L$1="70%",IF($B$11="1 lane",IF($H$11="1 lane",IF(Sheet3!C24="","No","Yes"),IF(Sheet3!G24="","No","Yes")),IF($H$11="1 lane",IF(Sheet3!E24="","No","Yes"),IF(Sheet3!I24="","No","Yes"))),IF($B$11="1 lane",IF($H$11="1 lane",IF(Sheet3!K24="","No","Yes"),IF(Sheet3!O24="","No","Yes")),IF(H$11="1 lane",IF(Sheet3!M24="","No","Yes"),IF(Sheet3!Q24="","No","Yes")))))</f>
        <v>Yes</v>
      </c>
      <c r="AC38" s="122" t="str">
        <f t="shared" si="14"/>
        <v/>
      </c>
      <c r="AD38" s="122" t="str">
        <f t="shared" si="15"/>
        <v/>
      </c>
      <c r="AE38" s="122" t="str">
        <f t="shared" si="16"/>
        <v/>
      </c>
      <c r="AF38" s="122" t="str">
        <f t="shared" si="17"/>
        <v/>
      </c>
      <c r="AG38" s="122" t="str">
        <f t="shared" si="18"/>
        <v/>
      </c>
      <c r="AH38" s="122" t="str">
        <f t="shared" si="19"/>
        <v/>
      </c>
      <c r="AI38" s="122" t="str">
        <f t="shared" si="20"/>
        <v/>
      </c>
      <c r="AJ38" s="122" t="str">
        <f t="shared" si="21"/>
        <v/>
      </c>
      <c r="AK38" s="122" t="str">
        <f t="shared" si="22"/>
        <v/>
      </c>
      <c r="AL38" s="122" t="str">
        <f t="shared" si="23"/>
        <v/>
      </c>
      <c r="AM38" s="122" t="str">
        <f t="shared" si="24"/>
        <v/>
      </c>
      <c r="AN38" s="122" t="str">
        <f t="shared" si="25"/>
        <v/>
      </c>
      <c r="AO38" s="122" t="str">
        <f t="shared" si="26"/>
        <v/>
      </c>
      <c r="AP38" s="122" t="str">
        <f t="shared" si="27"/>
        <v/>
      </c>
      <c r="AQ38" s="122" t="str">
        <f t="shared" si="28"/>
        <v/>
      </c>
      <c r="AR38" s="122" t="str">
        <f t="shared" si="29"/>
        <v/>
      </c>
      <c r="AS38" s="150">
        <f>IF(OR($B$11 ="",$H$11="",AT38=""),"",Sheet3!A43)</f>
        <v>1000</v>
      </c>
      <c r="AT38" s="150">
        <f>IF(OR($B$11 ="",$H$11=""),"",IF($L$15="Yes",
IF($L$1="70%",
IF($B$11="1 lane",IF($H$11="1 lane",IF(Sheet3!B43="",#N/A,Sheet3!B43*1.5),IF(Sheet3!F43="",#N/A,Sheet3!F43*1.5)),IF($H$11="1 lane",IF(Sheet3!D43="",#N/A,Sheet3!D43*1.5),IF(Sheet3!H43="",#N/A,Sheet3!H43*1.5))),
IF($B$11="1 lane",IF($H$11="1 lane",IF(Sheet3!J43="",#N/A,Sheet3!J43*1.5),IF(Sheet3!N43="",#N/A,Sheet3!N43*1.5)),IF($H$11="1 lane",IF(Sheet3!L43="",#N/A,Sheet3!L43*1.5),IF(Sheet3!P43="",#N/A,Sheet3!P43*1.5)))),
IF($L$1="70%",
IF($B$11="1 lane",IF($H$11="1 lane",IF(Sheet3!B43="",#N/A,Sheet3!B43),IF(Sheet3!F43="",#N/A,Sheet3!F43)),IF($H$11="1 lane",IF(Sheet3!D43="",#N/A,Sheet3!D43),IF(Sheet3!H43="",#N/A,Sheet3!H43))),
IF($B$11="1 lane",IF($H$11="1 lane",IF(Sheet3!J43="",#N/A,Sheet3!J43),IF(Sheet3!N43="",#N/A,Sheet3!N43)),IF($H$11="1 lane",IF(Sheet3!L43="",#N/A,Sheet3!L43),IF(Sheet3!P43="",#N/A,Sheet3!P43))))))</f>
        <v>205</v>
      </c>
      <c r="AU38" s="150" t="str">
        <f>IF(OR($B$11 ="",$H$11=""),"",IF($L$1="70%",IF($B$11="1 lane",IF($H$11="1 lane",IF(Sheet3!C43="","No","Yes"),IF(Sheet3!G43="","No","Yes")),IF($H$11="1 lane",IF(Sheet3!E43="","No","Yes"),IF(Sheet3!I43="","No","Yes"))),IF($B$11="1 lane",IF($H$11="1 lane",IF(Sheet3!K43="","No","Yes"),IF(Sheet3!O43="","No","Yes")),IF(H$11="1 lane",IF(Sheet3!M43="","No","Yes"),IF(Sheet3!Q43="","No","Yes")))))</f>
        <v>Yes</v>
      </c>
      <c r="AV38" s="119" t="str">
        <f t="shared" si="13"/>
        <v/>
      </c>
      <c r="BH38" s="171"/>
      <c r="BI38" s="24" t="s">
        <v>138</v>
      </c>
      <c r="BJ38" s="24"/>
      <c r="BK38" s="24"/>
      <c r="BL38" s="24"/>
      <c r="BM38" s="24"/>
      <c r="BN38" s="24"/>
      <c r="BO38" s="24"/>
      <c r="BP38" s="148"/>
      <c r="BQ38" s="141" t="str">
        <f>IF(BP38="", "No", "Yes")</f>
        <v>No</v>
      </c>
      <c r="BR38" s="171"/>
      <c r="BS38" s="211"/>
      <c r="BT38" s="211"/>
      <c r="BU38" s="211"/>
      <c r="BV38" s="211"/>
      <c r="BW38" s="211"/>
      <c r="BX38" s="211"/>
      <c r="BY38" s="211"/>
      <c r="BZ38" s="211"/>
    </row>
    <row r="39" spans="1:79" ht="15.75" customHeight="1" x14ac:dyDescent="0.25">
      <c r="A39" s="184" t="s">
        <v>139</v>
      </c>
      <c r="B39" s="185"/>
      <c r="C39" s="185"/>
      <c r="D39" s="185"/>
      <c r="E39" s="185"/>
      <c r="F39" s="185"/>
      <c r="G39" s="185"/>
      <c r="H39" s="185"/>
      <c r="I39" s="157"/>
      <c r="J39" s="177" t="str">
        <f>IF(CA2="",BX2,CA2)</f>
        <v>N/A</v>
      </c>
      <c r="K39" s="177"/>
      <c r="L39" s="178"/>
      <c r="Z39" s="150">
        <f>IF(OR($B$11 ="",$H$11=""),"",Sheet3!A25)</f>
        <v>500</v>
      </c>
      <c r="AA39" s="150">
        <f>IF(OR($B$11 ="",$H$11=""),"",IF($L$15="Yes",
IF($L$1="70%",
IF($B$11="1 lane",IF($H$11="1 lane",IF(Sheet3!B25="",#N/A,Sheet3!B25*1.5),IF(Sheet3!F25="",#N/A,Sheet3!F25*1.5)),IF($H$11="1 lane",IF(Sheet3!D25="",#N/A,Sheet3!D25*1.5),IF(Sheet3!H25="",#N/A,Sheet3!H25*1.5))),
IF($B$11="1 lane",IF($H$11="1 lane",IF(Sheet3!J25="",#N/A,Sheet3!J25*1.5),IF(Sheet3!N25="",#N/A,Sheet3!N25*1.5)),IF($H$11="1 lane",IF(Sheet3!L25="",#N/A,Sheet3!L25*1.5),IF(Sheet3!P25="",#N/A,Sheet3!P25*1.5)))),
IF($L$1="70%",
IF($B$11="1 lane",IF($H$11="1 lane",IF(Sheet3!B25="",#N/A,Sheet3!B25),IF(Sheet3!F25="",#N/A,Sheet3!F25)),IF($H$11="1 lane",IF(Sheet3!D25="",#N/A,Sheet3!D25),IF(Sheet3!H25="",#N/A,Sheet3!H25))),
IF($B$11="1 lane",IF($H$11="1 lane",IF(Sheet3!J25="",#N/A,Sheet3!J25),IF(Sheet3!N25="",#N/A,Sheet3!N25)),IF($H$11="1 lane",IF(Sheet3!L25="",#N/A,Sheet3!L25),IF(Sheet3!P25="",#N/A,Sheet3!P25))))))</f>
        <v>262</v>
      </c>
      <c r="AB39" s="150" t="str">
        <f>IF(OR($B$11 ="",$H$11=""),"",IF($L$1="70%",IF($B$11="1 lane",IF($H$11="1 lane",IF(Sheet3!C25="","No","Yes"),IF(Sheet3!G25="","No","Yes")),IF($H$11="1 lane",IF(Sheet3!E25="","No","Yes"),IF(Sheet3!I25="","No","Yes"))),IF($B$11="1 lane",IF($H$11="1 lane",IF(Sheet3!K25="","No","Yes"),IF(Sheet3!O25="","No","Yes")),IF(H$11="1 lane",IF(Sheet3!M25="","No","Yes"),IF(Sheet3!Q25="","No","Yes")))))</f>
        <v>Yes</v>
      </c>
      <c r="AC39" s="122" t="str">
        <f t="shared" si="14"/>
        <v/>
      </c>
      <c r="AD39" s="122" t="str">
        <f t="shared" si="15"/>
        <v/>
      </c>
      <c r="AE39" s="122" t="str">
        <f t="shared" si="16"/>
        <v/>
      </c>
      <c r="AF39" s="122" t="str">
        <f t="shared" si="17"/>
        <v/>
      </c>
      <c r="AG39" s="122" t="str">
        <f t="shared" si="18"/>
        <v/>
      </c>
      <c r="AH39" s="122" t="str">
        <f t="shared" si="19"/>
        <v/>
      </c>
      <c r="AI39" s="122" t="str">
        <f t="shared" si="20"/>
        <v/>
      </c>
      <c r="AJ39" s="122" t="str">
        <f t="shared" si="21"/>
        <v/>
      </c>
      <c r="AK39" s="122" t="str">
        <f t="shared" si="22"/>
        <v/>
      </c>
      <c r="AL39" s="122" t="str">
        <f t="shared" si="23"/>
        <v/>
      </c>
      <c r="AM39" s="122" t="str">
        <f t="shared" si="24"/>
        <v/>
      </c>
      <c r="AN39" s="122" t="str">
        <f t="shared" si="25"/>
        <v/>
      </c>
      <c r="AO39" s="122" t="str">
        <f t="shared" si="26"/>
        <v/>
      </c>
      <c r="AP39" s="122" t="str">
        <f t="shared" si="27"/>
        <v/>
      </c>
      <c r="AQ39" s="122" t="str">
        <f t="shared" si="28"/>
        <v/>
      </c>
      <c r="AR39" s="122" t="str">
        <f t="shared" si="29"/>
        <v/>
      </c>
      <c r="AS39" s="150">
        <f>IF(OR($B$11 ="",$H$11="",AT39=""),"",Sheet3!A44)</f>
        <v>900</v>
      </c>
      <c r="AT39" s="150">
        <f>IF(OR($B$11 ="",$H$11=""),"",IF($L$15="Yes",
IF($L$1="70%",
IF($B$11="1 lane",IF($H$11="1 lane",IF(Sheet3!B44="",#N/A,Sheet3!B44*1.5),IF(Sheet3!F44="",#N/A,Sheet3!F44*1.5)),IF($H$11="1 lane",IF(Sheet3!D44="",#N/A,Sheet3!D44*1.5),IF(Sheet3!H44="",#N/A,Sheet3!H44*1.5))),
IF($B$11="1 lane",IF($H$11="1 lane",IF(Sheet3!J44="",#N/A,Sheet3!J44*1.5),IF(Sheet3!N44="",#N/A,Sheet3!N44*1.5)),IF($H$11="1 lane",IF(Sheet3!L44="",#N/A,Sheet3!L44*1.5),IF(Sheet3!P44="",#N/A,Sheet3!P44*1.5)))),
IF($L$1="70%",
IF($B$11="1 lane",IF($H$11="1 lane",IF(Sheet3!B44="",#N/A,Sheet3!B44),IF(Sheet3!F44="",#N/A,Sheet3!F44)),IF($H$11="1 lane",IF(Sheet3!D44="",#N/A,Sheet3!D44),IF(Sheet3!H44="",#N/A,Sheet3!H44))),
IF($B$11="1 lane",IF($H$11="1 lane",IF(Sheet3!J44="",#N/A,Sheet3!J44),IF(Sheet3!N44="",#N/A,Sheet3!N44)),IF($H$11="1 lane",IF(Sheet3!L44="",#N/A,Sheet3!L44),IF(Sheet3!P44="",#N/A,Sheet3!P44))))))</f>
        <v>239</v>
      </c>
      <c r="AU39" s="150" t="str">
        <f>IF(OR($B$11 ="",$H$11=""),"",IF($L$1="70%",IF($B$11="1 lane",IF($H$11="1 lane",IF(Sheet3!C44="","No","Yes"),IF(Sheet3!G44="","No","Yes")),IF($H$11="1 lane",IF(Sheet3!E44="","No","Yes"),IF(Sheet3!I44="","No","Yes"))),IF($B$11="1 lane",IF($H$11="1 lane",IF(Sheet3!K44="","No","Yes"),IF(Sheet3!O44="","No","Yes")),IF(H$11="1 lane",IF(Sheet3!M44="","No","Yes"),IF(Sheet3!Q44="","No","Yes")))))</f>
        <v>Yes</v>
      </c>
      <c r="AV39" s="119" t="str">
        <f t="shared" si="13"/>
        <v/>
      </c>
      <c r="AW39" s="9" t="s">
        <v>140</v>
      </c>
      <c r="AY39" s="48" t="str">
        <f>IF(COUNTIF(AM5:AM21,"Yes")&gt;0,"Yes",IF(COUNTIF(AM5:AM21,"No")&gt;0,"No",""))</f>
        <v/>
      </c>
      <c r="BH39" s="225">
        <v>2</v>
      </c>
      <c r="BI39" s="222" t="s">
        <v>141</v>
      </c>
      <c r="BJ39" s="223"/>
      <c r="BK39" s="223"/>
      <c r="BL39" s="223"/>
      <c r="BM39" s="223"/>
      <c r="BN39" s="223"/>
      <c r="BO39" s="223"/>
      <c r="BP39" s="223"/>
      <c r="BQ39" s="224"/>
      <c r="BR39" s="171" t="str">
        <f>IF(AND(BM41="",BN41="",BO41="",BP41="",BQ41=""),"",IF(AND(BM41&gt;=1000,BN41&gt;=1000,BO41&gt;=1000,BP41&gt;=1000, BQ41&gt;=1000),"Yes", "No"))</f>
        <v/>
      </c>
      <c r="BS39" s="211"/>
      <c r="BT39" s="211"/>
      <c r="BU39" s="211"/>
      <c r="BV39" s="211"/>
      <c r="BW39" s="211"/>
      <c r="BX39" s="211"/>
      <c r="BY39" s="211"/>
      <c r="BZ39" s="211"/>
    </row>
    <row r="40" spans="1:79" ht="15.75" customHeight="1" x14ac:dyDescent="0.25">
      <c r="Z40" s="150">
        <f>IF(OR($B$11 ="",$H$11=""),"",Sheet3!A26)</f>
        <v>400</v>
      </c>
      <c r="AA40" s="150">
        <f>IF(OR($B$11 ="",$H$11=""),"",IF($L$15="Yes",
IF($L$1="70%",
IF($B$11="1 lane",IF($H$11="1 lane",IF(Sheet3!B26="",AA39+((AA39-AA38)+10),Sheet3!B26*1.5),IF(Sheet3!F26="",AA39+((AA39-AA38)+10),Sheet3!F26*1.5)),IF($H$11="1 lane",IF(Sheet3!D26="",AA39+((AA39-AA38)+10),Sheet3!D26*1.5),IF(Sheet3!H26="",AA39+((AA39-AA38)+10),Sheet3!H26*1.5))),
IF($B$11="1 lane",IF($H$11="1 lane",IF(Sheet3!J26="",AA39+((AA39-AA38)+5),Sheet3!J26*1.5),IF(Sheet3!N26="",AA39+((AA39-AA38)+5),Sheet3!N26*1.5)),IF($H$11="1 lane",IF(Sheet3!L26="",AA39+((AA39-AA38)+5),Sheet3!L26*1.5),IF(Sheet3!P26="",AA39+((AA39-AA38)+5),Sheet3!P26*1.5)))),
IF($L$1="70%",
IF($B$11="1 lane",IF($H$11="1 lane",IF(Sheet3!B26="",AA39+((AA39-AA38)+10),Sheet3!B26),IF(Sheet3!F26="",AA39+((AA39-AA38)+10),Sheet3!F26)),IF($H$11="1 lane",IF(Sheet3!D26="",AA39+((AA39-AA38)+10),Sheet3!D26),IF(Sheet3!H26="",AA39+((AA39-AA38)+10),Sheet3!H26))),
IF($B$11="1 lane",IF($H$11="1 lane",IF(Sheet3!J26="",AA39+((AA39-AA38)+5),Sheet3!J26),IF(Sheet3!N26="",AA39+((AA39-AA38)+5),Sheet3!N26)),IF($H$11="1 lane",IF(Sheet3!L26="",AA39+((AA39-AA38)+5),Sheet3!L26),IF(Sheet3!P26="",AA39+((AA39-AA38)+5),Sheet3!P26))))))</f>
        <v>312</v>
      </c>
      <c r="AB40" s="150" t="str">
        <f>IF(OR($B$11 ="",$H$11=""),"",IF($L$1="70%",IF($B$11="1 lane",IF($H$11="1 lane",IF(Sheet3!C26="","No","Yes"),IF(Sheet3!G26="","No","Yes")),IF($H$11="1 lane",IF(Sheet3!E26="","No","Yes"),IF(Sheet3!I26="","No","Yes"))),IF($B$11="1 lane",IF($H$11="1 lane",IF(Sheet3!K26="","No","Yes"),IF(Sheet3!O26="","No","Yes")),IF(H$11="1 lane",IF(Sheet3!M26="","No","Yes"),IF(Sheet3!Q26="","No","Yes")))))</f>
        <v>Yes</v>
      </c>
      <c r="AC40" s="122" t="str">
        <f t="shared" si="14"/>
        <v/>
      </c>
      <c r="AD40" s="122" t="str">
        <f t="shared" si="15"/>
        <v/>
      </c>
      <c r="AE40" s="122" t="str">
        <f t="shared" si="16"/>
        <v/>
      </c>
      <c r="AF40" s="122" t="str">
        <f t="shared" si="17"/>
        <v/>
      </c>
      <c r="AG40" s="122" t="str">
        <f t="shared" si="18"/>
        <v/>
      </c>
      <c r="AH40" s="122" t="str">
        <f t="shared" si="19"/>
        <v/>
      </c>
      <c r="AI40" s="122" t="str">
        <f t="shared" si="20"/>
        <v/>
      </c>
      <c r="AJ40" s="122" t="str">
        <f t="shared" si="21"/>
        <v/>
      </c>
      <c r="AK40" s="122" t="str">
        <f t="shared" si="22"/>
        <v/>
      </c>
      <c r="AL40" s="122" t="str">
        <f t="shared" si="23"/>
        <v/>
      </c>
      <c r="AM40" s="122" t="str">
        <f t="shared" si="24"/>
        <v/>
      </c>
      <c r="AN40" s="122" t="str">
        <f t="shared" si="25"/>
        <v/>
      </c>
      <c r="AO40" s="122" t="str">
        <f t="shared" si="26"/>
        <v/>
      </c>
      <c r="AP40" s="122" t="str">
        <f t="shared" si="27"/>
        <v/>
      </c>
      <c r="AQ40" s="122" t="str">
        <f t="shared" si="28"/>
        <v/>
      </c>
      <c r="AR40" s="122" t="str">
        <f t="shared" si="29"/>
        <v/>
      </c>
      <c r="AS40" s="150">
        <f>IF(OR($B$11 ="",$H$11="",AT40=""),"",Sheet3!A45)</f>
        <v>800</v>
      </c>
      <c r="AT40" s="150">
        <f>IF(OR($B$11 ="",$H$11=""),"",IF($L$15="Yes",
IF($L$1="70%",
IF($B$11="1 lane",IF($H$11="1 lane",IF(Sheet3!B45="",#N/A,Sheet3!B45*1.5),IF(Sheet3!F45="",#N/A,Sheet3!F45*1.5)),IF($H$11="1 lane",IF(Sheet3!D45="",#N/A,Sheet3!D45*1.5),IF(Sheet3!H45="",#N/A,Sheet3!H45*1.5))),
IF($B$11="1 lane",IF($H$11="1 lane",IF(Sheet3!J45="",#N/A,Sheet3!J45*1.5),IF(Sheet3!N45="",#N/A,Sheet3!N45*1.5)),IF($H$11="1 lane",IF(Sheet3!L45="",#N/A,Sheet3!L45*1.5),IF(Sheet3!P45="",#N/A,Sheet3!P45*1.5)))),
IF($L$1="70%",
IF($B$11="1 lane",IF($H$11="1 lane",IF(Sheet3!B45="",#N/A,Sheet3!B45),IF(Sheet3!F45="",#N/A,Sheet3!F45)),IF($H$11="1 lane",IF(Sheet3!D45="",#N/A,Sheet3!D45),IF(Sheet3!H45="",#N/A,Sheet3!H45))),
IF($B$11="1 lane",IF($H$11="1 lane",IF(Sheet3!J45="",#N/A,Sheet3!J45),IF(Sheet3!N45="",#N/A,Sheet3!N45)),IF($H$11="1 lane",IF(Sheet3!L45="",#N/A,Sheet3!L45),IF(Sheet3!P45="",#N/A,Sheet3!P45))))))</f>
        <v>278</v>
      </c>
      <c r="AU40" s="150" t="str">
        <f>IF(OR($B$11 ="",$H$11=""),"",IF($L$1="70%",IF($B$11="1 lane",IF($H$11="1 lane",IF(Sheet3!C45="","No","Yes"),IF(Sheet3!G45="","No","Yes")),IF($H$11="1 lane",IF(Sheet3!E45="","No","Yes"),IF(Sheet3!I45="","No","Yes"))),IF($B$11="1 lane",IF($H$11="1 lane",IF(Sheet3!K45="","No","Yes"),IF(Sheet3!O45="","No","Yes")),IF(H$11="1 lane",IF(Sheet3!M45="","No","Yes"),IF(Sheet3!Q45="","No","Yes")))))</f>
        <v>Yes</v>
      </c>
      <c r="AV40" s="119" t="str">
        <f t="shared" si="13"/>
        <v/>
      </c>
      <c r="BH40" s="226"/>
      <c r="BI40" s="40"/>
      <c r="BJ40" s="41"/>
      <c r="BK40" s="42"/>
      <c r="BL40" s="24" t="s">
        <v>142</v>
      </c>
      <c r="BM40" s="53"/>
      <c r="BN40" s="53"/>
      <c r="BO40" s="53"/>
      <c r="BP40" s="53"/>
      <c r="BQ40" s="53"/>
      <c r="BR40" s="171"/>
      <c r="BS40" s="211"/>
      <c r="BT40" s="211"/>
      <c r="BU40" s="211"/>
      <c r="BV40" s="211"/>
      <c r="BW40" s="211"/>
      <c r="BX40" s="211"/>
      <c r="BY40" s="211"/>
      <c r="BZ40" s="211"/>
    </row>
    <row r="41" spans="1:79" ht="15.75" customHeight="1" x14ac:dyDescent="0.25">
      <c r="A41" s="204" t="s">
        <v>143</v>
      </c>
      <c r="B41" s="204"/>
      <c r="C41" s="204"/>
      <c r="D41" s="204"/>
      <c r="E41" s="204"/>
      <c r="Z41" s="150">
        <f>IF(OR($B$11 ="",$H$11=""),"",Sheet3!A27)</f>
        <v>300</v>
      </c>
      <c r="AA41" s="150">
        <f>IF(OR($B$11 ="",$H$11=""),"",IF($L$15="Yes",
IF($L$1="70%",
IF($B$11="1 lane",IF($H$11="1 lane",IF(Sheet3!B27="",AA40+((AA40-AA39)+10),Sheet3!B27*1.5),IF(Sheet3!F27="",AA40+((AA40-AA39)+10),Sheet3!F27*1.5)),IF($H$11="1 lane",IF(Sheet3!D27="",AA40+((AA40-AA39)+10),Sheet3!D27*1.5),IF(Sheet3!H27="",AA40+((AA40-AA39)+10),Sheet3!H27*1.5))),
IF($B$11="1 lane",IF($H$11="1 lane",IF(Sheet3!J27="",AA40+((AA40-AA39)+5),Sheet3!J27*1.5),IF(Sheet3!N27="",AA40+((AA40-AA39)+5),Sheet3!N27*1.5)),IF($H$11="1 lane",IF(Sheet3!L27="",AA40+((AA40-AA39)+5),Sheet3!L27*1.5),IF(Sheet3!P27="",AA40+((AA40-AA39)+5),Sheet3!P27*1.5)))),
IF($L$1="70%",
IF($B$11="1 lane",IF($H$11="1 lane",IF(Sheet3!B27="",AA40+((AA40-AA39)+10),Sheet3!B27),IF(Sheet3!F27="",AA40+((AA40-AA39)+10),Sheet3!F27)),IF($H$11="1 lane",IF(Sheet3!D27="",AA40+((AA40-AA39)+10),Sheet3!D27),IF(Sheet3!H27="",AA40+((AA40-AA39)+10),Sheet3!H27))),
IF($B$11="1 lane",IF($H$11="1 lane",IF(Sheet3!J27="",AA40+((AA40-AA39)+5),Sheet3!J27),IF(Sheet3!N27="",AA40+((AA40-AA39)+5),Sheet3!N27)),IF($H$11="1 lane",IF(Sheet3!L27="",AA40+((AA40-AA39)+5),Sheet3!L27),IF(Sheet3!P27="",AA40+((AA40-AA39)+5),Sheet3!P27))))))</f>
        <v>367</v>
      </c>
      <c r="AB41" s="150" t="str">
        <f>IF(OR($B$11 ="",$H$11=""),"",IF($L$1="70%",IF($B$11="1 lane",IF($H$11="1 lane",IF(Sheet3!C27="","No","Yes"),IF(Sheet3!G27="","No","Yes")),IF($H$11="1 lane",IF(Sheet3!E27="","No","Yes"),IF(Sheet3!I27="","No","Yes"))),IF($B$11="1 lane",IF($H$11="1 lane",IF(Sheet3!K27="","No","Yes"),IF(Sheet3!O27="","No","Yes")),IF(H$11="1 lane",IF(Sheet3!M27="","No","Yes"),IF(Sheet3!Q27="","No","Yes")))))</f>
        <v>No</v>
      </c>
      <c r="AC41" s="122" t="str">
        <f t="shared" si="14"/>
        <v/>
      </c>
      <c r="AD41" s="122" t="str">
        <f t="shared" si="15"/>
        <v/>
      </c>
      <c r="AE41" s="122" t="str">
        <f t="shared" si="16"/>
        <v/>
      </c>
      <c r="AF41" s="122" t="str">
        <f t="shared" si="17"/>
        <v/>
      </c>
      <c r="AG41" s="122" t="str">
        <f t="shared" si="18"/>
        <v/>
      </c>
      <c r="AH41" s="122" t="str">
        <f t="shared" si="19"/>
        <v/>
      </c>
      <c r="AI41" s="122" t="str">
        <f t="shared" si="20"/>
        <v/>
      </c>
      <c r="AJ41" s="122" t="str">
        <f t="shared" si="21"/>
        <v/>
      </c>
      <c r="AK41" s="122" t="str">
        <f t="shared" si="22"/>
        <v/>
      </c>
      <c r="AL41" s="122" t="str">
        <f t="shared" si="23"/>
        <v/>
      </c>
      <c r="AM41" s="122" t="str">
        <f t="shared" si="24"/>
        <v/>
      </c>
      <c r="AN41" s="122" t="str">
        <f t="shared" si="25"/>
        <v/>
      </c>
      <c r="AO41" s="122" t="str">
        <f t="shared" si="26"/>
        <v/>
      </c>
      <c r="AP41" s="122" t="str">
        <f t="shared" si="27"/>
        <v/>
      </c>
      <c r="AQ41" s="122" t="str">
        <f t="shared" si="28"/>
        <v/>
      </c>
      <c r="AR41" s="122" t="str">
        <f t="shared" si="29"/>
        <v/>
      </c>
      <c r="AS41" s="150">
        <f>IF(OR($B$11 ="",$H$11="",AT41=""),"",Sheet3!A46)</f>
        <v>700</v>
      </c>
      <c r="AT41" s="150">
        <f>IF(OR($B$11 ="",$H$11=""),"",IF($L$15="Yes",
IF($L$1="70%",
IF($B$11="1 lane",IF($H$11="1 lane",IF(Sheet3!B46="",#N/A,Sheet3!B46*1.5),IF(Sheet3!F46="",#N/A,Sheet3!F46*1.5)),IF($H$11="1 lane",IF(Sheet3!D46="",#N/A,Sheet3!D46*1.5),IF(Sheet3!H46="",#N/A,Sheet3!H46*1.5))),
IF($B$11="1 lane",IF($H$11="1 lane",IF(Sheet3!J46="",#N/A,Sheet3!J46*1.5),IF(Sheet3!N46="",#N/A,Sheet3!N46*1.5)),IF($H$11="1 lane",IF(Sheet3!L46="",#N/A,Sheet3!L46*1.5),IF(Sheet3!P46="",#N/A,Sheet3!P46*1.5)))),
IF($L$1="70%",
IF($B$11="1 lane",IF($H$11="1 lane",IF(Sheet3!B46="",#N/A,Sheet3!B46),IF(Sheet3!F46="",#N/A,Sheet3!F46)),IF($H$11="1 lane",IF(Sheet3!D46="",#N/A,Sheet3!D46),IF(Sheet3!H46="",#N/A,Sheet3!H46))),
IF($B$11="1 lane",IF($H$11="1 lane",IF(Sheet3!J46="",#N/A,Sheet3!J46),IF(Sheet3!N46="",#N/A,Sheet3!N46)),IF($H$11="1 lane",IF(Sheet3!L46="",#N/A,Sheet3!L46),IF(Sheet3!P46="",#N/A,Sheet3!P46))))))</f>
        <v>321</v>
      </c>
      <c r="AU41" s="150" t="str">
        <f>IF(OR($B$11 ="",$H$11=""),"",IF($L$1="70%",IF($B$11="1 lane",IF($H$11="1 lane",IF(Sheet3!C46="","No","Yes"),IF(Sheet3!G46="","No","Yes")),IF($H$11="1 lane",IF(Sheet3!E46="","No","Yes"),IF(Sheet3!I46="","No","Yes"))),IF($B$11="1 lane",IF($H$11="1 lane",IF(Sheet3!K46="","No","Yes"),IF(Sheet3!O46="","No","Yes")),IF(H$11="1 lane",IF(Sheet3!M46="","No","Yes"),IF(Sheet3!Q46="","No","Yes")))))</f>
        <v>Yes</v>
      </c>
      <c r="AV41" s="119" t="str">
        <f t="shared" si="13"/>
        <v/>
      </c>
      <c r="BH41" s="227"/>
      <c r="BI41" s="43"/>
      <c r="BJ41" s="44"/>
      <c r="BK41" s="45"/>
      <c r="BL41" s="24" t="s">
        <v>144</v>
      </c>
      <c r="BM41" s="148"/>
      <c r="BN41" s="148"/>
      <c r="BO41" s="148"/>
      <c r="BP41" s="148"/>
      <c r="BQ41" s="148"/>
      <c r="BR41" s="171"/>
      <c r="BS41" s="211"/>
      <c r="BT41" s="211"/>
      <c r="BU41" s="211"/>
      <c r="BV41" s="211"/>
      <c r="BW41" s="211"/>
      <c r="BX41" s="211"/>
      <c r="BY41" s="211"/>
      <c r="BZ41" s="211"/>
    </row>
    <row r="42" spans="1:79" ht="15.75" customHeight="1" x14ac:dyDescent="0.25">
      <c r="A42" s="161" t="s">
        <v>145</v>
      </c>
      <c r="B42" s="164" t="s">
        <v>146</v>
      </c>
      <c r="C42" s="164"/>
      <c r="D42" s="164"/>
      <c r="E42" s="164"/>
      <c r="F42" s="164"/>
      <c r="G42" s="164"/>
      <c r="H42" s="164"/>
      <c r="I42" s="164"/>
      <c r="J42" s="164"/>
      <c r="K42" s="6"/>
      <c r="L42" s="6"/>
      <c r="Z42" s="150">
        <f>Z41</f>
        <v>300</v>
      </c>
      <c r="AA42" s="135">
        <f>IF(MAX($W$6:$X$21)+1&gt;AA41,MAX($W$6:$X$21)+1,IF(X1="70%",AA41+((AA41-AA40)+10),AA41+((AA41-AA40)+5)))</f>
        <v>427</v>
      </c>
      <c r="AB42" s="150" t="s">
        <v>6</v>
      </c>
      <c r="AC42" s="122" t="str">
        <f t="shared" si="14"/>
        <v/>
      </c>
      <c r="AD42" s="122" t="str">
        <f t="shared" si="15"/>
        <v/>
      </c>
      <c r="AE42" s="122" t="str">
        <f t="shared" si="16"/>
        <v/>
      </c>
      <c r="AF42" s="122" t="str">
        <f t="shared" si="17"/>
        <v/>
      </c>
      <c r="AG42" s="122" t="str">
        <f t="shared" si="18"/>
        <v/>
      </c>
      <c r="AH42" s="122" t="str">
        <f t="shared" si="19"/>
        <v/>
      </c>
      <c r="AI42" s="122" t="str">
        <f t="shared" si="20"/>
        <v/>
      </c>
      <c r="AJ42" s="122" t="str">
        <f t="shared" si="21"/>
        <v/>
      </c>
      <c r="AK42" s="122" t="str">
        <f t="shared" si="22"/>
        <v/>
      </c>
      <c r="AL42" s="122" t="str">
        <f t="shared" si="23"/>
        <v/>
      </c>
      <c r="AM42" s="122" t="str">
        <f t="shared" si="24"/>
        <v/>
      </c>
      <c r="AN42" s="122" t="str">
        <f t="shared" si="25"/>
        <v/>
      </c>
      <c r="AO42" s="122" t="str">
        <f t="shared" si="26"/>
        <v/>
      </c>
      <c r="AP42" s="122" t="str">
        <f t="shared" si="27"/>
        <v/>
      </c>
      <c r="AQ42" s="122" t="str">
        <f t="shared" si="28"/>
        <v/>
      </c>
      <c r="AR42" s="122" t="str">
        <f t="shared" si="29"/>
        <v/>
      </c>
      <c r="AS42" s="150">
        <f>IF(OR($B$11 ="",$H$11="",AT42=""),"",Sheet3!A47)</f>
        <v>600</v>
      </c>
      <c r="AT42" s="150">
        <f>IF(OR($B$11 ="",$H$11=""),"",IF($L$15="Yes",
IF($L$1="70%",
IF($B$11="1 lane",IF($H$11="1 lane",IF(Sheet3!B47="",#N/A,Sheet3!B47*1.5),IF(Sheet3!F47="",#N/A,Sheet3!F47*1.5)),IF($H$11="1 lane",IF(Sheet3!D47="",#N/A,Sheet3!D47*1.5),IF(Sheet3!H47="",#N/A,Sheet3!H47*1.5))),
IF($B$11="1 lane",IF($H$11="1 lane",IF(Sheet3!J47="",#N/A,Sheet3!J47*1.5),IF(Sheet3!N47="",#N/A,Sheet3!N47*1.5)),IF($H$11="1 lane",IF(Sheet3!L47="",#N/A,Sheet3!L47*1.5),IF(Sheet3!P47="",#N/A,Sheet3!P47*1.5)))),
IF($L$1="70%",
IF($B$11="1 lane",IF($H$11="1 lane",IF(Sheet3!B47="",#N/A,Sheet3!B47),IF(Sheet3!F47="",#N/A,Sheet3!F47)),IF($H$11="1 lane",IF(Sheet3!D47="",#N/A,Sheet3!D47),IF(Sheet3!H47="",#N/A,Sheet3!H47))),
IF($B$11="1 lane",IF($H$11="1 lane",IF(Sheet3!J47="",#N/A,Sheet3!J47),IF(Sheet3!N47="",#N/A,Sheet3!N47)),IF($H$11="1 lane",IF(Sheet3!L47="",#N/A,Sheet3!L47),IF(Sheet3!P47="",#N/A,Sheet3!P47))))))</f>
        <v>368</v>
      </c>
      <c r="AU42" s="150" t="str">
        <f>IF(OR($B$11 ="",$H$11=""),"",IF($L$1="70%",IF($B$11="1 lane",IF($H$11="1 lane",IF(Sheet3!C47="","No","Yes"),IF(Sheet3!G47="","No","Yes")),IF($H$11="1 lane",IF(Sheet3!E47="","No","Yes"),IF(Sheet3!I47="","No","Yes"))),IF($B$11="1 lane",IF($H$11="1 lane",IF(Sheet3!K47="","No","Yes"),IF(Sheet3!O47="","No","Yes")),IF(H$11="1 lane",IF(Sheet3!M47="","No","Yes"),IF(Sheet3!Q47="","No","Yes")))))</f>
        <v>Yes</v>
      </c>
      <c r="AV42" s="119" t="str">
        <f t="shared" si="13"/>
        <v/>
      </c>
      <c r="BH42" s="212" t="s">
        <v>147</v>
      </c>
      <c r="BI42" s="212"/>
      <c r="BJ42" s="212"/>
      <c r="BK42" s="212"/>
      <c r="BL42" s="212"/>
      <c r="BM42" s="212"/>
      <c r="BN42" s="212"/>
      <c r="BO42" s="212"/>
      <c r="BP42" s="212"/>
      <c r="BQ42" s="212"/>
      <c r="BR42" s="150" t="s">
        <v>16</v>
      </c>
      <c r="BS42" s="211"/>
      <c r="BT42" s="211"/>
      <c r="BU42" s="211"/>
      <c r="BV42" s="211"/>
      <c r="BW42" s="211"/>
      <c r="BX42" s="211"/>
      <c r="BY42" s="211"/>
      <c r="BZ42" s="211"/>
    </row>
    <row r="43" spans="1:79" ht="15.75" customHeight="1" x14ac:dyDescent="0.25">
      <c r="A43" s="161" t="s">
        <v>148</v>
      </c>
      <c r="B43" s="164" t="s">
        <v>149</v>
      </c>
      <c r="C43" s="164"/>
      <c r="D43" s="164"/>
      <c r="E43" s="164"/>
      <c r="F43" s="164"/>
      <c r="G43" s="164"/>
      <c r="H43" s="164"/>
      <c r="I43" s="164"/>
      <c r="J43" s="164"/>
      <c r="K43" s="6"/>
      <c r="L43" s="6"/>
      <c r="AA43" s="150"/>
      <c r="AB43" s="150" t="s">
        <v>78</v>
      </c>
      <c r="AC43" s="134">
        <f>U6</f>
        <v>0</v>
      </c>
      <c r="AD43" s="134">
        <f>U7</f>
        <v>0</v>
      </c>
      <c r="AE43" s="134">
        <f>U8</f>
        <v>0</v>
      </c>
      <c r="AF43" s="134">
        <f>U9</f>
        <v>0</v>
      </c>
      <c r="AG43" s="134">
        <f>U10</f>
        <v>0</v>
      </c>
      <c r="AH43" s="134">
        <f>U11</f>
        <v>0</v>
      </c>
      <c r="AI43" s="134">
        <f>U12</f>
        <v>0</v>
      </c>
      <c r="AJ43" s="134">
        <f>U13</f>
        <v>0</v>
      </c>
      <c r="AK43" s="134">
        <f>U14</f>
        <v>0</v>
      </c>
      <c r="AL43" s="134">
        <f>U15</f>
        <v>0</v>
      </c>
      <c r="AM43" s="134">
        <f>U16</f>
        <v>0</v>
      </c>
      <c r="AN43" s="134">
        <f>U17</f>
        <v>0</v>
      </c>
      <c r="AO43" s="134">
        <f>U18</f>
        <v>0</v>
      </c>
      <c r="AP43" s="134">
        <f>U19</f>
        <v>0</v>
      </c>
      <c r="AQ43" s="134">
        <f>U20</f>
        <v>0</v>
      </c>
      <c r="AR43" s="134">
        <f>U21</f>
        <v>0</v>
      </c>
      <c r="AS43" s="150">
        <f>IF(OR($B$11 ="",$H$11="",AT43=""),"",Sheet3!A48)</f>
        <v>500</v>
      </c>
      <c r="AT43" s="150">
        <f>IF(OR($B$11 ="",$H$11=""),"",IF($L$15="Yes",
IF($L$1="70%",
IF($B$11="1 lane",IF($H$11="1 lane",IF(Sheet3!B48="",#N/A,Sheet3!B48*1.5),IF(Sheet3!F48="",#N/A,Sheet3!F48*1.5)),IF($H$11="1 lane",IF(Sheet3!D48="",#N/A,Sheet3!D48*1.5),IF(Sheet3!H48="",#N/A,Sheet3!H48*1.5))),
IF($B$11="1 lane",IF($H$11="1 lane",IF(Sheet3!J48="",#N/A,Sheet3!J48*1.5),IF(Sheet3!N48="",#N/A,Sheet3!N48*1.5)),IF($H$11="1 lane",IF(Sheet3!L48="",#N/A,Sheet3!L48*1.5),IF(Sheet3!P48="",#N/A,Sheet3!P48*1.5)))),
IF($L$1="70%",
IF($B$11="1 lane",IF($H$11="1 lane",IF(Sheet3!B48="",#N/A,Sheet3!B48),IF(Sheet3!F48="",#N/A,Sheet3!F48)),IF($H$11="1 lane",IF(Sheet3!D48="",#N/A,Sheet3!D48),IF(Sheet3!H48="",#N/A,Sheet3!H48))),
IF($B$11="1 lane",IF($H$11="1 lane",IF(Sheet3!J48="",#N/A,Sheet3!J48),IF(Sheet3!N48="",#N/A,Sheet3!N48)),IF($H$11="1 lane",IF(Sheet3!L48="",#N/A,Sheet3!L48),IF(Sheet3!P48="",#N/A,Sheet3!P48))))))</f>
        <v>420</v>
      </c>
      <c r="AU43" s="150" t="str">
        <f>IF(OR($B$11 ="",$H$11=""),"",IF($L$1="70%",IF($B$11="1 lane",IF($H$11="1 lane",IF(Sheet3!C48="","No","Yes"),IF(Sheet3!G48="","No","Yes")),IF($H$11="1 lane",IF(Sheet3!E48="","No","Yes"),IF(Sheet3!I48="","No","Yes"))),IF($B$11="1 lane",IF($H$11="1 lane",IF(Sheet3!K48="","No","Yes"),IF(Sheet3!O48="","No","Yes")),IF(H$11="1 lane",IF(Sheet3!M48="","No","Yes"),IF(Sheet3!Q48="","No","Yes")))))</f>
        <v>Yes</v>
      </c>
      <c r="AV43" s="119" t="str">
        <f t="shared" si="13"/>
        <v/>
      </c>
      <c r="BH43" s="143">
        <v>1</v>
      </c>
      <c r="BI43" s="24" t="s">
        <v>150</v>
      </c>
      <c r="BJ43" s="24"/>
      <c r="BK43" s="24"/>
      <c r="BL43" s="24"/>
      <c r="BM43" s="24"/>
      <c r="BN43" s="24"/>
      <c r="BO43" s="24"/>
      <c r="BP43" s="24"/>
      <c r="BQ43" s="24"/>
      <c r="BR43" s="145"/>
      <c r="BS43" s="211"/>
      <c r="BT43" s="211"/>
      <c r="BU43" s="211"/>
      <c r="BV43" s="211"/>
      <c r="BW43" s="211"/>
      <c r="BX43" s="211"/>
      <c r="BY43" s="211"/>
      <c r="BZ43" s="211"/>
    </row>
    <row r="44" spans="1:79" ht="15.75" customHeight="1" x14ac:dyDescent="0.25">
      <c r="A44" s="161" t="s">
        <v>151</v>
      </c>
      <c r="B44" s="199">
        <v>42689</v>
      </c>
      <c r="C44" s="199"/>
      <c r="D44" s="199"/>
      <c r="E44" s="199"/>
      <c r="F44" s="199"/>
      <c r="G44" s="199"/>
      <c r="H44" s="199"/>
      <c r="I44" s="199"/>
      <c r="J44" s="199"/>
      <c r="K44" s="27"/>
      <c r="L44" s="27"/>
      <c r="Z44" t="s">
        <v>152</v>
      </c>
      <c r="AA44" t="str">
        <f>L1</f>
        <v>100%</v>
      </c>
      <c r="AB44" s="150" t="s">
        <v>79</v>
      </c>
      <c r="AC44" s="38">
        <f>W6</f>
        <v>0</v>
      </c>
      <c r="AD44" s="134">
        <f>W7</f>
        <v>0</v>
      </c>
      <c r="AE44" s="134">
        <f>W8</f>
        <v>0</v>
      </c>
      <c r="AF44" s="134">
        <f>W9</f>
        <v>0</v>
      </c>
      <c r="AG44" s="134">
        <f>W10</f>
        <v>0</v>
      </c>
      <c r="AH44" s="134">
        <f>W11</f>
        <v>0</v>
      </c>
      <c r="AI44" s="134">
        <f>W12</f>
        <v>0</v>
      </c>
      <c r="AJ44" s="134">
        <f>W13</f>
        <v>0</v>
      </c>
      <c r="AK44" s="134">
        <f>W14</f>
        <v>0</v>
      </c>
      <c r="AL44" s="134">
        <f>W15</f>
        <v>0</v>
      </c>
      <c r="AM44" s="134">
        <f>W16</f>
        <v>0</v>
      </c>
      <c r="AN44" s="134">
        <f>W17</f>
        <v>0</v>
      </c>
      <c r="AO44" s="134">
        <f>W18</f>
        <v>0</v>
      </c>
      <c r="AP44" s="134">
        <f>W19</f>
        <v>0</v>
      </c>
      <c r="AQ44" s="134">
        <f>W20</f>
        <v>0</v>
      </c>
      <c r="AR44" s="134">
        <f>W21</f>
        <v>0</v>
      </c>
      <c r="AS44" s="150" t="e">
        <f>IF(OR($B$11 ="",$H$11="",AT44=""),"",Sheet3!A49)</f>
        <v>#N/A</v>
      </c>
      <c r="AT44" s="150" t="e">
        <f>IF(OR($B$11 ="",$H$11=""),"",IF($L$15="Yes",
IF($L$1="70%",
IF($B$11="1 lane",IF($H$11="1 lane",IF(Sheet3!B49="",#N/A,Sheet3!B49*1.5),IF(Sheet3!F49="",#N/A,Sheet3!F49*1.5)),IF($H$11="1 lane",IF(Sheet3!D49="",#N/A,Sheet3!D49*1.5),IF(Sheet3!H49="",#N/A,Sheet3!H49*1.5))),
IF($B$11="1 lane",IF($H$11="1 lane",IF(Sheet3!J49="",#N/A,Sheet3!J49*1.5),IF(Sheet3!N49="",#N/A,Sheet3!N49*1.5)),IF($H$11="1 lane",IF(Sheet3!L49="",#N/A,Sheet3!L49*1.5),IF(Sheet3!P49="",#N/A,Sheet3!P49*1.5)))),
IF($L$1="70%",
IF($B$11="1 lane",IF($H$11="1 lane",IF(Sheet3!B49="",#N/A,Sheet3!B49),IF(Sheet3!F49="",#N/A,Sheet3!F49)),IF($H$11="1 lane",IF(Sheet3!D49="",#N/A,Sheet3!D49),IF(Sheet3!H49="",#N/A,Sheet3!H49))),
IF($B$11="1 lane",IF($H$11="1 lane",IF(Sheet3!J49="",#N/A,Sheet3!J49),IF(Sheet3!N49="",#N/A,Sheet3!N49)),IF($H$11="1 lane",IF(Sheet3!L49="",#N/A,Sheet3!L49),IF(Sheet3!P49="",#N/A,Sheet3!P49))))))</f>
        <v>#N/A</v>
      </c>
      <c r="AU44" s="150" t="str">
        <f>IF(OR($B$11 ="",$H$11=""),"",IF($L$1="70%",IF($B$11="1 lane",IF($H$11="1 lane",IF(Sheet3!C49="","No","Yes"),IF(Sheet3!G49="","No","Yes")),IF($H$11="1 lane",IF(Sheet3!E49="","No","Yes"),IF(Sheet3!I49="","No","Yes"))),IF($B$11="1 lane",IF($H$11="1 lane",IF(Sheet3!K49="","No","Yes"),IF(Sheet3!O49="","No","Yes")),IF(H$11="1 lane",IF(Sheet3!M49="","No","Yes"),IF(Sheet3!Q49="","No","Yes")))))</f>
        <v>No</v>
      </c>
      <c r="AV44" s="119" t="e">
        <f t="shared" si="13"/>
        <v>#N/A</v>
      </c>
      <c r="BH44" s="143">
        <v>2</v>
      </c>
      <c r="BI44" s="221" t="s">
        <v>153</v>
      </c>
      <c r="BJ44" s="221"/>
      <c r="BK44" s="221"/>
      <c r="BL44" s="221"/>
      <c r="BM44" s="221"/>
      <c r="BN44" s="221"/>
      <c r="BO44" s="221"/>
      <c r="BP44" s="221"/>
      <c r="BQ44" s="221"/>
      <c r="BR44" s="145"/>
      <c r="BS44" s="211"/>
      <c r="BT44" s="211"/>
      <c r="BU44" s="211"/>
      <c r="BV44" s="211"/>
      <c r="BW44" s="211"/>
      <c r="BX44" s="211"/>
      <c r="BY44" s="211"/>
      <c r="BZ44" s="211"/>
    </row>
    <row r="45" spans="1:79" ht="15.75" customHeight="1" x14ac:dyDescent="0.25">
      <c r="Z45" t="s">
        <v>154</v>
      </c>
      <c r="AA45" t="str">
        <f>IF(OR($B$11 ="",$H$11=""),"",IF($B$11="1 lane",IF($H$11="1 lane","1-1","1-2"),IF($H$11="1 lane","2-1","2-2")))</f>
        <v>1-1</v>
      </c>
      <c r="AB45" s="150" t="s">
        <v>155</v>
      </c>
      <c r="AC45" s="38">
        <f>IF(AC43="","",AC43+AC44)</f>
        <v>0</v>
      </c>
      <c r="AD45" s="38">
        <f t="shared" ref="AD45:AQ45" si="30">IF(AD43="","",AD43+AD44)</f>
        <v>0</v>
      </c>
      <c r="AE45" s="38">
        <f>IF(AE43="","",AE43+AE44)</f>
        <v>0</v>
      </c>
      <c r="AF45" s="38">
        <f t="shared" si="30"/>
        <v>0</v>
      </c>
      <c r="AG45" s="38">
        <f t="shared" si="30"/>
        <v>0</v>
      </c>
      <c r="AH45" s="38">
        <f t="shared" si="30"/>
        <v>0</v>
      </c>
      <c r="AI45" s="38">
        <f t="shared" si="30"/>
        <v>0</v>
      </c>
      <c r="AJ45" s="38">
        <f t="shared" si="30"/>
        <v>0</v>
      </c>
      <c r="AK45" s="38">
        <f t="shared" si="30"/>
        <v>0</v>
      </c>
      <c r="AL45" s="38">
        <f>IF(AL43="","",AL43+AL44)</f>
        <v>0</v>
      </c>
      <c r="AM45" s="38">
        <f t="shared" si="30"/>
        <v>0</v>
      </c>
      <c r="AN45" s="38">
        <f t="shared" si="30"/>
        <v>0</v>
      </c>
      <c r="AO45" s="38">
        <f t="shared" si="30"/>
        <v>0</v>
      </c>
      <c r="AP45" s="38">
        <f t="shared" si="30"/>
        <v>0</v>
      </c>
      <c r="AQ45" s="38">
        <f t="shared" si="30"/>
        <v>0</v>
      </c>
      <c r="AR45" s="38">
        <f t="shared" ref="AR45" si="31">IF(AR43="","",AR43+AR44)</f>
        <v>0</v>
      </c>
      <c r="AS45" s="150" t="e">
        <f>IF(OR($B$11 ="",$H$11="",AT45=""),"",Sheet3!A50)</f>
        <v>#N/A</v>
      </c>
      <c r="AT45" s="150" t="e">
        <f>IF(OR($B$11 ="",$H$11=""),"",IF($L$15="Yes",
IF($L$1="70%",
IF($B$11="1 lane",IF($H$11="1 lane",IF(Sheet3!B50="",#N/A,Sheet3!B50*1.5),IF(Sheet3!F50="",#N/A,Sheet3!F50*1.5)),IF($H$11="1 lane",IF(Sheet3!D50="",#N/A,Sheet3!D50*1.5),IF(Sheet3!H50="",#N/A,Sheet3!H50*1.5))),
IF($B$11="1 lane",IF($H$11="1 lane",IF(Sheet3!J50="",#N/A,Sheet3!J50*1.5),IF(Sheet3!N50="",#N/A,Sheet3!N50*1.5)),IF($H$11="1 lane",IF(Sheet3!L50="",#N/A,Sheet3!L50*1.5),IF(Sheet3!P50="",#N/A,Sheet3!P50*1.5)))),
IF($L$1="70%",
IF($B$11="1 lane",IF($H$11="1 lane",IF(Sheet3!B50="",#N/A,Sheet3!B50),IF(Sheet3!F50="",#N/A,Sheet3!F50)),IF($H$11="1 lane",IF(Sheet3!D50="",#N/A,Sheet3!D50),IF(Sheet3!H50="",#N/A,Sheet3!H50))),
IF($B$11="1 lane",IF($H$11="1 lane",IF(Sheet3!J50="",#N/A,Sheet3!J50),IF(Sheet3!N50="",#N/A,Sheet3!N50)),IF($H$11="1 lane",IF(Sheet3!L50="",#N/A,Sheet3!L50),IF(Sheet3!P50="",#N/A,Sheet3!P50))))))</f>
        <v>#N/A</v>
      </c>
      <c r="AU45" s="150" t="str">
        <f>IF(OR($B$11 ="",$H$11=""),"",IF($L$1="70%",IF($B$11="1 lane",IF($H$11="1 lane",IF(Sheet3!C50="","No","Yes"),IF(Sheet3!G50="","No","Yes")),IF($H$11="1 lane",IF(Sheet3!E50="","No","Yes"),IF(Sheet3!I50="","No","Yes"))),IF($B$11="1 lane",IF($H$11="1 lane",IF(Sheet3!K50="","No","Yes"),IF(Sheet3!O50="","No","Yes")),IF(H$11="1 lane",IF(Sheet3!M50="","No","Yes"),IF(Sheet3!Q50="","No","Yes")))))</f>
        <v>No</v>
      </c>
      <c r="AV45" s="119" t="e">
        <f t="shared" si="13"/>
        <v>#N/A</v>
      </c>
      <c r="BH45" s="143">
        <v>3</v>
      </c>
      <c r="BI45" s="221" t="s">
        <v>156</v>
      </c>
      <c r="BJ45" s="221"/>
      <c r="BK45" s="221"/>
      <c r="BL45" s="221"/>
      <c r="BM45" s="221"/>
      <c r="BN45" s="221"/>
      <c r="BO45" s="221"/>
      <c r="BP45" s="221"/>
      <c r="BQ45" s="221"/>
      <c r="BR45" s="145"/>
      <c r="BZ45" t="s">
        <v>157</v>
      </c>
      <c r="CA45" s="136">
        <v>42418</v>
      </c>
    </row>
    <row r="46" spans="1:79" ht="15" customHeight="1" x14ac:dyDescent="0.25">
      <c r="AB46" s="161" t="s">
        <v>158</v>
      </c>
      <c r="AC46" s="38" t="str">
        <f>IF(COUNTIF(AC29:AC42,"&gt;0")&gt;0,MAX(AC29:AC42),"")</f>
        <v/>
      </c>
      <c r="AD46" s="38" t="str">
        <f t="shared" ref="AD46:AR46" si="32">IF(COUNTIF(AD29:AD42,"&gt;0")&gt;0,MAX(AD29:AD42),"")</f>
        <v/>
      </c>
      <c r="AE46" s="38" t="str">
        <f t="shared" si="32"/>
        <v/>
      </c>
      <c r="AF46" s="38" t="str">
        <f t="shared" si="32"/>
        <v/>
      </c>
      <c r="AG46" s="38" t="str">
        <f t="shared" si="32"/>
        <v/>
      </c>
      <c r="AH46" s="38" t="str">
        <f t="shared" si="32"/>
        <v/>
      </c>
      <c r="AI46" s="38" t="str">
        <f t="shared" si="32"/>
        <v/>
      </c>
      <c r="AJ46" s="38" t="str">
        <f t="shared" si="32"/>
        <v/>
      </c>
      <c r="AK46" s="38" t="str">
        <f t="shared" si="32"/>
        <v/>
      </c>
      <c r="AL46" s="38" t="str">
        <f t="shared" si="32"/>
        <v/>
      </c>
      <c r="AM46" s="38" t="str">
        <f t="shared" si="32"/>
        <v/>
      </c>
      <c r="AN46" s="38" t="str">
        <f t="shared" si="32"/>
        <v/>
      </c>
      <c r="AO46" s="38" t="str">
        <f t="shared" si="32"/>
        <v/>
      </c>
      <c r="AP46" s="38" t="str">
        <f t="shared" si="32"/>
        <v/>
      </c>
      <c r="AQ46" s="38" t="str">
        <f t="shared" si="32"/>
        <v/>
      </c>
      <c r="AR46" s="38" t="str">
        <f t="shared" si="32"/>
        <v/>
      </c>
    </row>
    <row r="47" spans="1:79" x14ac:dyDescent="0.25">
      <c r="AB47" s="150" t="s">
        <v>3</v>
      </c>
      <c r="AC47" s="38" t="str">
        <f t="shared" ref="AC47:AR47" si="33">IF(COUNTIF(AC29:AC41,"Yes")&gt;0,AC45,"")</f>
        <v/>
      </c>
      <c r="AD47" s="38" t="str">
        <f t="shared" si="33"/>
        <v/>
      </c>
      <c r="AE47" s="38" t="str">
        <f t="shared" si="33"/>
        <v/>
      </c>
      <c r="AF47" s="38" t="str">
        <f t="shared" si="33"/>
        <v/>
      </c>
      <c r="AG47" s="38" t="str">
        <f t="shared" si="33"/>
        <v/>
      </c>
      <c r="AH47" s="38" t="str">
        <f t="shared" si="33"/>
        <v/>
      </c>
      <c r="AI47" s="38" t="str">
        <f t="shared" si="33"/>
        <v/>
      </c>
      <c r="AJ47" s="38" t="str">
        <f t="shared" si="33"/>
        <v/>
      </c>
      <c r="AK47" s="38" t="str">
        <f t="shared" si="33"/>
        <v/>
      </c>
      <c r="AL47" s="38" t="str">
        <f t="shared" si="33"/>
        <v/>
      </c>
      <c r="AM47" s="38" t="str">
        <f t="shared" si="33"/>
        <v/>
      </c>
      <c r="AN47" s="38" t="str">
        <f t="shared" si="33"/>
        <v/>
      </c>
      <c r="AO47" s="38" t="str">
        <f t="shared" si="33"/>
        <v/>
      </c>
      <c r="AP47" s="38" t="str">
        <f t="shared" si="33"/>
        <v/>
      </c>
      <c r="AQ47" s="38" t="str">
        <f t="shared" si="33"/>
        <v/>
      </c>
      <c r="AR47" s="38" t="str">
        <f t="shared" si="33"/>
        <v/>
      </c>
    </row>
    <row r="48" spans="1:79" ht="15" customHeight="1" x14ac:dyDescent="0.25">
      <c r="AZ48" s="10"/>
      <c r="BA48" s="10"/>
      <c r="BB48" s="10"/>
      <c r="BC48" s="10"/>
      <c r="BD48" s="10"/>
      <c r="BE48" s="10"/>
      <c r="BF48" s="10"/>
      <c r="BG48" s="10"/>
      <c r="BH48" s="10"/>
    </row>
    <row r="54" ht="15" customHeight="1" x14ac:dyDescent="0.25"/>
    <row r="55" ht="15" customHeight="1" x14ac:dyDescent="0.25"/>
    <row r="56" ht="15" customHeight="1" x14ac:dyDescent="0.25"/>
  </sheetData>
  <sheetProtection selectLockedCells="1"/>
  <mergeCells count="248">
    <mergeCell ref="BS1:BZ1"/>
    <mergeCell ref="BR7:BR8"/>
    <mergeCell ref="BR10:BR11"/>
    <mergeCell ref="BX5:BX6"/>
    <mergeCell ref="BT5:BT6"/>
    <mergeCell ref="BG17:BG18"/>
    <mergeCell ref="BH13:BQ13"/>
    <mergeCell ref="AW11:AY11"/>
    <mergeCell ref="BA8:BA9"/>
    <mergeCell ref="AZ12:BA13"/>
    <mergeCell ref="AZ14:BA14"/>
    <mergeCell ref="AZ15:BA15"/>
    <mergeCell ref="AX12:AY13"/>
    <mergeCell ref="AX14:AY14"/>
    <mergeCell ref="AX15:AY15"/>
    <mergeCell ref="BX4:BZ4"/>
    <mergeCell ref="BH1:BQ1"/>
    <mergeCell ref="BI4:BQ4"/>
    <mergeCell ref="AW1:BF1"/>
    <mergeCell ref="BL12:BN12"/>
    <mergeCell ref="CB29:CD30"/>
    <mergeCell ref="BY2:BZ2"/>
    <mergeCell ref="BP12:BQ12"/>
    <mergeCell ref="CB2:CD3"/>
    <mergeCell ref="BS2:BT2"/>
    <mergeCell ref="BV2:BW2"/>
    <mergeCell ref="AW2:AY2"/>
    <mergeCell ref="BI29:BP29"/>
    <mergeCell ref="BI30:BP30"/>
    <mergeCell ref="BH28:BH31"/>
    <mergeCell ref="BI28:BP28"/>
    <mergeCell ref="BJ25:BQ25"/>
    <mergeCell ref="CA5:CA6"/>
    <mergeCell ref="BR24:BR25"/>
    <mergeCell ref="BI31:BP31"/>
    <mergeCell ref="BH26:BH27"/>
    <mergeCell ref="BW5:BW6"/>
    <mergeCell ref="BI5:BQ6"/>
    <mergeCell ref="AW6:AZ6"/>
    <mergeCell ref="BE2:BF2"/>
    <mergeCell ref="BY5:BY6"/>
    <mergeCell ref="BZ5:BZ6"/>
    <mergeCell ref="AW4:BA5"/>
    <mergeCell ref="BR17:BR18"/>
    <mergeCell ref="AW29:AY29"/>
    <mergeCell ref="M1:W1"/>
    <mergeCell ref="BH3:BO3"/>
    <mergeCell ref="W7:X7"/>
    <mergeCell ref="W8:X8"/>
    <mergeCell ref="M2:O2"/>
    <mergeCell ref="U4:V5"/>
    <mergeCell ref="BP2:BQ2"/>
    <mergeCell ref="AO3:AV3"/>
    <mergeCell ref="R3:S3"/>
    <mergeCell ref="AJ3:AM3"/>
    <mergeCell ref="Z1:AV1"/>
    <mergeCell ref="BA2:BC2"/>
    <mergeCell ref="T3:X3"/>
    <mergeCell ref="AB3:AC3"/>
    <mergeCell ref="AB4:AD4"/>
    <mergeCell ref="R4:R5"/>
    <mergeCell ref="M12:O12"/>
    <mergeCell ref="W10:X10"/>
    <mergeCell ref="W11:X11"/>
    <mergeCell ref="W12:X12"/>
    <mergeCell ref="M11:O11"/>
    <mergeCell ref="BO27:BQ27"/>
    <mergeCell ref="BO26:BQ26"/>
    <mergeCell ref="BR20:BR21"/>
    <mergeCell ref="BS4:BV4"/>
    <mergeCell ref="BU5:BV6"/>
    <mergeCell ref="BU7:BV7"/>
    <mergeCell ref="M4:O4"/>
    <mergeCell ref="AW7:AY7"/>
    <mergeCell ref="AW8:AY8"/>
    <mergeCell ref="T4:T5"/>
    <mergeCell ref="V2:X2"/>
    <mergeCell ref="BH2:BJ2"/>
    <mergeCell ref="BL2:BN2"/>
    <mergeCell ref="R2:T2"/>
    <mergeCell ref="AW3:BA3"/>
    <mergeCell ref="BH7:BH8"/>
    <mergeCell ref="N9:O9"/>
    <mergeCell ref="BI17:BQ18"/>
    <mergeCell ref="BH17:BH18"/>
    <mergeCell ref="W9:X9"/>
    <mergeCell ref="U9:V9"/>
    <mergeCell ref="AW9:AY9"/>
    <mergeCell ref="AW17:BF18"/>
    <mergeCell ref="BH12:BJ12"/>
    <mergeCell ref="BI44:BQ44"/>
    <mergeCell ref="AW34:AY34"/>
    <mergeCell ref="AW22:AW23"/>
    <mergeCell ref="AY22:AY23"/>
    <mergeCell ref="AX22:AX23"/>
    <mergeCell ref="AW19:AY19"/>
    <mergeCell ref="BE19:BF19"/>
    <mergeCell ref="BA19:BC19"/>
    <mergeCell ref="M23:W24"/>
    <mergeCell ref="M19:O19"/>
    <mergeCell ref="X23:Y24"/>
    <mergeCell ref="BI24:BQ24"/>
    <mergeCell ref="BL35:BN35"/>
    <mergeCell ref="BH22:BJ22"/>
    <mergeCell ref="BI26:BN27"/>
    <mergeCell ref="BH20:BQ21"/>
    <mergeCell ref="AW35:AW36"/>
    <mergeCell ref="AX35:AX36"/>
    <mergeCell ref="AY35:AY36"/>
    <mergeCell ref="BP35:BQ35"/>
    <mergeCell ref="AW21:AY21"/>
    <mergeCell ref="BL22:BN22"/>
    <mergeCell ref="AW28:AY28"/>
    <mergeCell ref="BP22:BQ22"/>
    <mergeCell ref="BH23:BP23"/>
    <mergeCell ref="BH24:BH25"/>
    <mergeCell ref="BI45:BQ45"/>
    <mergeCell ref="BS5:BS6"/>
    <mergeCell ref="BH35:BJ35"/>
    <mergeCell ref="BH37:BH38"/>
    <mergeCell ref="BR37:BR38"/>
    <mergeCell ref="BI39:BQ39"/>
    <mergeCell ref="BR39:BR41"/>
    <mergeCell ref="BH39:BH41"/>
    <mergeCell ref="BH36:BP36"/>
    <mergeCell ref="BI14:BQ14"/>
    <mergeCell ref="BR15:BR16"/>
    <mergeCell ref="BI15:BQ16"/>
    <mergeCell ref="BH15:BH16"/>
    <mergeCell ref="BR28:BR31"/>
    <mergeCell ref="BR26:BR27"/>
    <mergeCell ref="BH33:BQ34"/>
    <mergeCell ref="BR33:BR34"/>
    <mergeCell ref="BR5:BR6"/>
    <mergeCell ref="BH5:BH6"/>
    <mergeCell ref="BI7:BQ8"/>
    <mergeCell ref="BH10:BQ11"/>
    <mergeCell ref="BS34:BZ34"/>
    <mergeCell ref="BS35:BZ44"/>
    <mergeCell ref="BH42:BQ42"/>
    <mergeCell ref="B42:J42"/>
    <mergeCell ref="L1:L2"/>
    <mergeCell ref="E22:F22"/>
    <mergeCell ref="E23:F23"/>
    <mergeCell ref="H22:I22"/>
    <mergeCell ref="Y4:Y5"/>
    <mergeCell ref="M3:O3"/>
    <mergeCell ref="A1:K2"/>
    <mergeCell ref="A3:L3"/>
    <mergeCell ref="B11:C11"/>
    <mergeCell ref="H11:I11"/>
    <mergeCell ref="N17:O17"/>
    <mergeCell ref="X1:Y1"/>
    <mergeCell ref="N21:O21"/>
    <mergeCell ref="U6:V6"/>
    <mergeCell ref="W6:X6"/>
    <mergeCell ref="U7:V7"/>
    <mergeCell ref="U8:V8"/>
    <mergeCell ref="U11:V11"/>
    <mergeCell ref="U12:V12"/>
    <mergeCell ref="W4:X5"/>
    <mergeCell ref="S4:S5"/>
    <mergeCell ref="B44:J44"/>
    <mergeCell ref="A32:H32"/>
    <mergeCell ref="B33:H33"/>
    <mergeCell ref="B27:H27"/>
    <mergeCell ref="J39:L39"/>
    <mergeCell ref="A41:E41"/>
    <mergeCell ref="H23:I23"/>
    <mergeCell ref="A31:H31"/>
    <mergeCell ref="A30:H30"/>
    <mergeCell ref="A25:I25"/>
    <mergeCell ref="J25:L25"/>
    <mergeCell ref="A36:H36"/>
    <mergeCell ref="A37:H37"/>
    <mergeCell ref="A38:H38"/>
    <mergeCell ref="A39:H39"/>
    <mergeCell ref="B28:H28"/>
    <mergeCell ref="B29:H29"/>
    <mergeCell ref="J37:L37"/>
    <mergeCell ref="J38:L38"/>
    <mergeCell ref="J36:L36"/>
    <mergeCell ref="J27:L27"/>
    <mergeCell ref="B43:J43"/>
    <mergeCell ref="J35:L35"/>
    <mergeCell ref="J28:L28"/>
    <mergeCell ref="V25:X25"/>
    <mergeCell ref="U20:V20"/>
    <mergeCell ref="W16:X16"/>
    <mergeCell ref="W17:X17"/>
    <mergeCell ref="W18:X18"/>
    <mergeCell ref="W19:X19"/>
    <mergeCell ref="W20:X20"/>
    <mergeCell ref="AW12:AW13"/>
    <mergeCell ref="M20:O20"/>
    <mergeCell ref="W13:X13"/>
    <mergeCell ref="W14:X14"/>
    <mergeCell ref="Z25:AR25"/>
    <mergeCell ref="U19:V19"/>
    <mergeCell ref="W15:X15"/>
    <mergeCell ref="U18:V18"/>
    <mergeCell ref="AS26:AT26"/>
    <mergeCell ref="AS27:AT27"/>
    <mergeCell ref="U17:V17"/>
    <mergeCell ref="A35:H35"/>
    <mergeCell ref="V26:X26"/>
    <mergeCell ref="B34:H34"/>
    <mergeCell ref="U10:V10"/>
    <mergeCell ref="V27:X27"/>
    <mergeCell ref="J31:L31"/>
    <mergeCell ref="J32:L32"/>
    <mergeCell ref="J33:L33"/>
    <mergeCell ref="J34:L34"/>
    <mergeCell ref="E13:K13"/>
    <mergeCell ref="A26:H26"/>
    <mergeCell ref="E14:K14"/>
    <mergeCell ref="H21:I21"/>
    <mergeCell ref="J21:K21"/>
    <mergeCell ref="U15:V15"/>
    <mergeCell ref="U16:V16"/>
    <mergeCell ref="U21:V21"/>
    <mergeCell ref="W21:X21"/>
    <mergeCell ref="U13:V13"/>
    <mergeCell ref="U14:V14"/>
    <mergeCell ref="D19:E19"/>
    <mergeCell ref="C5:J5"/>
    <mergeCell ref="J29:L29"/>
    <mergeCell ref="J30:L30"/>
    <mergeCell ref="G20:L20"/>
    <mergeCell ref="E20:F21"/>
    <mergeCell ref="A20:D21"/>
    <mergeCell ref="A13:D13"/>
    <mergeCell ref="A22:D22"/>
    <mergeCell ref="A23:D23"/>
    <mergeCell ref="H16:K16"/>
    <mergeCell ref="E15:K15"/>
    <mergeCell ref="J26:L26"/>
    <mergeCell ref="C6:J6"/>
    <mergeCell ref="C7:J7"/>
    <mergeCell ref="A5:B5"/>
    <mergeCell ref="A6:B6"/>
    <mergeCell ref="J22:K22"/>
    <mergeCell ref="J23:K23"/>
    <mergeCell ref="A19:C19"/>
    <mergeCell ref="B9:F9"/>
    <mergeCell ref="G10:H10"/>
    <mergeCell ref="H9:L9"/>
    <mergeCell ref="A10:B10"/>
  </mergeCells>
  <conditionalFormatting sqref="B7">
    <cfRule type="containsText" dxfId="27" priority="63" operator="containsText" text="Select one:">
      <formula>NOT(ISERROR(SEARCH("Select one:",B7)))</formula>
    </cfRule>
  </conditionalFormatting>
  <conditionalFormatting sqref="D19:E19">
    <cfRule type="containsText" dxfId="26" priority="4" operator="containsText" text="PROJECTED">
      <formula>NOT(ISERROR(SEARCH("PROJECTED",D19)))</formula>
    </cfRule>
  </conditionalFormatting>
  <conditionalFormatting sqref="E22:F22">
    <cfRule type="containsText" dxfId="25" priority="3" operator="containsText" text="No">
      <formula>NOT(ISERROR(SEARCH("No",E22)))</formula>
    </cfRule>
  </conditionalFormatting>
  <conditionalFormatting sqref="J26:L26">
    <cfRule type="expression" dxfId="24" priority="26">
      <formula>IF(OR($Y$2="Yes",$Y$2="No"),TRUE,FALSE)</formula>
    </cfRule>
  </conditionalFormatting>
  <conditionalFormatting sqref="J30:L30">
    <cfRule type="expression" dxfId="23" priority="25">
      <formula>IF(OR($Y$27="Yes",$Y$27="No"),TRUE,FALSE)</formula>
    </cfRule>
  </conditionalFormatting>
  <conditionalFormatting sqref="J31:L31">
    <cfRule type="expression" dxfId="22" priority="24">
      <formula>IF(OR($BG$2="Yes",$BG$2="No"),TRUE,FALSE)</formula>
    </cfRule>
  </conditionalFormatting>
  <conditionalFormatting sqref="J32:L32">
    <cfRule type="expression" dxfId="21" priority="23">
      <formula>IF(OR($BG$19="Yes",$BG$19="No"),TRUE,FALSE)</formula>
    </cfRule>
  </conditionalFormatting>
  <conditionalFormatting sqref="J35:L35">
    <cfRule type="expression" dxfId="20" priority="22">
      <formula>IF(OR($BR$2="Yes",$BR$2="No"),TRUE,FALSE)</formula>
    </cfRule>
  </conditionalFormatting>
  <conditionalFormatting sqref="J36:L36">
    <cfRule type="expression" dxfId="19" priority="21">
      <formula>IF(OR($BR$12="Yes",$BR$12="No"),TRUE,FALSE)</formula>
    </cfRule>
  </conditionalFormatting>
  <conditionalFormatting sqref="J37:L37">
    <cfRule type="expression" dxfId="18" priority="20">
      <formula>IF(OR($BR$22="Yes",$BR$22="No"),TRUE,FALSE)</formula>
    </cfRule>
  </conditionalFormatting>
  <conditionalFormatting sqref="J38:L38">
    <cfRule type="expression" dxfId="17" priority="19">
      <formula>IF(OR($BR$35="Yes",$BR$35="No"),TRUE,FALSE)</formula>
    </cfRule>
  </conditionalFormatting>
  <conditionalFormatting sqref="J39:L39">
    <cfRule type="expression" dxfId="16" priority="255">
      <formula>IF(OR($CA$2="Yes",$CA$2="No"),TRUE,FALSE)</formula>
    </cfRule>
  </conditionalFormatting>
  <conditionalFormatting sqref="L1 X1 BG1 BR1 CA1 BR10 BG17 BR20 X23 BR33">
    <cfRule type="expression" dxfId="15" priority="36">
      <formula>IF(OR($L$16="70%",$L$16="100%"),TRUE,FALSE)</formula>
    </cfRule>
  </conditionalFormatting>
  <conditionalFormatting sqref="L13:L16 AZ28:AZ29 D19 A22:L23 P2 Y2 AZ2 BG2 BK2 BR2 BU2 CA2 R3:S3 CA4 AW4:BA5 BR4:BR8 C5:J7 U6:X21 BA7 BS7:BU7 BW7 B9:F9 H9:L9 C10 I10 B11:C11 H11:I11 AZ11 BK12 BR12 BR14:BR18 AZ19 BG19 BK22 BR22 AW24:AX27 BR24:BR27 Y25 BJ25:BQ25 Y27 BO27:BQ27 BK35 BR35:BS35 BP38 BM40:BQ41 B42:J44 BR43:BR45">
    <cfRule type="containsBlanks" dxfId="14" priority="54">
      <formula>LEN(TRIM(A2))=0</formula>
    </cfRule>
  </conditionalFormatting>
  <conditionalFormatting sqref="L15">
    <cfRule type="expression" dxfId="13" priority="17">
      <formula>IF(AND($L$14="4 or more",$L$15="Yes"),TRUE,FALSE)</formula>
    </cfRule>
  </conditionalFormatting>
  <conditionalFormatting sqref="AW15">
    <cfRule type="notContainsBlanks" dxfId="12" priority="257">
      <formula>LEN(TRIM(AW15))&gt;0</formula>
    </cfRule>
  </conditionalFormatting>
  <conditionalFormatting sqref="AW15:AX15 AZ15">
    <cfRule type="expression" dxfId="11" priority="258">
      <formula>IF($AZ$11="Yes", TRUE, FALSE)</formula>
    </cfRule>
  </conditionalFormatting>
  <conditionalFormatting sqref="AX15:AY15">
    <cfRule type="expression" dxfId="10" priority="2">
      <formula>IF($AX$15="",FALSE,TRUE)</formula>
    </cfRule>
  </conditionalFormatting>
  <conditionalFormatting sqref="AZ24:AZ27">
    <cfRule type="notContainsBlanks" dxfId="9" priority="11">
      <formula>LEN(TRIM(AZ24))&gt;0</formula>
    </cfRule>
    <cfRule type="expression" dxfId="8" priority="12">
      <formula>IF($AZ$28="Yes", TRUE,FALSE)</formula>
    </cfRule>
  </conditionalFormatting>
  <conditionalFormatting sqref="AZ29">
    <cfRule type="containsText" dxfId="7" priority="10" operator="containsText" text="Yes">
      <formula>NOT(ISERROR(SEARCH("Yes",AZ29)))</formula>
    </cfRule>
  </conditionalFormatting>
  <conditionalFormatting sqref="AZ15:BA15">
    <cfRule type="expression" dxfId="6" priority="1">
      <formula>IF($AZ$15="",FALSE,TRUE)</formula>
    </cfRule>
  </conditionalFormatting>
  <conditionalFormatting sqref="BX8:BZ8">
    <cfRule type="notContainsBlanks" dxfId="5" priority="7">
      <formula>LEN(TRIM(BX8))&gt;0</formula>
    </cfRule>
    <cfRule type="expression" dxfId="4" priority="8">
      <formula>IF($CA$4="Yes",TRUE,FALSE)</formula>
    </cfRule>
  </conditionalFormatting>
  <dataValidations count="12">
    <dataValidation type="list" allowBlank="1" showInputMessage="1" showErrorMessage="1" prompt="Select one:" sqref="D19" xr:uid="{00000000-0002-0000-0000-000000000000}">
      <formula1>Counts</formula1>
    </dataValidation>
    <dataValidation type="list" allowBlank="1" showInputMessage="1" showErrorMessage="1" prompt="Select one:" sqref="BU7" xr:uid="{00000000-0002-0000-0000-000001000000}">
      <formula1>Truck</formula1>
    </dataValidation>
    <dataValidation type="list" allowBlank="1" showInputMessage="1" showErrorMessage="1" prompt="Select one:" sqref="BS7" xr:uid="{00000000-0002-0000-0000-000002000000}">
      <formula1>Rail</formula1>
    </dataValidation>
    <dataValidation type="list" allowBlank="1" showInputMessage="1" showErrorMessage="1" prompt="Select one:" sqref="BT7" xr:uid="{00000000-0002-0000-0000-000003000000}">
      <formula1>Bus</formula1>
    </dataValidation>
    <dataValidation type="list" allowBlank="1" showInputMessage="1" showErrorMessage="1" prompt="Select one:" sqref="AZ28:AZ29 CA4 BR24:BR27 BU2 Y25 P2 BK12 BK22 BK35 AZ11 AZ19 AZ2 BK2 L15 BR43:BR45 BR4:BR7 L13 BA7 BR14:BR18" xr:uid="{00000000-0002-0000-0000-000004000000}">
      <formula1>Choice</formula1>
    </dataValidation>
    <dataValidation type="list" allowBlank="1" showInputMessage="1" showErrorMessage="1" prompt="Select one:" sqref="BP38" xr:uid="{00000000-0002-0000-0000-000005000000}">
      <formula1>Warrants</formula1>
    </dataValidation>
    <dataValidation type="list" allowBlank="1" showInputMessage="1" showErrorMessage="1" prompt="Select one:" sqref="H11 D47:E47 B11" xr:uid="{00000000-0002-0000-0000-000006000000}">
      <formula1>Lanes</formula1>
    </dataValidation>
    <dataValidation type="list" allowBlank="1" showInputMessage="1" showErrorMessage="1" prompt="Select one:" sqref="L14" xr:uid="{00000000-0002-0000-0000-000007000000}">
      <formula1>Approaches</formula1>
    </dataValidation>
    <dataValidation type="list" allowBlank="1" showInputMessage="1" showErrorMessage="1" sqref="B7" xr:uid="{00000000-0002-0000-0000-000008000000}">
      <formula1>Location</formula1>
    </dataValidation>
    <dataValidation type="list" allowBlank="1" showInputMessage="1" showErrorMessage="1" prompt="Select one:" sqref="L16" xr:uid="{00000000-0002-0000-0000-000009000000}">
      <formula1>Manual</formula1>
    </dataValidation>
    <dataValidation type="list" allowBlank="1" showInputMessage="1" showErrorMessage="1" sqref="Y2 Y27 BG2 BG19 BR2 BR12 BR22 BR35 CA2" xr:uid="{00000000-0002-0000-0000-00000A000000}">
      <formula1>Choice</formula1>
    </dataValidation>
    <dataValidation type="list" allowBlank="1" showInputMessage="1" showErrorMessage="1" sqref="E22:F22" xr:uid="{00000000-0002-0000-0000-00000B000000}">
      <formula1>INDIRECT($D$19)</formula1>
    </dataValidation>
  </dataValidations>
  <pageMargins left="0.25" right="0.25" top="0.75" bottom="0.75" header="0.3" footer="0.3"/>
  <pageSetup scale="96" orientation="portrait" blackAndWhite="1" r:id="rId1"/>
  <headerFooter>
    <oddFooter>&amp;C&amp;P</oddFooter>
  </headerFooter>
  <ignoredErrors>
    <ignoredError sqref="U6:X21"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B42"/>
  <sheetViews>
    <sheetView view="pageBreakPreview" zoomScaleNormal="80" zoomScaleSheetLayoutView="100" workbookViewId="0">
      <selection activeCell="G25" sqref="G25"/>
    </sheetView>
  </sheetViews>
  <sheetFormatPr defaultRowHeight="15" x14ac:dyDescent="0.25"/>
  <cols>
    <col min="1" max="1" width="5.7109375" customWidth="1"/>
    <col min="2" max="2" width="9" customWidth="1"/>
    <col min="3" max="22" width="7.85546875" customWidth="1"/>
    <col min="23" max="23" width="8.5703125" customWidth="1"/>
    <col min="24" max="28" width="9.140625" hidden="1" customWidth="1"/>
    <col min="29" max="29" width="0" hidden="1" customWidth="1"/>
  </cols>
  <sheetData>
    <row r="1" spans="1:28" ht="19.5" thickBot="1" x14ac:dyDescent="0.3">
      <c r="A1" s="261" t="s">
        <v>159</v>
      </c>
      <c r="B1" s="262"/>
      <c r="C1" s="262"/>
      <c r="D1" s="262"/>
      <c r="E1" s="262"/>
      <c r="F1" s="262"/>
      <c r="G1" s="262"/>
      <c r="H1" s="262"/>
      <c r="I1" s="262"/>
      <c r="J1" s="262"/>
      <c r="K1" s="262"/>
      <c r="L1" s="262"/>
      <c r="M1" s="262"/>
      <c r="N1" s="262"/>
      <c r="O1" s="262"/>
      <c r="P1" s="262"/>
      <c r="Q1" s="262"/>
      <c r="R1" s="262"/>
      <c r="S1" s="262"/>
      <c r="T1" s="262"/>
      <c r="U1" s="262"/>
      <c r="V1" s="262"/>
      <c r="W1" s="263"/>
    </row>
    <row r="2" spans="1:28" ht="15.75" x14ac:dyDescent="0.25">
      <c r="A2" s="282" t="s">
        <v>160</v>
      </c>
      <c r="B2" s="283"/>
      <c r="C2" s="264"/>
      <c r="D2" s="265"/>
      <c r="E2" s="56" t="s">
        <v>161</v>
      </c>
      <c r="F2" s="266"/>
      <c r="G2" s="267"/>
      <c r="H2" s="264"/>
      <c r="I2" s="265"/>
      <c r="J2" s="56" t="s">
        <v>162</v>
      </c>
      <c r="K2" s="266"/>
      <c r="L2" s="267"/>
      <c r="M2" s="264"/>
      <c r="N2" s="265"/>
      <c r="O2" s="56" t="s">
        <v>163</v>
      </c>
      <c r="P2" s="266"/>
      <c r="Q2" s="267"/>
      <c r="R2" s="264"/>
      <c r="S2" s="265"/>
      <c r="T2" s="56" t="s">
        <v>164</v>
      </c>
      <c r="U2" s="266"/>
      <c r="V2" s="267"/>
      <c r="W2" s="57" t="s">
        <v>24</v>
      </c>
    </row>
    <row r="3" spans="1:28" ht="16.5" thickBot="1" x14ac:dyDescent="0.3">
      <c r="A3" s="284" t="s">
        <v>19</v>
      </c>
      <c r="B3" s="285"/>
      <c r="C3" s="268" t="s">
        <v>72</v>
      </c>
      <c r="D3" s="269"/>
      <c r="E3" s="269"/>
      <c r="F3" s="269"/>
      <c r="G3" s="270"/>
      <c r="H3" s="268" t="s">
        <v>75</v>
      </c>
      <c r="I3" s="269"/>
      <c r="J3" s="269"/>
      <c r="K3" s="269"/>
      <c r="L3" s="270"/>
      <c r="M3" s="268" t="s">
        <v>80</v>
      </c>
      <c r="N3" s="269"/>
      <c r="O3" s="269"/>
      <c r="P3" s="269"/>
      <c r="Q3" s="270"/>
      <c r="R3" s="268" t="s">
        <v>82</v>
      </c>
      <c r="S3" s="269"/>
      <c r="T3" s="269"/>
      <c r="U3" s="269"/>
      <c r="V3" s="270"/>
      <c r="W3" s="58" t="s">
        <v>165</v>
      </c>
      <c r="Y3" s="286" t="s">
        <v>166</v>
      </c>
      <c r="Z3" s="286"/>
      <c r="AA3" s="286"/>
      <c r="AB3" s="286"/>
    </row>
    <row r="4" spans="1:28" ht="16.5" thickBot="1" x14ac:dyDescent="0.3">
      <c r="A4" s="284" t="s">
        <v>167</v>
      </c>
      <c r="B4" s="285"/>
      <c r="C4" s="59" t="s">
        <v>168</v>
      </c>
      <c r="D4" s="60" t="s">
        <v>169</v>
      </c>
      <c r="E4" s="60" t="s">
        <v>170</v>
      </c>
      <c r="F4" s="60" t="s">
        <v>171</v>
      </c>
      <c r="G4" s="61" t="s">
        <v>24</v>
      </c>
      <c r="H4" s="59" t="s">
        <v>168</v>
      </c>
      <c r="I4" s="60" t="s">
        <v>169</v>
      </c>
      <c r="J4" s="60" t="s">
        <v>170</v>
      </c>
      <c r="K4" s="60" t="s">
        <v>171</v>
      </c>
      <c r="L4" s="61" t="s">
        <v>24</v>
      </c>
      <c r="M4" s="59" t="s">
        <v>168</v>
      </c>
      <c r="N4" s="60" t="s">
        <v>169</v>
      </c>
      <c r="O4" s="60" t="s">
        <v>170</v>
      </c>
      <c r="P4" s="60" t="s">
        <v>171</v>
      </c>
      <c r="Q4" s="61" t="s">
        <v>24</v>
      </c>
      <c r="R4" s="59" t="s">
        <v>168</v>
      </c>
      <c r="S4" s="60" t="s">
        <v>169</v>
      </c>
      <c r="T4" s="60" t="s">
        <v>170</v>
      </c>
      <c r="U4" s="60" t="s">
        <v>171</v>
      </c>
      <c r="V4" s="61" t="s">
        <v>24</v>
      </c>
      <c r="W4" s="58" t="s">
        <v>144</v>
      </c>
      <c r="Y4" s="132" t="s">
        <v>172</v>
      </c>
      <c r="Z4" s="132" t="s">
        <v>173</v>
      </c>
      <c r="AA4" s="132" t="s">
        <v>174</v>
      </c>
      <c r="AB4" s="132" t="s">
        <v>175</v>
      </c>
    </row>
    <row r="5" spans="1:28" ht="16.5" thickBot="1" x14ac:dyDescent="0.3">
      <c r="A5" s="271" t="s">
        <v>176</v>
      </c>
      <c r="B5" s="97">
        <v>0.25</v>
      </c>
      <c r="C5" s="62">
        <v>0</v>
      </c>
      <c r="D5" s="62">
        <v>0</v>
      </c>
      <c r="E5" s="62">
        <v>0</v>
      </c>
      <c r="F5" s="62">
        <v>0</v>
      </c>
      <c r="G5" s="62">
        <v>0</v>
      </c>
      <c r="H5" s="62">
        <v>0</v>
      </c>
      <c r="I5" s="62">
        <v>0</v>
      </c>
      <c r="J5" s="62">
        <v>0</v>
      </c>
      <c r="K5" s="62">
        <v>0</v>
      </c>
      <c r="L5" s="62">
        <v>0</v>
      </c>
      <c r="M5" s="62">
        <v>0</v>
      </c>
      <c r="N5" s="62">
        <v>0</v>
      </c>
      <c r="O5" s="62">
        <v>0</v>
      </c>
      <c r="P5" s="62">
        <v>0</v>
      </c>
      <c r="Q5" s="62">
        <v>0</v>
      </c>
      <c r="R5" s="62">
        <v>0</v>
      </c>
      <c r="S5" s="62">
        <v>0</v>
      </c>
      <c r="T5" s="62">
        <v>0</v>
      </c>
      <c r="U5" s="62">
        <v>0</v>
      </c>
      <c r="V5" s="62">
        <v>0</v>
      </c>
      <c r="W5" s="63">
        <f>SUM(C5:F5,H5:K5,M5:P5,R5:U5)</f>
        <v>0</v>
      </c>
      <c r="Y5" s="133">
        <f t="shared" ref="Y5:Y20" si="0">SUM(D5:F5)+$Z$26*C5</f>
        <v>0</v>
      </c>
      <c r="Z5" s="133">
        <f t="shared" ref="Z5:Z20" si="1">SUM(I5:K5)+$Z$27*H5</f>
        <v>0</v>
      </c>
      <c r="AA5" s="133">
        <f t="shared" ref="AA5:AA20" si="2">SUM(N5:P5)+M5*$Z$28</f>
        <v>0</v>
      </c>
      <c r="AB5" s="133">
        <f t="shared" ref="AB5:AB20" si="3">SUM(S5:U5)+$Z$29*R5</f>
        <v>0</v>
      </c>
    </row>
    <row r="6" spans="1:28" ht="16.5" thickBot="1" x14ac:dyDescent="0.3">
      <c r="A6" s="272"/>
      <c r="B6" s="98">
        <f>IF(B5="","",B5+TIME(1,0,0))</f>
        <v>0.29166666666666669</v>
      </c>
      <c r="C6" s="62">
        <v>0</v>
      </c>
      <c r="D6" s="62">
        <v>0</v>
      </c>
      <c r="E6" s="62">
        <v>0</v>
      </c>
      <c r="F6" s="62">
        <v>0</v>
      </c>
      <c r="G6" s="62">
        <v>0</v>
      </c>
      <c r="H6" s="62">
        <v>0</v>
      </c>
      <c r="I6" s="62">
        <v>0</v>
      </c>
      <c r="J6" s="62">
        <v>0</v>
      </c>
      <c r="K6" s="62">
        <v>0</v>
      </c>
      <c r="L6" s="62">
        <v>0</v>
      </c>
      <c r="M6" s="62">
        <v>0</v>
      </c>
      <c r="N6" s="62">
        <v>0</v>
      </c>
      <c r="O6" s="62">
        <v>0</v>
      </c>
      <c r="P6" s="62">
        <v>0</v>
      </c>
      <c r="Q6" s="62">
        <v>0</v>
      </c>
      <c r="R6" s="62">
        <v>0</v>
      </c>
      <c r="S6" s="62">
        <v>0</v>
      </c>
      <c r="T6" s="62">
        <v>0</v>
      </c>
      <c r="U6" s="62">
        <v>0</v>
      </c>
      <c r="V6" s="62">
        <v>0</v>
      </c>
      <c r="W6" s="64">
        <f t="shared" ref="W6:W20" si="4">SUM(C6:F6,H6:K6,M6:P6,R6:U6)</f>
        <v>0</v>
      </c>
      <c r="Y6" s="133">
        <f t="shared" si="0"/>
        <v>0</v>
      </c>
      <c r="Z6" s="133">
        <f t="shared" si="1"/>
        <v>0</v>
      </c>
      <c r="AA6" s="133">
        <f t="shared" si="2"/>
        <v>0</v>
      </c>
      <c r="AB6" s="133">
        <f t="shared" si="3"/>
        <v>0</v>
      </c>
    </row>
    <row r="7" spans="1:28" ht="16.5" thickBot="1" x14ac:dyDescent="0.3">
      <c r="A7" s="272"/>
      <c r="B7" s="99">
        <f t="shared" ref="B7:B20" si="5">IF(B6="","",B6+TIME(1,0,0))</f>
        <v>0.33333333333333337</v>
      </c>
      <c r="C7" s="62">
        <v>0</v>
      </c>
      <c r="D7" s="62">
        <v>0</v>
      </c>
      <c r="E7" s="62">
        <v>0</v>
      </c>
      <c r="F7" s="62">
        <v>0</v>
      </c>
      <c r="G7" s="62">
        <v>0</v>
      </c>
      <c r="H7" s="62">
        <v>0</v>
      </c>
      <c r="I7" s="62">
        <v>0</v>
      </c>
      <c r="J7" s="62">
        <v>0</v>
      </c>
      <c r="K7" s="62">
        <v>0</v>
      </c>
      <c r="L7" s="62">
        <v>0</v>
      </c>
      <c r="M7" s="62">
        <v>0</v>
      </c>
      <c r="N7" s="62">
        <v>0</v>
      </c>
      <c r="O7" s="62">
        <v>0</v>
      </c>
      <c r="P7" s="62">
        <v>0</v>
      </c>
      <c r="Q7" s="62">
        <v>0</v>
      </c>
      <c r="R7" s="62">
        <v>0</v>
      </c>
      <c r="S7" s="62">
        <v>0</v>
      </c>
      <c r="T7" s="62">
        <v>0</v>
      </c>
      <c r="U7" s="62">
        <v>0</v>
      </c>
      <c r="V7" s="62">
        <v>0</v>
      </c>
      <c r="W7" s="64">
        <f t="shared" si="4"/>
        <v>0</v>
      </c>
      <c r="Y7" s="133">
        <f t="shared" si="0"/>
        <v>0</v>
      </c>
      <c r="Z7" s="133">
        <f t="shared" si="1"/>
        <v>0</v>
      </c>
      <c r="AA7" s="133">
        <f t="shared" si="2"/>
        <v>0</v>
      </c>
      <c r="AB7" s="133">
        <f t="shared" si="3"/>
        <v>0</v>
      </c>
    </row>
    <row r="8" spans="1:28" ht="16.5" thickBot="1" x14ac:dyDescent="0.3">
      <c r="A8" s="273"/>
      <c r="B8" s="100">
        <f t="shared" si="5"/>
        <v>0.37500000000000006</v>
      </c>
      <c r="C8" s="62">
        <v>0</v>
      </c>
      <c r="D8" s="62">
        <v>0</v>
      </c>
      <c r="E8" s="62">
        <v>0</v>
      </c>
      <c r="F8" s="62">
        <v>0</v>
      </c>
      <c r="G8" s="62">
        <v>0</v>
      </c>
      <c r="H8" s="62">
        <v>0</v>
      </c>
      <c r="I8" s="62">
        <v>0</v>
      </c>
      <c r="J8" s="62">
        <v>0</v>
      </c>
      <c r="K8" s="62">
        <v>0</v>
      </c>
      <c r="L8" s="62">
        <v>0</v>
      </c>
      <c r="M8" s="62">
        <v>0</v>
      </c>
      <c r="N8" s="62">
        <v>0</v>
      </c>
      <c r="O8" s="62">
        <v>0</v>
      </c>
      <c r="P8" s="62">
        <v>0</v>
      </c>
      <c r="Q8" s="62">
        <v>0</v>
      </c>
      <c r="R8" s="62">
        <v>0</v>
      </c>
      <c r="S8" s="62">
        <v>0</v>
      </c>
      <c r="T8" s="62">
        <v>0</v>
      </c>
      <c r="U8" s="62">
        <v>0</v>
      </c>
      <c r="V8" s="62">
        <v>0</v>
      </c>
      <c r="W8" s="65">
        <f t="shared" si="4"/>
        <v>0</v>
      </c>
      <c r="Y8" s="133">
        <f t="shared" si="0"/>
        <v>0</v>
      </c>
      <c r="Z8" s="133">
        <f t="shared" si="1"/>
        <v>0</v>
      </c>
      <c r="AA8" s="133">
        <f t="shared" si="2"/>
        <v>0</v>
      </c>
      <c r="AB8" s="133">
        <f t="shared" si="3"/>
        <v>0</v>
      </c>
    </row>
    <row r="9" spans="1:28" ht="16.5" thickBot="1" x14ac:dyDescent="0.3">
      <c r="A9" s="274" t="s">
        <v>177</v>
      </c>
      <c r="B9" s="101">
        <f t="shared" si="5"/>
        <v>0.41666666666666674</v>
      </c>
      <c r="C9" s="62">
        <v>0</v>
      </c>
      <c r="D9" s="62">
        <v>0</v>
      </c>
      <c r="E9" s="62">
        <v>0</v>
      </c>
      <c r="F9" s="62">
        <v>0</v>
      </c>
      <c r="G9" s="62">
        <v>0</v>
      </c>
      <c r="H9" s="62">
        <v>0</v>
      </c>
      <c r="I9" s="62">
        <v>0</v>
      </c>
      <c r="J9" s="62">
        <v>0</v>
      </c>
      <c r="K9" s="62">
        <v>0</v>
      </c>
      <c r="L9" s="62">
        <v>0</v>
      </c>
      <c r="M9" s="62">
        <v>0</v>
      </c>
      <c r="N9" s="62">
        <v>0</v>
      </c>
      <c r="O9" s="62">
        <v>0</v>
      </c>
      <c r="P9" s="62">
        <v>0</v>
      </c>
      <c r="Q9" s="62">
        <v>0</v>
      </c>
      <c r="R9" s="62">
        <v>0</v>
      </c>
      <c r="S9" s="62">
        <v>0</v>
      </c>
      <c r="T9" s="62">
        <v>0</v>
      </c>
      <c r="U9" s="62">
        <v>0</v>
      </c>
      <c r="V9" s="62">
        <v>0</v>
      </c>
      <c r="W9" s="63">
        <f t="shared" si="4"/>
        <v>0</v>
      </c>
      <c r="Y9" s="133">
        <f t="shared" si="0"/>
        <v>0</v>
      </c>
      <c r="Z9" s="133">
        <f t="shared" si="1"/>
        <v>0</v>
      </c>
      <c r="AA9" s="133">
        <f t="shared" si="2"/>
        <v>0</v>
      </c>
      <c r="AB9" s="133">
        <f t="shared" si="3"/>
        <v>0</v>
      </c>
    </row>
    <row r="10" spans="1:28" ht="16.5" thickBot="1" x14ac:dyDescent="0.3">
      <c r="A10" s="275"/>
      <c r="B10" s="98">
        <f t="shared" si="5"/>
        <v>0.45833333333333343</v>
      </c>
      <c r="C10" s="62">
        <v>0</v>
      </c>
      <c r="D10" s="62">
        <v>0</v>
      </c>
      <c r="E10" s="62">
        <v>0</v>
      </c>
      <c r="F10" s="62">
        <v>0</v>
      </c>
      <c r="G10" s="62">
        <v>0</v>
      </c>
      <c r="H10" s="62">
        <v>0</v>
      </c>
      <c r="I10" s="62">
        <v>0</v>
      </c>
      <c r="J10" s="62">
        <v>0</v>
      </c>
      <c r="K10" s="62">
        <v>0</v>
      </c>
      <c r="L10" s="62">
        <v>0</v>
      </c>
      <c r="M10" s="62">
        <v>0</v>
      </c>
      <c r="N10" s="62">
        <v>0</v>
      </c>
      <c r="O10" s="62">
        <v>0</v>
      </c>
      <c r="P10" s="62">
        <v>0</v>
      </c>
      <c r="Q10" s="62">
        <v>0</v>
      </c>
      <c r="R10" s="62">
        <v>0</v>
      </c>
      <c r="S10" s="62">
        <v>0</v>
      </c>
      <c r="T10" s="62">
        <v>0</v>
      </c>
      <c r="U10" s="62">
        <v>0</v>
      </c>
      <c r="V10" s="62">
        <v>0</v>
      </c>
      <c r="W10" s="64">
        <f t="shared" si="4"/>
        <v>0</v>
      </c>
      <c r="Y10" s="133">
        <f t="shared" si="0"/>
        <v>0</v>
      </c>
      <c r="Z10" s="133">
        <f t="shared" si="1"/>
        <v>0</v>
      </c>
      <c r="AA10" s="133">
        <f t="shared" si="2"/>
        <v>0</v>
      </c>
      <c r="AB10" s="133">
        <f t="shared" si="3"/>
        <v>0</v>
      </c>
    </row>
    <row r="11" spans="1:28" ht="16.5" thickBot="1" x14ac:dyDescent="0.3">
      <c r="A11" s="275"/>
      <c r="B11" s="99">
        <f t="shared" si="5"/>
        <v>0.50000000000000011</v>
      </c>
      <c r="C11" s="62">
        <v>0</v>
      </c>
      <c r="D11" s="62">
        <v>0</v>
      </c>
      <c r="E11" s="62">
        <v>0</v>
      </c>
      <c r="F11" s="62">
        <v>0</v>
      </c>
      <c r="G11" s="62">
        <v>0</v>
      </c>
      <c r="H11" s="62">
        <v>0</v>
      </c>
      <c r="I11" s="62">
        <v>0</v>
      </c>
      <c r="J11" s="62">
        <v>0</v>
      </c>
      <c r="K11" s="62">
        <v>0</v>
      </c>
      <c r="L11" s="62">
        <v>0</v>
      </c>
      <c r="M11" s="62">
        <v>0</v>
      </c>
      <c r="N11" s="62">
        <v>0</v>
      </c>
      <c r="O11" s="62">
        <v>0</v>
      </c>
      <c r="P11" s="62">
        <v>0</v>
      </c>
      <c r="Q11" s="62">
        <v>0</v>
      </c>
      <c r="R11" s="62">
        <v>0</v>
      </c>
      <c r="S11" s="62">
        <v>0</v>
      </c>
      <c r="T11" s="62">
        <v>0</v>
      </c>
      <c r="U11" s="62">
        <v>0</v>
      </c>
      <c r="V11" s="62">
        <v>0</v>
      </c>
      <c r="W11" s="64">
        <f t="shared" si="4"/>
        <v>0</v>
      </c>
      <c r="Y11" s="133">
        <f t="shared" si="0"/>
        <v>0</v>
      </c>
      <c r="Z11" s="133">
        <f t="shared" si="1"/>
        <v>0</v>
      </c>
      <c r="AA11" s="133">
        <f t="shared" si="2"/>
        <v>0</v>
      </c>
      <c r="AB11" s="133">
        <f t="shared" si="3"/>
        <v>0</v>
      </c>
    </row>
    <row r="12" spans="1:28" ht="16.5" thickBot="1" x14ac:dyDescent="0.3">
      <c r="A12" s="276"/>
      <c r="B12" s="100">
        <f t="shared" si="5"/>
        <v>0.54166666666666674</v>
      </c>
      <c r="C12" s="62">
        <v>0</v>
      </c>
      <c r="D12" s="62">
        <v>0</v>
      </c>
      <c r="E12" s="62">
        <v>0</v>
      </c>
      <c r="F12" s="62">
        <v>0</v>
      </c>
      <c r="G12" s="62">
        <v>0</v>
      </c>
      <c r="H12" s="62">
        <v>0</v>
      </c>
      <c r="I12" s="62">
        <v>0</v>
      </c>
      <c r="J12" s="62">
        <v>0</v>
      </c>
      <c r="K12" s="62">
        <v>0</v>
      </c>
      <c r="L12" s="62">
        <v>0</v>
      </c>
      <c r="M12" s="62">
        <v>0</v>
      </c>
      <c r="N12" s="62">
        <v>0</v>
      </c>
      <c r="O12" s="62">
        <v>0</v>
      </c>
      <c r="P12" s="62">
        <v>0</v>
      </c>
      <c r="Q12" s="62">
        <v>0</v>
      </c>
      <c r="R12" s="62">
        <v>0</v>
      </c>
      <c r="S12" s="62">
        <v>0</v>
      </c>
      <c r="T12" s="62">
        <v>0</v>
      </c>
      <c r="U12" s="62">
        <v>0</v>
      </c>
      <c r="V12" s="62">
        <v>0</v>
      </c>
      <c r="W12" s="65">
        <f t="shared" si="4"/>
        <v>0</v>
      </c>
      <c r="Y12" s="133">
        <f t="shared" si="0"/>
        <v>0</v>
      </c>
      <c r="Z12" s="133">
        <f t="shared" si="1"/>
        <v>0</v>
      </c>
      <c r="AA12" s="133">
        <f t="shared" si="2"/>
        <v>0</v>
      </c>
      <c r="AB12" s="133">
        <f t="shared" si="3"/>
        <v>0</v>
      </c>
    </row>
    <row r="13" spans="1:28" ht="16.5" thickBot="1" x14ac:dyDescent="0.3">
      <c r="A13" s="277" t="s">
        <v>178</v>
      </c>
      <c r="B13" s="101">
        <f t="shared" si="5"/>
        <v>0.58333333333333337</v>
      </c>
      <c r="C13" s="62">
        <v>0</v>
      </c>
      <c r="D13" s="62">
        <v>0</v>
      </c>
      <c r="E13" s="62">
        <v>0</v>
      </c>
      <c r="F13" s="62">
        <v>0</v>
      </c>
      <c r="G13" s="62">
        <v>0</v>
      </c>
      <c r="H13" s="62">
        <v>0</v>
      </c>
      <c r="I13" s="62">
        <v>0</v>
      </c>
      <c r="J13" s="62">
        <v>0</v>
      </c>
      <c r="K13" s="62">
        <v>0</v>
      </c>
      <c r="L13" s="62">
        <v>0</v>
      </c>
      <c r="M13" s="62">
        <v>0</v>
      </c>
      <c r="N13" s="62">
        <v>0</v>
      </c>
      <c r="O13" s="62">
        <v>0</v>
      </c>
      <c r="P13" s="62">
        <v>0</v>
      </c>
      <c r="Q13" s="62">
        <v>0</v>
      </c>
      <c r="R13" s="62">
        <v>0</v>
      </c>
      <c r="S13" s="62">
        <v>0</v>
      </c>
      <c r="T13" s="62">
        <v>0</v>
      </c>
      <c r="U13" s="62">
        <v>0</v>
      </c>
      <c r="V13" s="62">
        <v>0</v>
      </c>
      <c r="W13" s="63">
        <f t="shared" si="4"/>
        <v>0</v>
      </c>
      <c r="Y13" s="133">
        <f t="shared" si="0"/>
        <v>0</v>
      </c>
      <c r="Z13" s="133">
        <f t="shared" si="1"/>
        <v>0</v>
      </c>
      <c r="AA13" s="133">
        <f t="shared" si="2"/>
        <v>0</v>
      </c>
      <c r="AB13" s="133">
        <f t="shared" si="3"/>
        <v>0</v>
      </c>
    </row>
    <row r="14" spans="1:28" ht="16.5" thickBot="1" x14ac:dyDescent="0.3">
      <c r="A14" s="278"/>
      <c r="B14" s="98">
        <f t="shared" si="5"/>
        <v>0.625</v>
      </c>
      <c r="C14" s="62">
        <v>0</v>
      </c>
      <c r="D14" s="62">
        <v>0</v>
      </c>
      <c r="E14" s="62">
        <v>0</v>
      </c>
      <c r="F14" s="62">
        <v>0</v>
      </c>
      <c r="G14" s="62">
        <v>0</v>
      </c>
      <c r="H14" s="62">
        <v>0</v>
      </c>
      <c r="I14" s="62">
        <v>0</v>
      </c>
      <c r="J14" s="62">
        <v>0</v>
      </c>
      <c r="K14" s="62">
        <v>0</v>
      </c>
      <c r="L14" s="62">
        <v>0</v>
      </c>
      <c r="M14" s="62">
        <v>0</v>
      </c>
      <c r="N14" s="62">
        <v>0</v>
      </c>
      <c r="O14" s="62">
        <v>0</v>
      </c>
      <c r="P14" s="62">
        <v>0</v>
      </c>
      <c r="Q14" s="62">
        <v>0</v>
      </c>
      <c r="R14" s="62">
        <v>0</v>
      </c>
      <c r="S14" s="62">
        <v>0</v>
      </c>
      <c r="T14" s="62">
        <v>0</v>
      </c>
      <c r="U14" s="62">
        <v>0</v>
      </c>
      <c r="V14" s="62">
        <v>0</v>
      </c>
      <c r="W14" s="64">
        <f t="shared" si="4"/>
        <v>0</v>
      </c>
      <c r="Y14" s="133">
        <f t="shared" si="0"/>
        <v>0</v>
      </c>
      <c r="Z14" s="133">
        <f t="shared" si="1"/>
        <v>0</v>
      </c>
      <c r="AA14" s="133">
        <f t="shared" si="2"/>
        <v>0</v>
      </c>
      <c r="AB14" s="133">
        <f t="shared" si="3"/>
        <v>0</v>
      </c>
    </row>
    <row r="15" spans="1:28" ht="16.5" thickBot="1" x14ac:dyDescent="0.3">
      <c r="A15" s="278"/>
      <c r="B15" s="99">
        <f t="shared" si="5"/>
        <v>0.66666666666666663</v>
      </c>
      <c r="C15" s="62">
        <v>0</v>
      </c>
      <c r="D15" s="62">
        <v>0</v>
      </c>
      <c r="E15" s="62">
        <v>0</v>
      </c>
      <c r="F15" s="62">
        <v>0</v>
      </c>
      <c r="G15" s="62">
        <v>0</v>
      </c>
      <c r="H15" s="62">
        <v>0</v>
      </c>
      <c r="I15" s="62">
        <v>0</v>
      </c>
      <c r="J15" s="62">
        <v>0</v>
      </c>
      <c r="K15" s="62">
        <v>0</v>
      </c>
      <c r="L15" s="62">
        <v>0</v>
      </c>
      <c r="M15" s="62">
        <v>0</v>
      </c>
      <c r="N15" s="62">
        <v>0</v>
      </c>
      <c r="O15" s="62">
        <v>0</v>
      </c>
      <c r="P15" s="62">
        <v>0</v>
      </c>
      <c r="Q15" s="62">
        <v>0</v>
      </c>
      <c r="R15" s="62">
        <v>0</v>
      </c>
      <c r="S15" s="62">
        <v>0</v>
      </c>
      <c r="T15" s="62">
        <v>0</v>
      </c>
      <c r="U15" s="62">
        <v>0</v>
      </c>
      <c r="V15" s="62">
        <v>0</v>
      </c>
      <c r="W15" s="64">
        <f t="shared" si="4"/>
        <v>0</v>
      </c>
      <c r="Y15" s="133">
        <f t="shared" si="0"/>
        <v>0</v>
      </c>
      <c r="Z15" s="133">
        <f t="shared" si="1"/>
        <v>0</v>
      </c>
      <c r="AA15" s="133">
        <f t="shared" si="2"/>
        <v>0</v>
      </c>
      <c r="AB15" s="133">
        <f t="shared" si="3"/>
        <v>0</v>
      </c>
    </row>
    <row r="16" spans="1:28" ht="16.5" thickBot="1" x14ac:dyDescent="0.3">
      <c r="A16" s="278"/>
      <c r="B16" s="98">
        <f t="shared" si="5"/>
        <v>0.70833333333333326</v>
      </c>
      <c r="C16" s="62">
        <v>0</v>
      </c>
      <c r="D16" s="62">
        <v>0</v>
      </c>
      <c r="E16" s="62">
        <v>0</v>
      </c>
      <c r="F16" s="62">
        <v>0</v>
      </c>
      <c r="G16" s="62">
        <v>0</v>
      </c>
      <c r="H16" s="62">
        <v>0</v>
      </c>
      <c r="I16" s="62">
        <v>0</v>
      </c>
      <c r="J16" s="62">
        <v>0</v>
      </c>
      <c r="K16" s="62">
        <v>0</v>
      </c>
      <c r="L16" s="62">
        <v>0</v>
      </c>
      <c r="M16" s="62">
        <v>0</v>
      </c>
      <c r="N16" s="62">
        <v>0</v>
      </c>
      <c r="O16" s="62">
        <v>0</v>
      </c>
      <c r="P16" s="62">
        <v>0</v>
      </c>
      <c r="Q16" s="62">
        <v>0</v>
      </c>
      <c r="R16" s="62">
        <v>0</v>
      </c>
      <c r="S16" s="62">
        <v>0</v>
      </c>
      <c r="T16" s="62">
        <v>0</v>
      </c>
      <c r="U16" s="62">
        <v>0</v>
      </c>
      <c r="V16" s="62">
        <v>0</v>
      </c>
      <c r="W16" s="64">
        <f t="shared" si="4"/>
        <v>0</v>
      </c>
      <c r="Y16" s="133">
        <f t="shared" si="0"/>
        <v>0</v>
      </c>
      <c r="Z16" s="133">
        <f t="shared" si="1"/>
        <v>0</v>
      </c>
      <c r="AA16" s="133">
        <f t="shared" si="2"/>
        <v>0</v>
      </c>
      <c r="AB16" s="133">
        <f t="shared" si="3"/>
        <v>0</v>
      </c>
    </row>
    <row r="17" spans="1:28" ht="16.5" thickBot="1" x14ac:dyDescent="0.3">
      <c r="A17" s="278"/>
      <c r="B17" s="99">
        <f t="shared" si="5"/>
        <v>0.74999999999999989</v>
      </c>
      <c r="C17" s="62">
        <v>0</v>
      </c>
      <c r="D17" s="62">
        <v>0</v>
      </c>
      <c r="E17" s="62">
        <v>0</v>
      </c>
      <c r="F17" s="62">
        <v>0</v>
      </c>
      <c r="G17" s="62">
        <v>0</v>
      </c>
      <c r="H17" s="62">
        <v>0</v>
      </c>
      <c r="I17" s="62">
        <v>0</v>
      </c>
      <c r="J17" s="62">
        <v>0</v>
      </c>
      <c r="K17" s="62">
        <v>0</v>
      </c>
      <c r="L17" s="62">
        <v>0</v>
      </c>
      <c r="M17" s="62">
        <v>0</v>
      </c>
      <c r="N17" s="62">
        <v>0</v>
      </c>
      <c r="O17" s="62">
        <v>0</v>
      </c>
      <c r="P17" s="62">
        <v>0</v>
      </c>
      <c r="Q17" s="62">
        <v>0</v>
      </c>
      <c r="R17" s="62">
        <v>0</v>
      </c>
      <c r="S17" s="62">
        <v>0</v>
      </c>
      <c r="T17" s="62">
        <v>0</v>
      </c>
      <c r="U17" s="62">
        <v>0</v>
      </c>
      <c r="V17" s="62">
        <v>0</v>
      </c>
      <c r="W17" s="64">
        <f t="shared" si="4"/>
        <v>0</v>
      </c>
      <c r="Y17" s="133">
        <f t="shared" si="0"/>
        <v>0</v>
      </c>
      <c r="Z17" s="133">
        <f t="shared" si="1"/>
        <v>0</v>
      </c>
      <c r="AA17" s="133">
        <f t="shared" si="2"/>
        <v>0</v>
      </c>
      <c r="AB17" s="133">
        <f t="shared" si="3"/>
        <v>0</v>
      </c>
    </row>
    <row r="18" spans="1:28" ht="16.5" thickBot="1" x14ac:dyDescent="0.3">
      <c r="A18" s="278"/>
      <c r="B18" s="98">
        <f t="shared" si="5"/>
        <v>0.79166666666666652</v>
      </c>
      <c r="C18" s="62">
        <v>0</v>
      </c>
      <c r="D18" s="62">
        <v>0</v>
      </c>
      <c r="E18" s="62">
        <v>0</v>
      </c>
      <c r="F18" s="62">
        <v>0</v>
      </c>
      <c r="G18" s="62">
        <v>0</v>
      </c>
      <c r="H18" s="62">
        <v>0</v>
      </c>
      <c r="I18" s="62">
        <v>0</v>
      </c>
      <c r="J18" s="62">
        <v>0</v>
      </c>
      <c r="K18" s="62">
        <v>0</v>
      </c>
      <c r="L18" s="62">
        <v>0</v>
      </c>
      <c r="M18" s="62">
        <v>0</v>
      </c>
      <c r="N18" s="62">
        <v>0</v>
      </c>
      <c r="O18" s="62">
        <v>0</v>
      </c>
      <c r="P18" s="62">
        <v>0</v>
      </c>
      <c r="Q18" s="62">
        <v>0</v>
      </c>
      <c r="R18" s="62">
        <v>0</v>
      </c>
      <c r="S18" s="62">
        <v>0</v>
      </c>
      <c r="T18" s="62">
        <v>0</v>
      </c>
      <c r="U18" s="62">
        <v>0</v>
      </c>
      <c r="V18" s="62">
        <v>0</v>
      </c>
      <c r="W18" s="64">
        <f t="shared" si="4"/>
        <v>0</v>
      </c>
      <c r="Y18" s="133">
        <f t="shared" si="0"/>
        <v>0</v>
      </c>
      <c r="Z18" s="133">
        <f t="shared" si="1"/>
        <v>0</v>
      </c>
      <c r="AA18" s="133">
        <f t="shared" si="2"/>
        <v>0</v>
      </c>
      <c r="AB18" s="133">
        <f t="shared" si="3"/>
        <v>0</v>
      </c>
    </row>
    <row r="19" spans="1:28" ht="16.5" thickBot="1" x14ac:dyDescent="0.3">
      <c r="A19" s="278"/>
      <c r="B19" s="99">
        <f t="shared" si="5"/>
        <v>0.83333333333333315</v>
      </c>
      <c r="C19" s="62">
        <v>0</v>
      </c>
      <c r="D19" s="62">
        <v>0</v>
      </c>
      <c r="E19" s="62">
        <v>0</v>
      </c>
      <c r="F19" s="62">
        <v>0</v>
      </c>
      <c r="G19" s="62">
        <v>0</v>
      </c>
      <c r="H19" s="62">
        <v>0</v>
      </c>
      <c r="I19" s="62">
        <v>0</v>
      </c>
      <c r="J19" s="62">
        <v>0</v>
      </c>
      <c r="K19" s="62">
        <v>0</v>
      </c>
      <c r="L19" s="62">
        <v>0</v>
      </c>
      <c r="M19" s="62">
        <v>0</v>
      </c>
      <c r="N19" s="62">
        <v>0</v>
      </c>
      <c r="O19" s="62">
        <v>0</v>
      </c>
      <c r="P19" s="62">
        <v>0</v>
      </c>
      <c r="Q19" s="62">
        <v>0</v>
      </c>
      <c r="R19" s="62">
        <v>0</v>
      </c>
      <c r="S19" s="62">
        <v>0</v>
      </c>
      <c r="T19" s="62">
        <v>0</v>
      </c>
      <c r="U19" s="62">
        <v>0</v>
      </c>
      <c r="V19" s="62">
        <v>0</v>
      </c>
      <c r="W19" s="64">
        <f t="shared" si="4"/>
        <v>0</v>
      </c>
      <c r="Y19" s="133">
        <f t="shared" si="0"/>
        <v>0</v>
      </c>
      <c r="Z19" s="133">
        <f t="shared" si="1"/>
        <v>0</v>
      </c>
      <c r="AA19" s="133">
        <f t="shared" si="2"/>
        <v>0</v>
      </c>
      <c r="AB19" s="133">
        <f t="shared" si="3"/>
        <v>0</v>
      </c>
    </row>
    <row r="20" spans="1:28" ht="16.5" thickBot="1" x14ac:dyDescent="0.3">
      <c r="A20" s="279"/>
      <c r="B20" s="100">
        <f t="shared" si="5"/>
        <v>0.87499999999999978</v>
      </c>
      <c r="C20" s="62">
        <v>0</v>
      </c>
      <c r="D20" s="62">
        <v>0</v>
      </c>
      <c r="E20" s="62">
        <v>0</v>
      </c>
      <c r="F20" s="62">
        <v>0</v>
      </c>
      <c r="G20" s="62">
        <v>0</v>
      </c>
      <c r="H20" s="62">
        <v>0</v>
      </c>
      <c r="I20" s="62">
        <v>0</v>
      </c>
      <c r="J20" s="62">
        <v>0</v>
      </c>
      <c r="K20" s="62">
        <v>0</v>
      </c>
      <c r="L20" s="62">
        <v>0</v>
      </c>
      <c r="M20" s="62">
        <v>0</v>
      </c>
      <c r="N20" s="62">
        <v>0</v>
      </c>
      <c r="O20" s="62">
        <v>0</v>
      </c>
      <c r="P20" s="62">
        <v>0</v>
      </c>
      <c r="Q20" s="62">
        <v>0</v>
      </c>
      <c r="R20" s="62">
        <v>0</v>
      </c>
      <c r="S20" s="62">
        <v>0</v>
      </c>
      <c r="T20" s="62">
        <v>0</v>
      </c>
      <c r="U20" s="62">
        <v>0</v>
      </c>
      <c r="V20" s="62">
        <v>0</v>
      </c>
      <c r="W20" s="65">
        <f t="shared" si="4"/>
        <v>0</v>
      </c>
      <c r="Y20" s="133">
        <f t="shared" si="0"/>
        <v>0</v>
      </c>
      <c r="Z20" s="133">
        <f t="shared" si="1"/>
        <v>0</v>
      </c>
      <c r="AA20" s="133">
        <f t="shared" si="2"/>
        <v>0</v>
      </c>
      <c r="AB20" s="133">
        <f t="shared" si="3"/>
        <v>0</v>
      </c>
    </row>
    <row r="21" spans="1:28" ht="16.5" thickBot="1" x14ac:dyDescent="0.3">
      <c r="A21" s="280" t="s">
        <v>179</v>
      </c>
      <c r="B21" s="281"/>
      <c r="C21" s="66">
        <f>SUM(C5:C20)</f>
        <v>0</v>
      </c>
      <c r="D21" s="67">
        <f t="shared" ref="D21:U21" si="6">SUM(D5:D20)</f>
        <v>0</v>
      </c>
      <c r="E21" s="67">
        <f t="shared" si="6"/>
        <v>0</v>
      </c>
      <c r="F21" s="67">
        <f t="shared" si="6"/>
        <v>0</v>
      </c>
      <c r="G21" s="68">
        <f>SUM(C21:F21)</f>
        <v>0</v>
      </c>
      <c r="H21" s="66">
        <f t="shared" si="6"/>
        <v>0</v>
      </c>
      <c r="I21" s="67">
        <f t="shared" si="6"/>
        <v>0</v>
      </c>
      <c r="J21" s="67">
        <f t="shared" si="6"/>
        <v>0</v>
      </c>
      <c r="K21" s="67">
        <f t="shared" si="6"/>
        <v>0</v>
      </c>
      <c r="L21" s="68">
        <f>SUM(H21:K21)</f>
        <v>0</v>
      </c>
      <c r="M21" s="66">
        <f t="shared" si="6"/>
        <v>0</v>
      </c>
      <c r="N21" s="67">
        <f t="shared" si="6"/>
        <v>0</v>
      </c>
      <c r="O21" s="67">
        <f t="shared" si="6"/>
        <v>0</v>
      </c>
      <c r="P21" s="67">
        <f t="shared" si="6"/>
        <v>0</v>
      </c>
      <c r="Q21" s="68">
        <f>SUM(M21:P21)</f>
        <v>0</v>
      </c>
      <c r="R21" s="66">
        <f t="shared" si="6"/>
        <v>0</v>
      </c>
      <c r="S21" s="67">
        <f t="shared" si="6"/>
        <v>0</v>
      </c>
      <c r="T21" s="67">
        <f t="shared" si="6"/>
        <v>0</v>
      </c>
      <c r="U21" s="67">
        <f t="shared" si="6"/>
        <v>0</v>
      </c>
      <c r="V21" s="68">
        <f>SUM(R21:U21)</f>
        <v>0</v>
      </c>
      <c r="W21" s="69">
        <f>SUM(W5:W20)</f>
        <v>0</v>
      </c>
    </row>
    <row r="22" spans="1:28" ht="16.5" thickBot="1" x14ac:dyDescent="0.3">
      <c r="A22" s="70" t="s">
        <v>180</v>
      </c>
    </row>
    <row r="23" spans="1:28" ht="16.5" customHeight="1" x14ac:dyDescent="0.25">
      <c r="A23" s="70" t="s">
        <v>181</v>
      </c>
      <c r="M23" s="289" t="s">
        <v>182</v>
      </c>
      <c r="N23" s="290"/>
      <c r="O23" s="290"/>
      <c r="P23" s="290"/>
      <c r="Q23" s="291"/>
      <c r="R23" s="71"/>
      <c r="S23" s="289" t="s">
        <v>183</v>
      </c>
      <c r="T23" s="290"/>
      <c r="U23" s="290"/>
      <c r="V23" s="290"/>
      <c r="W23" s="291"/>
    </row>
    <row r="24" spans="1:28" ht="16.5" thickBot="1" x14ac:dyDescent="0.3">
      <c r="M24" s="292" t="str">
        <f>IF($J$28="","",IF($J$28="N/S","North/South","East/West"))</f>
        <v>North/South</v>
      </c>
      <c r="N24" s="293"/>
      <c r="O24" s="293"/>
      <c r="P24" s="293"/>
      <c r="Q24" s="294"/>
      <c r="R24" s="71"/>
      <c r="S24" s="292" t="str">
        <f>IF($J$28="","",IF($J$28="E/W","North/South","East/West"))</f>
        <v>East/West</v>
      </c>
      <c r="T24" s="293"/>
      <c r="U24" s="293"/>
      <c r="V24" s="293"/>
      <c r="W24" s="294"/>
    </row>
    <row r="25" spans="1:28" ht="16.5" thickBot="1" x14ac:dyDescent="0.3">
      <c r="M25" s="59" t="s">
        <v>168</v>
      </c>
      <c r="N25" s="60" t="s">
        <v>169</v>
      </c>
      <c r="O25" s="72" t="s">
        <v>170</v>
      </c>
      <c r="P25" s="73" t="s">
        <v>184</v>
      </c>
      <c r="Q25" s="73" t="s">
        <v>24</v>
      </c>
      <c r="R25" s="71"/>
      <c r="S25" s="59" t="s">
        <v>168</v>
      </c>
      <c r="T25" s="60" t="s">
        <v>169</v>
      </c>
      <c r="U25" s="72" t="s">
        <v>170</v>
      </c>
      <c r="V25" s="73" t="s">
        <v>184</v>
      </c>
      <c r="W25" s="73" t="s">
        <v>24</v>
      </c>
      <c r="Z25" s="131" t="s">
        <v>185</v>
      </c>
    </row>
    <row r="26" spans="1:28" ht="15.75" x14ac:dyDescent="0.25">
      <c r="M26" s="74">
        <f t="shared" ref="M26:M41" si="7">IF($J$28="","",IF($F$31="ERROR: Major movements do not match!",0,
IF(OR($J$30="No",$J$30=""),IF($J$28="N/S",(C5*$Z$26)+(M5*$Z$28),(H5*$Z$27)+(R5*$Z$29)),
IF($J$30="NB LT", C5*$Z$26,IF($J$30="EB LT", H5*$Z$27,IF($J$30="SB LT", M5*$Z$28, IF($J$30="WB LT",R5*$Z$29,"ERROR")))))))</f>
        <v>0</v>
      </c>
      <c r="N26" s="75">
        <f t="shared" ref="N26:N41" si="8">IF($J$28="","",IF($F$31="ERROR: Major movements do not match!",0,IF(OR($J$30="No",$J$30=""),IF($J$28="N/S",D5+N5,I5+S5),IF($J$30="NB LT", D5,IF($J$30="EB LT", I5,IF($J$30="SB LT", N5, IF($J$30="WB LT",S5,"ERROR")))))))</f>
        <v>0</v>
      </c>
      <c r="O26" s="76">
        <f t="shared" ref="O26:O41" si="9">IF($J$28="","",IF($F$31="ERROR: Major movements do not match!",0,IF(OR($J$30="No",$J$30=""),IF($J$28="N/S",E5+O5+F5+P5,J5+T5+K5+U5),0)))</f>
        <v>0</v>
      </c>
      <c r="P26" s="77">
        <f t="shared" ref="P26:P41" si="10">IF($J$28="","",SUM(N26:O26))</f>
        <v>0</v>
      </c>
      <c r="Q26" s="82">
        <f t="shared" ref="Q26:Q41" si="11">IF($J$28="","",SUM(M26:O26))</f>
        <v>0</v>
      </c>
      <c r="R26" s="71"/>
      <c r="S26" s="74">
        <f t="shared" ref="S26:S41" si="12">IF($J$28="","",IF($F$31="ERROR: Major movements do not match!",0,IF(OR($J$30="No",$J$30=""),IF($J$28="E/W",IF(Y5&gt;AA5,C5*$Z$26,M5*$Z$28),IF(Z5&gt;AB5,H5*$Z$27,R5*$Z$29)),0)))</f>
        <v>0</v>
      </c>
      <c r="T26" s="75">
        <f t="shared" ref="T26:T41" si="13">IF($J$28="","",IF($F$31="ERROR: Major movements do not match!",0,
IF(OR($J$30="No",$J$30=""),IF($J$28="N/S",IF(Z5&gt;AB5, I5,S5),IF(Y5&gt;AA5,D5,N5)),
IF($J$30="NB LT",O5+P5,IF($J$30="EB LT", T5+U5,IF($J$30="SB LT",E5+F5,IF($J$30="WB LT",J5+K5,"ERROR")))))))</f>
        <v>0</v>
      </c>
      <c r="U26" s="76">
        <f t="shared" ref="U26:U41" si="14">IF($J$28="","",IF($F$31="ERROR: Major movements do not match!",0,IF(OR($J$30="No",$J$30=""),IF($J$28="N/S",IF(Z5&gt;AB5, J5+K5,T5+U5),IF(Y5&gt;AA5,E5+F5,O5+P5)),0)))</f>
        <v>0</v>
      </c>
      <c r="V26" s="77">
        <f t="shared" ref="V26:V41" si="15">IF($J$28="","",SUM(T26:U26))</f>
        <v>0</v>
      </c>
      <c r="W26" s="82">
        <f t="shared" ref="W26:W41" si="16">IF($J$28="","",SUM(S26:U26))</f>
        <v>0</v>
      </c>
      <c r="Y26" s="161" t="s">
        <v>72</v>
      </c>
      <c r="Z26" s="162">
        <f>IF(J34="100%",1,IF(J34="50%",0.5,IF(OR(J34="0%",J34=""),0,ERROR)))</f>
        <v>1</v>
      </c>
    </row>
    <row r="27" spans="1:28" ht="16.5" thickBot="1" x14ac:dyDescent="0.3">
      <c r="M27" s="78">
        <f t="shared" si="7"/>
        <v>0</v>
      </c>
      <c r="N27" s="79">
        <f t="shared" si="8"/>
        <v>0</v>
      </c>
      <c r="O27" s="80">
        <f t="shared" si="9"/>
        <v>0</v>
      </c>
      <c r="P27" s="81">
        <f t="shared" si="10"/>
        <v>0</v>
      </c>
      <c r="Q27" s="83">
        <f t="shared" si="11"/>
        <v>0</v>
      </c>
      <c r="R27" s="71"/>
      <c r="S27" s="78">
        <f t="shared" si="12"/>
        <v>0</v>
      </c>
      <c r="T27" s="79">
        <f t="shared" si="13"/>
        <v>0</v>
      </c>
      <c r="U27" s="80">
        <f t="shared" si="14"/>
        <v>0</v>
      </c>
      <c r="V27" s="81">
        <f t="shared" si="15"/>
        <v>0</v>
      </c>
      <c r="W27" s="83">
        <f t="shared" si="16"/>
        <v>0</v>
      </c>
      <c r="Y27" s="161" t="s">
        <v>75</v>
      </c>
      <c r="Z27" s="162">
        <f>IF(J35="100%",1,IF(J35="50%",0.5,IF(OR(J35="0%",J35=""),0,ERROR)))</f>
        <v>1</v>
      </c>
    </row>
    <row r="28" spans="1:28" ht="16.5" thickBot="1" x14ac:dyDescent="0.3">
      <c r="D28" s="287" t="s">
        <v>186</v>
      </c>
      <c r="E28" s="287"/>
      <c r="F28" s="287"/>
      <c r="G28" s="287"/>
      <c r="H28" s="287"/>
      <c r="I28" s="288"/>
      <c r="J28" s="94" t="s">
        <v>187</v>
      </c>
      <c r="M28" s="78">
        <f t="shared" si="7"/>
        <v>0</v>
      </c>
      <c r="N28" s="79">
        <f t="shared" si="8"/>
        <v>0</v>
      </c>
      <c r="O28" s="80">
        <f t="shared" si="9"/>
        <v>0</v>
      </c>
      <c r="P28" s="81">
        <f t="shared" si="10"/>
        <v>0</v>
      </c>
      <c r="Q28" s="83">
        <f t="shared" si="11"/>
        <v>0</v>
      </c>
      <c r="R28" s="71"/>
      <c r="S28" s="78">
        <f t="shared" si="12"/>
        <v>0</v>
      </c>
      <c r="T28" s="79">
        <f t="shared" si="13"/>
        <v>0</v>
      </c>
      <c r="U28" s="80">
        <f t="shared" si="14"/>
        <v>0</v>
      </c>
      <c r="V28" s="81">
        <f t="shared" si="15"/>
        <v>0</v>
      </c>
      <c r="W28" s="83">
        <f t="shared" si="16"/>
        <v>0</v>
      </c>
      <c r="Y28" s="161" t="s">
        <v>80</v>
      </c>
      <c r="Z28" s="162">
        <f>IF(J36="100%",1,IF(J36="50%",0.5,IF(OR(J36="0%",J36=""),0,ERROR)))</f>
        <v>1</v>
      </c>
    </row>
    <row r="29" spans="1:28" ht="16.5" thickBot="1" x14ac:dyDescent="0.3">
      <c r="M29" s="78">
        <f t="shared" si="7"/>
        <v>0</v>
      </c>
      <c r="N29" s="79">
        <f t="shared" si="8"/>
        <v>0</v>
      </c>
      <c r="O29" s="80">
        <f t="shared" si="9"/>
        <v>0</v>
      </c>
      <c r="P29" s="81">
        <f t="shared" si="10"/>
        <v>0</v>
      </c>
      <c r="Q29" s="83">
        <f t="shared" si="11"/>
        <v>0</v>
      </c>
      <c r="R29" s="71"/>
      <c r="S29" s="78">
        <f t="shared" si="12"/>
        <v>0</v>
      </c>
      <c r="T29" s="79">
        <f t="shared" si="13"/>
        <v>0</v>
      </c>
      <c r="U29" s="80">
        <f t="shared" si="14"/>
        <v>0</v>
      </c>
      <c r="V29" s="81">
        <f t="shared" si="15"/>
        <v>0</v>
      </c>
      <c r="W29" s="83">
        <f t="shared" si="16"/>
        <v>0</v>
      </c>
      <c r="Y29" s="161" t="s">
        <v>82</v>
      </c>
      <c r="Z29" s="162">
        <f>IF(J37="100%",1,IF(J37="50%",0.5,IF(OR(J37="0%",J37=""),0,ERROR)))</f>
        <v>1</v>
      </c>
    </row>
    <row r="30" spans="1:28" ht="16.5" thickBot="1" x14ac:dyDescent="0.3">
      <c r="D30" s="186" t="s">
        <v>188</v>
      </c>
      <c r="E30" s="186"/>
      <c r="F30" s="186"/>
      <c r="G30" s="186"/>
      <c r="H30" s="186"/>
      <c r="I30" s="186"/>
      <c r="J30" s="92" t="s">
        <v>6</v>
      </c>
      <c r="M30" s="74">
        <f t="shared" si="7"/>
        <v>0</v>
      </c>
      <c r="N30" s="75">
        <f t="shared" si="8"/>
        <v>0</v>
      </c>
      <c r="O30" s="76">
        <f t="shared" si="9"/>
        <v>0</v>
      </c>
      <c r="P30" s="77">
        <f t="shared" si="10"/>
        <v>0</v>
      </c>
      <c r="Q30" s="82">
        <f t="shared" si="11"/>
        <v>0</v>
      </c>
      <c r="R30" s="71"/>
      <c r="S30" s="74">
        <f t="shared" si="12"/>
        <v>0</v>
      </c>
      <c r="T30" s="75">
        <f t="shared" si="13"/>
        <v>0</v>
      </c>
      <c r="U30" s="76">
        <f t="shared" si="14"/>
        <v>0</v>
      </c>
      <c r="V30" s="77">
        <f t="shared" si="15"/>
        <v>0</v>
      </c>
      <c r="W30" s="82">
        <f t="shared" si="16"/>
        <v>0</v>
      </c>
    </row>
    <row r="31" spans="1:28" ht="15.75" x14ac:dyDescent="0.25">
      <c r="F31" s="93" t="str">
        <f>IF($J$28="","",IF(AND($J$28="E/W",OR($J$30="NB LT", $J$30= "SB LT")), "ERROR: Major movements do not match!",IF(AND($J$28="N/S", OR($J$30 = "EB LT", $J$30= "WB LT")), "ERROR: Major movements do not match!", "")))</f>
        <v/>
      </c>
      <c r="M31" s="78">
        <f t="shared" si="7"/>
        <v>0</v>
      </c>
      <c r="N31" s="79">
        <f t="shared" si="8"/>
        <v>0</v>
      </c>
      <c r="O31" s="80">
        <f t="shared" si="9"/>
        <v>0</v>
      </c>
      <c r="P31" s="81">
        <f t="shared" si="10"/>
        <v>0</v>
      </c>
      <c r="Q31" s="83">
        <f t="shared" si="11"/>
        <v>0</v>
      </c>
      <c r="R31" s="71"/>
      <c r="S31" s="78">
        <f t="shared" si="12"/>
        <v>0</v>
      </c>
      <c r="T31" s="79">
        <f t="shared" si="13"/>
        <v>0</v>
      </c>
      <c r="U31" s="80">
        <f t="shared" si="14"/>
        <v>0</v>
      </c>
      <c r="V31" s="81">
        <f t="shared" si="15"/>
        <v>0</v>
      </c>
      <c r="W31" s="83">
        <f t="shared" si="16"/>
        <v>0</v>
      </c>
    </row>
    <row r="32" spans="1:28" ht="15.75" x14ac:dyDescent="0.25">
      <c r="M32" s="78">
        <f t="shared" si="7"/>
        <v>0</v>
      </c>
      <c r="N32" s="79">
        <f t="shared" si="8"/>
        <v>0</v>
      </c>
      <c r="O32" s="80">
        <f t="shared" si="9"/>
        <v>0</v>
      </c>
      <c r="P32" s="81">
        <f t="shared" si="10"/>
        <v>0</v>
      </c>
      <c r="Q32" s="83">
        <f t="shared" si="11"/>
        <v>0</v>
      </c>
      <c r="R32" s="71"/>
      <c r="S32" s="78">
        <f t="shared" si="12"/>
        <v>0</v>
      </c>
      <c r="T32" s="79">
        <f t="shared" si="13"/>
        <v>0</v>
      </c>
      <c r="U32" s="80">
        <f t="shared" si="14"/>
        <v>0</v>
      </c>
      <c r="V32" s="81">
        <f t="shared" si="15"/>
        <v>0</v>
      </c>
      <c r="W32" s="83">
        <f t="shared" si="16"/>
        <v>0</v>
      </c>
    </row>
    <row r="33" spans="4:23" ht="16.5" thickBot="1" x14ac:dyDescent="0.3">
      <c r="D33" s="241" t="s">
        <v>189</v>
      </c>
      <c r="E33" s="241"/>
      <c r="F33" s="241"/>
      <c r="G33" s="241"/>
      <c r="H33" s="241"/>
      <c r="I33" s="241"/>
      <c r="M33" s="84">
        <f t="shared" si="7"/>
        <v>0</v>
      </c>
      <c r="N33" s="85">
        <f t="shared" si="8"/>
        <v>0</v>
      </c>
      <c r="O33" s="86">
        <f t="shared" si="9"/>
        <v>0</v>
      </c>
      <c r="P33" s="87">
        <f t="shared" si="10"/>
        <v>0</v>
      </c>
      <c r="Q33" s="88">
        <f t="shared" si="11"/>
        <v>0</v>
      </c>
      <c r="R33" s="71"/>
      <c r="S33" s="84">
        <f t="shared" si="12"/>
        <v>0</v>
      </c>
      <c r="T33" s="85">
        <f t="shared" si="13"/>
        <v>0</v>
      </c>
      <c r="U33" s="86">
        <f t="shared" si="14"/>
        <v>0</v>
      </c>
      <c r="V33" s="87">
        <f t="shared" si="15"/>
        <v>0</v>
      </c>
      <c r="W33" s="88">
        <f t="shared" si="16"/>
        <v>0</v>
      </c>
    </row>
    <row r="34" spans="4:23" ht="15.75" x14ac:dyDescent="0.25">
      <c r="I34" s="161" t="s">
        <v>72</v>
      </c>
      <c r="J34" s="130" t="s">
        <v>190</v>
      </c>
      <c r="M34" s="78">
        <f t="shared" si="7"/>
        <v>0</v>
      </c>
      <c r="N34" s="79">
        <f t="shared" si="8"/>
        <v>0</v>
      </c>
      <c r="O34" s="80">
        <f t="shared" si="9"/>
        <v>0</v>
      </c>
      <c r="P34" s="81">
        <f t="shared" si="10"/>
        <v>0</v>
      </c>
      <c r="Q34" s="83">
        <f t="shared" si="11"/>
        <v>0</v>
      </c>
      <c r="R34" s="71"/>
      <c r="S34" s="78">
        <f t="shared" si="12"/>
        <v>0</v>
      </c>
      <c r="T34" s="79">
        <f t="shared" si="13"/>
        <v>0</v>
      </c>
      <c r="U34" s="80">
        <f t="shared" si="14"/>
        <v>0</v>
      </c>
      <c r="V34" s="81">
        <f t="shared" si="15"/>
        <v>0</v>
      </c>
      <c r="W34" s="83">
        <f t="shared" si="16"/>
        <v>0</v>
      </c>
    </row>
    <row r="35" spans="4:23" ht="15.75" x14ac:dyDescent="0.25">
      <c r="I35" s="161" t="s">
        <v>75</v>
      </c>
      <c r="J35" s="130" t="s">
        <v>190</v>
      </c>
      <c r="M35" s="78">
        <f t="shared" si="7"/>
        <v>0</v>
      </c>
      <c r="N35" s="79">
        <f t="shared" si="8"/>
        <v>0</v>
      </c>
      <c r="O35" s="80">
        <f t="shared" si="9"/>
        <v>0</v>
      </c>
      <c r="P35" s="81">
        <f t="shared" si="10"/>
        <v>0</v>
      </c>
      <c r="Q35" s="83">
        <f t="shared" si="11"/>
        <v>0</v>
      </c>
      <c r="R35" s="71"/>
      <c r="S35" s="78">
        <f t="shared" si="12"/>
        <v>0</v>
      </c>
      <c r="T35" s="79">
        <f t="shared" si="13"/>
        <v>0</v>
      </c>
      <c r="U35" s="80">
        <f t="shared" si="14"/>
        <v>0</v>
      </c>
      <c r="V35" s="81">
        <f t="shared" si="15"/>
        <v>0</v>
      </c>
      <c r="W35" s="83">
        <f t="shared" si="16"/>
        <v>0</v>
      </c>
    </row>
    <row r="36" spans="4:23" ht="15.75" x14ac:dyDescent="0.25">
      <c r="I36" s="161" t="s">
        <v>80</v>
      </c>
      <c r="J36" s="130" t="s">
        <v>190</v>
      </c>
      <c r="M36" s="78">
        <f t="shared" si="7"/>
        <v>0</v>
      </c>
      <c r="N36" s="79">
        <f t="shared" si="8"/>
        <v>0</v>
      </c>
      <c r="O36" s="80">
        <f t="shared" si="9"/>
        <v>0</v>
      </c>
      <c r="P36" s="81">
        <f t="shared" si="10"/>
        <v>0</v>
      </c>
      <c r="Q36" s="83">
        <f t="shared" si="11"/>
        <v>0</v>
      </c>
      <c r="R36" s="71"/>
      <c r="S36" s="78">
        <f t="shared" si="12"/>
        <v>0</v>
      </c>
      <c r="T36" s="79">
        <f t="shared" si="13"/>
        <v>0</v>
      </c>
      <c r="U36" s="80">
        <f t="shared" si="14"/>
        <v>0</v>
      </c>
      <c r="V36" s="81">
        <f t="shared" si="15"/>
        <v>0</v>
      </c>
      <c r="W36" s="83">
        <f t="shared" si="16"/>
        <v>0</v>
      </c>
    </row>
    <row r="37" spans="4:23" ht="15.75" x14ac:dyDescent="0.25">
      <c r="I37" s="161" t="s">
        <v>82</v>
      </c>
      <c r="J37" s="130" t="s">
        <v>190</v>
      </c>
      <c r="M37" s="78">
        <f t="shared" si="7"/>
        <v>0</v>
      </c>
      <c r="N37" s="79">
        <f t="shared" si="8"/>
        <v>0</v>
      </c>
      <c r="O37" s="80">
        <f t="shared" si="9"/>
        <v>0</v>
      </c>
      <c r="P37" s="81">
        <f t="shared" si="10"/>
        <v>0</v>
      </c>
      <c r="Q37" s="83">
        <f t="shared" si="11"/>
        <v>0</v>
      </c>
      <c r="R37" s="71"/>
      <c r="S37" s="78">
        <f t="shared" si="12"/>
        <v>0</v>
      </c>
      <c r="T37" s="79">
        <f t="shared" si="13"/>
        <v>0</v>
      </c>
      <c r="U37" s="80">
        <f t="shared" si="14"/>
        <v>0</v>
      </c>
      <c r="V37" s="81">
        <f t="shared" si="15"/>
        <v>0</v>
      </c>
      <c r="W37" s="83">
        <f t="shared" si="16"/>
        <v>0</v>
      </c>
    </row>
    <row r="38" spans="4:23" ht="15.75" x14ac:dyDescent="0.25">
      <c r="M38" s="78">
        <f t="shared" si="7"/>
        <v>0</v>
      </c>
      <c r="N38" s="79">
        <f t="shared" si="8"/>
        <v>0</v>
      </c>
      <c r="O38" s="80">
        <f t="shared" si="9"/>
        <v>0</v>
      </c>
      <c r="P38" s="81">
        <f t="shared" si="10"/>
        <v>0</v>
      </c>
      <c r="Q38" s="83">
        <f t="shared" si="11"/>
        <v>0</v>
      </c>
      <c r="R38" s="71"/>
      <c r="S38" s="78">
        <f t="shared" si="12"/>
        <v>0</v>
      </c>
      <c r="T38" s="79">
        <f t="shared" si="13"/>
        <v>0</v>
      </c>
      <c r="U38" s="80">
        <f t="shared" si="14"/>
        <v>0</v>
      </c>
      <c r="V38" s="81">
        <f t="shared" si="15"/>
        <v>0</v>
      </c>
      <c r="W38" s="83">
        <f t="shared" si="16"/>
        <v>0</v>
      </c>
    </row>
    <row r="39" spans="4:23" ht="15.75" customHeight="1" x14ac:dyDescent="0.25">
      <c r="G39" s="138"/>
      <c r="H39" s="138"/>
      <c r="I39" s="138"/>
      <c r="J39" s="138"/>
      <c r="K39" s="138"/>
      <c r="M39" s="78">
        <f t="shared" si="7"/>
        <v>0</v>
      </c>
      <c r="N39" s="79">
        <f t="shared" si="8"/>
        <v>0</v>
      </c>
      <c r="O39" s="80">
        <f t="shared" si="9"/>
        <v>0</v>
      </c>
      <c r="P39" s="81">
        <f t="shared" si="10"/>
        <v>0</v>
      </c>
      <c r="Q39" s="83">
        <f t="shared" si="11"/>
        <v>0</v>
      </c>
      <c r="R39" s="71"/>
      <c r="S39" s="78">
        <f t="shared" si="12"/>
        <v>0</v>
      </c>
      <c r="T39" s="79">
        <f t="shared" si="13"/>
        <v>0</v>
      </c>
      <c r="U39" s="80">
        <f t="shared" si="14"/>
        <v>0</v>
      </c>
      <c r="V39" s="81">
        <f t="shared" si="15"/>
        <v>0</v>
      </c>
      <c r="W39" s="83">
        <f t="shared" si="16"/>
        <v>0</v>
      </c>
    </row>
    <row r="40" spans="4:23" ht="15.75" x14ac:dyDescent="0.25">
      <c r="M40" s="78">
        <f t="shared" si="7"/>
        <v>0</v>
      </c>
      <c r="N40" s="79">
        <f t="shared" si="8"/>
        <v>0</v>
      </c>
      <c r="O40" s="80">
        <f t="shared" si="9"/>
        <v>0</v>
      </c>
      <c r="P40" s="81">
        <f t="shared" si="10"/>
        <v>0</v>
      </c>
      <c r="Q40" s="83">
        <f t="shared" si="11"/>
        <v>0</v>
      </c>
      <c r="R40" s="71"/>
      <c r="S40" s="78">
        <f t="shared" si="12"/>
        <v>0</v>
      </c>
      <c r="T40" s="79">
        <f t="shared" si="13"/>
        <v>0</v>
      </c>
      <c r="U40" s="80">
        <f t="shared" si="14"/>
        <v>0</v>
      </c>
      <c r="V40" s="81">
        <f t="shared" si="15"/>
        <v>0</v>
      </c>
      <c r="W40" s="83">
        <f t="shared" si="16"/>
        <v>0</v>
      </c>
    </row>
    <row r="41" spans="4:23" ht="16.5" thickBot="1" x14ac:dyDescent="0.3">
      <c r="M41" s="78">
        <f t="shared" si="7"/>
        <v>0</v>
      </c>
      <c r="N41" s="79">
        <f t="shared" si="8"/>
        <v>0</v>
      </c>
      <c r="O41" s="80">
        <f t="shared" si="9"/>
        <v>0</v>
      </c>
      <c r="P41" s="81">
        <f t="shared" si="10"/>
        <v>0</v>
      </c>
      <c r="Q41" s="83">
        <f t="shared" si="11"/>
        <v>0</v>
      </c>
      <c r="R41" s="71"/>
      <c r="S41" s="78">
        <f t="shared" si="12"/>
        <v>0</v>
      </c>
      <c r="T41" s="79">
        <f t="shared" si="13"/>
        <v>0</v>
      </c>
      <c r="U41" s="80">
        <f t="shared" si="14"/>
        <v>0</v>
      </c>
      <c r="V41" s="81">
        <f t="shared" si="15"/>
        <v>0</v>
      </c>
      <c r="W41" s="83">
        <f t="shared" si="16"/>
        <v>0</v>
      </c>
    </row>
    <row r="42" spans="4:23" ht="16.5" thickBot="1" x14ac:dyDescent="0.3">
      <c r="M42" s="89">
        <f>IF($J$28="","",SUM(M26:M41))</f>
        <v>0</v>
      </c>
      <c r="N42" s="67">
        <f>IF($J$28="","",SUM(N26:N41))</f>
        <v>0</v>
      </c>
      <c r="O42" s="90">
        <f>IF($J$28="","",SUM(O26:O41))</f>
        <v>0</v>
      </c>
      <c r="P42" s="69">
        <f>IF($J$28="","",SUM(P26:P41))</f>
        <v>0</v>
      </c>
      <c r="Q42" s="91">
        <f>IF($J$28="","",SUM(Q26:Q41))</f>
        <v>0</v>
      </c>
      <c r="R42" s="71"/>
      <c r="S42" s="89">
        <f>IF($J$28="","",SUM(S26:S41))</f>
        <v>0</v>
      </c>
      <c r="T42" s="67">
        <f>IF($J$28="","",SUM(T26:T41))</f>
        <v>0</v>
      </c>
      <c r="U42" s="90">
        <f>IF($J$28="","",SUM(U26:U41))</f>
        <v>0</v>
      </c>
      <c r="V42" s="69">
        <f>IF($J$28="","",SUM(V26:V41))</f>
        <v>0</v>
      </c>
      <c r="W42" s="91">
        <f>IF($J$28="","",SUM(W26:W41))</f>
        <v>0</v>
      </c>
    </row>
  </sheetData>
  <sheetProtection selectLockedCells="1"/>
  <mergeCells count="28">
    <mergeCell ref="Y3:AB3"/>
    <mergeCell ref="D33:I33"/>
    <mergeCell ref="D30:I30"/>
    <mergeCell ref="D28:I28"/>
    <mergeCell ref="M23:Q23"/>
    <mergeCell ref="M24:Q24"/>
    <mergeCell ref="S24:W24"/>
    <mergeCell ref="S23:W23"/>
    <mergeCell ref="R3:V3"/>
    <mergeCell ref="A5:A8"/>
    <mergeCell ref="A9:A12"/>
    <mergeCell ref="A13:A20"/>
    <mergeCell ref="A21:B21"/>
    <mergeCell ref="A2:B2"/>
    <mergeCell ref="A3:B3"/>
    <mergeCell ref="A4:B4"/>
    <mergeCell ref="A1:W1"/>
    <mergeCell ref="R2:S2"/>
    <mergeCell ref="U2:V2"/>
    <mergeCell ref="C3:G3"/>
    <mergeCell ref="H3:L3"/>
    <mergeCell ref="M3:Q3"/>
    <mergeCell ref="C2:D2"/>
    <mergeCell ref="F2:G2"/>
    <mergeCell ref="H2:I2"/>
    <mergeCell ref="K2:L2"/>
    <mergeCell ref="M2:N2"/>
    <mergeCell ref="P2:Q2"/>
  </mergeCells>
  <conditionalFormatting sqref="B5 C5:V20 J28 J34:J37">
    <cfRule type="containsBlanks" dxfId="3" priority="6">
      <formula>LEN(TRIM(B5))=0</formula>
    </cfRule>
  </conditionalFormatting>
  <conditionalFormatting sqref="J30">
    <cfRule type="expression" dxfId="2" priority="41">
      <formula>IF($F$31="ERROR: Major movements do not match!",TRUE,FALSE)</formula>
    </cfRule>
    <cfRule type="containsBlanks" dxfId="1" priority="42">
      <formula>LEN(TRIM(J30))=0</formula>
    </cfRule>
  </conditionalFormatting>
  <dataValidations count="3">
    <dataValidation type="list" allowBlank="1" showInputMessage="1" showErrorMessage="1" prompt="Select one:" sqref="J34:J37" xr:uid="{00000000-0002-0000-0100-000000000000}">
      <formula1>RT</formula1>
    </dataValidation>
    <dataValidation type="list" allowBlank="1" showInputMessage="1" showErrorMessage="1" prompt="Select one:" sqref="J28" xr:uid="{00000000-0002-0000-0100-000001000000}">
      <formula1>Major</formula1>
    </dataValidation>
    <dataValidation type="list" allowBlank="1" showInputMessage="1" showErrorMessage="1" prompt="Select one:" sqref="J30" xr:uid="{00000000-0002-0000-0100-000002000000}">
      <formula1>Minor</formula1>
    </dataValidation>
  </dataValidations>
  <pageMargins left="0.25" right="0.25" top="0.75" bottom="0.75" header="0.3" footer="0.3"/>
  <pageSetup scale="74" orientation="landscape" blackAndWhite="1" r:id="rId1"/>
  <colBreaks count="1" manualBreakCount="1">
    <brk id="23" max="1048575" man="1"/>
  </colBreaks>
  <ignoredErrors>
    <ignoredError sqref="G21:L21 M21:V21" formula="1"/>
    <ignoredError sqref="W5" formulaRange="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1:B106"/>
  <sheetViews>
    <sheetView workbookViewId="0"/>
  </sheetViews>
  <sheetFormatPr defaultColWidth="8.5703125" defaultRowHeight="15" x14ac:dyDescent="0.25"/>
  <cols>
    <col min="2" max="2" width="22.85546875" customWidth="1"/>
  </cols>
  <sheetData>
    <row r="11" spans="2:2" x14ac:dyDescent="0.25">
      <c r="B11" s="136"/>
    </row>
    <row r="12" spans="2:2" x14ac:dyDescent="0.25">
      <c r="B12" s="139"/>
    </row>
    <row r="13" spans="2:2" x14ac:dyDescent="0.25">
      <c r="B13" s="139"/>
    </row>
    <row r="14" spans="2:2" x14ac:dyDescent="0.25">
      <c r="B14" s="139"/>
    </row>
    <row r="15" spans="2:2" x14ac:dyDescent="0.25">
      <c r="B15" s="139"/>
    </row>
    <row r="16" spans="2:2" x14ac:dyDescent="0.25">
      <c r="B16" s="139"/>
    </row>
    <row r="17" spans="2:2" x14ac:dyDescent="0.25">
      <c r="B17" s="139"/>
    </row>
    <row r="18" spans="2:2" x14ac:dyDescent="0.25">
      <c r="B18" s="139"/>
    </row>
    <row r="19" spans="2:2" x14ac:dyDescent="0.25">
      <c r="B19" s="139"/>
    </row>
    <row r="20" spans="2:2" x14ac:dyDescent="0.25">
      <c r="B20" s="139"/>
    </row>
    <row r="21" spans="2:2" x14ac:dyDescent="0.25">
      <c r="B21" s="139"/>
    </row>
    <row r="22" spans="2:2" x14ac:dyDescent="0.25">
      <c r="B22" s="139"/>
    </row>
    <row r="23" spans="2:2" x14ac:dyDescent="0.25">
      <c r="B23" s="139"/>
    </row>
    <row r="24" spans="2:2" x14ac:dyDescent="0.25">
      <c r="B24" s="139"/>
    </row>
    <row r="25" spans="2:2" x14ac:dyDescent="0.25">
      <c r="B25" s="139"/>
    </row>
    <row r="26" spans="2:2" x14ac:dyDescent="0.25">
      <c r="B26" s="139"/>
    </row>
    <row r="27" spans="2:2" x14ac:dyDescent="0.25">
      <c r="B27" s="139"/>
    </row>
    <row r="28" spans="2:2" x14ac:dyDescent="0.25">
      <c r="B28" s="139"/>
    </row>
    <row r="29" spans="2:2" x14ac:dyDescent="0.25">
      <c r="B29" s="139"/>
    </row>
    <row r="30" spans="2:2" x14ac:dyDescent="0.25">
      <c r="B30" s="139"/>
    </row>
    <row r="31" spans="2:2" x14ac:dyDescent="0.25">
      <c r="B31" s="139"/>
    </row>
    <row r="32" spans="2:2" x14ac:dyDescent="0.25">
      <c r="B32" s="139"/>
    </row>
    <row r="33" spans="2:2" x14ac:dyDescent="0.25">
      <c r="B33" s="139"/>
    </row>
    <row r="34" spans="2:2" x14ac:dyDescent="0.25">
      <c r="B34" s="139"/>
    </row>
    <row r="35" spans="2:2" x14ac:dyDescent="0.25">
      <c r="B35" s="139"/>
    </row>
    <row r="36" spans="2:2" x14ac:dyDescent="0.25">
      <c r="B36" s="139"/>
    </row>
    <row r="37" spans="2:2" x14ac:dyDescent="0.25">
      <c r="B37" s="139"/>
    </row>
    <row r="38" spans="2:2" x14ac:dyDescent="0.25">
      <c r="B38" s="139"/>
    </row>
    <row r="39" spans="2:2" x14ac:dyDescent="0.25">
      <c r="B39" s="139"/>
    </row>
    <row r="40" spans="2:2" x14ac:dyDescent="0.25">
      <c r="B40" s="139"/>
    </row>
    <row r="41" spans="2:2" x14ac:dyDescent="0.25">
      <c r="B41" s="139"/>
    </row>
    <row r="42" spans="2:2" x14ac:dyDescent="0.25">
      <c r="B42" s="139"/>
    </row>
    <row r="43" spans="2:2" x14ac:dyDescent="0.25">
      <c r="B43" s="139"/>
    </row>
    <row r="44" spans="2:2" x14ac:dyDescent="0.25">
      <c r="B44" s="139"/>
    </row>
    <row r="45" spans="2:2" x14ac:dyDescent="0.25">
      <c r="B45" s="139"/>
    </row>
    <row r="46" spans="2:2" x14ac:dyDescent="0.25">
      <c r="B46" s="139"/>
    </row>
    <row r="47" spans="2:2" x14ac:dyDescent="0.25">
      <c r="B47" s="139"/>
    </row>
    <row r="48" spans="2:2" x14ac:dyDescent="0.25">
      <c r="B48" s="139"/>
    </row>
    <row r="49" spans="2:2" x14ac:dyDescent="0.25">
      <c r="B49" s="139"/>
    </row>
    <row r="50" spans="2:2" x14ac:dyDescent="0.25">
      <c r="B50" s="139"/>
    </row>
    <row r="51" spans="2:2" x14ac:dyDescent="0.25">
      <c r="B51" s="139"/>
    </row>
    <row r="52" spans="2:2" x14ac:dyDescent="0.25">
      <c r="B52" s="139"/>
    </row>
    <row r="53" spans="2:2" x14ac:dyDescent="0.25">
      <c r="B53" s="139"/>
    </row>
    <row r="54" spans="2:2" x14ac:dyDescent="0.25">
      <c r="B54" s="139"/>
    </row>
    <row r="55" spans="2:2" x14ac:dyDescent="0.25">
      <c r="B55" s="139"/>
    </row>
    <row r="56" spans="2:2" x14ac:dyDescent="0.25">
      <c r="B56" s="139"/>
    </row>
    <row r="57" spans="2:2" x14ac:dyDescent="0.25">
      <c r="B57" s="139"/>
    </row>
    <row r="58" spans="2:2" x14ac:dyDescent="0.25">
      <c r="B58" s="139"/>
    </row>
    <row r="59" spans="2:2" x14ac:dyDescent="0.25">
      <c r="B59" s="139"/>
    </row>
    <row r="60" spans="2:2" x14ac:dyDescent="0.25">
      <c r="B60" s="139"/>
    </row>
    <row r="61" spans="2:2" x14ac:dyDescent="0.25">
      <c r="B61" s="139"/>
    </row>
    <row r="62" spans="2:2" x14ac:dyDescent="0.25">
      <c r="B62" s="139"/>
    </row>
    <row r="63" spans="2:2" x14ac:dyDescent="0.25">
      <c r="B63" s="139"/>
    </row>
    <row r="64" spans="2:2" x14ac:dyDescent="0.25">
      <c r="B64" s="139"/>
    </row>
    <row r="65" spans="2:2" x14ac:dyDescent="0.25">
      <c r="B65" s="139"/>
    </row>
    <row r="66" spans="2:2" x14ac:dyDescent="0.25">
      <c r="B66" s="139"/>
    </row>
    <row r="67" spans="2:2" x14ac:dyDescent="0.25">
      <c r="B67" s="139"/>
    </row>
    <row r="68" spans="2:2" x14ac:dyDescent="0.25">
      <c r="B68" s="139"/>
    </row>
    <row r="69" spans="2:2" x14ac:dyDescent="0.25">
      <c r="B69" s="139"/>
    </row>
    <row r="70" spans="2:2" x14ac:dyDescent="0.25">
      <c r="B70" s="139"/>
    </row>
    <row r="71" spans="2:2" x14ac:dyDescent="0.25">
      <c r="B71" s="139"/>
    </row>
    <row r="72" spans="2:2" x14ac:dyDescent="0.25">
      <c r="B72" s="139"/>
    </row>
    <row r="73" spans="2:2" x14ac:dyDescent="0.25">
      <c r="B73" s="139"/>
    </row>
    <row r="74" spans="2:2" x14ac:dyDescent="0.25">
      <c r="B74" s="139"/>
    </row>
    <row r="75" spans="2:2" x14ac:dyDescent="0.25">
      <c r="B75" s="139"/>
    </row>
    <row r="76" spans="2:2" x14ac:dyDescent="0.25">
      <c r="B76" s="139"/>
    </row>
    <row r="77" spans="2:2" x14ac:dyDescent="0.25">
      <c r="B77" s="139"/>
    </row>
    <row r="78" spans="2:2" x14ac:dyDescent="0.25">
      <c r="B78" s="139"/>
    </row>
    <row r="79" spans="2:2" x14ac:dyDescent="0.25">
      <c r="B79" s="139"/>
    </row>
    <row r="80" spans="2:2" x14ac:dyDescent="0.25">
      <c r="B80" s="139"/>
    </row>
    <row r="81" spans="2:2" x14ac:dyDescent="0.25">
      <c r="B81" s="139"/>
    </row>
    <row r="82" spans="2:2" x14ac:dyDescent="0.25">
      <c r="B82" s="139"/>
    </row>
    <row r="83" spans="2:2" x14ac:dyDescent="0.25">
      <c r="B83" s="139"/>
    </row>
    <row r="84" spans="2:2" x14ac:dyDescent="0.25">
      <c r="B84" s="139"/>
    </row>
    <row r="85" spans="2:2" x14ac:dyDescent="0.25">
      <c r="B85" s="139"/>
    </row>
    <row r="86" spans="2:2" x14ac:dyDescent="0.25">
      <c r="B86" s="139"/>
    </row>
    <row r="87" spans="2:2" x14ac:dyDescent="0.25">
      <c r="B87" s="139"/>
    </row>
    <row r="88" spans="2:2" x14ac:dyDescent="0.25">
      <c r="B88" s="139"/>
    </row>
    <row r="89" spans="2:2" x14ac:dyDescent="0.25">
      <c r="B89" s="139"/>
    </row>
    <row r="90" spans="2:2" x14ac:dyDescent="0.25">
      <c r="B90" s="139"/>
    </row>
    <row r="91" spans="2:2" x14ac:dyDescent="0.25">
      <c r="B91" s="139"/>
    </row>
    <row r="92" spans="2:2" x14ac:dyDescent="0.25">
      <c r="B92" s="139"/>
    </row>
    <row r="93" spans="2:2" x14ac:dyDescent="0.25">
      <c r="B93" s="139"/>
    </row>
    <row r="94" spans="2:2" x14ac:dyDescent="0.25">
      <c r="B94" s="139"/>
    </row>
    <row r="95" spans="2:2" x14ac:dyDescent="0.25">
      <c r="B95" s="139"/>
    </row>
    <row r="96" spans="2:2" x14ac:dyDescent="0.25">
      <c r="B96" s="139"/>
    </row>
    <row r="97" spans="2:2" x14ac:dyDescent="0.25">
      <c r="B97" s="139"/>
    </row>
    <row r="98" spans="2:2" x14ac:dyDescent="0.25">
      <c r="B98" s="139"/>
    </row>
    <row r="99" spans="2:2" x14ac:dyDescent="0.25">
      <c r="B99" s="139"/>
    </row>
    <row r="100" spans="2:2" x14ac:dyDescent="0.25">
      <c r="B100" s="139"/>
    </row>
    <row r="101" spans="2:2" x14ac:dyDescent="0.25">
      <c r="B101" s="139"/>
    </row>
    <row r="102" spans="2:2" x14ac:dyDescent="0.25">
      <c r="B102" s="139"/>
    </row>
    <row r="103" spans="2:2" x14ac:dyDescent="0.25">
      <c r="B103" s="139"/>
    </row>
    <row r="104" spans="2:2" x14ac:dyDescent="0.25">
      <c r="B104" s="139"/>
    </row>
    <row r="105" spans="2:2" x14ac:dyDescent="0.25">
      <c r="B105" s="139"/>
    </row>
    <row r="106" spans="2:2" x14ac:dyDescent="0.25">
      <c r="B106" s="13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21"/>
  <sheetViews>
    <sheetView workbookViewId="0">
      <selection activeCell="O9" sqref="O9"/>
    </sheetView>
  </sheetViews>
  <sheetFormatPr defaultRowHeight="15" x14ac:dyDescent="0.25"/>
  <sheetData>
    <row r="1" spans="1:23" ht="19.5" thickBot="1" x14ac:dyDescent="0.3">
      <c r="A1" s="261" t="s">
        <v>159</v>
      </c>
      <c r="B1" s="262"/>
      <c r="C1" s="262"/>
      <c r="D1" s="262"/>
      <c r="E1" s="262"/>
      <c r="F1" s="262"/>
      <c r="G1" s="262"/>
      <c r="H1" s="262"/>
      <c r="I1" s="262"/>
      <c r="J1" s="262"/>
      <c r="K1" s="262"/>
      <c r="L1" s="262"/>
      <c r="M1" s="262"/>
      <c r="N1" s="262"/>
      <c r="O1" s="262"/>
      <c r="P1" s="262"/>
      <c r="Q1" s="262"/>
      <c r="R1" s="262"/>
      <c r="S1" s="262"/>
      <c r="T1" s="262"/>
      <c r="U1" s="262"/>
      <c r="V1" s="262"/>
      <c r="W1" s="263"/>
    </row>
    <row r="2" spans="1:23" ht="15.75" x14ac:dyDescent="0.25">
      <c r="A2" s="282" t="s">
        <v>160</v>
      </c>
      <c r="B2" s="283"/>
      <c r="C2" s="264"/>
      <c r="D2" s="265"/>
      <c r="E2" s="56" t="s">
        <v>161</v>
      </c>
      <c r="F2" s="266"/>
      <c r="G2" s="267"/>
      <c r="H2" s="264"/>
      <c r="I2" s="265"/>
      <c r="J2" s="56" t="s">
        <v>162</v>
      </c>
      <c r="K2" s="266"/>
      <c r="L2" s="267"/>
      <c r="M2" s="264"/>
      <c r="N2" s="265"/>
      <c r="O2" s="56" t="s">
        <v>163</v>
      </c>
      <c r="P2" s="266"/>
      <c r="Q2" s="267"/>
      <c r="R2" s="264"/>
      <c r="S2" s="265"/>
      <c r="T2" s="56" t="s">
        <v>164</v>
      </c>
      <c r="U2" s="266"/>
      <c r="V2" s="267"/>
      <c r="W2" s="57" t="s">
        <v>24</v>
      </c>
    </row>
    <row r="3" spans="1:23" ht="16.5" thickBot="1" x14ac:dyDescent="0.3">
      <c r="A3" s="284" t="s">
        <v>19</v>
      </c>
      <c r="B3" s="285"/>
      <c r="C3" s="268" t="s">
        <v>72</v>
      </c>
      <c r="D3" s="269"/>
      <c r="E3" s="269"/>
      <c r="F3" s="269"/>
      <c r="G3" s="270"/>
      <c r="H3" s="268" t="s">
        <v>75</v>
      </c>
      <c r="I3" s="269"/>
      <c r="J3" s="269"/>
      <c r="K3" s="269"/>
      <c r="L3" s="270"/>
      <c r="M3" s="268" t="s">
        <v>80</v>
      </c>
      <c r="N3" s="269"/>
      <c r="O3" s="269"/>
      <c r="P3" s="269"/>
      <c r="Q3" s="270"/>
      <c r="R3" s="268" t="s">
        <v>82</v>
      </c>
      <c r="S3" s="269"/>
      <c r="T3" s="269"/>
      <c r="U3" s="269"/>
      <c r="V3" s="270"/>
      <c r="W3" s="58" t="s">
        <v>165</v>
      </c>
    </row>
    <row r="4" spans="1:23" ht="16.5" thickBot="1" x14ac:dyDescent="0.3">
      <c r="A4" s="284" t="s">
        <v>167</v>
      </c>
      <c r="B4" s="285"/>
      <c r="C4" s="59" t="s">
        <v>168</v>
      </c>
      <c r="D4" s="60" t="s">
        <v>169</v>
      </c>
      <c r="E4" s="60" t="s">
        <v>170</v>
      </c>
      <c r="F4" s="60" t="s">
        <v>171</v>
      </c>
      <c r="G4" s="61" t="s">
        <v>24</v>
      </c>
      <c r="H4" s="59" t="s">
        <v>168</v>
      </c>
      <c r="I4" s="60" t="s">
        <v>169</v>
      </c>
      <c r="J4" s="60" t="s">
        <v>170</v>
      </c>
      <c r="K4" s="60" t="s">
        <v>171</v>
      </c>
      <c r="L4" s="61" t="s">
        <v>24</v>
      </c>
      <c r="M4" s="59" t="s">
        <v>168</v>
      </c>
      <c r="N4" s="60" t="s">
        <v>169</v>
      </c>
      <c r="O4" s="60" t="s">
        <v>170</v>
      </c>
      <c r="P4" s="60" t="s">
        <v>171</v>
      </c>
      <c r="Q4" s="61" t="s">
        <v>24</v>
      </c>
      <c r="R4" s="59" t="s">
        <v>168</v>
      </c>
      <c r="S4" s="60" t="s">
        <v>169</v>
      </c>
      <c r="T4" s="60" t="s">
        <v>170</v>
      </c>
      <c r="U4" s="60" t="s">
        <v>171</v>
      </c>
      <c r="V4" s="61" t="s">
        <v>24</v>
      </c>
      <c r="W4" s="58" t="s">
        <v>144</v>
      </c>
    </row>
    <row r="5" spans="1:23" ht="16.5" thickBot="1" x14ac:dyDescent="0.3">
      <c r="A5" s="271" t="s">
        <v>176</v>
      </c>
      <c r="B5" s="97">
        <v>0.25</v>
      </c>
      <c r="C5" s="62">
        <f>SUM('Paste Collapsed Miovision Count'!C35:C38)</f>
        <v>0</v>
      </c>
      <c r="D5" s="62">
        <f>SUM('Paste Collapsed Miovision Count'!D35:D38)</f>
        <v>0</v>
      </c>
      <c r="E5" s="62">
        <f>SUM('Paste Collapsed Miovision Count'!E35:E38)</f>
        <v>0</v>
      </c>
      <c r="F5" s="62">
        <f>SUM('Paste Collapsed Miovision Count'!F35:F38)</f>
        <v>0</v>
      </c>
      <c r="G5" s="62">
        <f>SUM('Paste Collapsed Miovision Count'!G35:G38)</f>
        <v>0</v>
      </c>
      <c r="H5" s="62">
        <f>SUM('Paste Collapsed Miovision Count'!H35:H38)</f>
        <v>0</v>
      </c>
      <c r="I5" s="62">
        <f>SUM('Paste Collapsed Miovision Count'!I35:I38)</f>
        <v>0</v>
      </c>
      <c r="J5" s="62">
        <f>SUM('Paste Collapsed Miovision Count'!J35:J38)</f>
        <v>0</v>
      </c>
      <c r="K5" s="62">
        <f>SUM('Paste Collapsed Miovision Count'!K35:K38)</f>
        <v>0</v>
      </c>
      <c r="L5" s="62">
        <f>SUM('Paste Collapsed Miovision Count'!L35:L38)</f>
        <v>0</v>
      </c>
      <c r="M5" s="62">
        <f>SUM('Paste Collapsed Miovision Count'!M35:M38)</f>
        <v>0</v>
      </c>
      <c r="N5" s="62">
        <f>SUM('Paste Collapsed Miovision Count'!N35:N38)</f>
        <v>0</v>
      </c>
      <c r="O5" s="62">
        <f>SUM('Paste Collapsed Miovision Count'!O35:O38)</f>
        <v>0</v>
      </c>
      <c r="P5" s="62">
        <f>SUM('Paste Collapsed Miovision Count'!P35:P38)</f>
        <v>0</v>
      </c>
      <c r="Q5" s="62">
        <f>SUM('Paste Collapsed Miovision Count'!Q35:Q38)</f>
        <v>0</v>
      </c>
      <c r="R5" s="62">
        <f>SUM('Paste Collapsed Miovision Count'!R35:R38)</f>
        <v>0</v>
      </c>
      <c r="S5" s="62">
        <f>SUM('Paste Collapsed Miovision Count'!S35:S38)</f>
        <v>0</v>
      </c>
      <c r="T5" s="62">
        <f>SUM('Paste Collapsed Miovision Count'!T35:T38)</f>
        <v>0</v>
      </c>
      <c r="U5" s="62">
        <f>SUM('Paste Collapsed Miovision Count'!U35:U38)</f>
        <v>0</v>
      </c>
      <c r="V5" s="62">
        <f>SUM('Paste Collapsed Miovision Count'!V35:V38)</f>
        <v>0</v>
      </c>
      <c r="W5" s="63">
        <f>SUM(C5:F5,H5:K5,M5:P5,R5:U5)</f>
        <v>0</v>
      </c>
    </row>
    <row r="6" spans="1:23" ht="16.5" thickBot="1" x14ac:dyDescent="0.3">
      <c r="A6" s="272"/>
      <c r="B6" s="98">
        <f>IF(B5="","",B5+TIME(1,0,0))</f>
        <v>0.29166666666666669</v>
      </c>
      <c r="C6" s="62">
        <f>SUM('Paste Collapsed Miovision Count'!C39:C42)</f>
        <v>0</v>
      </c>
      <c r="D6" s="62">
        <f>SUM('Paste Collapsed Miovision Count'!D39:D42)</f>
        <v>0</v>
      </c>
      <c r="E6" s="62">
        <f>SUM('Paste Collapsed Miovision Count'!E39:E42)</f>
        <v>0</v>
      </c>
      <c r="F6" s="62">
        <f>SUM('Paste Collapsed Miovision Count'!F39:F42)</f>
        <v>0</v>
      </c>
      <c r="G6" s="62">
        <f>SUM('Paste Collapsed Miovision Count'!G39:G42)</f>
        <v>0</v>
      </c>
      <c r="H6" s="62">
        <f>SUM('Paste Collapsed Miovision Count'!H39:H42)</f>
        <v>0</v>
      </c>
      <c r="I6" s="62">
        <f>SUM('Paste Collapsed Miovision Count'!I39:I42)</f>
        <v>0</v>
      </c>
      <c r="J6" s="62">
        <f>SUM('Paste Collapsed Miovision Count'!J39:J42)</f>
        <v>0</v>
      </c>
      <c r="K6" s="62">
        <f>SUM('Paste Collapsed Miovision Count'!K39:K42)</f>
        <v>0</v>
      </c>
      <c r="L6" s="62">
        <f>SUM('Paste Collapsed Miovision Count'!L39:L42)</f>
        <v>0</v>
      </c>
      <c r="M6" s="62">
        <f>SUM('Paste Collapsed Miovision Count'!M39:M42)</f>
        <v>0</v>
      </c>
      <c r="N6" s="62">
        <f>SUM('Paste Collapsed Miovision Count'!N39:N42)</f>
        <v>0</v>
      </c>
      <c r="O6" s="62">
        <f>SUM('Paste Collapsed Miovision Count'!O39:O42)</f>
        <v>0</v>
      </c>
      <c r="P6" s="62">
        <f>SUM('Paste Collapsed Miovision Count'!P39:P42)</f>
        <v>0</v>
      </c>
      <c r="Q6" s="62">
        <f>SUM('Paste Collapsed Miovision Count'!Q39:Q42)</f>
        <v>0</v>
      </c>
      <c r="R6" s="62">
        <f>SUM('Paste Collapsed Miovision Count'!R39:R42)</f>
        <v>0</v>
      </c>
      <c r="S6" s="62">
        <f>SUM('Paste Collapsed Miovision Count'!S39:S42)</f>
        <v>0</v>
      </c>
      <c r="T6" s="62">
        <f>SUM('Paste Collapsed Miovision Count'!T39:T42)</f>
        <v>0</v>
      </c>
      <c r="U6" s="62">
        <f>SUM('Paste Collapsed Miovision Count'!U39:U42)</f>
        <v>0</v>
      </c>
      <c r="V6" s="62">
        <f>SUM('Paste Collapsed Miovision Count'!V39:V42)</f>
        <v>0</v>
      </c>
      <c r="W6" s="64">
        <f t="shared" ref="W6:W20" si="0">SUM(C6:F6,H6:K6,M6:P6,R6:U6)</f>
        <v>0</v>
      </c>
    </row>
    <row r="7" spans="1:23" ht="16.5" thickBot="1" x14ac:dyDescent="0.3">
      <c r="A7" s="272"/>
      <c r="B7" s="99">
        <f t="shared" ref="B7:B20" si="1">IF(B6="","",B6+TIME(1,0,0))</f>
        <v>0.33333333333333337</v>
      </c>
      <c r="C7" s="62">
        <f>SUM('Paste Collapsed Miovision Count'!C43:C46)</f>
        <v>0</v>
      </c>
      <c r="D7" s="62">
        <f>SUM('Paste Collapsed Miovision Count'!D43:D46)</f>
        <v>0</v>
      </c>
      <c r="E7" s="62">
        <f>SUM('Paste Collapsed Miovision Count'!E43:E46)</f>
        <v>0</v>
      </c>
      <c r="F7" s="62">
        <f>SUM('Paste Collapsed Miovision Count'!F43:F46)</f>
        <v>0</v>
      </c>
      <c r="G7" s="62">
        <f>SUM('Paste Collapsed Miovision Count'!G43:G46)</f>
        <v>0</v>
      </c>
      <c r="H7" s="62">
        <f>SUM('Paste Collapsed Miovision Count'!H43:H46)</f>
        <v>0</v>
      </c>
      <c r="I7" s="62">
        <f>SUM('Paste Collapsed Miovision Count'!I43:I46)</f>
        <v>0</v>
      </c>
      <c r="J7" s="62">
        <f>SUM('Paste Collapsed Miovision Count'!J43:J46)</f>
        <v>0</v>
      </c>
      <c r="K7" s="62">
        <f>SUM('Paste Collapsed Miovision Count'!K43:K46)</f>
        <v>0</v>
      </c>
      <c r="L7" s="62">
        <f>SUM('Paste Collapsed Miovision Count'!L43:L46)</f>
        <v>0</v>
      </c>
      <c r="M7" s="62">
        <f>SUM('Paste Collapsed Miovision Count'!M43:M46)</f>
        <v>0</v>
      </c>
      <c r="N7" s="62">
        <f>SUM('Paste Collapsed Miovision Count'!N43:N46)</f>
        <v>0</v>
      </c>
      <c r="O7" s="62">
        <f>SUM('Paste Collapsed Miovision Count'!O43:O46)</f>
        <v>0</v>
      </c>
      <c r="P7" s="62">
        <f>SUM('Paste Collapsed Miovision Count'!P43:P46)</f>
        <v>0</v>
      </c>
      <c r="Q7" s="62">
        <f>SUM('Paste Collapsed Miovision Count'!Q43:Q46)</f>
        <v>0</v>
      </c>
      <c r="R7" s="62">
        <f>SUM('Paste Collapsed Miovision Count'!R43:R46)</f>
        <v>0</v>
      </c>
      <c r="S7" s="62">
        <f>SUM('Paste Collapsed Miovision Count'!S43:S46)</f>
        <v>0</v>
      </c>
      <c r="T7" s="62">
        <f>SUM('Paste Collapsed Miovision Count'!T43:T46)</f>
        <v>0</v>
      </c>
      <c r="U7" s="62">
        <f>SUM('Paste Collapsed Miovision Count'!U43:U46)</f>
        <v>0</v>
      </c>
      <c r="V7" s="62">
        <f>SUM('Paste Collapsed Miovision Count'!V43:V46)</f>
        <v>0</v>
      </c>
      <c r="W7" s="64">
        <f t="shared" si="0"/>
        <v>0</v>
      </c>
    </row>
    <row r="8" spans="1:23" ht="16.5" thickBot="1" x14ac:dyDescent="0.3">
      <c r="A8" s="273"/>
      <c r="B8" s="100">
        <f t="shared" si="1"/>
        <v>0.37500000000000006</v>
      </c>
      <c r="C8" s="62">
        <f>SUM('Paste Collapsed Miovision Count'!C47:C50)</f>
        <v>0</v>
      </c>
      <c r="D8" s="62">
        <f>SUM('Paste Collapsed Miovision Count'!D47:D50)</f>
        <v>0</v>
      </c>
      <c r="E8" s="62">
        <f>SUM('Paste Collapsed Miovision Count'!E47:E50)</f>
        <v>0</v>
      </c>
      <c r="F8" s="62">
        <f>SUM('Paste Collapsed Miovision Count'!F47:F50)</f>
        <v>0</v>
      </c>
      <c r="G8" s="62">
        <f>SUM('Paste Collapsed Miovision Count'!G47:G50)</f>
        <v>0</v>
      </c>
      <c r="H8" s="62">
        <f>SUM('Paste Collapsed Miovision Count'!H47:H50)</f>
        <v>0</v>
      </c>
      <c r="I8" s="62">
        <f>SUM('Paste Collapsed Miovision Count'!I47:I50)</f>
        <v>0</v>
      </c>
      <c r="J8" s="62">
        <f>SUM('Paste Collapsed Miovision Count'!J47:J50)</f>
        <v>0</v>
      </c>
      <c r="K8" s="62">
        <f>SUM('Paste Collapsed Miovision Count'!K47:K50)</f>
        <v>0</v>
      </c>
      <c r="L8" s="62">
        <f>SUM('Paste Collapsed Miovision Count'!L47:L50)</f>
        <v>0</v>
      </c>
      <c r="M8" s="62">
        <f>SUM('Paste Collapsed Miovision Count'!M47:M50)</f>
        <v>0</v>
      </c>
      <c r="N8" s="62">
        <f>SUM('Paste Collapsed Miovision Count'!N47:N50)</f>
        <v>0</v>
      </c>
      <c r="O8" s="62">
        <f>SUM('Paste Collapsed Miovision Count'!O47:O50)</f>
        <v>0</v>
      </c>
      <c r="P8" s="62">
        <f>SUM('Paste Collapsed Miovision Count'!P47:P50)</f>
        <v>0</v>
      </c>
      <c r="Q8" s="62">
        <f>SUM('Paste Collapsed Miovision Count'!Q47:Q50)</f>
        <v>0</v>
      </c>
      <c r="R8" s="62">
        <f>SUM('Paste Collapsed Miovision Count'!R47:R50)</f>
        <v>0</v>
      </c>
      <c r="S8" s="62">
        <f>SUM('Paste Collapsed Miovision Count'!S47:S50)</f>
        <v>0</v>
      </c>
      <c r="T8" s="62">
        <f>SUM('Paste Collapsed Miovision Count'!T47:T50)</f>
        <v>0</v>
      </c>
      <c r="U8" s="62">
        <f>SUM('Paste Collapsed Miovision Count'!U47:U50)</f>
        <v>0</v>
      </c>
      <c r="V8" s="62">
        <f>SUM('Paste Collapsed Miovision Count'!V47:V50)</f>
        <v>0</v>
      </c>
      <c r="W8" s="65">
        <f t="shared" si="0"/>
        <v>0</v>
      </c>
    </row>
    <row r="9" spans="1:23" ht="16.5" thickBot="1" x14ac:dyDescent="0.3">
      <c r="A9" s="274" t="s">
        <v>177</v>
      </c>
      <c r="B9" s="101">
        <f t="shared" si="1"/>
        <v>0.41666666666666674</v>
      </c>
      <c r="C9" s="62">
        <f>SUM('Paste Collapsed Miovision Count'!C51:C54)</f>
        <v>0</v>
      </c>
      <c r="D9" s="62">
        <f>SUM('Paste Collapsed Miovision Count'!D51:D54)</f>
        <v>0</v>
      </c>
      <c r="E9" s="62">
        <f>SUM('Paste Collapsed Miovision Count'!E51:E54)</f>
        <v>0</v>
      </c>
      <c r="F9" s="62">
        <f>SUM('Paste Collapsed Miovision Count'!F51:F54)</f>
        <v>0</v>
      </c>
      <c r="G9" s="62">
        <f>SUM('Paste Collapsed Miovision Count'!G51:G54)</f>
        <v>0</v>
      </c>
      <c r="H9" s="62">
        <f>SUM('Paste Collapsed Miovision Count'!H51:H54)</f>
        <v>0</v>
      </c>
      <c r="I9" s="62">
        <f>SUM('Paste Collapsed Miovision Count'!I51:I54)</f>
        <v>0</v>
      </c>
      <c r="J9" s="62">
        <f>SUM('Paste Collapsed Miovision Count'!J51:J54)</f>
        <v>0</v>
      </c>
      <c r="K9" s="62">
        <f>SUM('Paste Collapsed Miovision Count'!K51:K54)</f>
        <v>0</v>
      </c>
      <c r="L9" s="62">
        <f>SUM('Paste Collapsed Miovision Count'!L51:L54)</f>
        <v>0</v>
      </c>
      <c r="M9" s="62">
        <f>SUM('Paste Collapsed Miovision Count'!M51:M54)</f>
        <v>0</v>
      </c>
      <c r="N9" s="62">
        <f>SUM('Paste Collapsed Miovision Count'!N51:N54)</f>
        <v>0</v>
      </c>
      <c r="O9" s="62">
        <f>SUM('Paste Collapsed Miovision Count'!O51:O54)</f>
        <v>0</v>
      </c>
      <c r="P9" s="62">
        <f>SUM('Paste Collapsed Miovision Count'!P51:P54)</f>
        <v>0</v>
      </c>
      <c r="Q9" s="62">
        <f>SUM('Paste Collapsed Miovision Count'!Q51:Q54)</f>
        <v>0</v>
      </c>
      <c r="R9" s="62">
        <f>SUM('Paste Collapsed Miovision Count'!R51:R54)</f>
        <v>0</v>
      </c>
      <c r="S9" s="62">
        <f>SUM('Paste Collapsed Miovision Count'!S51:S54)</f>
        <v>0</v>
      </c>
      <c r="T9" s="62">
        <f>SUM('Paste Collapsed Miovision Count'!T51:T54)</f>
        <v>0</v>
      </c>
      <c r="U9" s="62">
        <f>SUM('Paste Collapsed Miovision Count'!U51:U54)</f>
        <v>0</v>
      </c>
      <c r="V9" s="62">
        <f>SUM('Paste Collapsed Miovision Count'!V51:V54)</f>
        <v>0</v>
      </c>
      <c r="W9" s="63">
        <f t="shared" si="0"/>
        <v>0</v>
      </c>
    </row>
    <row r="10" spans="1:23" ht="16.5" thickBot="1" x14ac:dyDescent="0.3">
      <c r="A10" s="275"/>
      <c r="B10" s="98">
        <f t="shared" si="1"/>
        <v>0.45833333333333343</v>
      </c>
      <c r="C10" s="62">
        <f>SUM('Paste Collapsed Miovision Count'!C55:C58)</f>
        <v>0</v>
      </c>
      <c r="D10" s="62">
        <f>SUM('Paste Collapsed Miovision Count'!D55:D58)</f>
        <v>0</v>
      </c>
      <c r="E10" s="62">
        <f>SUM('Paste Collapsed Miovision Count'!E55:E58)</f>
        <v>0</v>
      </c>
      <c r="F10" s="62">
        <f>SUM('Paste Collapsed Miovision Count'!F55:F58)</f>
        <v>0</v>
      </c>
      <c r="G10" s="62">
        <f>SUM('Paste Collapsed Miovision Count'!G55:G58)</f>
        <v>0</v>
      </c>
      <c r="H10" s="62">
        <f>SUM('Paste Collapsed Miovision Count'!H55:H58)</f>
        <v>0</v>
      </c>
      <c r="I10" s="62">
        <f>SUM('Paste Collapsed Miovision Count'!I55:I58)</f>
        <v>0</v>
      </c>
      <c r="J10" s="62">
        <f>SUM('Paste Collapsed Miovision Count'!J55:J58)</f>
        <v>0</v>
      </c>
      <c r="K10" s="62">
        <f>SUM('Paste Collapsed Miovision Count'!K55:K58)</f>
        <v>0</v>
      </c>
      <c r="L10" s="62">
        <f>SUM('Paste Collapsed Miovision Count'!L55:L58)</f>
        <v>0</v>
      </c>
      <c r="M10" s="62">
        <f>SUM('Paste Collapsed Miovision Count'!M55:M58)</f>
        <v>0</v>
      </c>
      <c r="N10" s="62">
        <f>SUM('Paste Collapsed Miovision Count'!N55:N58)</f>
        <v>0</v>
      </c>
      <c r="O10" s="62">
        <f>SUM('Paste Collapsed Miovision Count'!O55:O58)</f>
        <v>0</v>
      </c>
      <c r="P10" s="62">
        <f>SUM('Paste Collapsed Miovision Count'!P55:P58)</f>
        <v>0</v>
      </c>
      <c r="Q10" s="62">
        <f>SUM('Paste Collapsed Miovision Count'!Q55:Q58)</f>
        <v>0</v>
      </c>
      <c r="R10" s="62">
        <f>SUM('Paste Collapsed Miovision Count'!R55:R58)</f>
        <v>0</v>
      </c>
      <c r="S10" s="62">
        <f>SUM('Paste Collapsed Miovision Count'!S55:S58)</f>
        <v>0</v>
      </c>
      <c r="T10" s="62">
        <f>SUM('Paste Collapsed Miovision Count'!T55:T58)</f>
        <v>0</v>
      </c>
      <c r="U10" s="62">
        <f>SUM('Paste Collapsed Miovision Count'!U55:U58)</f>
        <v>0</v>
      </c>
      <c r="V10" s="62">
        <f>SUM('Paste Collapsed Miovision Count'!V55:V58)</f>
        <v>0</v>
      </c>
      <c r="W10" s="64">
        <f t="shared" si="0"/>
        <v>0</v>
      </c>
    </row>
    <row r="11" spans="1:23" ht="16.5" thickBot="1" x14ac:dyDescent="0.3">
      <c r="A11" s="275"/>
      <c r="B11" s="99">
        <f t="shared" si="1"/>
        <v>0.50000000000000011</v>
      </c>
      <c r="C11" s="62">
        <f>SUM('Paste Collapsed Miovision Count'!C59:C62)</f>
        <v>0</v>
      </c>
      <c r="D11" s="62">
        <f>SUM('Paste Collapsed Miovision Count'!D59:D62)</f>
        <v>0</v>
      </c>
      <c r="E11" s="62">
        <f>SUM('Paste Collapsed Miovision Count'!E59:E62)</f>
        <v>0</v>
      </c>
      <c r="F11" s="62">
        <f>SUM('Paste Collapsed Miovision Count'!F59:F62)</f>
        <v>0</v>
      </c>
      <c r="G11" s="62">
        <f>SUM('Paste Collapsed Miovision Count'!G59:G62)</f>
        <v>0</v>
      </c>
      <c r="H11" s="62">
        <f>SUM('Paste Collapsed Miovision Count'!H59:H62)</f>
        <v>0</v>
      </c>
      <c r="I11" s="62">
        <f>SUM('Paste Collapsed Miovision Count'!I59:I62)</f>
        <v>0</v>
      </c>
      <c r="J11" s="62">
        <f>SUM('Paste Collapsed Miovision Count'!J59:J62)</f>
        <v>0</v>
      </c>
      <c r="K11" s="62">
        <f>SUM('Paste Collapsed Miovision Count'!K59:K62)</f>
        <v>0</v>
      </c>
      <c r="L11" s="62">
        <f>SUM('Paste Collapsed Miovision Count'!L59:L62)</f>
        <v>0</v>
      </c>
      <c r="M11" s="62">
        <f>SUM('Paste Collapsed Miovision Count'!M59:M62)</f>
        <v>0</v>
      </c>
      <c r="N11" s="62">
        <f>SUM('Paste Collapsed Miovision Count'!N59:N62)</f>
        <v>0</v>
      </c>
      <c r="O11" s="62">
        <f>SUM('Paste Collapsed Miovision Count'!O59:O62)</f>
        <v>0</v>
      </c>
      <c r="P11" s="62">
        <f>SUM('Paste Collapsed Miovision Count'!P59:P62)</f>
        <v>0</v>
      </c>
      <c r="Q11" s="62">
        <f>SUM('Paste Collapsed Miovision Count'!Q59:Q62)</f>
        <v>0</v>
      </c>
      <c r="R11" s="62">
        <f>SUM('Paste Collapsed Miovision Count'!R59:R62)</f>
        <v>0</v>
      </c>
      <c r="S11" s="62">
        <f>SUM('Paste Collapsed Miovision Count'!S59:S62)</f>
        <v>0</v>
      </c>
      <c r="T11" s="62">
        <f>SUM('Paste Collapsed Miovision Count'!T59:T62)</f>
        <v>0</v>
      </c>
      <c r="U11" s="62">
        <f>SUM('Paste Collapsed Miovision Count'!U59:U62)</f>
        <v>0</v>
      </c>
      <c r="V11" s="62">
        <f>SUM('Paste Collapsed Miovision Count'!V59:V62)</f>
        <v>0</v>
      </c>
      <c r="W11" s="64">
        <f t="shared" si="0"/>
        <v>0</v>
      </c>
    </row>
    <row r="12" spans="1:23" ht="16.5" thickBot="1" x14ac:dyDescent="0.3">
      <c r="A12" s="276"/>
      <c r="B12" s="100">
        <f t="shared" si="1"/>
        <v>0.54166666666666674</v>
      </c>
      <c r="C12" s="62">
        <f>SUM('Paste Collapsed Miovision Count'!C63:C66)</f>
        <v>0</v>
      </c>
      <c r="D12" s="62">
        <f>SUM('Paste Collapsed Miovision Count'!D63:D66)</f>
        <v>0</v>
      </c>
      <c r="E12" s="62">
        <f>SUM('Paste Collapsed Miovision Count'!E63:E66)</f>
        <v>0</v>
      </c>
      <c r="F12" s="62">
        <f>SUM('Paste Collapsed Miovision Count'!F63:F66)</f>
        <v>0</v>
      </c>
      <c r="G12" s="62">
        <f>SUM('Paste Collapsed Miovision Count'!G63:G66)</f>
        <v>0</v>
      </c>
      <c r="H12" s="62">
        <f>SUM('Paste Collapsed Miovision Count'!H63:H66)</f>
        <v>0</v>
      </c>
      <c r="I12" s="62">
        <f>SUM('Paste Collapsed Miovision Count'!I63:I66)</f>
        <v>0</v>
      </c>
      <c r="J12" s="62">
        <f>SUM('Paste Collapsed Miovision Count'!J63:J66)</f>
        <v>0</v>
      </c>
      <c r="K12" s="62">
        <f>SUM('Paste Collapsed Miovision Count'!K63:K66)</f>
        <v>0</v>
      </c>
      <c r="L12" s="62">
        <f>SUM('Paste Collapsed Miovision Count'!L63:L66)</f>
        <v>0</v>
      </c>
      <c r="M12" s="62">
        <f>SUM('Paste Collapsed Miovision Count'!M63:M66)</f>
        <v>0</v>
      </c>
      <c r="N12" s="62">
        <f>SUM('Paste Collapsed Miovision Count'!N63:N66)</f>
        <v>0</v>
      </c>
      <c r="O12" s="62">
        <f>SUM('Paste Collapsed Miovision Count'!O63:O66)</f>
        <v>0</v>
      </c>
      <c r="P12" s="62">
        <f>SUM('Paste Collapsed Miovision Count'!P63:P66)</f>
        <v>0</v>
      </c>
      <c r="Q12" s="62">
        <f>SUM('Paste Collapsed Miovision Count'!Q63:Q66)</f>
        <v>0</v>
      </c>
      <c r="R12" s="62">
        <f>SUM('Paste Collapsed Miovision Count'!R63:R66)</f>
        <v>0</v>
      </c>
      <c r="S12" s="62">
        <f>SUM('Paste Collapsed Miovision Count'!S63:S66)</f>
        <v>0</v>
      </c>
      <c r="T12" s="62">
        <f>SUM('Paste Collapsed Miovision Count'!T63:T66)</f>
        <v>0</v>
      </c>
      <c r="U12" s="62">
        <f>SUM('Paste Collapsed Miovision Count'!U63:U66)</f>
        <v>0</v>
      </c>
      <c r="V12" s="62">
        <f>SUM('Paste Collapsed Miovision Count'!V63:V66)</f>
        <v>0</v>
      </c>
      <c r="W12" s="65">
        <f t="shared" si="0"/>
        <v>0</v>
      </c>
    </row>
    <row r="13" spans="1:23" ht="16.5" thickBot="1" x14ac:dyDescent="0.3">
      <c r="A13" s="277" t="s">
        <v>178</v>
      </c>
      <c r="B13" s="101">
        <f t="shared" si="1"/>
        <v>0.58333333333333337</v>
      </c>
      <c r="C13" s="62">
        <f>SUM('Paste Collapsed Miovision Count'!C67:C70)</f>
        <v>0</v>
      </c>
      <c r="D13" s="62">
        <f>SUM('Paste Collapsed Miovision Count'!D67:D70)</f>
        <v>0</v>
      </c>
      <c r="E13" s="62">
        <f>SUM('Paste Collapsed Miovision Count'!E67:E70)</f>
        <v>0</v>
      </c>
      <c r="F13" s="62">
        <f>SUM('Paste Collapsed Miovision Count'!F67:F70)</f>
        <v>0</v>
      </c>
      <c r="G13" s="62">
        <f>SUM('Paste Collapsed Miovision Count'!G67:G70)</f>
        <v>0</v>
      </c>
      <c r="H13" s="62">
        <f>SUM('Paste Collapsed Miovision Count'!H67:H70)</f>
        <v>0</v>
      </c>
      <c r="I13" s="62">
        <f>SUM('Paste Collapsed Miovision Count'!I67:I70)</f>
        <v>0</v>
      </c>
      <c r="J13" s="62">
        <f>SUM('Paste Collapsed Miovision Count'!J67:J70)</f>
        <v>0</v>
      </c>
      <c r="K13" s="62">
        <f>SUM('Paste Collapsed Miovision Count'!K67:K70)</f>
        <v>0</v>
      </c>
      <c r="L13" s="62">
        <f>SUM('Paste Collapsed Miovision Count'!L67:L70)</f>
        <v>0</v>
      </c>
      <c r="M13" s="62">
        <f>SUM('Paste Collapsed Miovision Count'!M67:M70)</f>
        <v>0</v>
      </c>
      <c r="N13" s="62">
        <f>SUM('Paste Collapsed Miovision Count'!N67:N70)</f>
        <v>0</v>
      </c>
      <c r="O13" s="62">
        <f>SUM('Paste Collapsed Miovision Count'!O67:O70)</f>
        <v>0</v>
      </c>
      <c r="P13" s="62">
        <f>SUM('Paste Collapsed Miovision Count'!P67:P70)</f>
        <v>0</v>
      </c>
      <c r="Q13" s="62">
        <f>SUM('Paste Collapsed Miovision Count'!Q67:Q70)</f>
        <v>0</v>
      </c>
      <c r="R13" s="62">
        <f>SUM('Paste Collapsed Miovision Count'!R67:R70)</f>
        <v>0</v>
      </c>
      <c r="S13" s="62">
        <f>SUM('Paste Collapsed Miovision Count'!S67:S70)</f>
        <v>0</v>
      </c>
      <c r="T13" s="62">
        <f>SUM('Paste Collapsed Miovision Count'!T67:T70)</f>
        <v>0</v>
      </c>
      <c r="U13" s="62">
        <f>SUM('Paste Collapsed Miovision Count'!U67:U70)</f>
        <v>0</v>
      </c>
      <c r="V13" s="62">
        <f>SUM('Paste Collapsed Miovision Count'!V67:V70)</f>
        <v>0</v>
      </c>
      <c r="W13" s="63">
        <f t="shared" si="0"/>
        <v>0</v>
      </c>
    </row>
    <row r="14" spans="1:23" ht="16.5" thickBot="1" x14ac:dyDescent="0.3">
      <c r="A14" s="278"/>
      <c r="B14" s="98">
        <f t="shared" si="1"/>
        <v>0.625</v>
      </c>
      <c r="C14" s="62">
        <f>SUM('Paste Collapsed Miovision Count'!C71:C74)</f>
        <v>0</v>
      </c>
      <c r="D14" s="62">
        <f>SUM('Paste Collapsed Miovision Count'!D71:D74)</f>
        <v>0</v>
      </c>
      <c r="E14" s="62">
        <f>SUM('Paste Collapsed Miovision Count'!E71:E74)</f>
        <v>0</v>
      </c>
      <c r="F14" s="62">
        <f>SUM('Paste Collapsed Miovision Count'!F71:F74)</f>
        <v>0</v>
      </c>
      <c r="G14" s="62">
        <f>SUM('Paste Collapsed Miovision Count'!G71:G74)</f>
        <v>0</v>
      </c>
      <c r="H14" s="62">
        <f>SUM('Paste Collapsed Miovision Count'!H71:H74)</f>
        <v>0</v>
      </c>
      <c r="I14" s="62">
        <f>SUM('Paste Collapsed Miovision Count'!I71:I74)</f>
        <v>0</v>
      </c>
      <c r="J14" s="62">
        <f>SUM('Paste Collapsed Miovision Count'!J71:J74)</f>
        <v>0</v>
      </c>
      <c r="K14" s="62">
        <f>SUM('Paste Collapsed Miovision Count'!K71:K74)</f>
        <v>0</v>
      </c>
      <c r="L14" s="62">
        <f>SUM('Paste Collapsed Miovision Count'!L71:L74)</f>
        <v>0</v>
      </c>
      <c r="M14" s="62">
        <f>SUM('Paste Collapsed Miovision Count'!M71:M74)</f>
        <v>0</v>
      </c>
      <c r="N14" s="62">
        <f>SUM('Paste Collapsed Miovision Count'!N71:N74)</f>
        <v>0</v>
      </c>
      <c r="O14" s="62">
        <f>SUM('Paste Collapsed Miovision Count'!O71:O74)</f>
        <v>0</v>
      </c>
      <c r="P14" s="62">
        <f>SUM('Paste Collapsed Miovision Count'!P71:P74)</f>
        <v>0</v>
      </c>
      <c r="Q14" s="62">
        <f>SUM('Paste Collapsed Miovision Count'!Q71:Q74)</f>
        <v>0</v>
      </c>
      <c r="R14" s="62">
        <f>SUM('Paste Collapsed Miovision Count'!R71:R74)</f>
        <v>0</v>
      </c>
      <c r="S14" s="62">
        <f>SUM('Paste Collapsed Miovision Count'!S71:S74)</f>
        <v>0</v>
      </c>
      <c r="T14" s="62">
        <f>SUM('Paste Collapsed Miovision Count'!T71:T74)</f>
        <v>0</v>
      </c>
      <c r="U14" s="62">
        <f>SUM('Paste Collapsed Miovision Count'!U71:U74)</f>
        <v>0</v>
      </c>
      <c r="V14" s="62">
        <f>SUM('Paste Collapsed Miovision Count'!V71:V74)</f>
        <v>0</v>
      </c>
      <c r="W14" s="64">
        <f t="shared" si="0"/>
        <v>0</v>
      </c>
    </row>
    <row r="15" spans="1:23" ht="16.5" thickBot="1" x14ac:dyDescent="0.3">
      <c r="A15" s="278"/>
      <c r="B15" s="99">
        <f t="shared" si="1"/>
        <v>0.66666666666666663</v>
      </c>
      <c r="C15" s="62">
        <f>SUM('Paste Collapsed Miovision Count'!C75:C78)</f>
        <v>0</v>
      </c>
      <c r="D15" s="62">
        <f>SUM('Paste Collapsed Miovision Count'!D75:D78)</f>
        <v>0</v>
      </c>
      <c r="E15" s="62">
        <f>SUM('Paste Collapsed Miovision Count'!E75:E78)</f>
        <v>0</v>
      </c>
      <c r="F15" s="62">
        <f>SUM('Paste Collapsed Miovision Count'!F75:F78)</f>
        <v>0</v>
      </c>
      <c r="G15" s="62">
        <f>SUM('Paste Collapsed Miovision Count'!G75:G78)</f>
        <v>0</v>
      </c>
      <c r="H15" s="62">
        <f>SUM('Paste Collapsed Miovision Count'!H75:H78)</f>
        <v>0</v>
      </c>
      <c r="I15" s="62">
        <f>SUM('Paste Collapsed Miovision Count'!I75:I78)</f>
        <v>0</v>
      </c>
      <c r="J15" s="62">
        <f>SUM('Paste Collapsed Miovision Count'!J75:J78)</f>
        <v>0</v>
      </c>
      <c r="K15" s="62">
        <f>SUM('Paste Collapsed Miovision Count'!K75:K78)</f>
        <v>0</v>
      </c>
      <c r="L15" s="62">
        <f>SUM('Paste Collapsed Miovision Count'!L75:L78)</f>
        <v>0</v>
      </c>
      <c r="M15" s="62">
        <f>SUM('Paste Collapsed Miovision Count'!M75:M78)</f>
        <v>0</v>
      </c>
      <c r="N15" s="62">
        <f>SUM('Paste Collapsed Miovision Count'!N75:N78)</f>
        <v>0</v>
      </c>
      <c r="O15" s="62">
        <f>SUM('Paste Collapsed Miovision Count'!O75:O78)</f>
        <v>0</v>
      </c>
      <c r="P15" s="62">
        <f>SUM('Paste Collapsed Miovision Count'!P75:P78)</f>
        <v>0</v>
      </c>
      <c r="Q15" s="62">
        <f>SUM('Paste Collapsed Miovision Count'!Q75:Q78)</f>
        <v>0</v>
      </c>
      <c r="R15" s="62">
        <f>SUM('Paste Collapsed Miovision Count'!R75:R78)</f>
        <v>0</v>
      </c>
      <c r="S15" s="62">
        <f>SUM('Paste Collapsed Miovision Count'!S75:S78)</f>
        <v>0</v>
      </c>
      <c r="T15" s="62">
        <f>SUM('Paste Collapsed Miovision Count'!T75:T78)</f>
        <v>0</v>
      </c>
      <c r="U15" s="62">
        <f>SUM('Paste Collapsed Miovision Count'!U75:U78)</f>
        <v>0</v>
      </c>
      <c r="V15" s="62">
        <f>SUM('Paste Collapsed Miovision Count'!V75:V78)</f>
        <v>0</v>
      </c>
      <c r="W15" s="64">
        <f t="shared" si="0"/>
        <v>0</v>
      </c>
    </row>
    <row r="16" spans="1:23" ht="16.5" thickBot="1" x14ac:dyDescent="0.3">
      <c r="A16" s="278"/>
      <c r="B16" s="98">
        <f t="shared" si="1"/>
        <v>0.70833333333333326</v>
      </c>
      <c r="C16" s="62">
        <f>SUM('Paste Collapsed Miovision Count'!C79:C82)</f>
        <v>0</v>
      </c>
      <c r="D16" s="62">
        <f>SUM('Paste Collapsed Miovision Count'!D79:D82)</f>
        <v>0</v>
      </c>
      <c r="E16" s="62">
        <f>SUM('Paste Collapsed Miovision Count'!E79:E82)</f>
        <v>0</v>
      </c>
      <c r="F16" s="62">
        <f>SUM('Paste Collapsed Miovision Count'!F79:F82)</f>
        <v>0</v>
      </c>
      <c r="G16" s="62">
        <f>SUM('Paste Collapsed Miovision Count'!G79:G82)</f>
        <v>0</v>
      </c>
      <c r="H16" s="62">
        <f>SUM('Paste Collapsed Miovision Count'!H79:H82)</f>
        <v>0</v>
      </c>
      <c r="I16" s="62">
        <f>SUM('Paste Collapsed Miovision Count'!I79:I82)</f>
        <v>0</v>
      </c>
      <c r="J16" s="62">
        <f>SUM('Paste Collapsed Miovision Count'!J79:J82)</f>
        <v>0</v>
      </c>
      <c r="K16" s="62">
        <f>SUM('Paste Collapsed Miovision Count'!K79:K82)</f>
        <v>0</v>
      </c>
      <c r="L16" s="62">
        <f>SUM('Paste Collapsed Miovision Count'!L79:L82)</f>
        <v>0</v>
      </c>
      <c r="M16" s="62">
        <f>SUM('Paste Collapsed Miovision Count'!M79:M82)</f>
        <v>0</v>
      </c>
      <c r="N16" s="62">
        <f>SUM('Paste Collapsed Miovision Count'!N79:N82)</f>
        <v>0</v>
      </c>
      <c r="O16" s="62">
        <f>SUM('Paste Collapsed Miovision Count'!O79:O82)</f>
        <v>0</v>
      </c>
      <c r="P16" s="62">
        <f>SUM('Paste Collapsed Miovision Count'!P79:P82)</f>
        <v>0</v>
      </c>
      <c r="Q16" s="62">
        <f>SUM('Paste Collapsed Miovision Count'!Q79:Q82)</f>
        <v>0</v>
      </c>
      <c r="R16" s="62">
        <f>SUM('Paste Collapsed Miovision Count'!R79:R82)</f>
        <v>0</v>
      </c>
      <c r="S16" s="62">
        <f>SUM('Paste Collapsed Miovision Count'!S79:S82)</f>
        <v>0</v>
      </c>
      <c r="T16" s="62">
        <f>SUM('Paste Collapsed Miovision Count'!T79:T82)</f>
        <v>0</v>
      </c>
      <c r="U16" s="62">
        <f>SUM('Paste Collapsed Miovision Count'!U79:U82)</f>
        <v>0</v>
      </c>
      <c r="V16" s="62">
        <f>SUM('Paste Collapsed Miovision Count'!V79:V82)</f>
        <v>0</v>
      </c>
      <c r="W16" s="64">
        <f t="shared" si="0"/>
        <v>0</v>
      </c>
    </row>
    <row r="17" spans="1:23" ht="16.5" thickBot="1" x14ac:dyDescent="0.3">
      <c r="A17" s="278"/>
      <c r="B17" s="99">
        <f t="shared" si="1"/>
        <v>0.74999999999999989</v>
      </c>
      <c r="C17" s="62">
        <f>SUM('Paste Collapsed Miovision Count'!C83:C86)</f>
        <v>0</v>
      </c>
      <c r="D17" s="62">
        <f>SUM('Paste Collapsed Miovision Count'!D83:D86)</f>
        <v>0</v>
      </c>
      <c r="E17" s="62">
        <f>SUM('Paste Collapsed Miovision Count'!E83:E86)</f>
        <v>0</v>
      </c>
      <c r="F17" s="62">
        <f>SUM('Paste Collapsed Miovision Count'!F83:F86)</f>
        <v>0</v>
      </c>
      <c r="G17" s="62">
        <f>SUM('Paste Collapsed Miovision Count'!G83:G86)</f>
        <v>0</v>
      </c>
      <c r="H17" s="62">
        <f>SUM('Paste Collapsed Miovision Count'!H83:H86)</f>
        <v>0</v>
      </c>
      <c r="I17" s="62">
        <f>SUM('Paste Collapsed Miovision Count'!I83:I86)</f>
        <v>0</v>
      </c>
      <c r="J17" s="62">
        <f>SUM('Paste Collapsed Miovision Count'!J83:J86)</f>
        <v>0</v>
      </c>
      <c r="K17" s="62">
        <f>SUM('Paste Collapsed Miovision Count'!K83:K86)</f>
        <v>0</v>
      </c>
      <c r="L17" s="62">
        <f>SUM('Paste Collapsed Miovision Count'!L83:L86)</f>
        <v>0</v>
      </c>
      <c r="M17" s="62">
        <f>SUM('Paste Collapsed Miovision Count'!M83:M86)</f>
        <v>0</v>
      </c>
      <c r="N17" s="62">
        <f>SUM('Paste Collapsed Miovision Count'!N83:N86)</f>
        <v>0</v>
      </c>
      <c r="O17" s="62">
        <f>SUM('Paste Collapsed Miovision Count'!O83:O86)</f>
        <v>0</v>
      </c>
      <c r="P17" s="62">
        <f>SUM('Paste Collapsed Miovision Count'!P83:P86)</f>
        <v>0</v>
      </c>
      <c r="Q17" s="62">
        <f>SUM('Paste Collapsed Miovision Count'!Q83:Q86)</f>
        <v>0</v>
      </c>
      <c r="R17" s="62">
        <f>SUM('Paste Collapsed Miovision Count'!R83:R86)</f>
        <v>0</v>
      </c>
      <c r="S17" s="62">
        <f>SUM('Paste Collapsed Miovision Count'!S83:S86)</f>
        <v>0</v>
      </c>
      <c r="T17" s="62">
        <f>SUM('Paste Collapsed Miovision Count'!T83:T86)</f>
        <v>0</v>
      </c>
      <c r="U17" s="62">
        <f>SUM('Paste Collapsed Miovision Count'!U83:U86)</f>
        <v>0</v>
      </c>
      <c r="V17" s="62">
        <f>SUM('Paste Collapsed Miovision Count'!V83:V86)</f>
        <v>0</v>
      </c>
      <c r="W17" s="64">
        <f t="shared" si="0"/>
        <v>0</v>
      </c>
    </row>
    <row r="18" spans="1:23" ht="16.5" thickBot="1" x14ac:dyDescent="0.3">
      <c r="A18" s="278"/>
      <c r="B18" s="98">
        <f t="shared" si="1"/>
        <v>0.79166666666666652</v>
      </c>
      <c r="C18" s="62">
        <f>SUM('Paste Collapsed Miovision Count'!C87:C90)</f>
        <v>0</v>
      </c>
      <c r="D18" s="62">
        <f>SUM('Paste Collapsed Miovision Count'!D87:D90)</f>
        <v>0</v>
      </c>
      <c r="E18" s="62">
        <f>SUM('Paste Collapsed Miovision Count'!E87:E90)</f>
        <v>0</v>
      </c>
      <c r="F18" s="62">
        <f>SUM('Paste Collapsed Miovision Count'!F87:F90)</f>
        <v>0</v>
      </c>
      <c r="G18" s="62">
        <f>SUM('Paste Collapsed Miovision Count'!G87:G90)</f>
        <v>0</v>
      </c>
      <c r="H18" s="62">
        <f>SUM('Paste Collapsed Miovision Count'!H87:H90)</f>
        <v>0</v>
      </c>
      <c r="I18" s="62">
        <f>SUM('Paste Collapsed Miovision Count'!I87:I90)</f>
        <v>0</v>
      </c>
      <c r="J18" s="62">
        <f>SUM('Paste Collapsed Miovision Count'!J87:J90)</f>
        <v>0</v>
      </c>
      <c r="K18" s="62">
        <f>SUM('Paste Collapsed Miovision Count'!K87:K90)</f>
        <v>0</v>
      </c>
      <c r="L18" s="62">
        <f>SUM('Paste Collapsed Miovision Count'!L87:L90)</f>
        <v>0</v>
      </c>
      <c r="M18" s="62">
        <f>SUM('Paste Collapsed Miovision Count'!M87:M90)</f>
        <v>0</v>
      </c>
      <c r="N18" s="62">
        <f>SUM('Paste Collapsed Miovision Count'!N87:N90)</f>
        <v>0</v>
      </c>
      <c r="O18" s="62">
        <f>SUM('Paste Collapsed Miovision Count'!O87:O90)</f>
        <v>0</v>
      </c>
      <c r="P18" s="62">
        <f>SUM('Paste Collapsed Miovision Count'!P87:P90)</f>
        <v>0</v>
      </c>
      <c r="Q18" s="62">
        <f>SUM('Paste Collapsed Miovision Count'!Q87:Q90)</f>
        <v>0</v>
      </c>
      <c r="R18" s="62">
        <f>SUM('Paste Collapsed Miovision Count'!R87:R90)</f>
        <v>0</v>
      </c>
      <c r="S18" s="62">
        <f>SUM('Paste Collapsed Miovision Count'!S87:S90)</f>
        <v>0</v>
      </c>
      <c r="T18" s="62">
        <f>SUM('Paste Collapsed Miovision Count'!T87:T90)</f>
        <v>0</v>
      </c>
      <c r="U18" s="62">
        <f>SUM('Paste Collapsed Miovision Count'!U87:U90)</f>
        <v>0</v>
      </c>
      <c r="V18" s="62">
        <f>SUM('Paste Collapsed Miovision Count'!V87:V90)</f>
        <v>0</v>
      </c>
      <c r="W18" s="64">
        <f t="shared" si="0"/>
        <v>0</v>
      </c>
    </row>
    <row r="19" spans="1:23" ht="16.5" thickBot="1" x14ac:dyDescent="0.3">
      <c r="A19" s="278"/>
      <c r="B19" s="99">
        <f t="shared" si="1"/>
        <v>0.83333333333333315</v>
      </c>
      <c r="C19" s="62">
        <f>SUM('Paste Collapsed Miovision Count'!C91:C94)</f>
        <v>0</v>
      </c>
      <c r="D19" s="62">
        <f>SUM('Paste Collapsed Miovision Count'!D91:D94)</f>
        <v>0</v>
      </c>
      <c r="E19" s="62">
        <f>SUM('Paste Collapsed Miovision Count'!E91:E94)</f>
        <v>0</v>
      </c>
      <c r="F19" s="62">
        <f>SUM('Paste Collapsed Miovision Count'!F91:F94)</f>
        <v>0</v>
      </c>
      <c r="G19" s="62">
        <f>SUM('Paste Collapsed Miovision Count'!G91:G94)</f>
        <v>0</v>
      </c>
      <c r="H19" s="62">
        <f>SUM('Paste Collapsed Miovision Count'!H91:H94)</f>
        <v>0</v>
      </c>
      <c r="I19" s="62">
        <f>SUM('Paste Collapsed Miovision Count'!I91:I94)</f>
        <v>0</v>
      </c>
      <c r="J19" s="62">
        <f>SUM('Paste Collapsed Miovision Count'!J91:J94)</f>
        <v>0</v>
      </c>
      <c r="K19" s="62">
        <f>SUM('Paste Collapsed Miovision Count'!K91:K94)</f>
        <v>0</v>
      </c>
      <c r="L19" s="62">
        <f>SUM('Paste Collapsed Miovision Count'!L91:L94)</f>
        <v>0</v>
      </c>
      <c r="M19" s="62">
        <f>SUM('Paste Collapsed Miovision Count'!M91:M94)</f>
        <v>0</v>
      </c>
      <c r="N19" s="62">
        <f>SUM('Paste Collapsed Miovision Count'!N91:N94)</f>
        <v>0</v>
      </c>
      <c r="O19" s="62">
        <f>SUM('Paste Collapsed Miovision Count'!O91:O94)</f>
        <v>0</v>
      </c>
      <c r="P19" s="62">
        <f>SUM('Paste Collapsed Miovision Count'!P91:P94)</f>
        <v>0</v>
      </c>
      <c r="Q19" s="62">
        <f>SUM('Paste Collapsed Miovision Count'!Q91:Q94)</f>
        <v>0</v>
      </c>
      <c r="R19" s="62">
        <f>SUM('Paste Collapsed Miovision Count'!R91:R94)</f>
        <v>0</v>
      </c>
      <c r="S19" s="62">
        <f>SUM('Paste Collapsed Miovision Count'!S91:S94)</f>
        <v>0</v>
      </c>
      <c r="T19" s="62">
        <f>SUM('Paste Collapsed Miovision Count'!T91:T94)</f>
        <v>0</v>
      </c>
      <c r="U19" s="62">
        <f>SUM('Paste Collapsed Miovision Count'!U91:U94)</f>
        <v>0</v>
      </c>
      <c r="V19" s="62">
        <f>SUM('Paste Collapsed Miovision Count'!V91:V94)</f>
        <v>0</v>
      </c>
      <c r="W19" s="64">
        <f t="shared" si="0"/>
        <v>0</v>
      </c>
    </row>
    <row r="20" spans="1:23" ht="16.5" thickBot="1" x14ac:dyDescent="0.3">
      <c r="A20" s="279"/>
      <c r="B20" s="100">
        <f t="shared" si="1"/>
        <v>0.87499999999999978</v>
      </c>
      <c r="C20" s="62">
        <f>SUM('Paste Collapsed Miovision Count'!C95:C98)</f>
        <v>0</v>
      </c>
      <c r="D20" s="62">
        <f>SUM('Paste Collapsed Miovision Count'!D95:D98)</f>
        <v>0</v>
      </c>
      <c r="E20" s="62">
        <f>SUM('Paste Collapsed Miovision Count'!E95:E98)</f>
        <v>0</v>
      </c>
      <c r="F20" s="62">
        <f>SUM('Paste Collapsed Miovision Count'!F95:F98)</f>
        <v>0</v>
      </c>
      <c r="G20" s="62">
        <f>SUM('Paste Collapsed Miovision Count'!G95:G98)</f>
        <v>0</v>
      </c>
      <c r="H20" s="62">
        <f>SUM('Paste Collapsed Miovision Count'!H95:H98)</f>
        <v>0</v>
      </c>
      <c r="I20" s="62">
        <f>SUM('Paste Collapsed Miovision Count'!I95:I98)</f>
        <v>0</v>
      </c>
      <c r="J20" s="62">
        <f>SUM('Paste Collapsed Miovision Count'!J95:J98)</f>
        <v>0</v>
      </c>
      <c r="K20" s="62">
        <f>SUM('Paste Collapsed Miovision Count'!K95:K98)</f>
        <v>0</v>
      </c>
      <c r="L20" s="62">
        <f>SUM('Paste Collapsed Miovision Count'!L95:L98)</f>
        <v>0</v>
      </c>
      <c r="M20" s="62">
        <f>SUM('Paste Collapsed Miovision Count'!M95:M98)</f>
        <v>0</v>
      </c>
      <c r="N20" s="62">
        <f>SUM('Paste Collapsed Miovision Count'!N95:N98)</f>
        <v>0</v>
      </c>
      <c r="O20" s="62">
        <f>SUM('Paste Collapsed Miovision Count'!O95:O98)</f>
        <v>0</v>
      </c>
      <c r="P20" s="62">
        <f>SUM('Paste Collapsed Miovision Count'!P95:P98)</f>
        <v>0</v>
      </c>
      <c r="Q20" s="62">
        <f>SUM('Paste Collapsed Miovision Count'!Q95:Q98)</f>
        <v>0</v>
      </c>
      <c r="R20" s="62">
        <f>SUM('Paste Collapsed Miovision Count'!R95:R98)</f>
        <v>0</v>
      </c>
      <c r="S20" s="62">
        <f>SUM('Paste Collapsed Miovision Count'!S95:S98)</f>
        <v>0</v>
      </c>
      <c r="T20" s="62">
        <f>SUM('Paste Collapsed Miovision Count'!T95:T98)</f>
        <v>0</v>
      </c>
      <c r="U20" s="62">
        <f>SUM('Paste Collapsed Miovision Count'!U95:U98)</f>
        <v>0</v>
      </c>
      <c r="V20" s="62">
        <f>SUM('Paste Collapsed Miovision Count'!V95:V98)</f>
        <v>0</v>
      </c>
      <c r="W20" s="65">
        <f t="shared" si="0"/>
        <v>0</v>
      </c>
    </row>
    <row r="21" spans="1:23" ht="16.5" thickBot="1" x14ac:dyDescent="0.3">
      <c r="A21" s="280" t="s">
        <v>179</v>
      </c>
      <c r="B21" s="281"/>
      <c r="C21" s="66">
        <f>SUM(C5:C20)</f>
        <v>0</v>
      </c>
      <c r="D21" s="67">
        <f t="shared" ref="D21:U21" si="2">SUM(D5:D20)</f>
        <v>0</v>
      </c>
      <c r="E21" s="67">
        <f t="shared" si="2"/>
        <v>0</v>
      </c>
      <c r="F21" s="67">
        <f t="shared" si="2"/>
        <v>0</v>
      </c>
      <c r="G21" s="68">
        <f>SUM(C21:F21)</f>
        <v>0</v>
      </c>
      <c r="H21" s="66">
        <f t="shared" si="2"/>
        <v>0</v>
      </c>
      <c r="I21" s="67">
        <f t="shared" si="2"/>
        <v>0</v>
      </c>
      <c r="J21" s="67">
        <f t="shared" si="2"/>
        <v>0</v>
      </c>
      <c r="K21" s="67">
        <f t="shared" si="2"/>
        <v>0</v>
      </c>
      <c r="L21" s="68">
        <f>SUM(H21:K21)</f>
        <v>0</v>
      </c>
      <c r="M21" s="66">
        <f t="shared" si="2"/>
        <v>0</v>
      </c>
      <c r="N21" s="67">
        <f t="shared" si="2"/>
        <v>0</v>
      </c>
      <c r="O21" s="67">
        <f t="shared" si="2"/>
        <v>0</v>
      </c>
      <c r="P21" s="67">
        <f t="shared" si="2"/>
        <v>0</v>
      </c>
      <c r="Q21" s="68">
        <f>SUM(M21:P21)</f>
        <v>0</v>
      </c>
      <c r="R21" s="66">
        <f t="shared" si="2"/>
        <v>0</v>
      </c>
      <c r="S21" s="67">
        <f t="shared" si="2"/>
        <v>0</v>
      </c>
      <c r="T21" s="67">
        <f t="shared" si="2"/>
        <v>0</v>
      </c>
      <c r="U21" s="67">
        <f t="shared" si="2"/>
        <v>0</v>
      </c>
      <c r="V21" s="68">
        <f>SUM(R21:U21)</f>
        <v>0</v>
      </c>
      <c r="W21" s="69">
        <f>SUM(W5:W20)</f>
        <v>0</v>
      </c>
    </row>
  </sheetData>
  <mergeCells count="20">
    <mergeCell ref="A1:W1"/>
    <mergeCell ref="A2:B2"/>
    <mergeCell ref="C2:D2"/>
    <mergeCell ref="F2:G2"/>
    <mergeCell ref="H2:I2"/>
    <mergeCell ref="K2:L2"/>
    <mergeCell ref="M2:N2"/>
    <mergeCell ref="P2:Q2"/>
    <mergeCell ref="R2:S2"/>
    <mergeCell ref="U2:V2"/>
    <mergeCell ref="C3:G3"/>
    <mergeCell ref="H3:L3"/>
    <mergeCell ref="M3:Q3"/>
    <mergeCell ref="R3:V3"/>
    <mergeCell ref="A4:B4"/>
    <mergeCell ref="A5:A8"/>
    <mergeCell ref="A9:A12"/>
    <mergeCell ref="A13:A20"/>
    <mergeCell ref="A21:B21"/>
    <mergeCell ref="A3:B3"/>
  </mergeCells>
  <conditionalFormatting sqref="B5 C5:V20">
    <cfRule type="containsBlanks" dxfId="0" priority="1">
      <formula>LEN(TRIM(B5))=0</formula>
    </cfRule>
  </conditionalFormatting>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V103"/>
  <sheetViews>
    <sheetView zoomScaleNormal="100" workbookViewId="0">
      <selection activeCell="A27" sqref="A27"/>
    </sheetView>
  </sheetViews>
  <sheetFormatPr defaultRowHeight="15" x14ac:dyDescent="0.25"/>
  <cols>
    <col min="1" max="2" width="10.85546875" bestFit="1" customWidth="1"/>
    <col min="6" max="6" width="10.140625" bestFit="1" customWidth="1"/>
    <col min="7" max="7" width="7.28515625" bestFit="1" customWidth="1"/>
    <col min="8" max="8" width="7.42578125" bestFit="1" customWidth="1"/>
    <col min="9" max="9" width="7.28515625" bestFit="1" customWidth="1"/>
    <col min="10" max="10" width="13.28515625" bestFit="1" customWidth="1"/>
    <col min="11" max="11" width="10.85546875" bestFit="1" customWidth="1"/>
    <col min="12" max="12" width="12.28515625" customWidth="1"/>
    <col min="14" max="15" width="14" customWidth="1"/>
    <col min="16" max="16" width="19.85546875" customWidth="1"/>
  </cols>
  <sheetData>
    <row r="1" spans="1:22" x14ac:dyDescent="0.25">
      <c r="A1" t="s">
        <v>191</v>
      </c>
      <c r="B1" t="s">
        <v>192</v>
      </c>
      <c r="C1" t="s">
        <v>193</v>
      </c>
      <c r="D1" t="s">
        <v>194</v>
      </c>
      <c r="E1" t="s">
        <v>195</v>
      </c>
      <c r="F1" t="s">
        <v>113</v>
      </c>
      <c r="G1" t="s">
        <v>114</v>
      </c>
      <c r="H1" t="s">
        <v>196</v>
      </c>
      <c r="I1" t="s">
        <v>197</v>
      </c>
      <c r="J1" t="s">
        <v>198</v>
      </c>
      <c r="K1" t="s">
        <v>199</v>
      </c>
      <c r="L1" t="s">
        <v>200</v>
      </c>
      <c r="N1" t="s">
        <v>201</v>
      </c>
      <c r="P1" t="s">
        <v>202</v>
      </c>
      <c r="Q1" t="s">
        <v>203</v>
      </c>
      <c r="R1" t="s">
        <v>204</v>
      </c>
      <c r="T1" t="s">
        <v>205</v>
      </c>
    </row>
    <row r="2" spans="1:22" x14ac:dyDescent="0.25">
      <c r="A2" t="s">
        <v>50</v>
      </c>
      <c r="B2" t="s">
        <v>3</v>
      </c>
      <c r="C2" t="s">
        <v>65</v>
      </c>
      <c r="D2">
        <v>3</v>
      </c>
      <c r="E2" t="s">
        <v>6</v>
      </c>
      <c r="F2" t="s">
        <v>206</v>
      </c>
      <c r="G2" t="s">
        <v>6</v>
      </c>
      <c r="H2" t="str">
        <f>"0%"</f>
        <v>0%</v>
      </c>
      <c r="I2" t="s">
        <v>3</v>
      </c>
      <c r="J2" t="s">
        <v>85</v>
      </c>
      <c r="K2" t="s">
        <v>207</v>
      </c>
      <c r="L2" s="19">
        <v>1</v>
      </c>
      <c r="M2" s="19">
        <v>0.67</v>
      </c>
      <c r="N2" s="26">
        <v>0</v>
      </c>
      <c r="O2" s="19">
        <v>1</v>
      </c>
      <c r="P2" s="19" t="s">
        <v>54</v>
      </c>
      <c r="Q2" s="19">
        <v>0.5</v>
      </c>
      <c r="R2" s="19">
        <v>0.5</v>
      </c>
      <c r="T2">
        <v>1</v>
      </c>
    </row>
    <row r="3" spans="1:22" x14ac:dyDescent="0.25">
      <c r="A3" t="s">
        <v>208</v>
      </c>
      <c r="B3" t="s">
        <v>6</v>
      </c>
      <c r="C3" t="s">
        <v>209</v>
      </c>
      <c r="D3" t="s">
        <v>210</v>
      </c>
      <c r="E3" s="6" t="str">
        <f>"70%"</f>
        <v>70%</v>
      </c>
      <c r="F3" t="s">
        <v>187</v>
      </c>
      <c r="G3" t="s">
        <v>211</v>
      </c>
      <c r="H3" t="str">
        <f>"50%"</f>
        <v>50%</v>
      </c>
      <c r="J3" t="s">
        <v>212</v>
      </c>
      <c r="K3" t="s">
        <v>3</v>
      </c>
      <c r="L3" s="19">
        <v>2</v>
      </c>
      <c r="M3" s="19">
        <v>0.91</v>
      </c>
      <c r="N3" s="26">
        <v>0.02</v>
      </c>
      <c r="O3" s="19">
        <v>1.0900000000000001</v>
      </c>
      <c r="P3" s="19" t="s">
        <v>213</v>
      </c>
      <c r="Q3" s="19">
        <v>0.75</v>
      </c>
      <c r="R3" s="19">
        <v>0.75</v>
      </c>
      <c r="T3" t="s">
        <v>214</v>
      </c>
    </row>
    <row r="4" spans="1:22" x14ac:dyDescent="0.25">
      <c r="A4" t="s">
        <v>215</v>
      </c>
      <c r="E4" s="6" t="str">
        <f>"100%"</f>
        <v>100%</v>
      </c>
      <c r="G4" t="s">
        <v>216</v>
      </c>
      <c r="H4" t="str">
        <f>"100%"</f>
        <v>100%</v>
      </c>
      <c r="J4" t="s">
        <v>217</v>
      </c>
      <c r="K4" t="s">
        <v>6</v>
      </c>
      <c r="L4" s="19" t="s">
        <v>218</v>
      </c>
      <c r="M4" s="19">
        <v>1</v>
      </c>
      <c r="N4" s="26">
        <v>0.04</v>
      </c>
      <c r="O4" s="19">
        <v>1.19</v>
      </c>
      <c r="P4" s="19" t="s">
        <v>219</v>
      </c>
      <c r="Q4" s="19">
        <v>1</v>
      </c>
      <c r="R4" s="19">
        <v>1</v>
      </c>
      <c r="T4" t="s">
        <v>220</v>
      </c>
    </row>
    <row r="5" spans="1:22" x14ac:dyDescent="0.25">
      <c r="A5" t="s">
        <v>221</v>
      </c>
      <c r="G5" t="s">
        <v>222</v>
      </c>
      <c r="J5" t="s">
        <v>94</v>
      </c>
      <c r="L5" s="19" t="s">
        <v>223</v>
      </c>
      <c r="M5" s="19">
        <v>1.18</v>
      </c>
      <c r="N5" s="19" t="s">
        <v>224</v>
      </c>
      <c r="O5" s="19">
        <v>1.32</v>
      </c>
      <c r="P5" s="19" t="s">
        <v>225</v>
      </c>
      <c r="Q5" s="19">
        <v>2.2999999999999998</v>
      </c>
      <c r="R5" s="19">
        <v>1.1499999999999999</v>
      </c>
      <c r="T5" t="s">
        <v>226</v>
      </c>
    </row>
    <row r="6" spans="1:22" x14ac:dyDescent="0.25">
      <c r="G6" t="s">
        <v>227</v>
      </c>
      <c r="J6" t="s">
        <v>228</v>
      </c>
      <c r="L6" s="19" t="s">
        <v>229</v>
      </c>
      <c r="M6" s="19">
        <v>1.25</v>
      </c>
      <c r="P6" s="19" t="s">
        <v>230</v>
      </c>
      <c r="Q6" s="19">
        <v>2.7</v>
      </c>
      <c r="R6" s="19">
        <v>1.35</v>
      </c>
      <c r="T6">
        <v>2</v>
      </c>
    </row>
    <row r="7" spans="1:22" x14ac:dyDescent="0.25">
      <c r="J7" t="s">
        <v>231</v>
      </c>
      <c r="L7" s="19" t="s">
        <v>232</v>
      </c>
      <c r="M7" s="19">
        <v>1.33</v>
      </c>
      <c r="P7" s="19" t="s">
        <v>233</v>
      </c>
      <c r="Q7" s="19">
        <v>3.28</v>
      </c>
      <c r="R7" s="19">
        <v>1.64</v>
      </c>
      <c r="T7" t="s">
        <v>234</v>
      </c>
    </row>
    <row r="8" spans="1:22" x14ac:dyDescent="0.25">
      <c r="P8" s="19" t="s">
        <v>235</v>
      </c>
      <c r="Q8" s="19">
        <v>4.18</v>
      </c>
      <c r="R8" s="19">
        <v>2.09</v>
      </c>
      <c r="T8">
        <v>3</v>
      </c>
    </row>
    <row r="11" spans="1:22" ht="15.75" thickBot="1" x14ac:dyDescent="0.3">
      <c r="A11" s="172" t="s">
        <v>236</v>
      </c>
      <c r="B11" s="172"/>
      <c r="C11" s="172"/>
      <c r="D11" s="172"/>
      <c r="E11" s="172"/>
      <c r="F11" s="172"/>
      <c r="G11" s="172"/>
      <c r="H11" s="172"/>
      <c r="I11" s="172"/>
      <c r="J11" s="172"/>
      <c r="K11" s="172"/>
      <c r="L11" s="172"/>
      <c r="M11" s="172"/>
      <c r="N11" s="172"/>
      <c r="O11" s="172"/>
      <c r="P11" s="172"/>
      <c r="Q11" s="172"/>
    </row>
    <row r="12" spans="1:22" ht="15.75" thickBot="1" x14ac:dyDescent="0.3">
      <c r="B12" s="296">
        <v>0.7</v>
      </c>
      <c r="C12" s="297"/>
      <c r="D12" s="297"/>
      <c r="E12" s="297"/>
      <c r="F12" s="297"/>
      <c r="G12" s="297"/>
      <c r="H12" s="297"/>
      <c r="I12" s="298"/>
      <c r="J12" s="296">
        <v>1</v>
      </c>
      <c r="K12" s="297"/>
      <c r="L12" s="297"/>
      <c r="M12" s="297"/>
      <c r="N12" s="297"/>
      <c r="O12" s="297"/>
      <c r="P12" s="297"/>
      <c r="Q12" s="298"/>
      <c r="T12" s="299">
        <v>70</v>
      </c>
      <c r="U12" t="s">
        <v>237</v>
      </c>
      <c r="V12" t="s">
        <v>238</v>
      </c>
    </row>
    <row r="13" spans="1:22" x14ac:dyDescent="0.25">
      <c r="A13" s="103"/>
      <c r="B13" s="123" t="s">
        <v>237</v>
      </c>
      <c r="D13" s="124" t="s">
        <v>239</v>
      </c>
      <c r="F13" s="124" t="s">
        <v>240</v>
      </c>
      <c r="H13" s="124" t="s">
        <v>241</v>
      </c>
      <c r="I13" s="113"/>
      <c r="J13" s="123" t="s">
        <v>237</v>
      </c>
      <c r="L13" s="124" t="s">
        <v>239</v>
      </c>
      <c r="N13" s="124" t="s">
        <v>240</v>
      </c>
      <c r="P13" s="124" t="s">
        <v>241</v>
      </c>
      <c r="Q13" s="113"/>
      <c r="T13" s="299"/>
      <c r="U13" t="s">
        <v>239</v>
      </c>
      <c r="V13" t="s">
        <v>242</v>
      </c>
    </row>
    <row r="14" spans="1:22" x14ac:dyDescent="0.25">
      <c r="A14" s="104" t="s">
        <v>78</v>
      </c>
      <c r="B14" s="107" t="s">
        <v>79</v>
      </c>
      <c r="D14" s="21" t="s">
        <v>79</v>
      </c>
      <c r="F14" s="21" t="s">
        <v>79</v>
      </c>
      <c r="H14" s="21" t="s">
        <v>79</v>
      </c>
      <c r="I14" s="113"/>
      <c r="J14" s="107" t="s">
        <v>79</v>
      </c>
      <c r="L14" s="21" t="s">
        <v>79</v>
      </c>
      <c r="N14" s="21" t="s">
        <v>79</v>
      </c>
      <c r="P14" s="21" t="s">
        <v>79</v>
      </c>
      <c r="Q14" s="113"/>
      <c r="T14" s="299"/>
      <c r="U14" t="s">
        <v>240</v>
      </c>
      <c r="V14" t="s">
        <v>242</v>
      </c>
    </row>
    <row r="15" spans="1:22" x14ac:dyDescent="0.25">
      <c r="A15" s="105">
        <f>IF(MAX(Worksheet!U6:U21)&gt;Sheet3!A16, MAX(Worksheet!U6:U21) + 100, Sheet3!A16)</f>
        <v>1400</v>
      </c>
      <c r="B15" s="108">
        <v>60</v>
      </c>
      <c r="D15" s="22">
        <v>60</v>
      </c>
      <c r="F15" s="141">
        <v>80</v>
      </c>
      <c r="H15" s="22">
        <v>80</v>
      </c>
      <c r="I15" s="113"/>
      <c r="J15" s="117">
        <v>80</v>
      </c>
      <c r="L15" s="141">
        <v>80</v>
      </c>
      <c r="N15" s="22">
        <v>115</v>
      </c>
      <c r="P15" s="22">
        <v>115</v>
      </c>
      <c r="Q15" s="113"/>
      <c r="T15" s="299"/>
      <c r="U15" t="s">
        <v>241</v>
      </c>
      <c r="V15" t="s">
        <v>243</v>
      </c>
    </row>
    <row r="16" spans="1:22" x14ac:dyDescent="0.25">
      <c r="A16" s="106">
        <v>1400</v>
      </c>
      <c r="B16" s="108">
        <v>60</v>
      </c>
      <c r="D16" s="23">
        <v>60</v>
      </c>
      <c r="F16" s="141">
        <v>80</v>
      </c>
      <c r="H16" s="23">
        <v>80</v>
      </c>
      <c r="I16" s="113"/>
      <c r="J16" s="108">
        <v>80</v>
      </c>
      <c r="L16" s="141">
        <f t="shared" ref="L16:L26" si="0">ROUNDUP(0.000247*(A16^2) - 0.7566*A16 + 654.7,0)</f>
        <v>80</v>
      </c>
      <c r="N16" s="23">
        <v>115</v>
      </c>
      <c r="P16" s="23">
        <v>115</v>
      </c>
      <c r="Q16" s="113"/>
      <c r="T16" s="299">
        <v>100</v>
      </c>
      <c r="U16" t="s">
        <v>237</v>
      </c>
      <c r="V16" t="s">
        <v>244</v>
      </c>
    </row>
    <row r="17" spans="1:22" x14ac:dyDescent="0.25">
      <c r="A17" s="106">
        <v>1300</v>
      </c>
      <c r="B17" s="108">
        <v>60</v>
      </c>
      <c r="D17" s="22">
        <v>60</v>
      </c>
      <c r="F17" s="141">
        <v>80</v>
      </c>
      <c r="H17" s="23">
        <v>80</v>
      </c>
      <c r="I17" s="113"/>
      <c r="J17" s="108">
        <v>80</v>
      </c>
      <c r="L17" s="141">
        <f t="shared" si="0"/>
        <v>89</v>
      </c>
      <c r="M17" s="150" t="s">
        <v>245</v>
      </c>
      <c r="N17" s="141">
        <v>115</v>
      </c>
      <c r="P17" s="141">
        <v>115</v>
      </c>
      <c r="Q17" s="113"/>
      <c r="T17" s="299"/>
      <c r="U17" t="s">
        <v>239</v>
      </c>
      <c r="V17" t="s">
        <v>246</v>
      </c>
    </row>
    <row r="18" spans="1:22" x14ac:dyDescent="0.25">
      <c r="A18" s="106">
        <v>1200</v>
      </c>
      <c r="B18" s="108">
        <v>60</v>
      </c>
      <c r="D18" s="23">
        <v>60</v>
      </c>
      <c r="F18" s="141">
        <v>80</v>
      </c>
      <c r="H18" s="23">
        <v>80</v>
      </c>
      <c r="I18" s="113"/>
      <c r="J18" s="108">
        <v>80</v>
      </c>
      <c r="L18" s="141">
        <f t="shared" si="0"/>
        <v>103</v>
      </c>
      <c r="M18" s="150" t="s">
        <v>245</v>
      </c>
      <c r="N18" s="141">
        <v>115</v>
      </c>
      <c r="P18" s="141">
        <f t="shared" ref="P18:P25" si="1">ROUNDUP(0.000315*A18^2 - 0.9941*A18 + 875.6,0)</f>
        <v>137</v>
      </c>
      <c r="Q18" s="114" t="s">
        <v>245</v>
      </c>
      <c r="T18" s="299"/>
      <c r="U18" t="s">
        <v>240</v>
      </c>
      <c r="V18" t="s">
        <v>246</v>
      </c>
    </row>
    <row r="19" spans="1:22" x14ac:dyDescent="0.25">
      <c r="A19" s="106">
        <v>1100</v>
      </c>
      <c r="B19" s="108">
        <v>60</v>
      </c>
      <c r="D19" s="22">
        <v>60</v>
      </c>
      <c r="F19" s="141">
        <v>80</v>
      </c>
      <c r="H19" s="23">
        <v>80</v>
      </c>
      <c r="I19" s="113"/>
      <c r="J19" s="108">
        <v>80</v>
      </c>
      <c r="L19" s="141">
        <f t="shared" si="0"/>
        <v>122</v>
      </c>
      <c r="M19" s="150" t="s">
        <v>245</v>
      </c>
      <c r="N19" s="141">
        <v>122</v>
      </c>
      <c r="O19" s="150" t="s">
        <v>245</v>
      </c>
      <c r="P19" s="141">
        <f t="shared" si="1"/>
        <v>164</v>
      </c>
      <c r="Q19" s="114" t="s">
        <v>245</v>
      </c>
      <c r="T19" s="299"/>
      <c r="U19" t="s">
        <v>241</v>
      </c>
      <c r="V19" t="s">
        <v>247</v>
      </c>
    </row>
    <row r="20" spans="1:22" x14ac:dyDescent="0.25">
      <c r="A20" s="106">
        <v>1000</v>
      </c>
      <c r="B20" s="108">
        <v>60</v>
      </c>
      <c r="D20" s="23">
        <v>60</v>
      </c>
      <c r="F20" s="141">
        <v>80</v>
      </c>
      <c r="H20" s="23">
        <v>80</v>
      </c>
      <c r="I20" s="113"/>
      <c r="J20" s="109">
        <f t="shared" ref="J20:J26" si="2">ROUNDUP((0.0003*A20^2) -( 0.7722*A20) + 572.22,0)</f>
        <v>101</v>
      </c>
      <c r="K20" s="150" t="s">
        <v>245</v>
      </c>
      <c r="L20" s="141">
        <f t="shared" si="0"/>
        <v>146</v>
      </c>
      <c r="M20" s="150" t="s">
        <v>245</v>
      </c>
      <c r="N20" s="141">
        <v>146</v>
      </c>
      <c r="O20" s="150" t="s">
        <v>245</v>
      </c>
      <c r="P20" s="141">
        <f t="shared" si="1"/>
        <v>197</v>
      </c>
      <c r="Q20" s="114" t="s">
        <v>245</v>
      </c>
    </row>
    <row r="21" spans="1:22" x14ac:dyDescent="0.25">
      <c r="A21" s="106">
        <v>900</v>
      </c>
      <c r="B21" s="108">
        <v>60</v>
      </c>
      <c r="D21" s="141">
        <f t="shared" ref="D21:D27" si="3">ROUNDUP((0.0004*A21^2) - (0.8125*A21) + 473.69,0)</f>
        <v>67</v>
      </c>
      <c r="E21" s="150" t="s">
        <v>245</v>
      </c>
      <c r="F21" s="141">
        <v>80</v>
      </c>
      <c r="H21" s="23">
        <v>80</v>
      </c>
      <c r="I21" s="113"/>
      <c r="J21" s="109">
        <f t="shared" si="2"/>
        <v>121</v>
      </c>
      <c r="K21" s="150" t="s">
        <v>245</v>
      </c>
      <c r="L21" s="141">
        <f t="shared" si="0"/>
        <v>174</v>
      </c>
      <c r="M21" s="150" t="s">
        <v>245</v>
      </c>
      <c r="N21" s="141">
        <v>174</v>
      </c>
      <c r="O21" s="150" t="s">
        <v>245</v>
      </c>
      <c r="P21" s="141">
        <f t="shared" si="1"/>
        <v>237</v>
      </c>
      <c r="Q21" s="114" t="s">
        <v>245</v>
      </c>
      <c r="U21">
        <v>480</v>
      </c>
      <c r="V21">
        <f>(0.000415*U21^2)-(0.7559*U21)+394.89</f>
        <v>127.67399999999998</v>
      </c>
    </row>
    <row r="22" spans="1:22" x14ac:dyDescent="0.25">
      <c r="A22" s="106">
        <v>800</v>
      </c>
      <c r="B22" s="108">
        <v>60</v>
      </c>
      <c r="D22" s="141">
        <f t="shared" si="3"/>
        <v>80</v>
      </c>
      <c r="E22" s="150" t="s">
        <v>245</v>
      </c>
      <c r="F22" s="141">
        <v>80</v>
      </c>
      <c r="H22" s="141">
        <f>ROUNDUP((0.00047*A22^2) - (1.0164*A22) + 620.14,0)</f>
        <v>108</v>
      </c>
      <c r="I22" s="114" t="s">
        <v>245</v>
      </c>
      <c r="J22" s="109">
        <f t="shared" si="2"/>
        <v>147</v>
      </c>
      <c r="K22" s="150" t="s">
        <v>245</v>
      </c>
      <c r="L22" s="141">
        <f t="shared" si="0"/>
        <v>208</v>
      </c>
      <c r="M22" s="150" t="s">
        <v>245</v>
      </c>
      <c r="N22" s="141">
        <v>208</v>
      </c>
      <c r="O22" s="150" t="s">
        <v>245</v>
      </c>
      <c r="P22" s="141">
        <f t="shared" si="1"/>
        <v>282</v>
      </c>
      <c r="Q22" s="114" t="s">
        <v>245</v>
      </c>
      <c r="U22">
        <v>480</v>
      </c>
      <c r="V22">
        <f>(0.0004*U22^2) - (0.8125*U22) + 473.69</f>
        <v>175.85000000000002</v>
      </c>
    </row>
    <row r="23" spans="1:22" x14ac:dyDescent="0.25">
      <c r="A23" s="106">
        <v>700</v>
      </c>
      <c r="B23" s="109">
        <f>ROUNDUP((0.000415*A23^2)-(0.7559*A23)+394.89,0)</f>
        <v>70</v>
      </c>
      <c r="C23" s="150" t="s">
        <v>245</v>
      </c>
      <c r="D23" s="141">
        <f t="shared" si="3"/>
        <v>101</v>
      </c>
      <c r="E23" s="150" t="s">
        <v>245</v>
      </c>
      <c r="F23" s="141">
        <v>101</v>
      </c>
      <c r="G23" s="150" t="s">
        <v>245</v>
      </c>
      <c r="H23" s="141">
        <f>ROUNDUP((0.00047*A23^2) - (1.0164*A23) + 620.14,0)</f>
        <v>139</v>
      </c>
      <c r="I23" s="114" t="s">
        <v>245</v>
      </c>
      <c r="J23" s="109">
        <f t="shared" si="2"/>
        <v>179</v>
      </c>
      <c r="K23" s="150" t="s">
        <v>245</v>
      </c>
      <c r="L23" s="141">
        <f t="shared" si="0"/>
        <v>247</v>
      </c>
      <c r="M23" s="150" t="s">
        <v>245</v>
      </c>
      <c r="N23" s="141">
        <v>247</v>
      </c>
      <c r="O23" s="150" t="s">
        <v>245</v>
      </c>
      <c r="P23" s="141">
        <f t="shared" si="1"/>
        <v>335</v>
      </c>
      <c r="Q23" s="114" t="s">
        <v>245</v>
      </c>
      <c r="U23">
        <v>480</v>
      </c>
      <c r="V23">
        <f>(0.00047*U23^2) - (1.0164*U23) + 620.14</f>
        <v>240.55600000000004</v>
      </c>
    </row>
    <row r="24" spans="1:22" x14ac:dyDescent="0.25">
      <c r="A24" s="106">
        <v>600</v>
      </c>
      <c r="B24" s="109">
        <f t="shared" ref="B24:B25" si="4">ROUNDUP((0.000415*A24^2)-(0.7559*A24)+394.89,0)</f>
        <v>91</v>
      </c>
      <c r="C24" s="150" t="s">
        <v>245</v>
      </c>
      <c r="D24" s="141">
        <f t="shared" si="3"/>
        <v>131</v>
      </c>
      <c r="E24" s="150" t="s">
        <v>245</v>
      </c>
      <c r="F24" s="141">
        <v>131</v>
      </c>
      <c r="G24" s="150" t="s">
        <v>245</v>
      </c>
      <c r="H24" s="141">
        <f>ROUNDUP((0.00047*A24^2) - (1.0164*A24) + 620.14,0)</f>
        <v>180</v>
      </c>
      <c r="I24" s="114" t="s">
        <v>245</v>
      </c>
      <c r="J24" s="109">
        <f t="shared" si="2"/>
        <v>217</v>
      </c>
      <c r="K24" s="150" t="s">
        <v>245</v>
      </c>
      <c r="L24" s="141">
        <f t="shared" si="0"/>
        <v>290</v>
      </c>
      <c r="M24" s="150" t="s">
        <v>245</v>
      </c>
      <c r="N24" s="141">
        <v>290</v>
      </c>
      <c r="O24" s="150" t="s">
        <v>245</v>
      </c>
      <c r="P24" s="141">
        <f t="shared" si="1"/>
        <v>393</v>
      </c>
      <c r="Q24" s="114" t="s">
        <v>245</v>
      </c>
    </row>
    <row r="25" spans="1:22" x14ac:dyDescent="0.25">
      <c r="A25" s="106">
        <v>500</v>
      </c>
      <c r="B25" s="109">
        <f t="shared" si="4"/>
        <v>121</v>
      </c>
      <c r="C25" s="150" t="s">
        <v>245</v>
      </c>
      <c r="D25" s="141">
        <f t="shared" si="3"/>
        <v>168</v>
      </c>
      <c r="E25" s="150" t="s">
        <v>245</v>
      </c>
      <c r="F25" s="141">
        <v>168</v>
      </c>
      <c r="G25" s="150" t="s">
        <v>245</v>
      </c>
      <c r="H25" s="141">
        <f>ROUNDUP((0.00047*A25^2) - (1.0164*A25) + 620.14,0)</f>
        <v>230</v>
      </c>
      <c r="I25" s="114" t="s">
        <v>245</v>
      </c>
      <c r="J25" s="109">
        <f t="shared" si="2"/>
        <v>262</v>
      </c>
      <c r="K25" s="150" t="s">
        <v>245</v>
      </c>
      <c r="L25" s="141">
        <f t="shared" si="0"/>
        <v>339</v>
      </c>
      <c r="M25" s="150" t="s">
        <v>245</v>
      </c>
      <c r="N25" s="141">
        <v>339</v>
      </c>
      <c r="O25" s="150" t="s">
        <v>245</v>
      </c>
      <c r="P25" s="141">
        <f t="shared" si="1"/>
        <v>458</v>
      </c>
      <c r="Q25" s="114" t="s">
        <v>245</v>
      </c>
    </row>
    <row r="26" spans="1:22" x14ac:dyDescent="0.25">
      <c r="A26" s="106">
        <v>400</v>
      </c>
      <c r="B26" s="109">
        <f>ROUNDUP((0.000415*A26^2)-(0.7559*A26)+394.89,0)</f>
        <v>159</v>
      </c>
      <c r="C26" s="150" t="s">
        <v>245</v>
      </c>
      <c r="D26" s="141">
        <f t="shared" si="3"/>
        <v>213</v>
      </c>
      <c r="E26" s="150" t="s">
        <v>245</v>
      </c>
      <c r="F26" s="141">
        <v>213</v>
      </c>
      <c r="G26" s="150" t="s">
        <v>245</v>
      </c>
      <c r="H26" s="141">
        <f>ROUNDUP((0.00047*A26^2) - (1.0164*A26) + 620.14,0)</f>
        <v>289</v>
      </c>
      <c r="I26" s="114" t="s">
        <v>245</v>
      </c>
      <c r="J26" s="109">
        <f t="shared" si="2"/>
        <v>312</v>
      </c>
      <c r="K26" s="150" t="s">
        <v>245</v>
      </c>
      <c r="L26" s="141">
        <f t="shared" si="0"/>
        <v>392</v>
      </c>
      <c r="M26" s="150" t="s">
        <v>245</v>
      </c>
      <c r="N26" s="141">
        <v>392</v>
      </c>
      <c r="O26" s="150" t="s">
        <v>245</v>
      </c>
      <c r="P26" s="141"/>
      <c r="Q26" s="113"/>
    </row>
    <row r="27" spans="1:22" ht="15.75" thickBot="1" x14ac:dyDescent="0.3">
      <c r="A27" s="106">
        <v>300</v>
      </c>
      <c r="B27" s="110">
        <f>ROUNDUP((0.000415*A27^2)-(0.7559*A27)+394.89,0)</f>
        <v>206</v>
      </c>
      <c r="C27" s="115" t="s">
        <v>245</v>
      </c>
      <c r="D27" s="111">
        <f t="shared" si="3"/>
        <v>266</v>
      </c>
      <c r="E27" s="115" t="s">
        <v>245</v>
      </c>
      <c r="F27" s="111">
        <v>266</v>
      </c>
      <c r="G27" s="115" t="s">
        <v>245</v>
      </c>
      <c r="H27" s="111"/>
      <c r="I27" s="116"/>
      <c r="J27" s="110"/>
      <c r="K27" s="112"/>
      <c r="L27" s="111"/>
      <c r="M27" s="112"/>
      <c r="N27" s="111"/>
      <c r="O27" s="112"/>
      <c r="P27" s="111"/>
      <c r="Q27" s="118"/>
    </row>
    <row r="28" spans="1:22" ht="15.75" customHeight="1" x14ac:dyDescent="0.25"/>
    <row r="30" spans="1:22" ht="15.75" thickBot="1" x14ac:dyDescent="0.3">
      <c r="A30" s="172" t="s">
        <v>248</v>
      </c>
      <c r="B30" s="172"/>
      <c r="C30" s="172"/>
      <c r="D30" s="172"/>
      <c r="E30" s="172"/>
      <c r="F30" s="172"/>
      <c r="G30" s="172"/>
      <c r="H30" s="172"/>
      <c r="I30" s="172"/>
      <c r="J30" s="172"/>
      <c r="K30" s="172"/>
      <c r="L30" s="172"/>
      <c r="M30" s="172"/>
      <c r="N30" s="172"/>
      <c r="O30" s="172"/>
      <c r="P30" s="172"/>
      <c r="Q30" s="172"/>
    </row>
    <row r="31" spans="1:22" ht="15.75" thickBot="1" x14ac:dyDescent="0.3">
      <c r="B31" s="296">
        <v>0.7</v>
      </c>
      <c r="C31" s="297"/>
      <c r="D31" s="297"/>
      <c r="E31" s="297"/>
      <c r="F31" s="297"/>
      <c r="G31" s="297"/>
      <c r="H31" s="297"/>
      <c r="I31" s="298"/>
      <c r="J31" s="296">
        <v>1</v>
      </c>
      <c r="K31" s="297"/>
      <c r="L31" s="297"/>
      <c r="M31" s="297"/>
      <c r="N31" s="297"/>
      <c r="O31" s="297"/>
      <c r="P31" s="297"/>
      <c r="Q31" s="298"/>
    </row>
    <row r="32" spans="1:22" x14ac:dyDescent="0.25">
      <c r="A32" s="103"/>
      <c r="B32" s="123" t="s">
        <v>237</v>
      </c>
      <c r="D32" s="124" t="s">
        <v>239</v>
      </c>
      <c r="F32" s="124" t="s">
        <v>240</v>
      </c>
      <c r="H32" s="124" t="s">
        <v>241</v>
      </c>
      <c r="I32" s="113"/>
      <c r="J32" s="123" t="s">
        <v>237</v>
      </c>
      <c r="L32" s="124" t="s">
        <v>239</v>
      </c>
      <c r="N32" s="124" t="s">
        <v>240</v>
      </c>
      <c r="P32" s="124" t="s">
        <v>241</v>
      </c>
      <c r="Q32" s="113"/>
    </row>
    <row r="33" spans="1:22" ht="15.75" thickBot="1" x14ac:dyDescent="0.3">
      <c r="A33" s="104" t="s">
        <v>78</v>
      </c>
      <c r="B33" s="107" t="s">
        <v>79</v>
      </c>
      <c r="D33" s="21" t="s">
        <v>79</v>
      </c>
      <c r="F33" s="21" t="s">
        <v>79</v>
      </c>
      <c r="H33" s="21" t="s">
        <v>79</v>
      </c>
      <c r="I33" s="113"/>
      <c r="J33" s="107" t="s">
        <v>79</v>
      </c>
      <c r="L33" s="21" t="s">
        <v>79</v>
      </c>
      <c r="N33" s="21" t="s">
        <v>79</v>
      </c>
      <c r="P33" s="21" t="s">
        <v>79</v>
      </c>
      <c r="Q33" s="113"/>
    </row>
    <row r="34" spans="1:22" ht="15.75" thickBot="1" x14ac:dyDescent="0.3">
      <c r="A34" s="128">
        <f>IF(Worksheet!AX14="",#N/A,IF(Worksheet!AX14&gt;Sheet3!A35, Worksheet!AX14 + 100, Sheet3!A35))</f>
        <v>1800</v>
      </c>
      <c r="B34" s="125">
        <v>75</v>
      </c>
      <c r="D34" s="14">
        <v>75</v>
      </c>
      <c r="F34" s="14">
        <v>100</v>
      </c>
      <c r="H34" s="14">
        <v>100</v>
      </c>
      <c r="I34" s="113"/>
      <c r="J34" s="125">
        <v>100</v>
      </c>
      <c r="L34" s="14">
        <v>100</v>
      </c>
      <c r="N34" s="14">
        <v>150</v>
      </c>
      <c r="P34" s="14">
        <v>150</v>
      </c>
      <c r="Q34" s="113"/>
      <c r="T34" s="299">
        <v>70</v>
      </c>
      <c r="U34" t="s">
        <v>237</v>
      </c>
      <c r="V34" t="s">
        <v>249</v>
      </c>
    </row>
    <row r="35" spans="1:22" ht="15.75" thickBot="1" x14ac:dyDescent="0.3">
      <c r="A35" s="128">
        <v>1800</v>
      </c>
      <c r="B35" s="125">
        <v>75</v>
      </c>
      <c r="D35" s="14">
        <v>75</v>
      </c>
      <c r="F35" s="14">
        <v>100</v>
      </c>
      <c r="H35" s="14">
        <v>100</v>
      </c>
      <c r="I35" s="113"/>
      <c r="J35" s="125">
        <v>100</v>
      </c>
      <c r="L35" s="14">
        <v>100</v>
      </c>
      <c r="N35" s="14">
        <v>150</v>
      </c>
      <c r="P35" s="14">
        <v>150</v>
      </c>
      <c r="Q35" s="113"/>
      <c r="T35" s="299"/>
      <c r="U35" t="s">
        <v>239</v>
      </c>
      <c r="V35" t="s">
        <v>250</v>
      </c>
    </row>
    <row r="36" spans="1:22" ht="15.75" thickBot="1" x14ac:dyDescent="0.3">
      <c r="A36" s="128">
        <v>1700</v>
      </c>
      <c r="B36" s="125">
        <v>75</v>
      </c>
      <c r="D36" s="14">
        <v>75</v>
      </c>
      <c r="F36" s="14">
        <v>100</v>
      </c>
      <c r="H36" s="14">
        <v>100</v>
      </c>
      <c r="I36" s="113"/>
      <c r="J36" s="125">
        <v>100</v>
      </c>
      <c r="L36" s="14">
        <f t="shared" ref="L36:L47" si="5">ROUNDUP(0.0001593*A36^2 - 0.695*A36 + 820.6,0)</f>
        <v>100</v>
      </c>
      <c r="N36" s="14">
        <v>150</v>
      </c>
      <c r="P36" s="14">
        <f t="shared" ref="P36:P47" si="6">ROUNDUP(0.000208*A36^2 - 0.8841*A36 + 1051.4,0)</f>
        <v>150</v>
      </c>
      <c r="Q36" s="113"/>
      <c r="T36" s="299"/>
      <c r="U36" t="s">
        <v>240</v>
      </c>
    </row>
    <row r="37" spans="1:22" ht="15.75" thickBot="1" x14ac:dyDescent="0.3">
      <c r="A37" s="128">
        <v>1600</v>
      </c>
      <c r="B37" s="125">
        <v>75</v>
      </c>
      <c r="D37" s="14">
        <v>75</v>
      </c>
      <c r="F37" s="14">
        <v>100</v>
      </c>
      <c r="H37" s="14">
        <v>100</v>
      </c>
      <c r="I37" s="113"/>
      <c r="J37" s="125">
        <v>100</v>
      </c>
      <c r="L37" s="14">
        <f t="shared" si="5"/>
        <v>117</v>
      </c>
      <c r="M37" s="150" t="s">
        <v>245</v>
      </c>
      <c r="N37" s="14">
        <v>150</v>
      </c>
      <c r="P37" s="14">
        <f t="shared" si="6"/>
        <v>170</v>
      </c>
      <c r="Q37" s="114" t="s">
        <v>245</v>
      </c>
      <c r="T37" s="299"/>
      <c r="U37" t="s">
        <v>241</v>
      </c>
      <c r="V37" t="s">
        <v>251</v>
      </c>
    </row>
    <row r="38" spans="1:22" ht="15.75" thickBot="1" x14ac:dyDescent="0.3">
      <c r="A38" s="128">
        <v>1500</v>
      </c>
      <c r="B38" s="125">
        <v>75</v>
      </c>
      <c r="D38" s="14">
        <v>75</v>
      </c>
      <c r="F38" s="14">
        <v>100</v>
      </c>
      <c r="H38" s="14">
        <v>100</v>
      </c>
      <c r="I38" s="113"/>
      <c r="J38" s="125">
        <f t="shared" ref="J38:J48" si="7">ROUNDUP(0.000221*A38^2 - 0.7603*A38 + 743.98,0)</f>
        <v>101</v>
      </c>
      <c r="K38" s="150" t="s">
        <v>245</v>
      </c>
      <c r="L38" s="14">
        <f t="shared" si="5"/>
        <v>137</v>
      </c>
      <c r="M38" s="150" t="s">
        <v>245</v>
      </c>
      <c r="N38" s="14">
        <v>150</v>
      </c>
      <c r="P38" s="14">
        <f t="shared" si="6"/>
        <v>194</v>
      </c>
      <c r="Q38" s="114" t="s">
        <v>245</v>
      </c>
      <c r="T38" s="299">
        <v>100</v>
      </c>
      <c r="U38" t="s">
        <v>237</v>
      </c>
      <c r="V38" t="s">
        <v>252</v>
      </c>
    </row>
    <row r="39" spans="1:22" ht="15.75" thickBot="1" x14ac:dyDescent="0.3">
      <c r="A39" s="128">
        <v>1400</v>
      </c>
      <c r="B39" s="125">
        <v>75</v>
      </c>
      <c r="D39" s="14">
        <v>75</v>
      </c>
      <c r="F39" s="14">
        <v>100</v>
      </c>
      <c r="H39" s="14">
        <v>100</v>
      </c>
      <c r="I39" s="113"/>
      <c r="J39" s="125">
        <f t="shared" si="7"/>
        <v>113</v>
      </c>
      <c r="K39" s="150" t="s">
        <v>245</v>
      </c>
      <c r="L39" s="14">
        <f t="shared" si="5"/>
        <v>160</v>
      </c>
      <c r="M39" s="150" t="s">
        <v>245</v>
      </c>
      <c r="N39" s="14">
        <v>160</v>
      </c>
      <c r="O39" s="150" t="s">
        <v>245</v>
      </c>
      <c r="P39" s="14">
        <f t="shared" si="6"/>
        <v>222</v>
      </c>
      <c r="Q39" s="114" t="s">
        <v>245</v>
      </c>
      <c r="T39" s="299"/>
      <c r="U39" t="s">
        <v>239</v>
      </c>
      <c r="V39" t="s">
        <v>253</v>
      </c>
    </row>
    <row r="40" spans="1:22" ht="15.75" thickBot="1" x14ac:dyDescent="0.3">
      <c r="A40" s="128">
        <v>1300</v>
      </c>
      <c r="B40" s="125">
        <v>75</v>
      </c>
      <c r="D40" s="14">
        <v>75</v>
      </c>
      <c r="F40" s="14">
        <v>100</v>
      </c>
      <c r="H40" s="14">
        <v>100</v>
      </c>
      <c r="I40" s="113"/>
      <c r="J40" s="125">
        <f t="shared" si="7"/>
        <v>130</v>
      </c>
      <c r="K40" s="150" t="s">
        <v>245</v>
      </c>
      <c r="L40" s="14">
        <f t="shared" si="5"/>
        <v>187</v>
      </c>
      <c r="M40" s="150" t="s">
        <v>245</v>
      </c>
      <c r="N40" s="14">
        <v>187</v>
      </c>
      <c r="O40" s="150" t="s">
        <v>245</v>
      </c>
      <c r="P40" s="14">
        <f t="shared" si="6"/>
        <v>254</v>
      </c>
      <c r="Q40" s="114" t="s">
        <v>245</v>
      </c>
      <c r="T40" s="299"/>
      <c r="U40" t="s">
        <v>240</v>
      </c>
    </row>
    <row r="41" spans="1:22" ht="15.75" thickBot="1" x14ac:dyDescent="0.3">
      <c r="A41" s="128">
        <v>1200</v>
      </c>
      <c r="B41" s="125">
        <v>75</v>
      </c>
      <c r="D41" s="14">
        <f t="shared" ref="D41:D49" si="8">ROUNDUP(0.000267*A41^2 - 0.7431*A41 + 590.64,0)</f>
        <v>84</v>
      </c>
      <c r="E41" s="150" t="s">
        <v>245</v>
      </c>
      <c r="F41" s="14">
        <v>100</v>
      </c>
      <c r="H41" s="14">
        <f t="shared" ref="H41:H48" si="9">ROUNDUP(0.000295*A41^2 - 0.8872*A41 + 740.15,0)</f>
        <v>101</v>
      </c>
      <c r="I41" s="114" t="s">
        <v>245</v>
      </c>
      <c r="J41" s="125">
        <f t="shared" si="7"/>
        <v>150</v>
      </c>
      <c r="K41" s="150" t="s">
        <v>245</v>
      </c>
      <c r="L41" s="14">
        <f t="shared" si="5"/>
        <v>216</v>
      </c>
      <c r="M41" s="150" t="s">
        <v>245</v>
      </c>
      <c r="N41" s="14">
        <v>216</v>
      </c>
      <c r="O41" s="150" t="s">
        <v>245</v>
      </c>
      <c r="P41" s="14">
        <f t="shared" si="6"/>
        <v>290</v>
      </c>
      <c r="Q41" s="114" t="s">
        <v>245</v>
      </c>
      <c r="T41" s="299"/>
      <c r="U41" t="s">
        <v>241</v>
      </c>
      <c r="V41" t="s">
        <v>254</v>
      </c>
    </row>
    <row r="42" spans="1:22" ht="15.75" thickBot="1" x14ac:dyDescent="0.3">
      <c r="A42" s="128">
        <v>1100</v>
      </c>
      <c r="B42" s="125">
        <v>75</v>
      </c>
      <c r="D42" s="14">
        <f t="shared" si="8"/>
        <v>97</v>
      </c>
      <c r="E42" s="150" t="s">
        <v>245</v>
      </c>
      <c r="F42" s="14">
        <v>100</v>
      </c>
      <c r="H42" s="14">
        <f t="shared" si="9"/>
        <v>122</v>
      </c>
      <c r="I42" s="114" t="s">
        <v>245</v>
      </c>
      <c r="J42" s="125">
        <f t="shared" si="7"/>
        <v>176</v>
      </c>
      <c r="K42" s="150" t="s">
        <v>245</v>
      </c>
      <c r="L42" s="14">
        <f t="shared" si="5"/>
        <v>249</v>
      </c>
      <c r="M42" s="150" t="s">
        <v>245</v>
      </c>
      <c r="N42" s="14">
        <v>249</v>
      </c>
      <c r="O42" s="150" t="s">
        <v>245</v>
      </c>
      <c r="P42" s="14">
        <f t="shared" si="6"/>
        <v>331</v>
      </c>
      <c r="Q42" s="114" t="s">
        <v>245</v>
      </c>
    </row>
    <row r="43" spans="1:22" ht="15.75" thickBot="1" x14ac:dyDescent="0.3">
      <c r="A43" s="128">
        <v>1000</v>
      </c>
      <c r="B43" s="125">
        <f t="shared" ref="B43:B48" si="10">ROUNDUP(0.0003*A43^2 - 0.7208*A43 + 500.18,0)</f>
        <v>80</v>
      </c>
      <c r="C43" s="150" t="s">
        <v>245</v>
      </c>
      <c r="D43" s="14">
        <f t="shared" si="8"/>
        <v>115</v>
      </c>
      <c r="E43" s="150" t="s">
        <v>245</v>
      </c>
      <c r="F43" s="14">
        <v>115</v>
      </c>
      <c r="G43" s="150" t="s">
        <v>245</v>
      </c>
      <c r="H43" s="14">
        <f t="shared" si="9"/>
        <v>148</v>
      </c>
      <c r="I43" s="114" t="s">
        <v>245</v>
      </c>
      <c r="J43" s="125">
        <f t="shared" si="7"/>
        <v>205</v>
      </c>
      <c r="K43" s="150" t="s">
        <v>245</v>
      </c>
      <c r="L43" s="14">
        <f t="shared" si="5"/>
        <v>285</v>
      </c>
      <c r="M43" s="150" t="s">
        <v>245</v>
      </c>
      <c r="N43" s="14">
        <v>285</v>
      </c>
      <c r="O43" s="150" t="s">
        <v>245</v>
      </c>
      <c r="P43" s="14">
        <f t="shared" si="6"/>
        <v>376</v>
      </c>
      <c r="Q43" s="114" t="s">
        <v>245</v>
      </c>
    </row>
    <row r="44" spans="1:22" ht="15.75" thickBot="1" x14ac:dyDescent="0.3">
      <c r="A44" s="128">
        <v>900</v>
      </c>
      <c r="B44" s="125">
        <f t="shared" si="10"/>
        <v>95</v>
      </c>
      <c r="C44" s="150" t="s">
        <v>245</v>
      </c>
      <c r="D44" s="14">
        <f t="shared" si="8"/>
        <v>139</v>
      </c>
      <c r="E44" s="150" t="s">
        <v>245</v>
      </c>
      <c r="F44" s="14">
        <v>139</v>
      </c>
      <c r="G44" s="150" t="s">
        <v>245</v>
      </c>
      <c r="H44" s="14">
        <f t="shared" si="9"/>
        <v>181</v>
      </c>
      <c r="I44" s="114" t="s">
        <v>245</v>
      </c>
      <c r="J44" s="125">
        <f t="shared" si="7"/>
        <v>239</v>
      </c>
      <c r="K44" s="150" t="s">
        <v>245</v>
      </c>
      <c r="L44" s="14">
        <f t="shared" si="5"/>
        <v>325</v>
      </c>
      <c r="M44" s="150" t="s">
        <v>245</v>
      </c>
      <c r="N44" s="14">
        <v>325</v>
      </c>
      <c r="O44" s="150" t="s">
        <v>245</v>
      </c>
      <c r="P44" s="14">
        <f t="shared" si="6"/>
        <v>425</v>
      </c>
      <c r="Q44" s="114" t="s">
        <v>245</v>
      </c>
    </row>
    <row r="45" spans="1:22" ht="15.75" thickBot="1" x14ac:dyDescent="0.3">
      <c r="A45" s="128">
        <v>800</v>
      </c>
      <c r="B45" s="125">
        <f t="shared" si="10"/>
        <v>116</v>
      </c>
      <c r="C45" s="150" t="s">
        <v>245</v>
      </c>
      <c r="D45" s="14">
        <f t="shared" si="8"/>
        <v>168</v>
      </c>
      <c r="E45" s="150" t="s">
        <v>245</v>
      </c>
      <c r="F45" s="14">
        <v>168</v>
      </c>
      <c r="G45" s="150" t="s">
        <v>245</v>
      </c>
      <c r="H45" s="14">
        <f t="shared" si="9"/>
        <v>220</v>
      </c>
      <c r="I45" s="114" t="s">
        <v>245</v>
      </c>
      <c r="J45" s="125">
        <f t="shared" si="7"/>
        <v>278</v>
      </c>
      <c r="K45" s="150" t="s">
        <v>245</v>
      </c>
      <c r="L45" s="14">
        <f t="shared" si="5"/>
        <v>367</v>
      </c>
      <c r="M45" s="150" t="s">
        <v>245</v>
      </c>
      <c r="N45" s="14">
        <v>367</v>
      </c>
      <c r="O45" s="150" t="s">
        <v>245</v>
      </c>
      <c r="P45" s="14">
        <f t="shared" si="6"/>
        <v>478</v>
      </c>
      <c r="Q45" s="114" t="s">
        <v>245</v>
      </c>
    </row>
    <row r="46" spans="1:22" ht="15.75" thickBot="1" x14ac:dyDescent="0.3">
      <c r="A46" s="128">
        <v>700</v>
      </c>
      <c r="B46" s="125">
        <f t="shared" si="10"/>
        <v>143</v>
      </c>
      <c r="C46" s="150" t="s">
        <v>245</v>
      </c>
      <c r="D46" s="14">
        <f t="shared" si="8"/>
        <v>202</v>
      </c>
      <c r="E46" s="150" t="s">
        <v>245</v>
      </c>
      <c r="F46" s="14">
        <v>202</v>
      </c>
      <c r="G46" s="150" t="s">
        <v>245</v>
      </c>
      <c r="H46" s="14">
        <f t="shared" si="9"/>
        <v>264</v>
      </c>
      <c r="I46" s="114" t="s">
        <v>245</v>
      </c>
      <c r="J46" s="125">
        <f t="shared" si="7"/>
        <v>321</v>
      </c>
      <c r="K46" s="150" t="s">
        <v>245</v>
      </c>
      <c r="L46" s="14">
        <f t="shared" si="5"/>
        <v>413</v>
      </c>
      <c r="M46" s="150" t="s">
        <v>245</v>
      </c>
      <c r="N46" s="14">
        <v>413</v>
      </c>
      <c r="O46" s="150" t="s">
        <v>245</v>
      </c>
      <c r="P46" s="14">
        <f t="shared" si="6"/>
        <v>535</v>
      </c>
      <c r="Q46" s="114" t="s">
        <v>245</v>
      </c>
    </row>
    <row r="47" spans="1:22" ht="15.75" thickBot="1" x14ac:dyDescent="0.3">
      <c r="A47" s="128">
        <v>600</v>
      </c>
      <c r="B47" s="125">
        <f t="shared" si="10"/>
        <v>176</v>
      </c>
      <c r="C47" s="150" t="s">
        <v>245</v>
      </c>
      <c r="D47" s="14">
        <f t="shared" si="8"/>
        <v>241</v>
      </c>
      <c r="E47" s="150" t="s">
        <v>245</v>
      </c>
      <c r="F47" s="14">
        <v>241</v>
      </c>
      <c r="G47" s="150" t="s">
        <v>245</v>
      </c>
      <c r="H47" s="14">
        <f t="shared" si="9"/>
        <v>315</v>
      </c>
      <c r="I47" s="114" t="s">
        <v>245</v>
      </c>
      <c r="J47" s="125">
        <f t="shared" si="7"/>
        <v>368</v>
      </c>
      <c r="K47" s="150" t="s">
        <v>245</v>
      </c>
      <c r="L47" s="14">
        <f t="shared" si="5"/>
        <v>461</v>
      </c>
      <c r="M47" s="150" t="s">
        <v>245</v>
      </c>
      <c r="N47" s="14">
        <v>461</v>
      </c>
      <c r="O47" s="150" t="s">
        <v>245</v>
      </c>
      <c r="P47" s="14">
        <f t="shared" si="6"/>
        <v>596</v>
      </c>
      <c r="Q47" s="114" t="s">
        <v>245</v>
      </c>
    </row>
    <row r="48" spans="1:22" ht="15.75" thickBot="1" x14ac:dyDescent="0.3">
      <c r="A48" s="129">
        <v>500</v>
      </c>
      <c r="B48" s="125">
        <f t="shared" si="10"/>
        <v>215</v>
      </c>
      <c r="C48" s="150" t="s">
        <v>245</v>
      </c>
      <c r="D48" s="14">
        <f t="shared" si="8"/>
        <v>286</v>
      </c>
      <c r="E48" s="150" t="s">
        <v>245</v>
      </c>
      <c r="F48" s="14">
        <v>286</v>
      </c>
      <c r="G48" s="150" t="s">
        <v>245</v>
      </c>
      <c r="H48" s="14">
        <f t="shared" si="9"/>
        <v>371</v>
      </c>
      <c r="I48" s="114" t="s">
        <v>245</v>
      </c>
      <c r="J48" s="125">
        <f t="shared" si="7"/>
        <v>420</v>
      </c>
      <c r="K48" s="150" t="s">
        <v>245</v>
      </c>
      <c r="L48" s="16"/>
      <c r="N48" s="14"/>
      <c r="P48" s="16"/>
      <c r="Q48" s="113"/>
    </row>
    <row r="49" spans="1:19" ht="15.75" thickBot="1" x14ac:dyDescent="0.3">
      <c r="A49" s="129">
        <v>400</v>
      </c>
      <c r="B49" s="126">
        <f>ROUNDUP(0.0003*A49^2 - 0.7208*A49 + 500.18,0)</f>
        <v>260</v>
      </c>
      <c r="C49" s="115" t="s">
        <v>245</v>
      </c>
      <c r="D49" s="127">
        <f t="shared" si="8"/>
        <v>337</v>
      </c>
      <c r="E49" s="115" t="s">
        <v>245</v>
      </c>
      <c r="F49" s="127">
        <v>337</v>
      </c>
      <c r="G49" s="115" t="s">
        <v>245</v>
      </c>
      <c r="H49" s="127"/>
      <c r="I49" s="116"/>
      <c r="J49" s="126"/>
      <c r="K49" s="112"/>
      <c r="L49" s="127"/>
      <c r="M49" s="112"/>
      <c r="N49" s="127"/>
      <c r="O49" s="112"/>
      <c r="P49" s="127"/>
      <c r="Q49" s="118"/>
    </row>
    <row r="52" spans="1:19" x14ac:dyDescent="0.25">
      <c r="A52" s="172" t="s">
        <v>255</v>
      </c>
      <c r="B52" s="172"/>
      <c r="C52" s="172"/>
      <c r="K52" s="172" t="s">
        <v>255</v>
      </c>
      <c r="L52" s="172"/>
      <c r="M52" s="172"/>
    </row>
    <row r="53" spans="1:19" ht="15.75" thickBot="1" x14ac:dyDescent="0.3">
      <c r="A53" t="s">
        <v>88</v>
      </c>
      <c r="B53" s="8">
        <v>0.7</v>
      </c>
      <c r="D53" s="8">
        <v>1</v>
      </c>
      <c r="F53" t="s">
        <v>256</v>
      </c>
      <c r="H53" t="s">
        <v>257</v>
      </c>
      <c r="K53" t="s">
        <v>89</v>
      </c>
      <c r="L53" s="8">
        <v>0.7</v>
      </c>
      <c r="N53" s="8">
        <v>1</v>
      </c>
      <c r="P53" t="s">
        <v>256</v>
      </c>
      <c r="R53" t="s">
        <v>257</v>
      </c>
    </row>
    <row r="54" spans="1:19" ht="15.75" thickBot="1" x14ac:dyDescent="0.3">
      <c r="A54" s="11" t="s">
        <v>78</v>
      </c>
      <c r="B54" s="12" t="s">
        <v>258</v>
      </c>
      <c r="D54" s="12" t="s">
        <v>258</v>
      </c>
      <c r="F54" s="12" t="s">
        <v>258</v>
      </c>
      <c r="H54" s="12" t="s">
        <v>258</v>
      </c>
      <c r="K54" s="11" t="s">
        <v>78</v>
      </c>
      <c r="L54" s="12" t="s">
        <v>258</v>
      </c>
      <c r="N54" s="12" t="s">
        <v>258</v>
      </c>
      <c r="P54" s="12" t="s">
        <v>258</v>
      </c>
      <c r="R54" s="12" t="s">
        <v>258</v>
      </c>
    </row>
    <row r="55" spans="1:19" ht="15.75" thickBot="1" x14ac:dyDescent="0.3">
      <c r="A55" s="17">
        <f>IF(MAX(Worksheet!AY24:AY27)="",#N/A,IF(MAX(Worksheet!AY24:AY27)&gt;Sheet3!A56, MAX(Worksheet!AY24:AY27) + 100, Sheet3!A56))</f>
        <v>1400</v>
      </c>
      <c r="B55" s="14">
        <v>75</v>
      </c>
      <c r="D55" s="14">
        <v>107</v>
      </c>
      <c r="F55" s="141">
        <f t="shared" ref="F55:F61" si="11">B55*0.8</f>
        <v>60</v>
      </c>
      <c r="H55" s="23">
        <f>ROUNDUP(D55*0.8,0)</f>
        <v>86</v>
      </c>
      <c r="K55" s="17">
        <f>IF(Worksheet!AY37="",#N/A,IF(Worksheet!AY37&gt;Sheet3!K56, Worksheet!AY37 + 100, Sheet3!K56))</f>
        <v>1800</v>
      </c>
      <c r="L55" s="14">
        <v>93</v>
      </c>
      <c r="N55" s="14">
        <v>133</v>
      </c>
      <c r="P55" s="141">
        <f t="shared" ref="P55:P62" si="12">ROUNDUP(L55*0.8,0)</f>
        <v>75</v>
      </c>
      <c r="R55" s="141">
        <f>ROUNDUP(N55*0.8,0)</f>
        <v>107</v>
      </c>
    </row>
    <row r="56" spans="1:19" ht="15.75" thickBot="1" x14ac:dyDescent="0.3">
      <c r="A56" s="13">
        <v>1400</v>
      </c>
      <c r="B56" s="14">
        <v>75</v>
      </c>
      <c r="D56" s="14">
        <v>107</v>
      </c>
      <c r="F56" s="141">
        <f t="shared" si="11"/>
        <v>60</v>
      </c>
      <c r="H56" s="23">
        <f>ROUNDUP(D56*0.8,0)</f>
        <v>86</v>
      </c>
      <c r="K56" s="13">
        <v>1800</v>
      </c>
      <c r="L56" s="14">
        <v>93</v>
      </c>
      <c r="N56" s="14">
        <v>133</v>
      </c>
      <c r="P56" s="141">
        <f t="shared" si="12"/>
        <v>75</v>
      </c>
      <c r="R56" s="141">
        <f>ROUNDUP(N56*0.8,0)</f>
        <v>107</v>
      </c>
    </row>
    <row r="57" spans="1:19" ht="15.75" thickBot="1" x14ac:dyDescent="0.3">
      <c r="A57" s="13">
        <v>1300</v>
      </c>
      <c r="B57" s="14">
        <v>75</v>
      </c>
      <c r="D57" s="14">
        <v>107</v>
      </c>
      <c r="F57" s="141">
        <f t="shared" si="11"/>
        <v>60</v>
      </c>
      <c r="H57" s="23">
        <f>ROUNDUP(D57*0.8,0)</f>
        <v>86</v>
      </c>
      <c r="K57" s="13">
        <v>1700</v>
      </c>
      <c r="L57" s="14">
        <v>93</v>
      </c>
      <c r="N57" s="14">
        <v>133</v>
      </c>
      <c r="P57" s="141">
        <f t="shared" si="12"/>
        <v>75</v>
      </c>
      <c r="R57" s="141">
        <f>ROUNDUP(N57*0.8,0)</f>
        <v>107</v>
      </c>
    </row>
    <row r="58" spans="1:19" ht="15.75" thickBot="1" x14ac:dyDescent="0.3">
      <c r="A58" s="13">
        <v>1200</v>
      </c>
      <c r="B58" s="14">
        <v>75</v>
      </c>
      <c r="D58" s="14">
        <v>107</v>
      </c>
      <c r="F58" s="141">
        <f t="shared" si="11"/>
        <v>60</v>
      </c>
      <c r="H58" s="23">
        <f>ROUNDUP(D58*0.8,0)</f>
        <v>86</v>
      </c>
      <c r="K58" s="13">
        <v>1600</v>
      </c>
      <c r="L58" s="14">
        <v>93</v>
      </c>
      <c r="N58" s="14">
        <v>133</v>
      </c>
      <c r="P58" s="141">
        <f t="shared" si="12"/>
        <v>75</v>
      </c>
      <c r="R58" s="141">
        <f>ROUNDUP(N58*0.8,0)</f>
        <v>107</v>
      </c>
    </row>
    <row r="59" spans="1:19" ht="15.75" thickBot="1" x14ac:dyDescent="0.3">
      <c r="A59" s="13">
        <v>1100</v>
      </c>
      <c r="B59" s="14">
        <v>75</v>
      </c>
      <c r="D59" s="14">
        <v>107</v>
      </c>
      <c r="F59" s="141">
        <f t="shared" si="11"/>
        <v>60</v>
      </c>
      <c r="H59" s="141">
        <f t="shared" ref="H59:H66" si="13">ROUNDUP((0.00033*A59^2 - 0.9248*A59 + 724.77)*0.8,0)</f>
        <v>86</v>
      </c>
      <c r="K59" s="13">
        <v>1500</v>
      </c>
      <c r="L59" s="14">
        <v>93</v>
      </c>
      <c r="N59" s="14">
        <v>133</v>
      </c>
      <c r="P59" s="141">
        <f t="shared" si="12"/>
        <v>75</v>
      </c>
      <c r="R59" s="141">
        <f t="shared" ref="R59:R70" si="14">ROUNDUP((0.0003175*K59^2 - 1.0729*K59 + 1027.9)*0.8,0)</f>
        <v>107</v>
      </c>
    </row>
    <row r="60" spans="1:19" ht="15.75" thickBot="1" x14ac:dyDescent="0.3">
      <c r="A60" s="13">
        <v>1000</v>
      </c>
      <c r="B60" s="14">
        <v>75</v>
      </c>
      <c r="D60" s="14">
        <v>125</v>
      </c>
      <c r="E60" s="150" t="s">
        <v>245</v>
      </c>
      <c r="F60" s="141">
        <f t="shared" si="11"/>
        <v>60</v>
      </c>
      <c r="H60" s="141">
        <f t="shared" si="13"/>
        <v>104</v>
      </c>
      <c r="I60" s="150" t="s">
        <v>245</v>
      </c>
      <c r="K60" s="13">
        <v>1400</v>
      </c>
      <c r="L60" s="14">
        <v>93</v>
      </c>
      <c r="N60" s="14">
        <v>150</v>
      </c>
      <c r="O60" s="150" t="s">
        <v>245</v>
      </c>
      <c r="P60" s="141">
        <f t="shared" si="12"/>
        <v>75</v>
      </c>
      <c r="R60" s="141">
        <f t="shared" si="14"/>
        <v>119</v>
      </c>
      <c r="S60" s="150" t="s">
        <v>245</v>
      </c>
    </row>
    <row r="61" spans="1:19" ht="15.75" thickBot="1" x14ac:dyDescent="0.3">
      <c r="A61" s="13">
        <v>900</v>
      </c>
      <c r="B61" s="14">
        <v>75</v>
      </c>
      <c r="D61" s="14">
        <v>156</v>
      </c>
      <c r="E61" s="150" t="s">
        <v>245</v>
      </c>
      <c r="F61" s="141">
        <f t="shared" si="11"/>
        <v>60</v>
      </c>
      <c r="H61" s="141">
        <f t="shared" si="13"/>
        <v>128</v>
      </c>
      <c r="I61" s="150" t="s">
        <v>245</v>
      </c>
      <c r="K61" s="13">
        <v>1300</v>
      </c>
      <c r="L61" s="14">
        <v>93</v>
      </c>
      <c r="N61" s="14">
        <v>171</v>
      </c>
      <c r="O61" s="150" t="s">
        <v>245</v>
      </c>
      <c r="P61" s="141">
        <f t="shared" si="12"/>
        <v>75</v>
      </c>
      <c r="R61" s="141">
        <f t="shared" si="14"/>
        <v>136</v>
      </c>
      <c r="S61" s="150" t="s">
        <v>245</v>
      </c>
    </row>
    <row r="62" spans="1:19" ht="15.75" thickBot="1" x14ac:dyDescent="0.3">
      <c r="A62" s="13">
        <v>800</v>
      </c>
      <c r="B62" s="14">
        <v>75</v>
      </c>
      <c r="D62" s="14">
        <v>193</v>
      </c>
      <c r="E62" s="150" t="s">
        <v>245</v>
      </c>
      <c r="F62" s="141">
        <f t="shared" ref="F62:F67" si="15">ROUNDUP((0.0004335*A62^2 - 0.8829*A62 + 503.43)*0.8,0)</f>
        <v>60</v>
      </c>
      <c r="H62" s="141">
        <f t="shared" si="13"/>
        <v>157</v>
      </c>
      <c r="I62" s="150" t="s">
        <v>245</v>
      </c>
      <c r="K62" s="13">
        <v>1200</v>
      </c>
      <c r="L62" s="14">
        <v>93</v>
      </c>
      <c r="N62" s="14">
        <v>199</v>
      </c>
      <c r="O62" s="150" t="s">
        <v>245</v>
      </c>
      <c r="P62" s="141">
        <f t="shared" si="12"/>
        <v>75</v>
      </c>
      <c r="R62" s="141">
        <f t="shared" si="14"/>
        <v>159</v>
      </c>
      <c r="S62" s="150" t="s">
        <v>245</v>
      </c>
    </row>
    <row r="63" spans="1:19" ht="15.75" thickBot="1" x14ac:dyDescent="0.3">
      <c r="A63" s="13">
        <v>700</v>
      </c>
      <c r="B63" s="14">
        <v>92</v>
      </c>
      <c r="C63" s="150" t="s">
        <v>245</v>
      </c>
      <c r="D63" s="14">
        <v>237</v>
      </c>
      <c r="E63" s="150" t="s">
        <v>245</v>
      </c>
      <c r="F63" s="141">
        <f t="shared" si="15"/>
        <v>79</v>
      </c>
      <c r="G63" s="150" t="s">
        <v>245</v>
      </c>
      <c r="H63" s="141">
        <f t="shared" si="13"/>
        <v>192</v>
      </c>
      <c r="I63" s="150" t="s">
        <v>245</v>
      </c>
      <c r="K63" s="13">
        <v>1100</v>
      </c>
      <c r="L63" s="14">
        <v>93</v>
      </c>
      <c r="N63" s="14">
        <v>233</v>
      </c>
      <c r="O63" s="150" t="s">
        <v>245</v>
      </c>
      <c r="P63" s="141">
        <f t="shared" ref="P63:P72" si="16">ROUNDUP((0.0003751*K63^2 - 0.9318*K63 + 663.69)*0.8,0)</f>
        <v>75</v>
      </c>
      <c r="R63" s="141">
        <f t="shared" si="14"/>
        <v>186</v>
      </c>
      <c r="S63" s="150" t="s">
        <v>245</v>
      </c>
    </row>
    <row r="64" spans="1:19" ht="15.75" thickBot="1" x14ac:dyDescent="0.3">
      <c r="A64" s="13">
        <v>600</v>
      </c>
      <c r="B64" s="14">
        <v>125</v>
      </c>
      <c r="C64" s="150" t="s">
        <v>245</v>
      </c>
      <c r="D64" s="14">
        <v>287</v>
      </c>
      <c r="E64" s="150" t="s">
        <v>245</v>
      </c>
      <c r="F64" s="141">
        <f t="shared" si="15"/>
        <v>104</v>
      </c>
      <c r="G64" s="150" t="s">
        <v>245</v>
      </c>
      <c r="H64" s="141">
        <f t="shared" si="13"/>
        <v>231</v>
      </c>
      <c r="I64" s="150" t="s">
        <v>245</v>
      </c>
      <c r="K64" s="13">
        <v>1000</v>
      </c>
      <c r="L64" s="14">
        <v>106</v>
      </c>
      <c r="M64" s="150" t="s">
        <v>245</v>
      </c>
      <c r="N64" s="14">
        <v>273</v>
      </c>
      <c r="O64" s="150" t="s">
        <v>245</v>
      </c>
      <c r="P64" s="141">
        <f t="shared" si="16"/>
        <v>86</v>
      </c>
      <c r="Q64" s="150" t="s">
        <v>245</v>
      </c>
      <c r="R64" s="141">
        <f t="shared" si="14"/>
        <v>218</v>
      </c>
      <c r="S64" s="150" t="s">
        <v>245</v>
      </c>
    </row>
    <row r="65" spans="1:19" ht="15.75" thickBot="1" x14ac:dyDescent="0.3">
      <c r="A65" s="13">
        <v>500</v>
      </c>
      <c r="B65" s="14">
        <v>167</v>
      </c>
      <c r="C65" s="150" t="s">
        <v>245</v>
      </c>
      <c r="D65" s="14">
        <v>344</v>
      </c>
      <c r="E65" s="150" t="s">
        <v>245</v>
      </c>
      <c r="F65" s="141">
        <f t="shared" si="15"/>
        <v>137</v>
      </c>
      <c r="G65" s="150" t="s">
        <v>245</v>
      </c>
      <c r="H65" s="141">
        <f t="shared" si="13"/>
        <v>276</v>
      </c>
      <c r="I65" s="150" t="s">
        <v>245</v>
      </c>
      <c r="K65" s="13">
        <v>900</v>
      </c>
      <c r="L65" s="14">
        <v>129</v>
      </c>
      <c r="M65" s="150" t="s">
        <v>245</v>
      </c>
      <c r="N65" s="14">
        <v>320</v>
      </c>
      <c r="O65" s="150" t="s">
        <v>245</v>
      </c>
      <c r="P65" s="141">
        <f t="shared" si="16"/>
        <v>104</v>
      </c>
      <c r="Q65" s="150" t="s">
        <v>245</v>
      </c>
      <c r="R65" s="141">
        <f t="shared" si="14"/>
        <v>256</v>
      </c>
      <c r="S65" s="150" t="s">
        <v>245</v>
      </c>
    </row>
    <row r="66" spans="1:19" ht="15.75" thickBot="1" x14ac:dyDescent="0.3">
      <c r="A66" s="15">
        <v>400</v>
      </c>
      <c r="B66" s="14">
        <v>218</v>
      </c>
      <c r="C66" s="150" t="s">
        <v>245</v>
      </c>
      <c r="D66" s="16">
        <v>407</v>
      </c>
      <c r="E66" s="150" t="s">
        <v>245</v>
      </c>
      <c r="F66" s="141">
        <f t="shared" si="15"/>
        <v>176</v>
      </c>
      <c r="G66" s="150" t="s">
        <v>245</v>
      </c>
      <c r="H66" s="141">
        <f t="shared" si="13"/>
        <v>327</v>
      </c>
      <c r="I66" s="150" t="s">
        <v>245</v>
      </c>
      <c r="K66" s="13">
        <v>800</v>
      </c>
      <c r="L66" s="14">
        <v>158</v>
      </c>
      <c r="M66" s="150" t="s">
        <v>245</v>
      </c>
      <c r="N66" s="14">
        <v>374</v>
      </c>
      <c r="O66" s="150" t="s">
        <v>245</v>
      </c>
      <c r="P66" s="141">
        <f t="shared" si="16"/>
        <v>127</v>
      </c>
      <c r="Q66" s="150" t="s">
        <v>245</v>
      </c>
      <c r="R66" s="141">
        <f t="shared" si="14"/>
        <v>299</v>
      </c>
      <c r="S66" s="150" t="s">
        <v>245</v>
      </c>
    </row>
    <row r="67" spans="1:19" ht="15.75" thickBot="1" x14ac:dyDescent="0.3">
      <c r="A67" s="15">
        <v>300</v>
      </c>
      <c r="B67" s="16">
        <v>277</v>
      </c>
      <c r="C67" s="150" t="s">
        <v>245</v>
      </c>
      <c r="D67" s="16"/>
      <c r="F67" s="141">
        <f t="shared" si="15"/>
        <v>223</v>
      </c>
      <c r="G67" s="150" t="s">
        <v>245</v>
      </c>
      <c r="H67" s="24"/>
      <c r="K67" s="13">
        <v>700</v>
      </c>
      <c r="L67" s="14">
        <v>195</v>
      </c>
      <c r="M67" s="150" t="s">
        <v>245</v>
      </c>
      <c r="N67" s="14">
        <v>433</v>
      </c>
      <c r="O67" s="150" t="s">
        <v>245</v>
      </c>
      <c r="P67" s="141">
        <f t="shared" si="16"/>
        <v>157</v>
      </c>
      <c r="Q67" s="150" t="s">
        <v>245</v>
      </c>
      <c r="R67" s="141">
        <f t="shared" si="14"/>
        <v>346</v>
      </c>
      <c r="S67" s="150" t="s">
        <v>245</v>
      </c>
    </row>
    <row r="68" spans="1:19" ht="15.75" thickBot="1" x14ac:dyDescent="0.3">
      <c r="K68" s="13">
        <v>600</v>
      </c>
      <c r="L68" s="14">
        <v>240</v>
      </c>
      <c r="M68" s="150" t="s">
        <v>245</v>
      </c>
      <c r="N68" s="14">
        <v>499</v>
      </c>
      <c r="O68" s="150" t="s">
        <v>245</v>
      </c>
      <c r="P68" s="141">
        <f t="shared" si="16"/>
        <v>192</v>
      </c>
      <c r="Q68" s="150" t="s">
        <v>245</v>
      </c>
      <c r="R68" s="141">
        <f t="shared" si="14"/>
        <v>399</v>
      </c>
      <c r="S68" s="150" t="s">
        <v>245</v>
      </c>
    </row>
    <row r="69" spans="1:19" ht="15.75" thickBot="1" x14ac:dyDescent="0.3">
      <c r="K69" s="13">
        <v>500</v>
      </c>
      <c r="L69" s="14">
        <v>292</v>
      </c>
      <c r="M69" s="150" t="s">
        <v>245</v>
      </c>
      <c r="N69" s="14">
        <v>571</v>
      </c>
      <c r="O69" s="150" t="s">
        <v>245</v>
      </c>
      <c r="P69" s="141">
        <f t="shared" si="16"/>
        <v>234</v>
      </c>
      <c r="Q69" s="150" t="s">
        <v>245</v>
      </c>
      <c r="R69" s="141">
        <f t="shared" si="14"/>
        <v>457</v>
      </c>
      <c r="S69" s="150" t="s">
        <v>245</v>
      </c>
    </row>
    <row r="70" spans="1:19" ht="15.75" thickBot="1" x14ac:dyDescent="0.3">
      <c r="B70" s="300">
        <v>70</v>
      </c>
      <c r="C70" s="150" t="s">
        <v>88</v>
      </c>
      <c r="D70" t="s">
        <v>259</v>
      </c>
      <c r="K70" s="15">
        <v>400</v>
      </c>
      <c r="L70" s="14">
        <v>351</v>
      </c>
      <c r="M70" s="150" t="s">
        <v>245</v>
      </c>
      <c r="N70" s="16">
        <v>650</v>
      </c>
      <c r="O70" s="150" t="s">
        <v>245</v>
      </c>
      <c r="P70" s="141">
        <f t="shared" si="16"/>
        <v>281</v>
      </c>
      <c r="Q70" s="150" t="s">
        <v>245</v>
      </c>
      <c r="R70" s="141">
        <f t="shared" si="14"/>
        <v>520</v>
      </c>
      <c r="S70" s="150" t="s">
        <v>245</v>
      </c>
    </row>
    <row r="71" spans="1:19" ht="15.75" thickBot="1" x14ac:dyDescent="0.3">
      <c r="B71" s="300"/>
      <c r="C71" s="150" t="s">
        <v>89</v>
      </c>
      <c r="D71" t="s">
        <v>260</v>
      </c>
      <c r="K71" s="15">
        <v>300</v>
      </c>
      <c r="L71" s="14">
        <v>418</v>
      </c>
      <c r="M71" s="150" t="s">
        <v>245</v>
      </c>
      <c r="N71" s="16"/>
      <c r="P71" s="141">
        <f t="shared" si="16"/>
        <v>335</v>
      </c>
      <c r="Q71" s="150" t="s">
        <v>245</v>
      </c>
      <c r="R71" s="24"/>
    </row>
    <row r="72" spans="1:19" ht="15.75" thickBot="1" x14ac:dyDescent="0.3">
      <c r="B72" s="299">
        <v>100</v>
      </c>
      <c r="C72" s="150" t="s">
        <v>88</v>
      </c>
      <c r="D72" t="s">
        <v>261</v>
      </c>
      <c r="K72" s="15">
        <v>250</v>
      </c>
      <c r="L72" s="16">
        <v>455</v>
      </c>
      <c r="M72" s="150" t="s">
        <v>245</v>
      </c>
      <c r="N72" s="16"/>
      <c r="P72" s="141">
        <f t="shared" si="16"/>
        <v>364</v>
      </c>
      <c r="Q72" s="150" t="s">
        <v>245</v>
      </c>
      <c r="R72" s="24"/>
    </row>
    <row r="73" spans="1:19" x14ac:dyDescent="0.25">
      <c r="B73" s="299"/>
      <c r="C73" s="150" t="s">
        <v>89</v>
      </c>
      <c r="D73" t="s">
        <v>262</v>
      </c>
    </row>
    <row r="78" spans="1:19" x14ac:dyDescent="0.25">
      <c r="A78" t="s">
        <v>263</v>
      </c>
    </row>
    <row r="79" spans="1:19" ht="15.75" thickBot="1" x14ac:dyDescent="0.3">
      <c r="A79" s="295" t="s">
        <v>264</v>
      </c>
      <c r="B79" s="295"/>
      <c r="C79" s="295"/>
      <c r="D79" s="295"/>
      <c r="E79" s="295"/>
      <c r="F79" s="295"/>
      <c r="G79" s="295"/>
    </row>
    <row r="80" spans="1:19" ht="26.25" thickBot="1" x14ac:dyDescent="0.3">
      <c r="B80" s="20" t="s">
        <v>265</v>
      </c>
      <c r="C80" s="20" t="s">
        <v>266</v>
      </c>
      <c r="D80" s="20" t="s">
        <v>267</v>
      </c>
      <c r="E80" s="20" t="s">
        <v>268</v>
      </c>
      <c r="F80" s="20" t="s">
        <v>269</v>
      </c>
      <c r="G80" s="20" t="s">
        <v>270</v>
      </c>
    </row>
    <row r="81" spans="1:7" ht="15.75" thickBot="1" x14ac:dyDescent="0.3">
      <c r="A81" s="11" t="s">
        <v>78</v>
      </c>
      <c r="B81" s="12" t="s">
        <v>79</v>
      </c>
      <c r="C81" s="12" t="s">
        <v>79</v>
      </c>
      <c r="D81" s="12" t="s">
        <v>79</v>
      </c>
      <c r="E81" s="12" t="s">
        <v>79</v>
      </c>
      <c r="F81" s="12" t="s">
        <v>79</v>
      </c>
      <c r="G81" s="12" t="s">
        <v>79</v>
      </c>
    </row>
    <row r="82" spans="1:7" ht="15.75" thickBot="1" x14ac:dyDescent="0.3">
      <c r="A82" s="13">
        <v>800</v>
      </c>
      <c r="B82" s="14">
        <v>25</v>
      </c>
      <c r="C82" s="14">
        <v>25</v>
      </c>
      <c r="D82" s="14">
        <v>25</v>
      </c>
      <c r="E82" s="14">
        <v>25</v>
      </c>
      <c r="F82" s="14">
        <v>25</v>
      </c>
      <c r="G82" s="14">
        <v>25</v>
      </c>
    </row>
    <row r="83" spans="1:7" ht="15.75" thickBot="1" x14ac:dyDescent="0.3">
      <c r="A83" s="13">
        <v>700</v>
      </c>
      <c r="B83" s="14">
        <v>25</v>
      </c>
      <c r="C83" s="14">
        <v>25</v>
      </c>
      <c r="D83" s="14">
        <v>25</v>
      </c>
      <c r="E83" s="14">
        <v>25</v>
      </c>
      <c r="F83" s="14">
        <v>25</v>
      </c>
      <c r="G83" s="14">
        <v>25</v>
      </c>
    </row>
    <row r="84" spans="1:7" ht="15.75" thickBot="1" x14ac:dyDescent="0.3">
      <c r="A84" s="13">
        <v>600</v>
      </c>
      <c r="B84" s="14">
        <v>25</v>
      </c>
      <c r="C84" s="14">
        <v>25</v>
      </c>
      <c r="D84" s="14">
        <v>25</v>
      </c>
      <c r="E84" s="14">
        <v>25</v>
      </c>
      <c r="F84" s="14">
        <v>25</v>
      </c>
      <c r="G84" s="14">
        <v>25</v>
      </c>
    </row>
    <row r="85" spans="1:7" ht="15.75" thickBot="1" x14ac:dyDescent="0.3">
      <c r="A85" s="13">
        <v>500</v>
      </c>
      <c r="B85" s="14">
        <v>25</v>
      </c>
      <c r="C85" s="14">
        <v>25</v>
      </c>
      <c r="D85" s="14">
        <v>25</v>
      </c>
      <c r="E85" s="14">
        <v>25</v>
      </c>
      <c r="F85" s="14">
        <v>25</v>
      </c>
      <c r="G85" s="14">
        <v>25</v>
      </c>
    </row>
    <row r="86" spans="1:7" ht="15.75" thickBot="1" x14ac:dyDescent="0.3">
      <c r="A86" s="13">
        <v>400</v>
      </c>
      <c r="B86" s="14">
        <v>45</v>
      </c>
      <c r="C86" s="14">
        <v>45</v>
      </c>
      <c r="D86" s="14">
        <v>45</v>
      </c>
      <c r="E86" s="14">
        <v>27</v>
      </c>
      <c r="F86" s="14">
        <v>25</v>
      </c>
      <c r="G86" s="14">
        <v>25</v>
      </c>
    </row>
    <row r="87" spans="1:7" ht="15.75" thickBot="1" x14ac:dyDescent="0.3">
      <c r="A87" s="13">
        <v>300</v>
      </c>
      <c r="B87" s="14">
        <v>60</v>
      </c>
      <c r="C87" s="14">
        <v>55</v>
      </c>
      <c r="D87" s="14">
        <v>55</v>
      </c>
      <c r="E87" s="14">
        <v>45</v>
      </c>
      <c r="F87" s="14">
        <v>25</v>
      </c>
      <c r="G87" s="14">
        <v>25</v>
      </c>
    </row>
    <row r="88" spans="1:7" ht="15.75" thickBot="1" x14ac:dyDescent="0.3">
      <c r="A88" s="13">
        <v>200</v>
      </c>
      <c r="B88" s="14">
        <v>140</v>
      </c>
      <c r="C88" s="14">
        <v>110</v>
      </c>
      <c r="D88" s="14">
        <v>100</v>
      </c>
      <c r="E88" s="14">
        <v>70</v>
      </c>
      <c r="F88" s="14">
        <v>25</v>
      </c>
      <c r="G88" s="14">
        <v>25</v>
      </c>
    </row>
    <row r="89" spans="1:7" ht="15.75" thickBot="1" x14ac:dyDescent="0.3">
      <c r="A89" s="13">
        <v>100</v>
      </c>
      <c r="B89" s="14">
        <v>190</v>
      </c>
      <c r="C89" s="14">
        <v>160</v>
      </c>
      <c r="D89" s="14">
        <v>145</v>
      </c>
      <c r="E89" s="14">
        <v>125</v>
      </c>
      <c r="F89" s="14">
        <v>50</v>
      </c>
      <c r="G89" s="14">
        <v>30</v>
      </c>
    </row>
    <row r="90" spans="1:7" ht="15.75" thickBot="1" x14ac:dyDescent="0.3">
      <c r="A90" s="15">
        <v>50</v>
      </c>
      <c r="B90" s="16">
        <v>225</v>
      </c>
      <c r="C90" s="16">
        <v>190</v>
      </c>
      <c r="D90" s="16">
        <v>160</v>
      </c>
      <c r="E90" s="16">
        <v>145</v>
      </c>
      <c r="F90" s="16">
        <v>70</v>
      </c>
      <c r="G90" s="16">
        <v>60</v>
      </c>
    </row>
    <row r="92" spans="1:7" ht="15.75" thickBot="1" x14ac:dyDescent="0.3">
      <c r="A92" s="295" t="s">
        <v>271</v>
      </c>
      <c r="B92" s="295"/>
      <c r="C92" s="295"/>
      <c r="D92" s="295"/>
      <c r="E92" s="295"/>
      <c r="F92" s="295"/>
      <c r="G92" s="295"/>
    </row>
    <row r="93" spans="1:7" ht="26.25" thickBot="1" x14ac:dyDescent="0.3">
      <c r="B93" s="20" t="s">
        <v>265</v>
      </c>
      <c r="C93" s="20" t="s">
        <v>266</v>
      </c>
      <c r="D93" s="20" t="s">
        <v>267</v>
      </c>
      <c r="E93" s="20" t="s">
        <v>268</v>
      </c>
      <c r="F93" s="20" t="s">
        <v>269</v>
      </c>
      <c r="G93" s="20" t="s">
        <v>270</v>
      </c>
    </row>
    <row r="94" spans="1:7" ht="15.75" thickBot="1" x14ac:dyDescent="0.3">
      <c r="A94" s="11" t="s">
        <v>78</v>
      </c>
      <c r="B94" s="12" t="s">
        <v>79</v>
      </c>
      <c r="C94" s="12" t="s">
        <v>79</v>
      </c>
      <c r="D94" s="12" t="s">
        <v>79</v>
      </c>
      <c r="E94" s="12" t="s">
        <v>79</v>
      </c>
      <c r="F94" s="12" t="s">
        <v>79</v>
      </c>
      <c r="G94" s="12" t="s">
        <v>79</v>
      </c>
    </row>
    <row r="95" spans="1:7" ht="15.75" thickBot="1" x14ac:dyDescent="0.3">
      <c r="A95" s="13">
        <v>800</v>
      </c>
      <c r="B95" s="14">
        <v>25</v>
      </c>
      <c r="C95" s="14">
        <v>25</v>
      </c>
      <c r="D95" s="14">
        <v>25</v>
      </c>
      <c r="E95" s="14">
        <v>25</v>
      </c>
      <c r="F95" s="14">
        <v>25</v>
      </c>
      <c r="G95" s="14">
        <v>25</v>
      </c>
    </row>
    <row r="96" spans="1:7" ht="15.75" thickBot="1" x14ac:dyDescent="0.3">
      <c r="A96" s="13">
        <v>700</v>
      </c>
      <c r="B96" s="14">
        <v>25</v>
      </c>
      <c r="C96" s="14">
        <v>25</v>
      </c>
      <c r="D96" s="14">
        <v>25</v>
      </c>
      <c r="E96" s="14">
        <v>25</v>
      </c>
      <c r="F96" s="14">
        <v>25</v>
      </c>
      <c r="G96" s="14">
        <v>25</v>
      </c>
    </row>
    <row r="97" spans="1:7" ht="15.75" thickBot="1" x14ac:dyDescent="0.3">
      <c r="A97" s="13">
        <v>600</v>
      </c>
      <c r="B97" s="14">
        <v>25</v>
      </c>
      <c r="C97" s="14">
        <v>25</v>
      </c>
      <c r="D97" s="14">
        <v>25</v>
      </c>
      <c r="E97" s="14">
        <v>25</v>
      </c>
      <c r="F97" s="14">
        <v>25</v>
      </c>
      <c r="G97" s="14">
        <v>25</v>
      </c>
    </row>
    <row r="98" spans="1:7" ht="15.75" thickBot="1" x14ac:dyDescent="0.3">
      <c r="A98" s="13">
        <v>500</v>
      </c>
      <c r="B98" s="14">
        <v>25</v>
      </c>
      <c r="C98" s="14">
        <v>25</v>
      </c>
      <c r="D98" s="14">
        <v>25</v>
      </c>
      <c r="E98" s="14">
        <v>25</v>
      </c>
      <c r="F98" s="14">
        <v>25</v>
      </c>
      <c r="G98" s="14">
        <v>25</v>
      </c>
    </row>
    <row r="99" spans="1:7" ht="15.75" thickBot="1" x14ac:dyDescent="0.3">
      <c r="A99" s="13">
        <v>400</v>
      </c>
      <c r="B99" s="14">
        <v>45</v>
      </c>
      <c r="C99" s="14">
        <v>45</v>
      </c>
      <c r="D99" s="14">
        <v>45</v>
      </c>
      <c r="E99" s="14">
        <v>27</v>
      </c>
      <c r="F99" s="14">
        <v>25</v>
      </c>
      <c r="G99" s="14">
        <v>25</v>
      </c>
    </row>
    <row r="100" spans="1:7" ht="15.75" thickBot="1" x14ac:dyDescent="0.3">
      <c r="A100" s="13">
        <v>300</v>
      </c>
      <c r="B100" s="14">
        <v>145</v>
      </c>
      <c r="C100" s="14">
        <v>125</v>
      </c>
      <c r="D100" s="14">
        <v>80</v>
      </c>
      <c r="E100" s="14">
        <v>50</v>
      </c>
      <c r="F100" s="14">
        <v>25</v>
      </c>
      <c r="G100" s="14">
        <v>25</v>
      </c>
    </row>
    <row r="101" spans="1:7" ht="15.75" thickBot="1" x14ac:dyDescent="0.3">
      <c r="A101" s="13">
        <v>200</v>
      </c>
      <c r="B101" s="14">
        <v>220</v>
      </c>
      <c r="C101" s="14">
        <v>200</v>
      </c>
      <c r="D101" s="14">
        <v>150</v>
      </c>
      <c r="E101" s="14">
        <v>75</v>
      </c>
      <c r="F101" s="14">
        <v>25</v>
      </c>
      <c r="G101" s="14">
        <v>25</v>
      </c>
    </row>
    <row r="102" spans="1:7" ht="15.75" thickBot="1" x14ac:dyDescent="0.3">
      <c r="A102" s="13">
        <v>100</v>
      </c>
      <c r="B102" s="14">
        <v>325</v>
      </c>
      <c r="C102" s="14">
        <v>260</v>
      </c>
      <c r="D102" s="14">
        <v>225</v>
      </c>
      <c r="E102" s="14">
        <v>190</v>
      </c>
      <c r="F102" s="14">
        <v>45</v>
      </c>
      <c r="G102" s="14">
        <v>30</v>
      </c>
    </row>
    <row r="103" spans="1:7" ht="15.75" thickBot="1" x14ac:dyDescent="0.3">
      <c r="A103" s="15">
        <v>50</v>
      </c>
      <c r="B103" s="16"/>
      <c r="C103" s="16"/>
      <c r="D103" s="16"/>
      <c r="E103" s="16"/>
      <c r="F103" s="16">
        <v>75</v>
      </c>
      <c r="G103" s="16">
        <v>60</v>
      </c>
    </row>
  </sheetData>
  <mergeCells count="16">
    <mergeCell ref="T34:T37"/>
    <mergeCell ref="T38:T41"/>
    <mergeCell ref="B70:B71"/>
    <mergeCell ref="B72:B73"/>
    <mergeCell ref="T12:T15"/>
    <mergeCell ref="T16:T19"/>
    <mergeCell ref="A30:Q30"/>
    <mergeCell ref="J31:Q31"/>
    <mergeCell ref="B31:I31"/>
    <mergeCell ref="A92:G92"/>
    <mergeCell ref="A52:C52"/>
    <mergeCell ref="K52:M52"/>
    <mergeCell ref="A79:G79"/>
    <mergeCell ref="A11:Q11"/>
    <mergeCell ref="B12:I12"/>
    <mergeCell ref="J12:Q1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BE38"/>
  <sheetViews>
    <sheetView topLeftCell="AG10" workbookViewId="0">
      <selection activeCell="AU38" sqref="AU38"/>
    </sheetView>
  </sheetViews>
  <sheetFormatPr defaultRowHeight="15" x14ac:dyDescent="0.25"/>
  <cols>
    <col min="6" max="8" width="11.42578125" customWidth="1"/>
  </cols>
  <sheetData>
    <row r="1" spans="1:57" ht="15.75" thickBot="1" x14ac:dyDescent="0.3">
      <c r="A1" t="s">
        <v>272</v>
      </c>
      <c r="U1" t="s">
        <v>273</v>
      </c>
      <c r="AL1" s="172" t="s">
        <v>255</v>
      </c>
      <c r="AM1" s="172"/>
      <c r="AN1" s="172"/>
      <c r="AO1" s="150"/>
      <c r="AP1" s="150"/>
      <c r="BD1">
        <v>2510</v>
      </c>
      <c r="BE1">
        <v>325</v>
      </c>
    </row>
    <row r="2" spans="1:57" ht="15.75" customHeight="1" thickBot="1" x14ac:dyDescent="0.3">
      <c r="A2" s="301" t="s">
        <v>274</v>
      </c>
      <c r="B2" s="302"/>
      <c r="C2" s="301" t="s">
        <v>239</v>
      </c>
      <c r="D2" s="302"/>
      <c r="E2" s="301" t="s">
        <v>240</v>
      </c>
      <c r="F2" s="303"/>
      <c r="G2" s="301" t="s">
        <v>241</v>
      </c>
      <c r="H2" s="303"/>
      <c r="U2" s="301" t="s">
        <v>275</v>
      </c>
      <c r="V2" s="302"/>
      <c r="W2" s="301" t="s">
        <v>276</v>
      </c>
      <c r="X2" s="302"/>
      <c r="Y2" s="301" t="s">
        <v>277</v>
      </c>
      <c r="Z2" s="302"/>
      <c r="AL2" t="s">
        <v>88</v>
      </c>
      <c r="AM2" s="8">
        <v>0.7</v>
      </c>
      <c r="AN2" s="8">
        <v>1</v>
      </c>
      <c r="AO2" s="8">
        <v>0.7</v>
      </c>
      <c r="AP2" s="8">
        <v>1</v>
      </c>
      <c r="AQ2" t="s">
        <v>256</v>
      </c>
      <c r="AR2" t="s">
        <v>257</v>
      </c>
      <c r="BD2">
        <v>1500</v>
      </c>
      <c r="BE2">
        <v>300</v>
      </c>
    </row>
    <row r="3" spans="1:57" ht="15.75" customHeight="1" thickBot="1" x14ac:dyDescent="0.3">
      <c r="A3" s="11" t="s">
        <v>78</v>
      </c>
      <c r="B3" s="12" t="s">
        <v>79</v>
      </c>
      <c r="C3" s="12" t="s">
        <v>78</v>
      </c>
      <c r="D3" s="12" t="s">
        <v>79</v>
      </c>
      <c r="E3" s="12" t="s">
        <v>78</v>
      </c>
      <c r="F3" s="12" t="s">
        <v>79</v>
      </c>
      <c r="G3" s="12" t="s">
        <v>78</v>
      </c>
      <c r="H3" s="12" t="s">
        <v>79</v>
      </c>
      <c r="U3" s="11" t="s">
        <v>78</v>
      </c>
      <c r="V3" s="12" t="s">
        <v>79</v>
      </c>
      <c r="W3" s="12" t="s">
        <v>78</v>
      </c>
      <c r="X3" s="12" t="s">
        <v>79</v>
      </c>
      <c r="Y3" s="12" t="s">
        <v>78</v>
      </c>
      <c r="Z3" s="12" t="s">
        <v>79</v>
      </c>
      <c r="AL3" s="11" t="s">
        <v>78</v>
      </c>
      <c r="AM3" s="12" t="s">
        <v>258</v>
      </c>
      <c r="AN3" s="12" t="s">
        <v>258</v>
      </c>
      <c r="AO3" s="12"/>
      <c r="AP3" s="12"/>
      <c r="AQ3" s="12" t="s">
        <v>258</v>
      </c>
      <c r="AR3" s="12" t="s">
        <v>258</v>
      </c>
      <c r="BD3">
        <v>945</v>
      </c>
      <c r="BE3">
        <v>15</v>
      </c>
    </row>
    <row r="4" spans="1:57" ht="15.75" thickBot="1" x14ac:dyDescent="0.3">
      <c r="A4" s="17" t="e">
        <f>IF(Worksheet!$N$27&gt;Sheet1!A5, Worksheet!$N$27 + 100, Sheet1!A5)</f>
        <v>#N/A</v>
      </c>
      <c r="B4" s="18">
        <v>60</v>
      </c>
      <c r="C4" s="17" t="e">
        <f>IF(Worksheet!$N$27&gt;Sheet1!C5, Worksheet!$N$27 + 100, Sheet1!C5)</f>
        <v>#N/A</v>
      </c>
      <c r="D4" s="18">
        <v>60</v>
      </c>
      <c r="E4" s="17" t="e">
        <f>IF(Worksheet!$N$27&gt;Sheet1!E5, Worksheet!$N$27 + 100, Sheet1!E5)</f>
        <v>#N/A</v>
      </c>
      <c r="F4" s="18">
        <v>80</v>
      </c>
      <c r="G4" s="17" t="e">
        <f>IF(Worksheet!$N$27&gt;Sheet1!G5, Worksheet!$N$27 + 100, Sheet1!G5)</f>
        <v>#N/A</v>
      </c>
      <c r="H4" s="18">
        <v>80</v>
      </c>
      <c r="U4" s="13"/>
      <c r="V4" s="14">
        <v>75</v>
      </c>
      <c r="W4" s="14"/>
      <c r="X4" s="14">
        <v>75</v>
      </c>
      <c r="Y4" s="14"/>
      <c r="Z4" s="14">
        <v>100</v>
      </c>
      <c r="AL4" s="22"/>
      <c r="AM4" s="23"/>
      <c r="AN4" s="23"/>
      <c r="AO4" s="23"/>
      <c r="AP4" s="23"/>
      <c r="AQ4" s="24"/>
      <c r="AR4" s="24"/>
      <c r="BD4">
        <v>574</v>
      </c>
      <c r="BE4">
        <v>25</v>
      </c>
    </row>
    <row r="5" spans="1:57" ht="15.75" thickBot="1" x14ac:dyDescent="0.3">
      <c r="A5" s="13">
        <v>1000</v>
      </c>
      <c r="B5" s="14">
        <v>60</v>
      </c>
      <c r="C5" s="14">
        <v>1000</v>
      </c>
      <c r="D5" s="14">
        <v>60</v>
      </c>
      <c r="E5" s="14">
        <v>1000</v>
      </c>
      <c r="F5" s="14">
        <v>80</v>
      </c>
      <c r="G5" s="14">
        <v>1000</v>
      </c>
      <c r="H5" s="14">
        <v>80</v>
      </c>
      <c r="U5" s="13">
        <v>1300</v>
      </c>
      <c r="V5" s="14">
        <v>75</v>
      </c>
      <c r="W5" s="14">
        <v>1300</v>
      </c>
      <c r="X5" s="14">
        <v>75</v>
      </c>
      <c r="Y5" s="14">
        <v>1300</v>
      </c>
      <c r="Z5" s="14">
        <v>100</v>
      </c>
      <c r="AL5" s="23">
        <v>1400</v>
      </c>
      <c r="AM5" s="23">
        <v>75</v>
      </c>
      <c r="AN5" s="23">
        <v>107</v>
      </c>
      <c r="AO5" s="23">
        <v>75</v>
      </c>
      <c r="AP5" s="23">
        <v>107</v>
      </c>
      <c r="AQ5" s="141">
        <f>AM5*0.8</f>
        <v>60</v>
      </c>
      <c r="AR5" s="23">
        <f>ROUNDUP(AN5*0.8,0)</f>
        <v>86</v>
      </c>
      <c r="BD5">
        <v>852</v>
      </c>
      <c r="BE5">
        <v>150</v>
      </c>
    </row>
    <row r="6" spans="1:57" ht="15.75" thickBot="1" x14ac:dyDescent="0.3">
      <c r="A6" s="13">
        <v>900</v>
      </c>
      <c r="B6" s="14">
        <v>60</v>
      </c>
      <c r="C6" s="14">
        <v>900</v>
      </c>
      <c r="D6" s="14">
        <v>65</v>
      </c>
      <c r="E6" s="14">
        <v>900</v>
      </c>
      <c r="F6" s="14">
        <v>80</v>
      </c>
      <c r="G6" s="14">
        <v>900</v>
      </c>
      <c r="H6" s="14">
        <v>80</v>
      </c>
      <c r="U6" s="13">
        <v>1200</v>
      </c>
      <c r="V6" s="14">
        <v>75</v>
      </c>
      <c r="W6" s="14">
        <v>1200</v>
      </c>
      <c r="X6" s="14">
        <v>80</v>
      </c>
      <c r="Y6" s="14">
        <v>1200</v>
      </c>
      <c r="Z6" s="14">
        <v>100</v>
      </c>
      <c r="AL6" s="23">
        <v>1300</v>
      </c>
      <c r="AM6" s="23">
        <v>75</v>
      </c>
      <c r="AN6" s="23">
        <v>107</v>
      </c>
      <c r="AO6" s="23">
        <v>75</v>
      </c>
      <c r="AP6" s="23">
        <v>107</v>
      </c>
      <c r="AQ6" s="141">
        <v>75</v>
      </c>
      <c r="AR6" s="23">
        <f t="shared" ref="AR6:AR7" si="0">ROUNDUP(AN6*0.8,0)</f>
        <v>86</v>
      </c>
      <c r="BD6">
        <v>1023</v>
      </c>
      <c r="BE6">
        <v>150</v>
      </c>
    </row>
    <row r="7" spans="1:57" ht="15.75" thickBot="1" x14ac:dyDescent="0.3">
      <c r="A7" s="13">
        <v>800</v>
      </c>
      <c r="B7" s="14">
        <v>60</v>
      </c>
      <c r="C7" s="14">
        <v>800</v>
      </c>
      <c r="D7" s="14">
        <v>80</v>
      </c>
      <c r="E7" s="14">
        <v>800</v>
      </c>
      <c r="F7" s="14">
        <v>80</v>
      </c>
      <c r="G7" s="14">
        <v>800</v>
      </c>
      <c r="H7" s="14">
        <v>105</v>
      </c>
      <c r="U7" s="13">
        <v>1100</v>
      </c>
      <c r="V7" s="14">
        <v>75</v>
      </c>
      <c r="W7" s="14">
        <v>1100</v>
      </c>
      <c r="X7" s="14">
        <v>100</v>
      </c>
      <c r="Y7" s="14">
        <v>1100</v>
      </c>
      <c r="Z7" s="14">
        <v>120</v>
      </c>
      <c r="AL7" s="23">
        <v>1200</v>
      </c>
      <c r="AM7" s="23">
        <v>75</v>
      </c>
      <c r="AN7" s="23">
        <v>107</v>
      </c>
      <c r="AO7" s="23">
        <v>75</v>
      </c>
      <c r="AP7" s="23">
        <v>107</v>
      </c>
      <c r="AQ7" s="141">
        <v>75</v>
      </c>
      <c r="AR7" s="23">
        <f t="shared" si="0"/>
        <v>86</v>
      </c>
      <c r="BD7">
        <v>205</v>
      </c>
      <c r="BE7">
        <v>25</v>
      </c>
    </row>
    <row r="8" spans="1:57" ht="15.75" thickBot="1" x14ac:dyDescent="0.3">
      <c r="A8" s="13">
        <v>700</v>
      </c>
      <c r="B8" s="14">
        <v>70</v>
      </c>
      <c r="C8" s="14">
        <v>700</v>
      </c>
      <c r="D8" s="14">
        <v>100</v>
      </c>
      <c r="E8" s="14">
        <v>700</v>
      </c>
      <c r="F8" s="14">
        <v>100</v>
      </c>
      <c r="G8" s="14">
        <v>700</v>
      </c>
      <c r="H8" s="14">
        <v>140</v>
      </c>
      <c r="U8" s="13">
        <v>1000</v>
      </c>
      <c r="V8" s="14">
        <v>80</v>
      </c>
      <c r="W8" s="14">
        <v>1000</v>
      </c>
      <c r="X8" s="14">
        <v>120</v>
      </c>
      <c r="Y8" s="14">
        <v>1000</v>
      </c>
      <c r="Z8" s="14">
        <v>150</v>
      </c>
      <c r="AL8" s="23">
        <v>1100</v>
      </c>
      <c r="AM8" s="23">
        <v>75</v>
      </c>
      <c r="AN8" s="23">
        <v>107</v>
      </c>
      <c r="AO8" s="23">
        <v>75</v>
      </c>
      <c r="AP8" s="23">
        <v>107</v>
      </c>
      <c r="AQ8" s="141">
        <v>75</v>
      </c>
      <c r="AR8" s="141">
        <f t="shared" ref="AR8:AR15" si="1">ROUNDUP((0.00033*AL8^2 - 0.9248*AL8 + 724.77)*0.8,0)</f>
        <v>86</v>
      </c>
      <c r="BD8">
        <v>1520</v>
      </c>
      <c r="BE8">
        <v>150</v>
      </c>
    </row>
    <row r="9" spans="1:57" ht="15.75" thickBot="1" x14ac:dyDescent="0.3">
      <c r="A9" s="13">
        <v>600</v>
      </c>
      <c r="B9" s="14">
        <v>90</v>
      </c>
      <c r="C9" s="14">
        <v>600</v>
      </c>
      <c r="D9" s="14">
        <v>130</v>
      </c>
      <c r="E9" s="14">
        <v>600</v>
      </c>
      <c r="F9" s="14">
        <v>130</v>
      </c>
      <c r="G9" s="14">
        <v>600</v>
      </c>
      <c r="H9" s="14">
        <v>175</v>
      </c>
      <c r="U9" s="13">
        <v>900</v>
      </c>
      <c r="V9" s="14">
        <v>100</v>
      </c>
      <c r="W9" s="14">
        <v>900</v>
      </c>
      <c r="X9" s="14">
        <v>140</v>
      </c>
      <c r="Y9" s="14">
        <v>900</v>
      </c>
      <c r="Z9" s="14">
        <v>175</v>
      </c>
      <c r="AL9" s="23">
        <v>1000</v>
      </c>
      <c r="AM9" s="23">
        <v>75</v>
      </c>
      <c r="AN9" s="23">
        <v>125</v>
      </c>
      <c r="AO9" s="23">
        <v>75</v>
      </c>
      <c r="AP9" s="23">
        <f>ROUNDUP((0.0003247*AL9^2 - 0.9248*AL9 + 724.77),0)</f>
        <v>125</v>
      </c>
      <c r="AQ9" s="141">
        <v>75</v>
      </c>
      <c r="AR9" s="141">
        <f t="shared" si="1"/>
        <v>104</v>
      </c>
      <c r="BD9">
        <v>1465</v>
      </c>
      <c r="BE9">
        <v>150</v>
      </c>
    </row>
    <row r="10" spans="1:57" ht="15.75" thickBot="1" x14ac:dyDescent="0.3">
      <c r="A10" s="13">
        <v>500</v>
      </c>
      <c r="B10" s="14">
        <v>125</v>
      </c>
      <c r="C10" s="14">
        <v>500</v>
      </c>
      <c r="D10" s="14">
        <v>165</v>
      </c>
      <c r="E10" s="14">
        <v>500</v>
      </c>
      <c r="F10" s="14">
        <v>165</v>
      </c>
      <c r="G10" s="14">
        <v>500</v>
      </c>
      <c r="H10" s="14">
        <v>225</v>
      </c>
      <c r="U10" s="13">
        <v>800</v>
      </c>
      <c r="V10" s="14">
        <v>120</v>
      </c>
      <c r="W10" s="14">
        <v>800</v>
      </c>
      <c r="X10" s="14">
        <v>160</v>
      </c>
      <c r="Y10" s="14">
        <v>800</v>
      </c>
      <c r="Z10" s="14">
        <v>225</v>
      </c>
      <c r="AL10" s="23">
        <v>900</v>
      </c>
      <c r="AM10" s="23">
        <v>75</v>
      </c>
      <c r="AN10" s="23">
        <v>150</v>
      </c>
      <c r="AO10" s="23">
        <v>75</v>
      </c>
      <c r="AP10" s="23">
        <f t="shared" ref="AP10:AP15" si="2">ROUNDUP((0.0003247*AL10^2 - 0.9248*AL10 + 724.77),0)</f>
        <v>156</v>
      </c>
      <c r="AQ10" s="141">
        <v>75</v>
      </c>
      <c r="AR10" s="141">
        <f t="shared" si="1"/>
        <v>128</v>
      </c>
      <c r="BD10">
        <v>621</v>
      </c>
      <c r="BE10">
        <v>125</v>
      </c>
    </row>
    <row r="11" spans="1:57" ht="15.75" thickBot="1" x14ac:dyDescent="0.3">
      <c r="A11" s="13">
        <v>400</v>
      </c>
      <c r="B11" s="14">
        <v>160</v>
      </c>
      <c r="C11" s="14">
        <v>400</v>
      </c>
      <c r="D11" s="14">
        <v>215</v>
      </c>
      <c r="E11" s="14">
        <v>400</v>
      </c>
      <c r="F11" s="14">
        <v>215</v>
      </c>
      <c r="G11" s="14">
        <v>400</v>
      </c>
      <c r="H11" s="14">
        <v>290</v>
      </c>
      <c r="U11" s="13">
        <v>700</v>
      </c>
      <c r="V11" s="14">
        <v>145</v>
      </c>
      <c r="W11" s="14">
        <v>700</v>
      </c>
      <c r="X11" s="14">
        <v>200</v>
      </c>
      <c r="Y11" s="14">
        <v>700</v>
      </c>
      <c r="Z11" s="14">
        <v>260</v>
      </c>
      <c r="AL11" s="23">
        <v>800</v>
      </c>
      <c r="AM11" s="23">
        <v>75</v>
      </c>
      <c r="AN11" s="23">
        <v>200</v>
      </c>
      <c r="AO11" s="23">
        <v>75</v>
      </c>
      <c r="AP11" s="23">
        <f t="shared" si="2"/>
        <v>193</v>
      </c>
      <c r="AQ11" s="141">
        <f t="shared" ref="AQ11:AQ16" si="3">ROUNDUP((0.0004335*AL11^2 - 0.8829*AL11 + 503.43)*0.8,0)</f>
        <v>60</v>
      </c>
      <c r="AR11" s="141">
        <f t="shared" si="1"/>
        <v>157</v>
      </c>
      <c r="BD11">
        <v>2541</v>
      </c>
      <c r="BE11">
        <v>35</v>
      </c>
    </row>
    <row r="12" spans="1:57" ht="27" thickBot="1" x14ac:dyDescent="0.3">
      <c r="A12" s="15">
        <v>300</v>
      </c>
      <c r="B12" s="16">
        <v>205</v>
      </c>
      <c r="C12" s="16">
        <v>300</v>
      </c>
      <c r="D12" s="16">
        <v>265</v>
      </c>
      <c r="E12" s="16">
        <v>300</v>
      </c>
      <c r="F12" s="16">
        <v>265</v>
      </c>
      <c r="G12" s="16">
        <v>300</v>
      </c>
      <c r="H12" s="16" t="s">
        <v>278</v>
      </c>
      <c r="U12" s="13">
        <v>600</v>
      </c>
      <c r="V12" s="14">
        <v>170</v>
      </c>
      <c r="W12" s="14">
        <v>600</v>
      </c>
      <c r="X12" s="14">
        <v>245</v>
      </c>
      <c r="Y12" s="14">
        <v>600</v>
      </c>
      <c r="Z12" s="14">
        <v>315</v>
      </c>
      <c r="AL12" s="23">
        <v>700</v>
      </c>
      <c r="AM12" s="23">
        <v>90</v>
      </c>
      <c r="AN12" s="23">
        <v>225</v>
      </c>
      <c r="AO12" s="23">
        <f>ROUNDUP((0.00042*AL12^2 - 0.8829*AL12 + 503.43),0)</f>
        <v>92</v>
      </c>
      <c r="AP12" s="23">
        <f t="shared" si="2"/>
        <v>237</v>
      </c>
      <c r="AQ12" s="141">
        <f t="shared" si="3"/>
        <v>79</v>
      </c>
      <c r="AR12" s="141">
        <f t="shared" si="1"/>
        <v>192</v>
      </c>
      <c r="BD12">
        <v>1100</v>
      </c>
      <c r="BE12">
        <v>265</v>
      </c>
    </row>
    <row r="13" spans="1:57" ht="15.75" thickBot="1" x14ac:dyDescent="0.3">
      <c r="A13" s="19"/>
      <c r="B13" s="19"/>
      <c r="C13" s="19"/>
      <c r="D13" s="19"/>
      <c r="E13" s="19"/>
      <c r="F13" s="19"/>
      <c r="G13" s="19"/>
      <c r="H13" s="19"/>
      <c r="U13" s="13">
        <v>500</v>
      </c>
      <c r="V13" s="14">
        <v>220</v>
      </c>
      <c r="W13" s="14">
        <v>500</v>
      </c>
      <c r="X13" s="14">
        <v>280</v>
      </c>
      <c r="Y13" s="14">
        <v>500</v>
      </c>
      <c r="Z13" s="14">
        <v>370</v>
      </c>
      <c r="AL13" s="23">
        <v>600</v>
      </c>
      <c r="AM13" s="23">
        <v>125</v>
      </c>
      <c r="AN13" s="23">
        <v>300</v>
      </c>
      <c r="AO13" s="23">
        <f t="shared" ref="AO13:AO16" si="4">ROUNDUP((0.00042*AL13^2 - 0.8829*AL13 + 503.43),0)</f>
        <v>125</v>
      </c>
      <c r="AP13" s="23">
        <f t="shared" si="2"/>
        <v>287</v>
      </c>
      <c r="AQ13" s="141">
        <f t="shared" si="3"/>
        <v>104</v>
      </c>
      <c r="AR13" s="141">
        <f t="shared" si="1"/>
        <v>231</v>
      </c>
      <c r="BD13">
        <v>1201</v>
      </c>
      <c r="BE13">
        <v>41</v>
      </c>
    </row>
    <row r="14" spans="1:57" ht="27" thickBot="1" x14ac:dyDescent="0.3">
      <c r="A14" s="19"/>
      <c r="B14" s="19"/>
      <c r="C14" s="19"/>
      <c r="D14" s="19"/>
      <c r="E14" s="19"/>
      <c r="F14" s="19"/>
      <c r="G14" s="19"/>
      <c r="H14" s="19"/>
      <c r="U14" s="15">
        <v>400</v>
      </c>
      <c r="V14" s="16">
        <v>260</v>
      </c>
      <c r="W14" s="16">
        <v>400</v>
      </c>
      <c r="X14" s="16">
        <v>340</v>
      </c>
      <c r="Y14" s="16">
        <v>400</v>
      </c>
      <c r="Z14" s="16" t="s">
        <v>278</v>
      </c>
      <c r="AL14" s="23">
        <v>500</v>
      </c>
      <c r="AM14" s="23">
        <v>175</v>
      </c>
      <c r="AN14" s="23">
        <v>350</v>
      </c>
      <c r="AO14" s="23">
        <f>ROUNDUP((0.00042*AL14^2 - 0.8829*AL14 + 503.43),0)</f>
        <v>167</v>
      </c>
      <c r="AP14" s="23">
        <f>ROUNDUP((0.0003247*AL14^2 - 0.9248*AL14 + 724.77),0)</f>
        <v>344</v>
      </c>
      <c r="AQ14" s="141">
        <f>ROUNDUP((0.0004335*AL14^2 - 0.8829*AL14 + 503.43)*0.8,0)</f>
        <v>137</v>
      </c>
      <c r="AR14" s="141">
        <f t="shared" si="1"/>
        <v>276</v>
      </c>
      <c r="BD14">
        <v>1254</v>
      </c>
      <c r="BE14">
        <v>24</v>
      </c>
    </row>
    <row r="15" spans="1:57" x14ac:dyDescent="0.25">
      <c r="A15" s="19"/>
      <c r="B15" s="19"/>
      <c r="C15" s="19"/>
      <c r="D15" s="19"/>
      <c r="E15" s="19"/>
      <c r="F15" s="19"/>
      <c r="G15" s="19"/>
      <c r="H15" s="19"/>
      <c r="AL15" s="23">
        <v>400</v>
      </c>
      <c r="AM15" s="23">
        <v>220</v>
      </c>
      <c r="AN15" s="23">
        <v>400</v>
      </c>
      <c r="AO15" s="23">
        <f t="shared" si="4"/>
        <v>218</v>
      </c>
      <c r="AP15" s="23">
        <f t="shared" si="2"/>
        <v>407</v>
      </c>
      <c r="AQ15" s="141">
        <f t="shared" si="3"/>
        <v>176</v>
      </c>
      <c r="AR15" s="141">
        <f t="shared" si="1"/>
        <v>327</v>
      </c>
      <c r="BD15">
        <v>451</v>
      </c>
      <c r="BE15">
        <v>85</v>
      </c>
    </row>
    <row r="16" spans="1:57" ht="15.75" customHeight="1" x14ac:dyDescent="0.25">
      <c r="A16" s="19"/>
      <c r="B16" s="19"/>
      <c r="C16" s="19"/>
      <c r="D16" s="19"/>
      <c r="E16" s="19"/>
      <c r="F16" s="19"/>
      <c r="G16" s="19"/>
      <c r="H16" s="19"/>
      <c r="AL16" s="23">
        <v>300</v>
      </c>
      <c r="AM16" s="23">
        <v>275</v>
      </c>
      <c r="AN16" s="23"/>
      <c r="AO16" s="23">
        <f t="shared" si="4"/>
        <v>277</v>
      </c>
      <c r="AP16" s="23"/>
      <c r="AQ16" s="141">
        <f t="shared" si="3"/>
        <v>223</v>
      </c>
      <c r="AR16" s="24"/>
    </row>
    <row r="18" spans="1:57" ht="15.75" thickBot="1" x14ac:dyDescent="0.3">
      <c r="A18" t="s">
        <v>279</v>
      </c>
      <c r="U18" t="s">
        <v>280</v>
      </c>
      <c r="AL18" s="172" t="s">
        <v>255</v>
      </c>
      <c r="AM18" s="172"/>
      <c r="AN18" s="172"/>
      <c r="AO18" s="150"/>
      <c r="AP18" s="150"/>
    </row>
    <row r="19" spans="1:57" ht="15.75" customHeight="1" thickBot="1" x14ac:dyDescent="0.3">
      <c r="A19" s="301" t="s">
        <v>274</v>
      </c>
      <c r="B19" s="302"/>
      <c r="C19" s="301" t="s">
        <v>239</v>
      </c>
      <c r="D19" s="302"/>
      <c r="E19" s="301" t="s">
        <v>240</v>
      </c>
      <c r="F19" s="303"/>
      <c r="G19" s="301" t="s">
        <v>241</v>
      </c>
      <c r="H19" s="303"/>
      <c r="U19" s="301" t="s">
        <v>275</v>
      </c>
      <c r="V19" s="302"/>
      <c r="W19" s="301" t="s">
        <v>276</v>
      </c>
      <c r="X19" s="302"/>
      <c r="Y19" s="301" t="s">
        <v>277</v>
      </c>
      <c r="Z19" s="302"/>
      <c r="AL19" t="s">
        <v>89</v>
      </c>
      <c r="AM19" s="8">
        <v>0.7</v>
      </c>
      <c r="AN19" s="8">
        <v>1</v>
      </c>
      <c r="AO19" s="8">
        <v>0.7</v>
      </c>
      <c r="AP19" s="8">
        <v>1</v>
      </c>
      <c r="AQ19" t="s">
        <v>256</v>
      </c>
      <c r="AR19" t="s">
        <v>257</v>
      </c>
      <c r="BC19" s="17"/>
      <c r="BD19" s="14"/>
      <c r="BE19" s="14"/>
    </row>
    <row r="20" spans="1:57" ht="15.75" thickBot="1" x14ac:dyDescent="0.3">
      <c r="A20" s="11" t="s">
        <v>78</v>
      </c>
      <c r="B20" s="12" t="s">
        <v>79</v>
      </c>
      <c r="C20" s="12" t="s">
        <v>78</v>
      </c>
      <c r="D20" s="12" t="s">
        <v>79</v>
      </c>
      <c r="E20" s="12" t="s">
        <v>78</v>
      </c>
      <c r="F20" s="12" t="s">
        <v>79</v>
      </c>
      <c r="G20" s="12" t="s">
        <v>78</v>
      </c>
      <c r="H20" s="12" t="s">
        <v>79</v>
      </c>
      <c r="U20" s="11" t="s">
        <v>78</v>
      </c>
      <c r="V20" s="12" t="s">
        <v>79</v>
      </c>
      <c r="W20" s="12" t="s">
        <v>78</v>
      </c>
      <c r="X20" s="12" t="s">
        <v>79</v>
      </c>
      <c r="Y20" s="12" t="s">
        <v>78</v>
      </c>
      <c r="Z20" s="12" t="s">
        <v>79</v>
      </c>
      <c r="AL20" s="11" t="s">
        <v>78</v>
      </c>
      <c r="AM20" s="12" t="s">
        <v>258</v>
      </c>
      <c r="AN20" s="12" t="s">
        <v>258</v>
      </c>
      <c r="AO20" s="12"/>
      <c r="AP20" s="12"/>
      <c r="AQ20" s="12" t="s">
        <v>258</v>
      </c>
      <c r="AR20" s="12" t="s">
        <v>258</v>
      </c>
      <c r="BC20" s="13">
        <v>1400</v>
      </c>
      <c r="BD20" s="14">
        <v>75</v>
      </c>
      <c r="BE20" s="14">
        <v>107</v>
      </c>
    </row>
    <row r="21" spans="1:57" ht="15.75" thickBot="1" x14ac:dyDescent="0.3">
      <c r="A21" s="17" t="e">
        <f>IF(Worksheet!$N$27&gt;Sheet1!A22, Worksheet!$N$27 + 100, Sheet1!A22)</f>
        <v>#N/A</v>
      </c>
      <c r="B21" s="18">
        <v>80</v>
      </c>
      <c r="C21" s="17" t="e">
        <f>IF(Worksheet!$N$27&gt;Sheet1!C22, Worksheet!$N$27 + 100, Sheet1!C22)</f>
        <v>#N/A</v>
      </c>
      <c r="D21" s="18">
        <v>80</v>
      </c>
      <c r="E21" s="17" t="e">
        <f>IF(Worksheet!$N$27&gt;Sheet1!E22, Worksheet!$N$27 + 100, Sheet1!E22)</f>
        <v>#N/A</v>
      </c>
      <c r="F21" s="18">
        <v>115</v>
      </c>
      <c r="G21" s="17" t="e">
        <f>IF(Worksheet!$N$27&gt;Sheet1!G22, Worksheet!$N$27 + 100, Sheet1!G22)</f>
        <v>#N/A</v>
      </c>
      <c r="H21" s="18">
        <v>115</v>
      </c>
      <c r="U21" s="13"/>
      <c r="V21" s="14">
        <v>100</v>
      </c>
      <c r="W21" s="14"/>
      <c r="X21" s="14">
        <v>100</v>
      </c>
      <c r="Y21" s="14"/>
      <c r="Z21" s="14">
        <v>150</v>
      </c>
      <c r="AL21" s="22"/>
      <c r="AM21" s="23"/>
      <c r="AN21" s="23"/>
      <c r="AO21" s="23"/>
      <c r="AP21" s="23"/>
      <c r="AQ21" s="141"/>
      <c r="AR21" s="24"/>
      <c r="BC21" s="13">
        <v>1300</v>
      </c>
      <c r="BD21" s="14">
        <v>75</v>
      </c>
      <c r="BE21" s="14">
        <v>107</v>
      </c>
    </row>
    <row r="22" spans="1:57" ht="15.75" thickBot="1" x14ac:dyDescent="0.3">
      <c r="A22" s="13">
        <v>1400</v>
      </c>
      <c r="B22" s="14">
        <v>80</v>
      </c>
      <c r="C22" s="14">
        <v>1400</v>
      </c>
      <c r="D22" s="14">
        <v>80</v>
      </c>
      <c r="E22" s="14">
        <v>1400</v>
      </c>
      <c r="F22" s="14">
        <v>115</v>
      </c>
      <c r="G22" s="14">
        <v>1400</v>
      </c>
      <c r="H22" s="14">
        <v>115</v>
      </c>
      <c r="U22" s="13">
        <v>1800</v>
      </c>
      <c r="V22" s="14">
        <v>100</v>
      </c>
      <c r="W22" s="14">
        <v>1800</v>
      </c>
      <c r="X22" s="14">
        <v>100</v>
      </c>
      <c r="Y22" s="14">
        <v>1800</v>
      </c>
      <c r="Z22" s="14">
        <v>150</v>
      </c>
      <c r="AL22" s="23">
        <v>1800</v>
      </c>
      <c r="AM22" s="23">
        <v>93</v>
      </c>
      <c r="AN22" s="23">
        <v>133</v>
      </c>
      <c r="AO22" s="23">
        <v>93</v>
      </c>
      <c r="AP22" s="23">
        <v>133</v>
      </c>
      <c r="AQ22" s="141">
        <f t="shared" ref="AQ22:AQ27" si="5">ROUNDUP(AM22*0.8,0)</f>
        <v>75</v>
      </c>
      <c r="AR22" s="141">
        <f>ROUNDUP(AN22*0.8,0)</f>
        <v>107</v>
      </c>
      <c r="BC22" s="13">
        <v>1200</v>
      </c>
      <c r="BD22" s="14">
        <v>75</v>
      </c>
      <c r="BE22" s="14">
        <v>107</v>
      </c>
    </row>
    <row r="23" spans="1:57" ht="15.75" thickBot="1" x14ac:dyDescent="0.3">
      <c r="A23" s="13">
        <v>1300</v>
      </c>
      <c r="B23" s="14">
        <v>80</v>
      </c>
      <c r="C23" s="14">
        <v>1300</v>
      </c>
      <c r="D23" s="14">
        <v>90</v>
      </c>
      <c r="E23" s="14">
        <v>1300</v>
      </c>
      <c r="F23" s="14">
        <v>115</v>
      </c>
      <c r="G23" s="14">
        <v>1300</v>
      </c>
      <c r="H23" s="14">
        <v>115</v>
      </c>
      <c r="U23" s="13">
        <v>1700</v>
      </c>
      <c r="V23" s="14">
        <v>100</v>
      </c>
      <c r="W23" s="14">
        <v>1700</v>
      </c>
      <c r="X23" s="14">
        <v>100</v>
      </c>
      <c r="Y23" s="14">
        <v>1700</v>
      </c>
      <c r="Z23" s="14">
        <v>150</v>
      </c>
      <c r="AL23" s="23">
        <v>1700</v>
      </c>
      <c r="AM23" s="23">
        <v>93</v>
      </c>
      <c r="AN23" s="23">
        <v>133</v>
      </c>
      <c r="AO23" s="23">
        <v>93</v>
      </c>
      <c r="AP23" s="23">
        <v>133</v>
      </c>
      <c r="AQ23" s="141">
        <f t="shared" si="5"/>
        <v>75</v>
      </c>
      <c r="AR23" s="141">
        <f t="shared" ref="AR23:AR24" si="6">ROUNDUP(AN23*0.8,0)</f>
        <v>107</v>
      </c>
      <c r="BC23" s="13">
        <v>1100</v>
      </c>
      <c r="BD23" s="14">
        <v>75</v>
      </c>
      <c r="BE23" s="14">
        <v>107</v>
      </c>
    </row>
    <row r="24" spans="1:57" ht="15.75" thickBot="1" x14ac:dyDescent="0.3">
      <c r="A24" s="13">
        <v>1200</v>
      </c>
      <c r="B24" s="14">
        <v>80</v>
      </c>
      <c r="C24" s="14">
        <v>1200</v>
      </c>
      <c r="D24" s="14">
        <v>100</v>
      </c>
      <c r="E24" s="14">
        <v>1200</v>
      </c>
      <c r="F24" s="14">
        <v>115</v>
      </c>
      <c r="G24" s="14">
        <v>1200</v>
      </c>
      <c r="H24" s="14">
        <v>145</v>
      </c>
      <c r="U24" s="13">
        <v>1600</v>
      </c>
      <c r="V24" s="14">
        <v>100</v>
      </c>
      <c r="W24" s="14">
        <v>1600</v>
      </c>
      <c r="X24" s="14">
        <v>120</v>
      </c>
      <c r="Y24" s="14">
        <v>1600</v>
      </c>
      <c r="Z24" s="14">
        <v>170</v>
      </c>
      <c r="AL24" s="23">
        <v>1600</v>
      </c>
      <c r="AM24" s="23">
        <v>93</v>
      </c>
      <c r="AN24" s="23">
        <v>133</v>
      </c>
      <c r="AO24" s="23">
        <v>93</v>
      </c>
      <c r="AP24" s="23">
        <v>133</v>
      </c>
      <c r="AQ24" s="141">
        <f t="shared" si="5"/>
        <v>75</v>
      </c>
      <c r="AR24" s="141">
        <f t="shared" si="6"/>
        <v>107</v>
      </c>
      <c r="BC24" s="13">
        <v>1000</v>
      </c>
      <c r="BD24" s="14">
        <v>75</v>
      </c>
      <c r="BE24" s="14">
        <v>125</v>
      </c>
    </row>
    <row r="25" spans="1:57" ht="15.75" thickBot="1" x14ac:dyDescent="0.3">
      <c r="A25" s="13">
        <v>1100</v>
      </c>
      <c r="B25" s="14">
        <v>80</v>
      </c>
      <c r="C25" s="14">
        <v>1100</v>
      </c>
      <c r="D25" s="14">
        <v>120</v>
      </c>
      <c r="E25" s="14">
        <v>1100</v>
      </c>
      <c r="F25" s="14">
        <v>120</v>
      </c>
      <c r="G25" s="14">
        <v>1100</v>
      </c>
      <c r="H25" s="14">
        <v>165</v>
      </c>
      <c r="U25" s="13">
        <v>1500</v>
      </c>
      <c r="V25" s="14">
        <v>100</v>
      </c>
      <c r="W25" s="14">
        <v>1500</v>
      </c>
      <c r="X25" s="14">
        <v>145</v>
      </c>
      <c r="Y25" s="14">
        <v>1500</v>
      </c>
      <c r="Z25" s="14">
        <v>180</v>
      </c>
      <c r="AL25" s="23">
        <v>1500</v>
      </c>
      <c r="AM25" s="23">
        <v>93</v>
      </c>
      <c r="AN25" s="23">
        <v>133</v>
      </c>
      <c r="AO25" s="23">
        <v>93</v>
      </c>
      <c r="AP25" s="23">
        <v>133</v>
      </c>
      <c r="AQ25" s="141">
        <f t="shared" si="5"/>
        <v>75</v>
      </c>
      <c r="AR25" s="141">
        <f>ROUNDUP((0.0003175*AL25^2 - 1.0729*AL25 + 1027.9)*0.8,0)</f>
        <v>107</v>
      </c>
      <c r="BC25" s="13">
        <v>900</v>
      </c>
      <c r="BD25" s="14">
        <v>75</v>
      </c>
      <c r="BE25" s="14">
        <v>150</v>
      </c>
    </row>
    <row r="26" spans="1:57" ht="15.75" thickBot="1" x14ac:dyDescent="0.3">
      <c r="A26" s="13">
        <v>1000</v>
      </c>
      <c r="B26" s="14">
        <v>100</v>
      </c>
      <c r="C26" s="14">
        <v>1000</v>
      </c>
      <c r="D26" s="14">
        <v>150</v>
      </c>
      <c r="E26" s="14">
        <v>1000</v>
      </c>
      <c r="F26" s="14">
        <v>150</v>
      </c>
      <c r="G26" s="14">
        <v>1000</v>
      </c>
      <c r="H26" s="14">
        <v>200</v>
      </c>
      <c r="U26" s="13">
        <v>1400</v>
      </c>
      <c r="V26" s="14">
        <v>120</v>
      </c>
      <c r="W26" s="14">
        <v>1400</v>
      </c>
      <c r="X26" s="14">
        <v>155</v>
      </c>
      <c r="Y26" s="14">
        <v>1400</v>
      </c>
      <c r="Z26" s="14">
        <v>220</v>
      </c>
      <c r="AL26" s="23">
        <v>1400</v>
      </c>
      <c r="AM26" s="23">
        <v>93</v>
      </c>
      <c r="AN26" s="23">
        <v>150</v>
      </c>
      <c r="AO26" s="23">
        <v>93</v>
      </c>
      <c r="AP26" s="23">
        <f>ROUNDUP((0.000318*AL26^2 - 1.0729*AL26 + 1027.9),0)</f>
        <v>150</v>
      </c>
      <c r="AQ26" s="141">
        <f t="shared" si="5"/>
        <v>75</v>
      </c>
      <c r="AR26" s="141">
        <f>ROUNDUP((0.0003175*AL26^2 - 1.0729*AL26 + 1027.9)*0.8,0)</f>
        <v>119</v>
      </c>
      <c r="BC26" s="13">
        <v>800</v>
      </c>
      <c r="BD26" s="14">
        <v>75</v>
      </c>
      <c r="BE26" s="14">
        <v>200</v>
      </c>
    </row>
    <row r="27" spans="1:57" ht="15.75" thickBot="1" x14ac:dyDescent="0.3">
      <c r="A27" s="13">
        <v>900</v>
      </c>
      <c r="B27" s="14">
        <v>120</v>
      </c>
      <c r="C27" s="14">
        <v>900</v>
      </c>
      <c r="D27" s="14">
        <v>175</v>
      </c>
      <c r="E27" s="14">
        <v>900</v>
      </c>
      <c r="F27" s="14">
        <v>175</v>
      </c>
      <c r="G27" s="14">
        <v>900</v>
      </c>
      <c r="H27" s="14">
        <v>240</v>
      </c>
      <c r="U27" s="13">
        <v>1300</v>
      </c>
      <c r="V27" s="14">
        <v>130</v>
      </c>
      <c r="W27" s="14">
        <v>1300</v>
      </c>
      <c r="X27" s="14">
        <v>190</v>
      </c>
      <c r="Y27" s="14">
        <v>1300</v>
      </c>
      <c r="Z27" s="14">
        <v>250</v>
      </c>
      <c r="AL27" s="23">
        <v>1300</v>
      </c>
      <c r="AM27" s="23">
        <v>93</v>
      </c>
      <c r="AN27" s="23">
        <v>175</v>
      </c>
      <c r="AO27" s="23">
        <v>93</v>
      </c>
      <c r="AP27" s="23">
        <f t="shared" ref="AP27:AP36" si="7">ROUNDUP((0.000318*AL27^2 - 1.0729*AL27 + 1027.9),0)</f>
        <v>171</v>
      </c>
      <c r="AQ27" s="141">
        <f t="shared" si="5"/>
        <v>75</v>
      </c>
      <c r="AR27" s="141">
        <f t="shared" ref="AR27:AR36" si="8">ROUNDUP((0.0003175*AL27^2 - 1.0729*AL27 + 1027.9)*0.8,0)</f>
        <v>136</v>
      </c>
      <c r="BC27" s="13">
        <v>700</v>
      </c>
      <c r="BD27" s="14">
        <v>90</v>
      </c>
      <c r="BE27" s="14">
        <v>225</v>
      </c>
    </row>
    <row r="28" spans="1:57" ht="15.75" thickBot="1" x14ac:dyDescent="0.3">
      <c r="A28" s="13">
        <v>800</v>
      </c>
      <c r="B28" s="14">
        <v>150</v>
      </c>
      <c r="C28" s="14">
        <v>800</v>
      </c>
      <c r="D28" s="14">
        <v>200</v>
      </c>
      <c r="E28" s="14">
        <v>800</v>
      </c>
      <c r="F28" s="14">
        <v>200</v>
      </c>
      <c r="G28" s="14">
        <v>800</v>
      </c>
      <c r="H28" s="14">
        <v>275</v>
      </c>
      <c r="U28" s="13">
        <v>1200</v>
      </c>
      <c r="V28" s="14">
        <v>150</v>
      </c>
      <c r="W28" s="14">
        <v>1200</v>
      </c>
      <c r="X28" s="14">
        <v>220</v>
      </c>
      <c r="Y28" s="14">
        <v>1200</v>
      </c>
      <c r="Z28" s="14">
        <v>285</v>
      </c>
      <c r="AL28" s="23">
        <v>1200</v>
      </c>
      <c r="AM28" s="23">
        <v>93</v>
      </c>
      <c r="AN28" s="23">
        <v>200</v>
      </c>
      <c r="AO28" s="23">
        <v>93</v>
      </c>
      <c r="AP28" s="23">
        <f t="shared" si="7"/>
        <v>199</v>
      </c>
      <c r="AQ28" s="141">
        <f>ROUNDUP(AM28*0.8,0)</f>
        <v>75</v>
      </c>
      <c r="AR28" s="141">
        <f t="shared" si="8"/>
        <v>159</v>
      </c>
      <c r="BC28" s="13">
        <v>600</v>
      </c>
      <c r="BD28" s="14">
        <v>125</v>
      </c>
      <c r="BE28" s="14">
        <v>300</v>
      </c>
    </row>
    <row r="29" spans="1:57" ht="15.75" thickBot="1" x14ac:dyDescent="0.3">
      <c r="A29" s="13">
        <v>700</v>
      </c>
      <c r="B29" s="14">
        <v>180</v>
      </c>
      <c r="C29" s="14">
        <v>700</v>
      </c>
      <c r="D29" s="14">
        <v>250</v>
      </c>
      <c r="E29" s="14">
        <v>700</v>
      </c>
      <c r="F29" s="14">
        <v>250</v>
      </c>
      <c r="G29" s="14">
        <v>700</v>
      </c>
      <c r="H29" s="14">
        <v>340</v>
      </c>
      <c r="U29" s="13">
        <v>1100</v>
      </c>
      <c r="V29" s="14">
        <v>175</v>
      </c>
      <c r="W29" s="14">
        <v>1100</v>
      </c>
      <c r="X29" s="14">
        <v>250</v>
      </c>
      <c r="Y29" s="14">
        <v>1100</v>
      </c>
      <c r="Z29" s="14">
        <v>340</v>
      </c>
      <c r="AL29" s="23">
        <v>1100</v>
      </c>
      <c r="AM29" s="23">
        <v>93</v>
      </c>
      <c r="AN29" s="23">
        <v>225</v>
      </c>
      <c r="AO29" s="23">
        <v>93</v>
      </c>
      <c r="AP29" s="23">
        <f t="shared" si="7"/>
        <v>233</v>
      </c>
      <c r="AQ29" s="141">
        <f>ROUNDUP((0.0003751*AL29^2 - 0.9318*AL29 + 663.69)*0.8,0)</f>
        <v>75</v>
      </c>
      <c r="AR29" s="141">
        <f t="shared" si="8"/>
        <v>186</v>
      </c>
      <c r="BC29" s="13">
        <v>500</v>
      </c>
      <c r="BD29" s="14">
        <v>175</v>
      </c>
      <c r="BE29" s="14">
        <v>350</v>
      </c>
    </row>
    <row r="30" spans="1:57" ht="15.75" thickBot="1" x14ac:dyDescent="0.3">
      <c r="A30" s="13">
        <v>600</v>
      </c>
      <c r="B30" s="14">
        <v>220</v>
      </c>
      <c r="C30" s="14">
        <v>600</v>
      </c>
      <c r="D30" s="14">
        <v>290</v>
      </c>
      <c r="E30" s="14">
        <v>600</v>
      </c>
      <c r="F30" s="14">
        <v>290</v>
      </c>
      <c r="G30" s="14">
        <v>600</v>
      </c>
      <c r="H30" s="14">
        <v>390</v>
      </c>
      <c r="U30" s="13">
        <v>1000</v>
      </c>
      <c r="V30" s="14">
        <v>200</v>
      </c>
      <c r="W30" s="14">
        <v>1000</v>
      </c>
      <c r="X30" s="14">
        <v>285</v>
      </c>
      <c r="Y30" s="14">
        <v>1000</v>
      </c>
      <c r="Z30" s="14">
        <v>370</v>
      </c>
      <c r="AL30" s="23">
        <v>1000</v>
      </c>
      <c r="AM30" s="23">
        <v>100</v>
      </c>
      <c r="AN30" s="23">
        <v>280</v>
      </c>
      <c r="AO30" s="23">
        <f>ROUNDUP((0.000374*AL30^2 - 0.9318*AL30 + 663.69),0)</f>
        <v>106</v>
      </c>
      <c r="AP30" s="23">
        <f t="shared" si="7"/>
        <v>273</v>
      </c>
      <c r="AQ30" s="141">
        <f>ROUNDUP((0.0003751*AL30^2 - 0.9318*AL30 + 663.69)*0.8,0)</f>
        <v>86</v>
      </c>
      <c r="AR30" s="141">
        <f t="shared" si="8"/>
        <v>218</v>
      </c>
      <c r="BC30" s="15">
        <v>400</v>
      </c>
      <c r="BD30" s="14">
        <v>220</v>
      </c>
      <c r="BE30" s="16">
        <v>400</v>
      </c>
    </row>
    <row r="31" spans="1:57" ht="15.75" thickBot="1" x14ac:dyDescent="0.3">
      <c r="A31" s="13">
        <v>500</v>
      </c>
      <c r="B31" s="14">
        <v>260</v>
      </c>
      <c r="C31" s="14">
        <v>500</v>
      </c>
      <c r="D31" s="14">
        <v>340</v>
      </c>
      <c r="E31" s="14">
        <v>500</v>
      </c>
      <c r="F31" s="14">
        <v>340</v>
      </c>
      <c r="G31" s="14">
        <v>500</v>
      </c>
      <c r="H31" s="14">
        <v>460</v>
      </c>
      <c r="U31" s="13">
        <v>900</v>
      </c>
      <c r="V31" s="14">
        <v>245</v>
      </c>
      <c r="W31" s="14">
        <v>900</v>
      </c>
      <c r="X31" s="14">
        <v>325</v>
      </c>
      <c r="Y31" s="14">
        <v>900</v>
      </c>
      <c r="Z31" s="14">
        <v>425</v>
      </c>
      <c r="AL31" s="23">
        <v>900</v>
      </c>
      <c r="AM31" s="23">
        <v>125</v>
      </c>
      <c r="AN31" s="23">
        <v>325</v>
      </c>
      <c r="AO31" s="23">
        <f t="shared" ref="AO31:AO38" si="9">ROUNDUP((0.000374*AL31^2 - 0.9318*AL31 + 663.69),0)</f>
        <v>129</v>
      </c>
      <c r="AP31" s="23">
        <f t="shared" si="7"/>
        <v>320</v>
      </c>
      <c r="AQ31" s="141">
        <f t="shared" ref="AQ31:AQ38" si="10">ROUNDUP((0.0003751*AL31^2 - 0.9318*AL31 + 663.69)*0.8,0)</f>
        <v>104</v>
      </c>
      <c r="AR31" s="141">
        <f t="shared" si="8"/>
        <v>256</v>
      </c>
      <c r="BC31" s="15">
        <v>300</v>
      </c>
      <c r="BD31" s="16">
        <v>275</v>
      </c>
      <c r="BE31" s="16"/>
    </row>
    <row r="32" spans="1:57" ht="27" thickBot="1" x14ac:dyDescent="0.3">
      <c r="A32" s="15">
        <v>400</v>
      </c>
      <c r="B32" s="16">
        <v>310</v>
      </c>
      <c r="C32" s="16">
        <v>400</v>
      </c>
      <c r="D32" s="16">
        <v>390</v>
      </c>
      <c r="E32" s="16">
        <v>400</v>
      </c>
      <c r="F32" s="16">
        <v>390</v>
      </c>
      <c r="G32" s="16">
        <v>400</v>
      </c>
      <c r="H32" s="16" t="s">
        <v>278</v>
      </c>
      <c r="U32" s="13">
        <v>800</v>
      </c>
      <c r="V32" s="14">
        <v>285</v>
      </c>
      <c r="W32" s="14">
        <v>800</v>
      </c>
      <c r="X32" s="14">
        <v>360</v>
      </c>
      <c r="Y32" s="14">
        <v>800</v>
      </c>
      <c r="Z32" s="14">
        <v>475</v>
      </c>
      <c r="AL32" s="23">
        <v>800</v>
      </c>
      <c r="AM32" s="23">
        <v>150</v>
      </c>
      <c r="AN32" s="23">
        <v>375</v>
      </c>
      <c r="AO32" s="23">
        <f t="shared" si="9"/>
        <v>158</v>
      </c>
      <c r="AP32" s="23">
        <f t="shared" si="7"/>
        <v>374</v>
      </c>
      <c r="AQ32" s="141">
        <f t="shared" si="10"/>
        <v>127</v>
      </c>
      <c r="AR32" s="141">
        <f t="shared" si="8"/>
        <v>299</v>
      </c>
    </row>
    <row r="33" spans="21:44" ht="15.75" thickBot="1" x14ac:dyDescent="0.3">
      <c r="U33" s="13">
        <v>700</v>
      </c>
      <c r="V33" s="14">
        <v>325</v>
      </c>
      <c r="W33" s="14">
        <v>700</v>
      </c>
      <c r="X33" s="14">
        <v>420</v>
      </c>
      <c r="Y33" s="14">
        <v>700</v>
      </c>
      <c r="Z33" s="14">
        <v>540</v>
      </c>
      <c r="AL33" s="23">
        <v>700</v>
      </c>
      <c r="AM33" s="23">
        <v>190</v>
      </c>
      <c r="AN33" s="23">
        <v>420</v>
      </c>
      <c r="AO33" s="23">
        <f>ROUNDUP((0.000374*AL33^2 - 0.9318*AL33 + 663.69),0)</f>
        <v>195</v>
      </c>
      <c r="AP33" s="23">
        <f t="shared" si="7"/>
        <v>433</v>
      </c>
      <c r="AQ33" s="141">
        <f t="shared" si="10"/>
        <v>157</v>
      </c>
      <c r="AR33" s="141">
        <f t="shared" si="8"/>
        <v>346</v>
      </c>
    </row>
    <row r="34" spans="21:44" ht="15.75" thickBot="1" x14ac:dyDescent="0.3">
      <c r="U34" s="13">
        <v>600</v>
      </c>
      <c r="V34" s="14">
        <v>360</v>
      </c>
      <c r="W34" s="14">
        <v>600</v>
      </c>
      <c r="X34" s="14">
        <v>460</v>
      </c>
      <c r="Y34" s="14">
        <v>600</v>
      </c>
      <c r="Z34" s="14">
        <v>590</v>
      </c>
      <c r="AL34" s="23">
        <v>600</v>
      </c>
      <c r="AM34" s="23">
        <v>250</v>
      </c>
      <c r="AN34" s="23">
        <v>500</v>
      </c>
      <c r="AO34" s="23">
        <f t="shared" si="9"/>
        <v>240</v>
      </c>
      <c r="AP34" s="23">
        <f>ROUNDUP((0.000318*AL34^2 - 1.0729*AL34 + 1027.9),0)</f>
        <v>499</v>
      </c>
      <c r="AQ34" s="141">
        <f t="shared" si="10"/>
        <v>192</v>
      </c>
      <c r="AR34" s="141">
        <f t="shared" si="8"/>
        <v>399</v>
      </c>
    </row>
    <row r="35" spans="21:44" ht="27" thickBot="1" x14ac:dyDescent="0.3">
      <c r="U35" s="15">
        <v>500</v>
      </c>
      <c r="V35" s="16">
        <v>420</v>
      </c>
      <c r="W35" s="16">
        <v>500</v>
      </c>
      <c r="X35" s="16" t="s">
        <v>278</v>
      </c>
      <c r="Y35" s="16">
        <v>500</v>
      </c>
      <c r="Z35" s="16" t="s">
        <v>278</v>
      </c>
      <c r="AL35" s="23">
        <v>500</v>
      </c>
      <c r="AM35" s="23">
        <v>290</v>
      </c>
      <c r="AN35" s="23">
        <v>575</v>
      </c>
      <c r="AO35" s="23">
        <f t="shared" si="9"/>
        <v>292</v>
      </c>
      <c r="AP35" s="23">
        <f t="shared" si="7"/>
        <v>571</v>
      </c>
      <c r="AQ35" s="141">
        <f t="shared" si="10"/>
        <v>234</v>
      </c>
      <c r="AR35" s="141">
        <f t="shared" si="8"/>
        <v>457</v>
      </c>
    </row>
    <row r="36" spans="21:44" x14ac:dyDescent="0.25">
      <c r="AL36" s="23">
        <v>400</v>
      </c>
      <c r="AM36" s="23">
        <v>350</v>
      </c>
      <c r="AN36" s="23">
        <v>650</v>
      </c>
      <c r="AO36" s="23">
        <f t="shared" si="9"/>
        <v>351</v>
      </c>
      <c r="AP36" s="23">
        <f t="shared" si="7"/>
        <v>650</v>
      </c>
      <c r="AQ36" s="141">
        <f t="shared" si="10"/>
        <v>281</v>
      </c>
      <c r="AR36" s="141">
        <f t="shared" si="8"/>
        <v>520</v>
      </c>
    </row>
    <row r="37" spans="21:44" x14ac:dyDescent="0.25">
      <c r="AL37" s="23">
        <v>300</v>
      </c>
      <c r="AM37" s="23">
        <v>420</v>
      </c>
      <c r="AN37" s="23"/>
      <c r="AO37" s="23">
        <f t="shared" si="9"/>
        <v>418</v>
      </c>
      <c r="AP37" s="23"/>
      <c r="AQ37" s="141">
        <f t="shared" si="10"/>
        <v>335</v>
      </c>
      <c r="AR37" s="24"/>
    </row>
    <row r="38" spans="21:44" x14ac:dyDescent="0.25">
      <c r="AL38" s="23">
        <v>250</v>
      </c>
      <c r="AM38" s="23">
        <v>450</v>
      </c>
      <c r="AN38" s="23"/>
      <c r="AO38" s="23">
        <f t="shared" si="9"/>
        <v>455</v>
      </c>
      <c r="AP38" s="23"/>
      <c r="AQ38" s="141">
        <f t="shared" si="10"/>
        <v>364</v>
      </c>
      <c r="AR38" s="24"/>
    </row>
  </sheetData>
  <mergeCells count="16">
    <mergeCell ref="Y19:Z19"/>
    <mergeCell ref="A19:B19"/>
    <mergeCell ref="C19:D19"/>
    <mergeCell ref="G19:H19"/>
    <mergeCell ref="AL1:AN1"/>
    <mergeCell ref="AL18:AN18"/>
    <mergeCell ref="U2:V2"/>
    <mergeCell ref="W2:X2"/>
    <mergeCell ref="Y2:Z2"/>
    <mergeCell ref="A2:B2"/>
    <mergeCell ref="C2:D2"/>
    <mergeCell ref="G2:H2"/>
    <mergeCell ref="U19:V19"/>
    <mergeCell ref="W19:X19"/>
    <mergeCell ref="E2:F2"/>
    <mergeCell ref="E19:F1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db5066c-6899-482b-9ea0-5145f9da9989" xsi:nil="true"/>
    <lcf76f155ced4ddcb4097134ff3c332f xmlns="c019a270-eafa-443b-9c31-d8cf9064eaa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D35244A41AE7C4E8015CCD3BFEBC1F8" ma:contentTypeVersion="17" ma:contentTypeDescription="Create a new document." ma:contentTypeScope="" ma:versionID="1086d630b706611421a957a4f4308b55">
  <xsd:schema xmlns:xsd="http://www.w3.org/2001/XMLSchema" xmlns:xs="http://www.w3.org/2001/XMLSchema" xmlns:p="http://schemas.microsoft.com/office/2006/metadata/properties" xmlns:ns2="c019a270-eafa-443b-9c31-d8cf9064eaac" xmlns:ns3="d821f4cf-5579-41e7-9454-08e552172e2e" xmlns:ns4="ddb5066c-6899-482b-9ea0-5145f9da9989" targetNamespace="http://schemas.microsoft.com/office/2006/metadata/properties" ma:root="true" ma:fieldsID="9bef028bd3c9aeef07ff2d9d7826d452" ns2:_="" ns3:_="" ns4:_="">
    <xsd:import namespace="c019a270-eafa-443b-9c31-d8cf9064eaac"/>
    <xsd:import namespace="d821f4cf-5579-41e7-9454-08e552172e2e"/>
    <xsd:import namespace="ddb5066c-6899-482b-9ea0-5145f9da998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19a270-eafa-443b-9c31-d8cf9064ea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21f4cf-5579-41e7-9454-08e552172e2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db5066c-6899-482b-9ea0-5145f9da9989"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2fef185e-0e8e-4cf7-b1a5-255b7f17a539}" ma:internalName="TaxCatchAll" ma:showField="CatchAllData" ma:web="d821f4cf-5579-41e7-9454-08e552172e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83314C-919B-484A-852A-0F4611094698}">
  <ds:schemaRefs>
    <ds:schemaRef ds:uri="http://schemas.microsoft.com/sharepoint/v3/contenttype/forms"/>
  </ds:schemaRefs>
</ds:datastoreItem>
</file>

<file path=customXml/itemProps2.xml><?xml version="1.0" encoding="utf-8"?>
<ds:datastoreItem xmlns:ds="http://schemas.openxmlformats.org/officeDocument/2006/customXml" ds:itemID="{D982D8E7-0FF3-4556-9E1C-7943B8CF0E22}">
  <ds:schemaRefs>
    <ds:schemaRef ds:uri="http://schemas.microsoft.com/office/2006/metadata/properties"/>
    <ds:schemaRef ds:uri="http://schemas.microsoft.com/office/infopath/2007/PartnerControls"/>
    <ds:schemaRef ds:uri="ddb5066c-6899-482b-9ea0-5145f9da9989"/>
    <ds:schemaRef ds:uri="2afbd0e1-49a6-4b2b-ac3d-1e5a24db9a3f"/>
  </ds:schemaRefs>
</ds:datastoreItem>
</file>

<file path=customXml/itemProps3.xml><?xml version="1.0" encoding="utf-8"?>
<ds:datastoreItem xmlns:ds="http://schemas.openxmlformats.org/officeDocument/2006/customXml" ds:itemID="{36D36374-59C7-4469-8128-714B737B635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18</vt:i4>
      </vt:variant>
    </vt:vector>
  </HeadingPairs>
  <TitlesOfParts>
    <vt:vector size="24" baseType="lpstr">
      <vt:lpstr>Worksheet</vt:lpstr>
      <vt:lpstr>Hourly Volume Data</vt:lpstr>
      <vt:lpstr>Paste Collapsed Miovision Count</vt:lpstr>
      <vt:lpstr>Output for Hourly Volume Data </vt:lpstr>
      <vt:lpstr>Sheet3</vt:lpstr>
      <vt:lpstr>Sheet1</vt:lpstr>
      <vt:lpstr>Approaches</vt:lpstr>
      <vt:lpstr>Bus</vt:lpstr>
      <vt:lpstr>Choice</vt:lpstr>
      <vt:lpstr>Counts</vt:lpstr>
      <vt:lpstr>EXISTING</vt:lpstr>
      <vt:lpstr>Lanes</vt:lpstr>
      <vt:lpstr>Location</vt:lpstr>
      <vt:lpstr>Major</vt:lpstr>
      <vt:lpstr>Manual</vt:lpstr>
      <vt:lpstr>Minor</vt:lpstr>
      <vt:lpstr>'Hourly Volume Data'!Print_Area</vt:lpstr>
      <vt:lpstr>Worksheet!Print_Area</vt:lpstr>
      <vt:lpstr>PROJECTED</vt:lpstr>
      <vt:lpstr>Rail</vt:lpstr>
      <vt:lpstr>RT</vt:lpstr>
      <vt:lpstr>Set</vt:lpstr>
      <vt:lpstr>Truck</vt:lpstr>
      <vt:lpstr>Warrants</vt:lpstr>
    </vt:vector>
  </TitlesOfParts>
  <Manager/>
  <Company>Wisconsin Department of Transportation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DOTKMS</dc:creator>
  <cp:keywords/>
  <dc:description/>
  <cp:lastModifiedBy>Syed, Ivan Anwar</cp:lastModifiedBy>
  <cp:revision/>
  <dcterms:created xsi:type="dcterms:W3CDTF">2014-07-14T19:41:25Z</dcterms:created>
  <dcterms:modified xsi:type="dcterms:W3CDTF">2025-10-28T18:49:44Z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0x0101006D35244A41AE7C4E8015CCD3BFEBC1F8</vt:lpwstr>
  </property>
  <property fmtid="{D5CDD505-2E9C-101B-9397-08002B2CF9AE}" pid="3" name="Folder_Number">
    <vt:lpwstr/>
  </property>
  <property fmtid="{D5CDD505-2E9C-101B-9397-08002B2CF9AE}" pid="4" name="Folder_Code">
    <vt:lpwstr/>
  </property>
  <property fmtid="{D5CDD505-2E9C-101B-9397-08002B2CF9AE}" pid="5" name="Folder_Name">
    <vt:lpwstr/>
  </property>
  <property fmtid="{D5CDD505-2E9C-101B-9397-08002B2CF9AE}" pid="6" name="Folder_Description">
    <vt:lpwstr/>
  </property>
  <property fmtid="{D5CDD505-2E9C-101B-9397-08002B2CF9AE}" pid="7" name="/Folder_Name/">
    <vt:lpwstr/>
  </property>
  <property fmtid="{D5CDD505-2E9C-101B-9397-08002B2CF9AE}" pid="8" name="/Folder_Description/">
    <vt:lpwstr/>
  </property>
  <property fmtid="{D5CDD505-2E9C-101B-9397-08002B2CF9AE}" pid="9" name="Folder_Version">
    <vt:lpwstr/>
  </property>
  <property fmtid="{D5CDD505-2E9C-101B-9397-08002B2CF9AE}" pid="10" name="Folder_VersionSeq">
    <vt:lpwstr/>
  </property>
  <property fmtid="{D5CDD505-2E9C-101B-9397-08002B2CF9AE}" pid="11" name="Folder_Manager">
    <vt:lpwstr/>
  </property>
  <property fmtid="{D5CDD505-2E9C-101B-9397-08002B2CF9AE}" pid="12" name="Folder_ManagerDesc">
    <vt:lpwstr/>
  </property>
  <property fmtid="{D5CDD505-2E9C-101B-9397-08002B2CF9AE}" pid="13" name="Folder_Storage">
    <vt:lpwstr/>
  </property>
  <property fmtid="{D5CDD505-2E9C-101B-9397-08002B2CF9AE}" pid="14" name="Folder_StorageDesc">
    <vt:lpwstr/>
  </property>
  <property fmtid="{D5CDD505-2E9C-101B-9397-08002B2CF9AE}" pid="15" name="Folder_Creator">
    <vt:lpwstr/>
  </property>
  <property fmtid="{D5CDD505-2E9C-101B-9397-08002B2CF9AE}" pid="16" name="Folder_CreatorDesc">
    <vt:lpwstr/>
  </property>
  <property fmtid="{D5CDD505-2E9C-101B-9397-08002B2CF9AE}" pid="17" name="Folder_CreateDate">
    <vt:lpwstr/>
  </property>
  <property fmtid="{D5CDD505-2E9C-101B-9397-08002B2CF9AE}" pid="18" name="Folder_Updater">
    <vt:lpwstr/>
  </property>
  <property fmtid="{D5CDD505-2E9C-101B-9397-08002B2CF9AE}" pid="19" name="Folder_UpdaterDesc">
    <vt:lpwstr/>
  </property>
  <property fmtid="{D5CDD505-2E9C-101B-9397-08002B2CF9AE}" pid="20" name="Folder_UpdateDate">
    <vt:lpwstr/>
  </property>
  <property fmtid="{D5CDD505-2E9C-101B-9397-08002B2CF9AE}" pid="21" name="Document_Number">
    <vt:lpwstr/>
  </property>
  <property fmtid="{D5CDD505-2E9C-101B-9397-08002B2CF9AE}" pid="22" name="Document_Name">
    <vt:lpwstr/>
  </property>
  <property fmtid="{D5CDD505-2E9C-101B-9397-08002B2CF9AE}" pid="23" name="Document_FileName">
    <vt:lpwstr/>
  </property>
  <property fmtid="{D5CDD505-2E9C-101B-9397-08002B2CF9AE}" pid="24" name="Document_Version">
    <vt:lpwstr/>
  </property>
  <property fmtid="{D5CDD505-2E9C-101B-9397-08002B2CF9AE}" pid="25" name="Document_VersionSeq">
    <vt:lpwstr/>
  </property>
  <property fmtid="{D5CDD505-2E9C-101B-9397-08002B2CF9AE}" pid="26" name="Document_Creator">
    <vt:lpwstr/>
  </property>
  <property fmtid="{D5CDD505-2E9C-101B-9397-08002B2CF9AE}" pid="27" name="Document_CreatorDesc">
    <vt:lpwstr/>
  </property>
  <property fmtid="{D5CDD505-2E9C-101B-9397-08002B2CF9AE}" pid="28" name="Document_CreateDate">
    <vt:lpwstr/>
  </property>
  <property fmtid="{D5CDD505-2E9C-101B-9397-08002B2CF9AE}" pid="29" name="Document_Updater">
    <vt:lpwstr/>
  </property>
  <property fmtid="{D5CDD505-2E9C-101B-9397-08002B2CF9AE}" pid="30" name="Document_UpdaterDesc">
    <vt:lpwstr/>
  </property>
  <property fmtid="{D5CDD505-2E9C-101B-9397-08002B2CF9AE}" pid="31" name="Document_UpdateDate">
    <vt:lpwstr/>
  </property>
  <property fmtid="{D5CDD505-2E9C-101B-9397-08002B2CF9AE}" pid="32" name="Document_Size">
    <vt:lpwstr/>
  </property>
  <property fmtid="{D5CDD505-2E9C-101B-9397-08002B2CF9AE}" pid="33" name="Document_Storage">
    <vt:lpwstr/>
  </property>
  <property fmtid="{D5CDD505-2E9C-101B-9397-08002B2CF9AE}" pid="34" name="Document_StorageDesc">
    <vt:lpwstr/>
  </property>
  <property fmtid="{D5CDD505-2E9C-101B-9397-08002B2CF9AE}" pid="35" name="Document_Department">
    <vt:lpwstr/>
  </property>
  <property fmtid="{D5CDD505-2E9C-101B-9397-08002B2CF9AE}" pid="36" name="Document_DepartmentDesc">
    <vt:lpwstr/>
  </property>
  <property fmtid="{D5CDD505-2E9C-101B-9397-08002B2CF9AE}" pid="37" name="MediaServiceImageTags">
    <vt:lpwstr/>
  </property>
</Properties>
</file>