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MGR1\TrafficCo\2019\1. Final Count Sheets\"/>
    </mc:Choice>
  </mc:AlternateContent>
  <xr:revisionPtr revIDLastSave="0" documentId="13_ncr:1_{388DED5B-7DFA-4E37-A7D1-665134D4995F}" xr6:coauthVersionLast="45" xr6:coauthVersionMax="45" xr10:uidLastSave="{00000000-0000-0000-0000-000000000000}"/>
  <bookViews>
    <workbookView xWindow="3420" yWindow="3420" windowWidth="21600" windowHeight="11385" xr2:uid="{00000000-000D-0000-FFFF-FFFF00000000}"/>
  </bookViews>
  <sheets>
    <sheet name="Operations" sheetId="1" r:id="rId1"/>
  </sheets>
  <definedNames>
    <definedName name="HTML_CodePage" hidden="1">1252</definedName>
    <definedName name="HTML_Control" hidden="1">{"'Operations'!$A$1:$AB$78"}</definedName>
    <definedName name="HTML_Description" hidden="1">""</definedName>
    <definedName name="HTML_Email" hidden="1">""</definedName>
    <definedName name="HTML_Header" hidden="1">"Operations"</definedName>
    <definedName name="HTML_LastUpdate" hidden="1">"5/10/2001"</definedName>
    <definedName name="HTML_LineAfter" hidden="1">FALSE</definedName>
    <definedName name="HTML_LineBefore" hidden="1">FALSE</definedName>
    <definedName name="HTML_Name" hidden="1">"INDOT"</definedName>
    <definedName name="HTML_OBDlg2" hidden="1">TRUE</definedName>
    <definedName name="HTML_OBDlg4" hidden="1">TRUE</definedName>
    <definedName name="HTML_OS" hidden="1">0</definedName>
    <definedName name="HTML_PathFile" hidden="1">"C:\Lively\Docs\Excel\Operations.htm"</definedName>
    <definedName name="HTML_Title" hidden="1">"ops2000"</definedName>
    <definedName name="_xlnm.Print_Area" localSheetId="0">Operations!$A$1:$AS$74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58" i="1" l="1"/>
  <c r="AR27" i="1"/>
  <c r="AR74" i="1" l="1"/>
  <c r="AR73" i="1"/>
  <c r="AR71" i="1"/>
  <c r="AR66" i="1"/>
  <c r="AR65" i="1"/>
  <c r="AR63" i="1"/>
  <c r="AR60" i="1"/>
  <c r="AR59" i="1"/>
  <c r="AR57" i="1"/>
  <c r="AR53" i="1"/>
  <c r="AR52" i="1"/>
  <c r="AR49" i="1"/>
  <c r="AR48" i="1"/>
  <c r="AR47" i="1"/>
  <c r="AR45" i="1"/>
  <c r="AR44" i="1"/>
  <c r="AR40" i="1"/>
  <c r="AR37" i="1"/>
  <c r="AR36" i="1"/>
  <c r="AR34" i="1"/>
  <c r="AR32" i="1"/>
  <c r="AR31" i="1"/>
  <c r="AR29" i="1"/>
  <c r="AR23" i="1"/>
  <c r="AR20" i="1"/>
  <c r="AR18" i="1"/>
  <c r="AR12" i="1"/>
  <c r="AR7" i="1"/>
  <c r="AR6" i="1"/>
  <c r="AR5" i="1"/>
  <c r="AR4" i="1"/>
  <c r="AQ74" i="1" l="1"/>
  <c r="AP74" i="1" l="1"/>
  <c r="AO31" i="1" l="1"/>
  <c r="AO29" i="1"/>
  <c r="AO60" i="1" l="1"/>
  <c r="AO30" i="1"/>
  <c r="AO71" i="1" l="1"/>
  <c r="AO70" i="1"/>
  <c r="AO69" i="1"/>
  <c r="AO68" i="1"/>
  <c r="AO66" i="1"/>
  <c r="AO65" i="1"/>
  <c r="AO63" i="1"/>
  <c r="AO59" i="1"/>
  <c r="AO57" i="1"/>
  <c r="AO54" i="1"/>
  <c r="AO53" i="1"/>
  <c r="AO52" i="1"/>
  <c r="AO49" i="1"/>
  <c r="AO48" i="1"/>
  <c r="AO47" i="1"/>
  <c r="AO45" i="1"/>
  <c r="AO44" i="1"/>
  <c r="AO40" i="1" l="1"/>
  <c r="AO38" i="1" l="1"/>
  <c r="AO37" i="1"/>
  <c r="AO36" i="1"/>
  <c r="AO34" i="1"/>
  <c r="AO32" i="1"/>
  <c r="AO23" i="1"/>
  <c r="AO20" i="1"/>
  <c r="AO18" i="1"/>
  <c r="AO12" i="1"/>
  <c r="AO10" i="1"/>
  <c r="AO7" i="1"/>
  <c r="AO6" i="1"/>
  <c r="AO5" i="1"/>
  <c r="AO4" i="1"/>
  <c r="AO74" i="1" l="1"/>
  <c r="AN74" i="1"/>
  <c r="AH74" i="1"/>
  <c r="AI74" i="1"/>
  <c r="AJ74" i="1"/>
  <c r="AK74" i="1"/>
  <c r="AL74" i="1"/>
  <c r="AM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K74" i="1"/>
  <c r="L74" i="1"/>
  <c r="M74" i="1"/>
  <c r="N74" i="1"/>
  <c r="O74" i="1"/>
  <c r="P74" i="1"/>
  <c r="Q74" i="1"/>
  <c r="R74" i="1"/>
  <c r="J74" i="1"/>
  <c r="I74" i="1"/>
  <c r="H74" i="1"/>
  <c r="G74" i="1"/>
  <c r="F74" i="1"/>
  <c r="E74" i="1"/>
  <c r="D74" i="1"/>
  <c r="C74" i="1"/>
</calcChain>
</file>

<file path=xl/sharedStrings.xml><?xml version="1.0" encoding="utf-8"?>
<sst xmlns="http://schemas.openxmlformats.org/spreadsheetml/2006/main" count="389" uniqueCount="181">
  <si>
    <t>Aviation Facility</t>
  </si>
  <si>
    <t>Associated City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</si>
  <si>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</si>
  <si>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</si>
  <si>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</si>
  <si>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</si>
  <si>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</si>
  <si>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</si>
  <si>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</si>
  <si>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</si>
  <si>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</si>
  <si>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</si>
  <si>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</si>
  <si>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</si>
  <si>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</si>
  <si>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</si>
  <si>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</si>
  <si>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Anderson</t>
  </si>
  <si>
    <t>Steuben Co.-Tri State</t>
  </si>
  <si>
    <t>Angola</t>
  </si>
  <si>
    <t>DeKalb County</t>
  </si>
  <si>
    <t>Auburn</t>
  </si>
  <si>
    <t>Virgil I. Grissom</t>
  </si>
  <si>
    <t>Bedford</t>
  </si>
  <si>
    <t>Bloomington</t>
  </si>
  <si>
    <t>Brazil-Clay County</t>
  </si>
  <si>
    <t>Brazil</t>
  </si>
  <si>
    <t>Clinton</t>
  </si>
  <si>
    <t>Columbus</t>
  </si>
  <si>
    <t>Mettel Field</t>
  </si>
  <si>
    <t>Connersville</t>
  </si>
  <si>
    <t>Crawfordsville Municipal</t>
  </si>
  <si>
    <t>Crawfordsville</t>
  </si>
  <si>
    <t>Delphi Municipal</t>
  </si>
  <si>
    <t>Delphi</t>
  </si>
  <si>
    <t>Elkhart</t>
  </si>
  <si>
    <t>Evansville</t>
  </si>
  <si>
    <t>Fort Wayne</t>
  </si>
  <si>
    <t>Frankfort Municipal</t>
  </si>
  <si>
    <t>Frankfort</t>
  </si>
  <si>
    <t>French Lick Municipal</t>
  </si>
  <si>
    <t>French Lick</t>
  </si>
  <si>
    <t>Gary/Chicago</t>
  </si>
  <si>
    <t>Gary</t>
  </si>
  <si>
    <t>Goshen Municipal</t>
  </si>
  <si>
    <t>Goshen</t>
  </si>
  <si>
    <t>Putnam County</t>
  </si>
  <si>
    <t>Greencastle</t>
  </si>
  <si>
    <t>Greensburg</t>
  </si>
  <si>
    <t>Griffith-Merrillville</t>
  </si>
  <si>
    <t>Griffith</t>
  </si>
  <si>
    <t>Indianapolis</t>
  </si>
  <si>
    <t>Huntingburg Airport</t>
  </si>
  <si>
    <t>Huntingburg</t>
  </si>
  <si>
    <t>Huntington Municipal</t>
  </si>
  <si>
    <t>Huntington</t>
  </si>
  <si>
    <t>Eagle Creek Airpark</t>
  </si>
  <si>
    <t>Indianapolis Metropolitan</t>
  </si>
  <si>
    <t>Indianapolis Mt. Comfort</t>
  </si>
  <si>
    <t>Clark County</t>
  </si>
  <si>
    <t>Jeffersonville</t>
  </si>
  <si>
    <t>Kendallville Municipal</t>
  </si>
  <si>
    <t>Kendallville</t>
  </si>
  <si>
    <t>Kentland Municipal</t>
  </si>
  <si>
    <t>Kentland</t>
  </si>
  <si>
    <t>Starke County</t>
  </si>
  <si>
    <t>Knox</t>
  </si>
  <si>
    <t>Kokomo Municipal</t>
  </si>
  <si>
    <t>Kokomo</t>
  </si>
  <si>
    <t>Lafayette</t>
  </si>
  <si>
    <t>Laporte Municipal</t>
  </si>
  <si>
    <t>Laporte</t>
  </si>
  <si>
    <t>Boone County</t>
  </si>
  <si>
    <t>Lebanon</t>
  </si>
  <si>
    <t>Logansport Municipal</t>
  </si>
  <si>
    <t>Logansport</t>
  </si>
  <si>
    <t>Madison Municipal</t>
  </si>
  <si>
    <t>Madison</t>
  </si>
  <si>
    <t>Marion Municipal</t>
  </si>
  <si>
    <t>Marion</t>
  </si>
  <si>
    <t>Michigan City</t>
  </si>
  <si>
    <t>White County</t>
  </si>
  <si>
    <t>Monticello</t>
  </si>
  <si>
    <t>Muncie</t>
  </si>
  <si>
    <t>New Castle-Henry Co.</t>
  </si>
  <si>
    <t>New Castle</t>
  </si>
  <si>
    <t>North Vernon Municipal</t>
  </si>
  <si>
    <t>North Vernon</t>
  </si>
  <si>
    <t>Paoli</t>
  </si>
  <si>
    <t>Peru Municipal</t>
  </si>
  <si>
    <t>Peru</t>
  </si>
  <si>
    <t>Plymouth Municipal</t>
  </si>
  <si>
    <t>Plymouth</t>
  </si>
  <si>
    <t>Portland Municipal</t>
  </si>
  <si>
    <t>Portland</t>
  </si>
  <si>
    <t>Jasper County</t>
  </si>
  <si>
    <t>Rensselaer</t>
  </si>
  <si>
    <t>Richmond Municipal</t>
  </si>
  <si>
    <t>Richmond</t>
  </si>
  <si>
    <t>Fulton County</t>
  </si>
  <si>
    <t>Rochester</t>
  </si>
  <si>
    <t>Salem Municipal</t>
  </si>
  <si>
    <t>Salem</t>
  </si>
  <si>
    <t>Freeman Municipal</t>
  </si>
  <si>
    <t>Seymour</t>
  </si>
  <si>
    <t>Shelbyville Municipal</t>
  </si>
  <si>
    <t>Shelbyville</t>
  </si>
  <si>
    <t>Sheridan</t>
  </si>
  <si>
    <t>South Bend</t>
  </si>
  <si>
    <t>Sullivan County</t>
  </si>
  <si>
    <t>Sullivan</t>
  </si>
  <si>
    <t>Perry County Municipal</t>
  </si>
  <si>
    <t>Tell City</t>
  </si>
  <si>
    <t>Terre Haute</t>
  </si>
  <si>
    <t>Porter County Municipal</t>
  </si>
  <si>
    <t>Valparaiso</t>
  </si>
  <si>
    <t>Wabash Municipal</t>
  </si>
  <si>
    <t>Wabash</t>
  </si>
  <si>
    <t>Warsaw Municipal</t>
  </si>
  <si>
    <t>Warsaw</t>
  </si>
  <si>
    <t>Daviess County</t>
  </si>
  <si>
    <t>Washington</t>
  </si>
  <si>
    <t>Arens Field</t>
  </si>
  <si>
    <t>Winamac</t>
  </si>
  <si>
    <t>Randolph County</t>
  </si>
  <si>
    <t>Winchester</t>
  </si>
  <si>
    <t>Anderson Municipal</t>
  </si>
  <si>
    <t>Monroe County</t>
  </si>
  <si>
    <t>Hulman Regional</t>
  </si>
  <si>
    <t>Delaware County</t>
  </si>
  <si>
    <t>Michigan City Phillips</t>
  </si>
  <si>
    <t>Purdue University</t>
  </si>
  <si>
    <t>Indianapolis International</t>
  </si>
  <si>
    <t>Ft. Wayne International</t>
  </si>
  <si>
    <t>Evansville Regional</t>
  </si>
  <si>
    <t>Elkhart Municipal</t>
  </si>
  <si>
    <t>Columbus Municipal</t>
  </si>
  <si>
    <t>Greensburg-Decatur County*</t>
  </si>
  <si>
    <t>Paoli Municipal*</t>
  </si>
  <si>
    <t>Total Operations History</t>
  </si>
  <si>
    <t xml:space="preserve">Indiana State Aviation System Plan Airports </t>
  </si>
  <si>
    <t>South Bend Regional</t>
  </si>
  <si>
    <t>Indianapolis Executive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</si>
  <si>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</si>
  <si>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</si>
  <si>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</si>
  <si>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</si>
  <si>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</si>
  <si>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</si>
  <si>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</si>
  <si>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</si>
  <si>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</si>
  <si>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</si>
  <si>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</si>
  <si>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</si>
  <si>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</si>
  <si>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</si>
  <si>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</si>
  <si>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</si>
  <si>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</si>
  <si>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</si>
  <si>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</si>
  <si>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</si>
  <si>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</si>
  <si>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</si>
  <si>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</si>
  <si>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Aviation Facility2</t>
  </si>
  <si>
    <t xml:space="preserve"> - </t>
  </si>
  <si>
    <t>Grissom AFRB*</t>
  </si>
  <si>
    <t>EXISTING FACILITY TOTAL (000)</t>
  </si>
  <si>
    <t>Hendricks County*</t>
  </si>
  <si>
    <t>2016</t>
  </si>
  <si>
    <t xml:space="preserve"> </t>
  </si>
  <si>
    <t>Smith Field</t>
  </si>
  <si>
    <t>Indy South Greenwood</t>
  </si>
  <si>
    <t>Indianapolis Downtown Heliport</t>
  </si>
  <si>
    <t>2017</t>
  </si>
  <si>
    <t>Clinton*</t>
  </si>
  <si>
    <t>2018</t>
  </si>
  <si>
    <t>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</si>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</sst>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b/>
      <sz val="12"/>
      <name val="Helv"/>
    </font>
    <font>
      <b/>
      <sz val="10"/>
      <name val="Tms Rmn"/>
    </font>
    <font>
      <sz val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FF"/>
      <name val="Times New Roman"/>
      <family val="1"/>
    </font>
    <font>
      <b/>
      <i/>
      <sz val="10"/>
      <color rgb="FF0000FF"/>
      <name val="Arial"/>
      <family val="2"/>
    </font>
    <font>
      <sz val="10"/>
      <color theme="1" tint="4.9989318521683403E-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164" fontId="0" fillId="0" borderId="0" xfId="1" applyNumberFormat="1" applyFont="1"/>
    <xf numFmtId="1" fontId="0" fillId="0" borderId="0" xfId="0" applyNumberFormat="1"/>
    <xf numFmtId="0" fontId="7" fillId="2" borderId="1" xfId="0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37" fontId="8" fillId="0" borderId="1" xfId="0" applyNumberFormat="1" applyFont="1" applyFill="1" applyBorder="1" applyAlignment="1" applyProtection="1">
      <alignment horizontal="center"/>
      <protection locked="0"/>
    </xf>
    <xf numFmtId="37" fontId="8" fillId="0" borderId="1" xfId="0" applyNumberFormat="1" applyFont="1" applyBorder="1" applyAlignment="1" applyProtection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7" fontId="7" fillId="0" borderId="1" xfId="0" applyNumberFormat="1" applyFont="1" applyBorder="1" applyAlignment="1" applyProtection="1">
      <alignment horizontal="center"/>
    </xf>
    <xf numFmtId="37" fontId="8" fillId="0" borderId="1" xfId="0" applyNumberFormat="1" applyFont="1" applyBorder="1" applyAlignment="1" applyProtection="1">
      <alignment horizontal="center"/>
      <protection locked="0"/>
    </xf>
    <xf numFmtId="37" fontId="10" fillId="0" borderId="1" xfId="0" applyNumberFormat="1" applyFont="1" applyBorder="1" applyAlignment="1" applyProtection="1">
      <alignment horizontal="center"/>
    </xf>
    <xf numFmtId="3" fontId="7" fillId="0" borderId="1" xfId="0" applyNumberFormat="1" applyFont="1" applyBorder="1" applyAlignment="1" applyProtection="1">
      <alignment horizontal="center"/>
    </xf>
    <xf numFmtId="3" fontId="7" fillId="0" borderId="2" xfId="0" applyNumberFormat="1" applyFont="1" applyBorder="1" applyAlignment="1">
      <alignment horizontal="center"/>
    </xf>
    <xf numFmtId="37" fontId="7" fillId="0" borderId="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7" fillId="0" borderId="2" xfId="0" applyFont="1" applyBorder="1" applyAlignment="1">
      <alignment horizontal="center"/>
    </xf>
    <xf numFmtId="37" fontId="10" fillId="0" borderId="1" xfId="0" applyNumberFormat="1" applyFont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</xf>
    <xf numFmtId="1" fontId="12" fillId="3" borderId="3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3" fontId="9" fillId="0" borderId="1" xfId="0" applyNumberFormat="1" applyFont="1" applyBorder="1" applyAlignment="1" applyProtection="1">
      <alignment horizontal="center"/>
    </xf>
    <xf numFmtId="37" fontId="14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7" fillId="3" borderId="3" xfId="0" applyNumberFormat="1" applyFont="1" applyFill="1" applyBorder="1" applyAlignment="1" applyProtection="1">
      <alignment horizontal="center"/>
    </xf>
    <xf numFmtId="3" fontId="16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 applyProtection="1">
      <alignment horizontal="center"/>
    </xf>
    <xf numFmtId="3" fontId="13" fillId="0" borderId="1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left"/>
    </xf>
    <xf numFmtId="37" fontId="12" fillId="0" borderId="5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37" fontId="7" fillId="0" borderId="3" xfId="0" applyNumberFormat="1" applyFont="1" applyBorder="1" applyAlignment="1" applyProtection="1">
      <alignment horizontal="center"/>
    </xf>
    <xf numFmtId="37" fontId="8" fillId="0" borderId="3" xfId="0" applyNumberFormat="1" applyFont="1" applyBorder="1" applyAlignment="1" applyProtection="1">
      <alignment horizontal="center"/>
      <protection locked="0"/>
    </xf>
    <xf numFmtId="37" fontId="8" fillId="0" borderId="3" xfId="0" applyNumberFormat="1" applyFont="1" applyBorder="1" applyAlignment="1" applyProtection="1">
      <alignment horizontal="center"/>
    </xf>
    <xf numFmtId="37" fontId="10" fillId="0" borderId="3" xfId="0" applyNumberFormat="1" applyFont="1" applyBorder="1" applyAlignment="1" applyProtection="1">
      <alignment horizontal="center"/>
    </xf>
    <xf numFmtId="3" fontId="8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0" fillId="4" borderId="0" xfId="0" applyFill="1"/>
    <xf numFmtId="0" fontId="1" fillId="0" borderId="0" xfId="0" applyFont="1" applyAlignment="1" applyProtection="1">
      <alignment horizontal="center"/>
    </xf>
  </cellXfs>
  <cellStyles count="2">
    <cellStyle name="Normal" xfId="0" builtinId="0"/>
    <cellStyle name="Percent" xfId="1" builtinId="5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outline val="0"/>
        <shadow val="0"/>
        <u val="none"/>
        <vertAlign val="baseline"/>
        <color rgb="FF0000FF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1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12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5" formatCode="#,##0_);\(#,##0\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74</xdr:row>
      <xdr:rowOff>152401</xdr:rowOff>
    </xdr:from>
    <xdr:to>
      <xdr:col>9</xdr:col>
      <xdr:colOff>619125</xdr:colOff>
      <xdr:row>79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600" y="12877801"/>
          <a:ext cx="8562975" cy="800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Notes:</a:t>
          </a:r>
        </a:p>
        <a:p>
          <a:r>
            <a:rPr lang="en-US" sz="1100"/>
            <a:t> </a:t>
          </a:r>
          <a:r>
            <a:rPr lang="en-US" sz="1100" baseline="0"/>
            <a:t>     1. Airports that have been added to or removed from the ISASP and/or have missing data are denoted with an asterisk (*)</a:t>
          </a:r>
          <a:br>
            <a:rPr lang="en-US" sz="1100" baseline="0"/>
          </a:br>
          <a:r>
            <a:rPr lang="en-US" sz="1100" baseline="0"/>
            <a:t>      2. Actual or sampled aircraft operations are denoted with </a:t>
          </a:r>
          <a:r>
            <a:rPr lang="en-US" sz="1100" b="1" i="1" baseline="0">
              <a:solidFill>
                <a:srgbClr val="0000FF"/>
              </a:solidFill>
            </a:rPr>
            <a:t>blue italics</a:t>
          </a:r>
          <a:br>
            <a:rPr lang="en-US" sz="1100" b="1" i="1" baseline="0">
              <a:solidFill>
                <a:srgbClr val="0000FF"/>
              </a:solidFill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3. Estimated operations are denoted with black numbers</a:t>
          </a:r>
          <a:endParaRPr lang="en-US" sz="1100" b="1" i="1">
            <a:solidFill>
              <a:srgbClr val="0000FF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S74" totalsRowShown="0" headerRowDxfId="46" dataDxfId="45" tableBorderDxfId="44">
  <autoFilter ref="A3:AS74" xr:uid="{00000000-0009-0000-0100-000001000000}"/>
  <tableColumns count="45">
    <tableColumn id="1" xr3:uid="{00000000-0010-0000-0000-000001000000}" name="Aviation Facility" dataDxfId="43"/>
    <tableColumn id="2" xr3:uid="{00000000-0010-0000-0000-000002000000}" name="Associated City" dataDxfId="42"/>
    <tableColumn id="3" xr3:uid="{00000000-0010-0000-0000-000003000000}" name="1978" dataDxfId="41"/>
    <tableColumn id="4" xr3:uid="{00000000-0010-0000-0000-000004000000}" name="1979" dataDxfId="40"/>
    <tableColumn id="5" xr3:uid="{00000000-0010-0000-0000-000005000000}" name="1980" dataDxfId="39"/>
    <tableColumn id="6" xr3:uid="{00000000-0010-0000-0000-000006000000}" name="1981" dataDxfId="38"/>
    <tableColumn id="7" xr3:uid="{00000000-0010-0000-0000-000007000000}" name="1982" dataDxfId="37"/>
    <tableColumn id="8" xr3:uid="{00000000-0010-0000-0000-000008000000}" name="1983" dataDxfId="36"/>
    <tableColumn id="9" xr3:uid="{00000000-0010-0000-0000-000009000000}" name="1984" dataDxfId="35"/>
    <tableColumn id="10" xr3:uid="{00000000-0010-0000-0000-00000A000000}" name="1985" dataDxfId="34"/>
    <tableColumn id="11" xr3:uid="{00000000-0010-0000-0000-00000B000000}" name="1986" dataDxfId="33"/>
    <tableColumn id="12" xr3:uid="{00000000-0010-0000-0000-00000C000000}" name="1987" dataDxfId="32"/>
    <tableColumn id="13" xr3:uid="{00000000-0010-0000-0000-00000D000000}" name="1988" dataDxfId="31"/>
    <tableColumn id="14" xr3:uid="{00000000-0010-0000-0000-00000E000000}" name="1989" dataDxfId="30"/>
    <tableColumn id="15" xr3:uid="{00000000-0010-0000-0000-00000F000000}" name="1990" dataDxfId="29"/>
    <tableColumn id="16" xr3:uid="{00000000-0010-0000-0000-000010000000}" name="1991" dataDxfId="28"/>
    <tableColumn id="17" xr3:uid="{00000000-0010-0000-0000-000011000000}" name="1992" dataDxfId="27"/>
    <tableColumn id="18" xr3:uid="{00000000-0010-0000-0000-000012000000}" name="1993" dataDxfId="26"/>
    <tableColumn id="19" xr3:uid="{00000000-0010-0000-0000-000013000000}" name="1994" dataDxfId="25"/>
    <tableColumn id="20" xr3:uid="{00000000-0010-0000-0000-000014000000}" name="1995" dataDxfId="24"/>
    <tableColumn id="21" xr3:uid="{00000000-0010-0000-0000-000015000000}" name="1996" dataDxfId="23"/>
    <tableColumn id="22" xr3:uid="{00000000-0010-0000-0000-000016000000}" name="1997" dataDxfId="22"/>
    <tableColumn id="23" xr3:uid="{00000000-0010-0000-0000-000017000000}" name="1998" dataDxfId="21"/>
    <tableColumn id="24" xr3:uid="{00000000-0010-0000-0000-000018000000}" name="1999" dataDxfId="20"/>
    <tableColumn id="25" xr3:uid="{00000000-0010-0000-0000-000019000000}" name="2000" dataDxfId="19"/>
    <tableColumn id="26" xr3:uid="{00000000-0010-0000-0000-00001A000000}" name="2001" dataDxfId="18"/>
    <tableColumn id="27" xr3:uid="{00000000-0010-0000-0000-00001B000000}" name="2002" dataDxfId="17"/>
    <tableColumn id="28" xr3:uid="{00000000-0010-0000-0000-00001C000000}" name="2003" dataDxfId="16"/>
    <tableColumn id="29" xr3:uid="{00000000-0010-0000-0000-00001D000000}" name="2004" dataDxfId="15"/>
    <tableColumn id="30" xr3:uid="{00000000-0010-0000-0000-00001E000000}" name="2005" dataDxfId="14"/>
    <tableColumn id="31" xr3:uid="{00000000-0010-0000-0000-00001F000000}" name="2006" dataDxfId="13"/>
    <tableColumn id="32" xr3:uid="{00000000-0010-0000-0000-000020000000}" name="2007" dataDxfId="12"/>
    <tableColumn id="33" xr3:uid="{00000000-0010-0000-0000-000021000000}" name="2008" dataDxfId="11"/>
    <tableColumn id="34" xr3:uid="{00000000-0010-0000-0000-000022000000}" name="2009" dataDxfId="10"/>
    <tableColumn id="35" xr3:uid="{00000000-0010-0000-0000-000023000000}" name="2010" dataDxfId="9"/>
    <tableColumn id="36" xr3:uid="{00000000-0010-0000-0000-000024000000}" name="2011" dataDxfId="8"/>
    <tableColumn id="37" xr3:uid="{00000000-0010-0000-0000-000025000000}" name="2012" dataDxfId="7"/>
    <tableColumn id="38" xr3:uid="{00000000-0010-0000-0000-000026000000}" name="2013" dataDxfId="6"/>
    <tableColumn id="39" xr3:uid="{00000000-0010-0000-0000-000027000000}" name="2014" dataDxfId="5"/>
    <tableColumn id="40" xr3:uid="{00000000-0010-0000-0000-000028000000}" name="2015" dataDxfId="4"/>
    <tableColumn id="45" xr3:uid="{00000000-0010-0000-0000-00002D000000}" name="2016" dataDxfId="3"/>
    <tableColumn id="42" xr3:uid="{00000000-0010-0000-0000-00002A000000}" name="2017" dataDxfId="2"/>
    <tableColumn id="44" xr3:uid="{00000000-0010-0000-0000-00002C000000}" name="2018" dataDxfId="1"/>
    <tableColumn id="46" xr3:uid="{E12D50F7-5A2E-41B1-B84F-1D550D19810E}" name="2019"/>
    <tableColumn id="41" xr3:uid="{00000000-0010-0000-0000-000029000000}" name="Aviation Facility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9"/>
  <sheetViews>
    <sheetView showGridLines="0" tabSelected="1" topLeftCell="AJ32" zoomScaleNormal="100" workbookViewId="0">
      <selection activeCell="AR54" sqref="AR54"/>
    </sheetView>
  </sheetViews>
  <sheetFormatPr defaultColWidth="9.140625" defaultRowHeight="12.75" x14ac:dyDescent="0.2"/>
  <cols>
    <col min="1" max="1" width="35.5703125" bestFit="1" customWidth="1"/>
    <col min="2" max="2" width="20" customWidth="1"/>
    <col min="3" max="30" width="9.5703125" style="3" customWidth="1"/>
    <col min="31" max="40" width="9.5703125" style="3" bestFit="1" customWidth="1"/>
    <col min="41" max="42" width="9.5703125" style="3" customWidth="1"/>
    <col min="43" max="44" width="9.5703125" style="41" customWidth="1"/>
    <col min="45" max="45" width="26.7109375" bestFit="1" customWidth="1"/>
    <col min="50" max="50" width="9.5703125" bestFit="1" customWidth="1"/>
  </cols>
  <sheetData>
    <row r="1" spans="1:46" ht="15.75" x14ac:dyDescent="0.25">
      <c r="A1" s="59" t="s">
        <v>140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6" ht="15.75" x14ac:dyDescent="0.25">
      <c r="A2" s="59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spans="1:46" s="37" customFormat="1" ht="13.5" thickBot="1" x14ac:dyDescent="0.2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5" t="s">
        <v>13</v>
      </c>
      <c r="O3" s="35" t="s">
        <v>14</v>
      </c>
      <c r="P3" s="35" t="s">
        <v>15</v>
      </c>
      <c r="Q3" s="35" t="s">
        <v>16</v>
      </c>
      <c r="R3" s="36" t="s">
        <v>143</v>
      </c>
      <c r="S3" s="36" t="s">
        <v>144</v>
      </c>
      <c r="T3" s="36" t="s">
        <v>145</v>
      </c>
      <c r="U3" s="36" t="s">
        <v>146</v>
      </c>
      <c r="V3" s="36" t="s">
        <v>147</v>
      </c>
      <c r="W3" s="36" t="s">
        <v>148</v>
      </c>
      <c r="X3" s="36" t="s">
        <v>149</v>
      </c>
      <c r="Y3" s="36" t="s">
        <v>150</v>
      </c>
      <c r="Z3" s="35" t="s">
        <v>151</v>
      </c>
      <c r="AA3" s="36" t="s">
        <v>152</v>
      </c>
      <c r="AB3" s="36" t="s">
        <v>153</v>
      </c>
      <c r="AC3" s="36" t="s">
        <v>154</v>
      </c>
      <c r="AD3" s="36" t="s">
        <v>155</v>
      </c>
      <c r="AE3" s="36" t="s">
        <v>156</v>
      </c>
      <c r="AF3" s="36" t="s">
        <v>157</v>
      </c>
      <c r="AG3" s="36" t="s">
        <v>158</v>
      </c>
      <c r="AH3" s="36" t="s">
        <v>159</v>
      </c>
      <c r="AI3" s="36" t="s">
        <v>160</v>
      </c>
      <c r="AJ3" s="36" t="s">
        <v>161</v>
      </c>
      <c r="AK3" s="36" t="s">
        <v>162</v>
      </c>
      <c r="AL3" s="36" t="s">
        <v>163</v>
      </c>
      <c r="AM3" s="36" t="s">
        <v>164</v>
      </c>
      <c r="AN3" s="36" t="s">
        <v>165</v>
      </c>
      <c r="AO3" s="36" t="s">
        <v>171</v>
      </c>
      <c r="AP3" s="36" t="s">
        <v>176</v>
      </c>
      <c r="AQ3" s="42" t="s">
        <v>178</v>
      </c>
      <c r="AR3" s="42" t="s">
        <v>179</v>
      </c>
      <c r="AS3" s="35" t="s">
        <v>166</v>
      </c>
    </row>
    <row r="4" spans="1:46" ht="13.5" thickTop="1" x14ac:dyDescent="0.2">
      <c r="A4" s="10" t="s">
        <v>126</v>
      </c>
      <c r="B4" s="10" t="s">
        <v>17</v>
      </c>
      <c r="C4" s="11">
        <v>36604</v>
      </c>
      <c r="D4" s="11">
        <v>31279</v>
      </c>
      <c r="E4" s="11">
        <v>25732</v>
      </c>
      <c r="F4" s="11">
        <v>27506</v>
      </c>
      <c r="G4" s="12">
        <v>30814</v>
      </c>
      <c r="H4" s="11">
        <v>24336</v>
      </c>
      <c r="I4" s="11">
        <v>27072</v>
      </c>
      <c r="J4" s="11">
        <v>23092</v>
      </c>
      <c r="K4" s="11">
        <v>28383</v>
      </c>
      <c r="L4" s="11">
        <v>32523</v>
      </c>
      <c r="M4" s="11">
        <v>28399</v>
      </c>
      <c r="N4" s="13">
        <v>24521</v>
      </c>
      <c r="O4" s="13">
        <v>20966</v>
      </c>
      <c r="P4" s="11">
        <v>27000</v>
      </c>
      <c r="Q4" s="11">
        <v>28350.3</v>
      </c>
      <c r="R4" s="11">
        <v>25479</v>
      </c>
      <c r="S4" s="11">
        <v>26631</v>
      </c>
      <c r="T4" s="11">
        <v>20867</v>
      </c>
      <c r="U4" s="11">
        <v>19830</v>
      </c>
      <c r="V4" s="14">
        <v>21667</v>
      </c>
      <c r="W4" s="14">
        <v>26161</v>
      </c>
      <c r="X4" s="14">
        <v>27263</v>
      </c>
      <c r="Y4" s="14">
        <v>27843</v>
      </c>
      <c r="Z4" s="14">
        <v>28389</v>
      </c>
      <c r="AA4" s="14">
        <v>29878</v>
      </c>
      <c r="AB4" s="14">
        <v>25520</v>
      </c>
      <c r="AC4" s="14">
        <v>29314</v>
      </c>
      <c r="AD4" s="14">
        <v>27852</v>
      </c>
      <c r="AE4" s="14">
        <v>26874</v>
      </c>
      <c r="AF4" s="15">
        <v>25008</v>
      </c>
      <c r="AG4" s="15">
        <v>22755</v>
      </c>
      <c r="AH4" s="16">
        <v>16631</v>
      </c>
      <c r="AI4" s="17">
        <v>16841.600000000002</v>
      </c>
      <c r="AJ4" s="15">
        <v>20914</v>
      </c>
      <c r="AK4" s="17">
        <v>23086.850000000002</v>
      </c>
      <c r="AL4" s="17">
        <v>22000.41</v>
      </c>
      <c r="AM4" s="18">
        <v>12599</v>
      </c>
      <c r="AN4" s="17">
        <v>12426.410958904111</v>
      </c>
      <c r="AO4" s="17">
        <f>Table1[[#This Row],[2014]]/73*75</f>
        <v>12944.178082191782</v>
      </c>
      <c r="AP4" s="15">
        <v>19897</v>
      </c>
      <c r="AQ4" s="17">
        <v>19359</v>
      </c>
      <c r="AR4" s="17">
        <f>(19897/74)*67</f>
        <v>18014.851351351354</v>
      </c>
      <c r="AS4" s="10" t="s">
        <v>126</v>
      </c>
    </row>
    <row r="5" spans="1:46" x14ac:dyDescent="0.2">
      <c r="A5" s="10" t="s">
        <v>18</v>
      </c>
      <c r="B5" s="10" t="s">
        <v>19</v>
      </c>
      <c r="C5" s="19">
        <v>9810</v>
      </c>
      <c r="D5" s="19">
        <v>11445</v>
      </c>
      <c r="E5" s="19">
        <v>10900</v>
      </c>
      <c r="F5" s="19">
        <v>11445</v>
      </c>
      <c r="G5" s="19">
        <v>12535</v>
      </c>
      <c r="H5" s="19">
        <v>13625</v>
      </c>
      <c r="I5" s="19">
        <v>14170</v>
      </c>
      <c r="J5" s="19">
        <v>14170</v>
      </c>
      <c r="K5" s="19">
        <v>14715</v>
      </c>
      <c r="L5" s="19">
        <v>13080</v>
      </c>
      <c r="M5" s="19">
        <v>11990</v>
      </c>
      <c r="N5" s="19">
        <v>13625</v>
      </c>
      <c r="O5" s="20">
        <v>13616</v>
      </c>
      <c r="P5" s="19">
        <v>14715</v>
      </c>
      <c r="Q5" s="19">
        <v>15805</v>
      </c>
      <c r="R5" s="20">
        <v>13856</v>
      </c>
      <c r="S5" s="19">
        <v>15300</v>
      </c>
      <c r="T5" s="20">
        <v>15035</v>
      </c>
      <c r="U5" s="19">
        <v>17034</v>
      </c>
      <c r="V5" s="19">
        <v>17034</v>
      </c>
      <c r="W5" s="19">
        <v>16032</v>
      </c>
      <c r="X5" s="20">
        <v>18066</v>
      </c>
      <c r="Y5" s="19">
        <v>18668.2</v>
      </c>
      <c r="Z5" s="19">
        <v>18668.2</v>
      </c>
      <c r="AA5" s="19">
        <v>18066</v>
      </c>
      <c r="AB5" s="19">
        <v>18668</v>
      </c>
      <c r="AC5" s="21">
        <v>19872.600000000002</v>
      </c>
      <c r="AD5" s="14">
        <v>18362</v>
      </c>
      <c r="AE5" s="22">
        <v>18918.28</v>
      </c>
      <c r="AF5" s="17">
        <v>23369.64</v>
      </c>
      <c r="AG5" s="17">
        <v>21700.379999999997</v>
      </c>
      <c r="AH5" s="23">
        <v>22256.799999999999</v>
      </c>
      <c r="AI5" s="17">
        <v>19474.699999999997</v>
      </c>
      <c r="AJ5" s="17">
        <v>18918.28</v>
      </c>
      <c r="AK5" s="17">
        <v>21143.96</v>
      </c>
      <c r="AL5" s="17">
        <v>21700.379999999997</v>
      </c>
      <c r="AM5" s="18">
        <v>5653</v>
      </c>
      <c r="AN5" s="17">
        <v>6264.135135135135</v>
      </c>
      <c r="AO5" s="17">
        <f>Table1[[#This Row],[2014]]/37*39</f>
        <v>5958.5675675675675</v>
      </c>
      <c r="AP5" s="15">
        <v>9604</v>
      </c>
      <c r="AQ5" s="17">
        <v>9864</v>
      </c>
      <c r="AR5" s="17">
        <f>(9864/38)*37</f>
        <v>9604.4210526315783</v>
      </c>
      <c r="AS5" s="10" t="s">
        <v>18</v>
      </c>
    </row>
    <row r="6" spans="1:46" x14ac:dyDescent="0.2">
      <c r="A6" s="10" t="s">
        <v>20</v>
      </c>
      <c r="B6" s="10" t="s">
        <v>21</v>
      </c>
      <c r="C6" s="19">
        <v>8000</v>
      </c>
      <c r="D6" s="19">
        <v>10400</v>
      </c>
      <c r="E6" s="19">
        <v>7700</v>
      </c>
      <c r="F6" s="19">
        <v>9400</v>
      </c>
      <c r="G6" s="19">
        <v>9000</v>
      </c>
      <c r="H6" s="19">
        <v>9400</v>
      </c>
      <c r="I6" s="19">
        <v>9700</v>
      </c>
      <c r="J6" s="19">
        <v>10100</v>
      </c>
      <c r="K6" s="19">
        <v>10100</v>
      </c>
      <c r="L6" s="19">
        <v>10100</v>
      </c>
      <c r="M6" s="19">
        <v>10700</v>
      </c>
      <c r="N6" s="19">
        <v>12700</v>
      </c>
      <c r="O6" s="19">
        <v>10700</v>
      </c>
      <c r="P6" s="20">
        <v>10056</v>
      </c>
      <c r="Q6" s="19">
        <v>10700</v>
      </c>
      <c r="R6" s="20">
        <v>15538</v>
      </c>
      <c r="S6" s="19">
        <v>16100</v>
      </c>
      <c r="T6" s="19">
        <v>18200</v>
      </c>
      <c r="U6" s="20">
        <v>10426</v>
      </c>
      <c r="V6" s="19">
        <v>14852</v>
      </c>
      <c r="W6" s="19">
        <v>14852</v>
      </c>
      <c r="X6" s="19">
        <v>14220</v>
      </c>
      <c r="Y6" s="19">
        <v>18008.545454545456</v>
      </c>
      <c r="Z6" s="19">
        <v>18008.545454545456</v>
      </c>
      <c r="AA6" s="19">
        <v>13904</v>
      </c>
      <c r="AB6" s="19">
        <v>15168</v>
      </c>
      <c r="AC6" s="21">
        <v>17692.64</v>
      </c>
      <c r="AD6" s="14">
        <v>19703</v>
      </c>
      <c r="AE6" s="17">
        <v>20005.920000000002</v>
      </c>
      <c r="AF6" s="15">
        <v>20376</v>
      </c>
      <c r="AG6" s="17">
        <v>19102.5</v>
      </c>
      <c r="AH6" s="23">
        <v>21012.75</v>
      </c>
      <c r="AI6" s="17">
        <v>21331.125</v>
      </c>
      <c r="AJ6" s="15">
        <v>12824</v>
      </c>
      <c r="AK6" s="17">
        <v>13027.84</v>
      </c>
      <c r="AL6" s="17">
        <v>13638.52</v>
      </c>
      <c r="AM6" s="18">
        <v>11672</v>
      </c>
      <c r="AN6" s="17">
        <v>12227.809523809523</v>
      </c>
      <c r="AO6" s="17">
        <f>Table1[[#This Row],[2014]]/63*73</f>
        <v>13524.698412698412</v>
      </c>
      <c r="AP6" s="15">
        <v>13899</v>
      </c>
      <c r="AQ6" s="17">
        <v>12787</v>
      </c>
      <c r="AR6" s="17">
        <f>(13899/75)*67</f>
        <v>12416.439999999999</v>
      </c>
      <c r="AS6" s="10" t="s">
        <v>20</v>
      </c>
    </row>
    <row r="7" spans="1:46" x14ac:dyDescent="0.2">
      <c r="A7" s="10" t="s">
        <v>22</v>
      </c>
      <c r="B7" s="10" t="s">
        <v>23</v>
      </c>
      <c r="C7" s="19">
        <v>19184</v>
      </c>
      <c r="D7" s="19">
        <v>18748</v>
      </c>
      <c r="E7" s="19">
        <v>15696</v>
      </c>
      <c r="F7" s="19">
        <v>15696</v>
      </c>
      <c r="G7" s="19">
        <v>16568</v>
      </c>
      <c r="H7" s="19">
        <v>15696</v>
      </c>
      <c r="I7" s="19">
        <v>13080</v>
      </c>
      <c r="J7" s="19">
        <v>12644</v>
      </c>
      <c r="K7" s="19">
        <v>13952</v>
      </c>
      <c r="L7" s="19">
        <v>16568</v>
      </c>
      <c r="M7" s="19">
        <v>15260</v>
      </c>
      <c r="N7" s="19">
        <v>15696</v>
      </c>
      <c r="O7" s="19">
        <v>12208</v>
      </c>
      <c r="P7" s="19">
        <v>12208</v>
      </c>
      <c r="Q7" s="19">
        <v>13080</v>
      </c>
      <c r="R7" s="19">
        <v>13516</v>
      </c>
      <c r="S7" s="19">
        <v>12208</v>
      </c>
      <c r="T7" s="19">
        <v>12644</v>
      </c>
      <c r="U7" s="19">
        <v>12644</v>
      </c>
      <c r="V7" s="19">
        <v>12644</v>
      </c>
      <c r="W7" s="19">
        <v>13952</v>
      </c>
      <c r="X7" s="19">
        <v>13516</v>
      </c>
      <c r="Y7" s="20">
        <v>20941</v>
      </c>
      <c r="Z7" s="24">
        <v>20941</v>
      </c>
      <c r="AA7" s="24">
        <v>19096</v>
      </c>
      <c r="AB7" s="24">
        <v>20325.03</v>
      </c>
      <c r="AC7" s="21">
        <v>21556.85</v>
      </c>
      <c r="AD7" s="21">
        <v>19093.21</v>
      </c>
      <c r="AE7" s="25">
        <v>8972</v>
      </c>
      <c r="AF7" s="15">
        <v>5110</v>
      </c>
      <c r="AG7" s="17">
        <v>5274.88</v>
      </c>
      <c r="AH7" s="23">
        <v>5110.04</v>
      </c>
      <c r="AI7" s="17">
        <v>4780.3599999999997</v>
      </c>
      <c r="AJ7" s="17">
        <v>4450.68</v>
      </c>
      <c r="AK7" s="18">
        <v>4491</v>
      </c>
      <c r="AL7" s="17">
        <v>4651.3099999999995</v>
      </c>
      <c r="AM7" s="17">
        <v>4490.92</v>
      </c>
      <c r="AN7" s="18">
        <v>3396</v>
      </c>
      <c r="AO7" s="17">
        <f>Table1[[#This Row],[2015]]/25*25</f>
        <v>3396</v>
      </c>
      <c r="AP7" s="17">
        <v>3260</v>
      </c>
      <c r="AQ7" s="18">
        <v>5858</v>
      </c>
      <c r="AR7" s="17">
        <f>(5858/32)*32</f>
        <v>5858</v>
      </c>
      <c r="AS7" s="10" t="s">
        <v>22</v>
      </c>
    </row>
    <row r="8" spans="1:46" x14ac:dyDescent="0.2">
      <c r="A8" s="10" t="s">
        <v>127</v>
      </c>
      <c r="B8" s="10" t="s">
        <v>24</v>
      </c>
      <c r="C8" s="11">
        <v>69000</v>
      </c>
      <c r="D8" s="11">
        <v>63000</v>
      </c>
      <c r="E8" s="11">
        <v>60518</v>
      </c>
      <c r="F8" s="11">
        <v>48000</v>
      </c>
      <c r="G8" s="11"/>
      <c r="H8" s="11">
        <v>25182</v>
      </c>
      <c r="I8" s="11">
        <v>34808</v>
      </c>
      <c r="J8" s="11">
        <v>39334</v>
      </c>
      <c r="K8" s="11">
        <v>42296</v>
      </c>
      <c r="L8" s="11">
        <v>41691</v>
      </c>
      <c r="M8" s="11">
        <v>42401</v>
      </c>
      <c r="N8" s="13">
        <v>53752</v>
      </c>
      <c r="O8" s="13">
        <v>45322</v>
      </c>
      <c r="P8" s="11">
        <v>33823</v>
      </c>
      <c r="Q8" s="11">
        <v>35495</v>
      </c>
      <c r="R8" s="11">
        <v>39307</v>
      </c>
      <c r="S8" s="19">
        <v>40757</v>
      </c>
      <c r="T8" s="19">
        <v>27343</v>
      </c>
      <c r="U8" s="19">
        <v>26272</v>
      </c>
      <c r="V8" s="19">
        <v>41870</v>
      </c>
      <c r="W8" s="19">
        <v>41870</v>
      </c>
      <c r="X8" s="19">
        <v>41870</v>
      </c>
      <c r="Y8" s="14">
        <v>41841</v>
      </c>
      <c r="Z8" s="14">
        <v>39363</v>
      </c>
      <c r="AA8" s="14">
        <v>40494</v>
      </c>
      <c r="AB8" s="14">
        <v>36592</v>
      </c>
      <c r="AC8" s="14">
        <v>32157</v>
      </c>
      <c r="AD8" s="14">
        <v>34577</v>
      </c>
      <c r="AE8" s="25">
        <v>33960</v>
      </c>
      <c r="AF8" s="15">
        <v>32578</v>
      </c>
      <c r="AG8" s="15">
        <v>34388</v>
      </c>
      <c r="AH8" s="16">
        <v>26690</v>
      </c>
      <c r="AI8" s="15">
        <v>25748</v>
      </c>
      <c r="AJ8" s="15">
        <v>25310</v>
      </c>
      <c r="AK8" s="15">
        <v>22270</v>
      </c>
      <c r="AL8" s="15">
        <v>23894</v>
      </c>
      <c r="AM8" s="15">
        <v>26906</v>
      </c>
      <c r="AN8" s="15">
        <v>32275</v>
      </c>
      <c r="AO8" s="15">
        <v>24251</v>
      </c>
      <c r="AP8" s="15">
        <v>26402</v>
      </c>
      <c r="AQ8" s="18">
        <v>29150</v>
      </c>
      <c r="AR8" s="18">
        <v>31718</v>
      </c>
      <c r="AS8" s="10" t="s">
        <v>127</v>
      </c>
    </row>
    <row r="9" spans="1:46" x14ac:dyDescent="0.2">
      <c r="A9" s="10" t="s">
        <v>25</v>
      </c>
      <c r="B9" s="10" t="s">
        <v>26</v>
      </c>
      <c r="C9" s="19">
        <v>11560</v>
      </c>
      <c r="D9" s="19">
        <v>12240</v>
      </c>
      <c r="E9" s="19">
        <v>12240</v>
      </c>
      <c r="F9" s="19">
        <v>10880</v>
      </c>
      <c r="G9" s="19">
        <v>9520</v>
      </c>
      <c r="H9" s="19">
        <v>8160</v>
      </c>
      <c r="I9" s="19">
        <v>5440</v>
      </c>
      <c r="J9" s="19">
        <v>5780</v>
      </c>
      <c r="K9" s="19">
        <v>3740</v>
      </c>
      <c r="L9" s="19">
        <v>3400</v>
      </c>
      <c r="M9" s="19">
        <v>4080</v>
      </c>
      <c r="N9" s="19">
        <v>3740</v>
      </c>
      <c r="O9" s="19">
        <v>3400</v>
      </c>
      <c r="P9" s="19">
        <v>3400</v>
      </c>
      <c r="Q9" s="19">
        <v>3740</v>
      </c>
      <c r="R9" s="19">
        <v>4080</v>
      </c>
      <c r="S9" s="20">
        <v>6355</v>
      </c>
      <c r="T9" s="19">
        <v>7810</v>
      </c>
      <c r="U9" s="19">
        <v>9230</v>
      </c>
      <c r="V9" s="19">
        <v>7810</v>
      </c>
      <c r="W9" s="20">
        <v>4224</v>
      </c>
      <c r="X9" s="19">
        <v>3840</v>
      </c>
      <c r="Y9" s="19">
        <v>5376</v>
      </c>
      <c r="Z9" s="19">
        <v>5376</v>
      </c>
      <c r="AA9" s="19">
        <v>5376</v>
      </c>
      <c r="AB9" s="19">
        <v>5376</v>
      </c>
      <c r="AC9" s="14">
        <v>9291</v>
      </c>
      <c r="AD9" s="19">
        <v>8710.35</v>
      </c>
      <c r="AE9" s="22">
        <v>7548.9700000000012</v>
      </c>
      <c r="AF9" s="15">
        <v>5082</v>
      </c>
      <c r="AG9" s="17">
        <v>5399.625</v>
      </c>
      <c r="AH9" s="23">
        <v>5082</v>
      </c>
      <c r="AI9" s="15">
        <v>5957</v>
      </c>
      <c r="AJ9" s="17">
        <v>5625.98</v>
      </c>
      <c r="AK9" s="17">
        <v>5625.98</v>
      </c>
      <c r="AL9" s="18">
        <v>6682</v>
      </c>
      <c r="AM9" s="17">
        <v>7159.35</v>
      </c>
      <c r="AN9" s="17">
        <v>7159.35</v>
      </c>
      <c r="AO9" s="15">
        <v>3464</v>
      </c>
      <c r="AP9" s="17">
        <v>3056</v>
      </c>
      <c r="AQ9" s="43">
        <v>4687</v>
      </c>
      <c r="AR9" s="18">
        <v>2034</v>
      </c>
      <c r="AS9" s="10" t="s">
        <v>25</v>
      </c>
    </row>
    <row r="10" spans="1:46" x14ac:dyDescent="0.2">
      <c r="A10" s="10" t="s">
        <v>177</v>
      </c>
      <c r="B10" s="10" t="s">
        <v>27</v>
      </c>
      <c r="C10" s="19">
        <v>3052</v>
      </c>
      <c r="D10" s="19">
        <v>3052</v>
      </c>
      <c r="E10" s="19">
        <v>3488</v>
      </c>
      <c r="F10" s="19">
        <v>4360</v>
      </c>
      <c r="G10" s="19">
        <v>4796</v>
      </c>
      <c r="H10" s="19">
        <v>4360</v>
      </c>
      <c r="I10" s="19">
        <v>4360</v>
      </c>
      <c r="J10" s="19">
        <v>4796</v>
      </c>
      <c r="K10" s="19">
        <v>5232</v>
      </c>
      <c r="L10" s="19">
        <v>6104</v>
      </c>
      <c r="M10" s="19">
        <v>4796</v>
      </c>
      <c r="N10" s="19">
        <v>5668</v>
      </c>
      <c r="O10" s="19">
        <v>6104</v>
      </c>
      <c r="P10" s="19">
        <v>6104</v>
      </c>
      <c r="Q10" s="19">
        <v>5668</v>
      </c>
      <c r="R10" s="19">
        <v>5668</v>
      </c>
      <c r="S10" s="19">
        <v>5232</v>
      </c>
      <c r="T10" s="19">
        <v>4796</v>
      </c>
      <c r="U10" s="19">
        <v>4796</v>
      </c>
      <c r="V10" s="20">
        <v>8543</v>
      </c>
      <c r="W10" s="20">
        <v>4211</v>
      </c>
      <c r="X10" s="19">
        <v>4211</v>
      </c>
      <c r="Y10" s="19">
        <v>5614.666666666667</v>
      </c>
      <c r="Z10" s="19">
        <v>5614.666666666667</v>
      </c>
      <c r="AA10" s="19">
        <v>3860</v>
      </c>
      <c r="AB10" s="19">
        <v>3860</v>
      </c>
      <c r="AC10" s="14">
        <v>6026</v>
      </c>
      <c r="AD10" s="19">
        <v>6025.95</v>
      </c>
      <c r="AE10" s="22">
        <v>6025.95</v>
      </c>
      <c r="AF10" s="17">
        <v>7365.0499999999993</v>
      </c>
      <c r="AG10" s="26">
        <v>4805</v>
      </c>
      <c r="AH10" s="27">
        <v>4368.2</v>
      </c>
      <c r="AI10" s="28">
        <v>4805.0199999999995</v>
      </c>
      <c r="AJ10" s="28">
        <v>4805.0199999999995</v>
      </c>
      <c r="AK10" s="28">
        <v>5242.2000000000007</v>
      </c>
      <c r="AL10" s="28">
        <v>5679.05</v>
      </c>
      <c r="AM10" s="29">
        <v>1498</v>
      </c>
      <c r="AN10" s="17">
        <v>817.09090909090912</v>
      </c>
      <c r="AO10" s="17">
        <f>Table1[[#This Row],[2014]]/11*4</f>
        <v>544.72727272727275</v>
      </c>
      <c r="AP10" s="17" t="s">
        <v>167</v>
      </c>
      <c r="AQ10" s="17" t="s">
        <v>167</v>
      </c>
      <c r="AR10" s="17" t="s">
        <v>180</v>
      </c>
      <c r="AS10" s="10" t="s">
        <v>177</v>
      </c>
    </row>
    <row r="11" spans="1:46" x14ac:dyDescent="0.2">
      <c r="A11" s="10" t="s">
        <v>136</v>
      </c>
      <c r="B11" s="10" t="s">
        <v>28</v>
      </c>
      <c r="C11" s="19" t="s">
        <v>167</v>
      </c>
      <c r="D11" s="19" t="s">
        <v>167</v>
      </c>
      <c r="E11" s="19" t="s">
        <v>167</v>
      </c>
      <c r="F11" s="19" t="s">
        <v>167</v>
      </c>
      <c r="G11" s="11">
        <v>30951</v>
      </c>
      <c r="H11" s="11">
        <v>30874</v>
      </c>
      <c r="I11" s="11">
        <v>32947</v>
      </c>
      <c r="J11" s="11">
        <v>39364</v>
      </c>
      <c r="K11" s="11">
        <v>39206</v>
      </c>
      <c r="L11" s="11">
        <v>38957</v>
      </c>
      <c r="M11" s="11">
        <v>37940</v>
      </c>
      <c r="N11" s="13">
        <v>36138</v>
      </c>
      <c r="O11" s="13">
        <v>34640</v>
      </c>
      <c r="P11" s="13">
        <v>33410</v>
      </c>
      <c r="Q11" s="11">
        <v>36112</v>
      </c>
      <c r="R11" s="11">
        <v>34178</v>
      </c>
      <c r="S11" s="11">
        <v>35926</v>
      </c>
      <c r="T11" s="11">
        <v>47010</v>
      </c>
      <c r="U11" s="11">
        <v>46148</v>
      </c>
      <c r="V11" s="14">
        <v>43357</v>
      </c>
      <c r="W11" s="14">
        <v>35240</v>
      </c>
      <c r="X11" s="14">
        <v>38738</v>
      </c>
      <c r="Y11" s="14">
        <v>37454</v>
      </c>
      <c r="Z11" s="14">
        <v>39271</v>
      </c>
      <c r="AA11" s="14">
        <v>40935</v>
      </c>
      <c r="AB11" s="14">
        <v>41608</v>
      </c>
      <c r="AC11" s="14">
        <v>38910</v>
      </c>
      <c r="AD11" s="14">
        <v>35595</v>
      </c>
      <c r="AE11" s="25">
        <v>41427</v>
      </c>
      <c r="AF11" s="15">
        <v>41137</v>
      </c>
      <c r="AG11" s="15">
        <v>39434</v>
      </c>
      <c r="AH11" s="16">
        <v>36169</v>
      </c>
      <c r="AI11" s="15">
        <v>33430</v>
      </c>
      <c r="AJ11" s="15">
        <v>36516</v>
      </c>
      <c r="AK11" s="15">
        <v>40364</v>
      </c>
      <c r="AL11" s="15">
        <v>37708</v>
      </c>
      <c r="AM11" s="15">
        <v>37242</v>
      </c>
      <c r="AN11" s="29">
        <v>41492</v>
      </c>
      <c r="AO11" s="15">
        <v>43757</v>
      </c>
      <c r="AP11" s="15">
        <v>44212</v>
      </c>
      <c r="AQ11" s="18">
        <v>47965</v>
      </c>
      <c r="AR11" s="18">
        <v>54397</v>
      </c>
      <c r="AS11" s="10" t="s">
        <v>136</v>
      </c>
    </row>
    <row r="12" spans="1:46" x14ac:dyDescent="0.2">
      <c r="A12" s="10" t="s">
        <v>29</v>
      </c>
      <c r="B12" s="10" t="s">
        <v>30</v>
      </c>
      <c r="C12" s="19">
        <v>12250</v>
      </c>
      <c r="D12" s="19">
        <v>11760</v>
      </c>
      <c r="E12" s="19">
        <v>11760</v>
      </c>
      <c r="F12" s="19">
        <v>10290</v>
      </c>
      <c r="G12" s="19">
        <v>8330</v>
      </c>
      <c r="H12" s="19">
        <v>7350</v>
      </c>
      <c r="I12" s="19">
        <v>7350</v>
      </c>
      <c r="J12" s="19">
        <v>5390</v>
      </c>
      <c r="K12" s="19">
        <v>5390</v>
      </c>
      <c r="L12" s="19">
        <v>9310</v>
      </c>
      <c r="M12" s="19">
        <v>7350</v>
      </c>
      <c r="N12" s="19">
        <v>7350</v>
      </c>
      <c r="O12" s="19">
        <v>7840</v>
      </c>
      <c r="P12" s="20">
        <v>7705</v>
      </c>
      <c r="Q12" s="19">
        <v>7840</v>
      </c>
      <c r="R12" s="20">
        <v>8368</v>
      </c>
      <c r="S12" s="19">
        <v>10416</v>
      </c>
      <c r="T12" s="19">
        <v>10416</v>
      </c>
      <c r="U12" s="19">
        <v>8432</v>
      </c>
      <c r="V12" s="19">
        <v>7440</v>
      </c>
      <c r="W12" s="20">
        <v>8549</v>
      </c>
      <c r="X12" s="19">
        <v>6576.1538461538466</v>
      </c>
      <c r="Y12" s="19">
        <v>5260.9230769230771</v>
      </c>
      <c r="Z12" s="19">
        <v>5260.9230769230771</v>
      </c>
      <c r="AA12" s="19">
        <v>9207</v>
      </c>
      <c r="AB12" s="14">
        <v>4916</v>
      </c>
      <c r="AC12" s="21">
        <v>4469.1000000000004</v>
      </c>
      <c r="AD12" s="21">
        <v>4916.01</v>
      </c>
      <c r="AE12" s="30">
        <v>5362.92</v>
      </c>
      <c r="AF12" s="12">
        <v>6258</v>
      </c>
      <c r="AG12" s="15">
        <v>8041</v>
      </c>
      <c r="AH12" s="23">
        <v>8772</v>
      </c>
      <c r="AI12" s="17">
        <v>8041</v>
      </c>
      <c r="AJ12" s="15">
        <v>5721</v>
      </c>
      <c r="AK12" s="17">
        <v>3080.56</v>
      </c>
      <c r="AL12" s="17">
        <v>3520.64</v>
      </c>
      <c r="AM12" s="18">
        <v>5372</v>
      </c>
      <c r="AN12" s="29">
        <v>4700.5</v>
      </c>
      <c r="AO12" s="17">
        <f>Table1[[#This Row],[2015]]/7*8</f>
        <v>5372</v>
      </c>
      <c r="AP12" s="15">
        <v>7445</v>
      </c>
      <c r="AQ12" s="44">
        <v>7445</v>
      </c>
      <c r="AR12" s="44">
        <f>(7445/9)*10</f>
        <v>8272.2222222222226</v>
      </c>
      <c r="AS12" s="10" t="s">
        <v>29</v>
      </c>
    </row>
    <row r="13" spans="1:46" x14ac:dyDescent="0.2">
      <c r="A13" s="10" t="s">
        <v>31</v>
      </c>
      <c r="B13" s="10" t="s">
        <v>32</v>
      </c>
      <c r="C13" s="19">
        <v>17864</v>
      </c>
      <c r="D13" s="19">
        <v>19140</v>
      </c>
      <c r="E13" s="19">
        <v>19140</v>
      </c>
      <c r="F13" s="19">
        <v>16588</v>
      </c>
      <c r="G13" s="19">
        <v>17226</v>
      </c>
      <c r="H13" s="19">
        <v>15312</v>
      </c>
      <c r="I13" s="19">
        <v>17226</v>
      </c>
      <c r="J13" s="19">
        <v>15950</v>
      </c>
      <c r="K13" s="19">
        <v>17226</v>
      </c>
      <c r="L13" s="19">
        <v>17226</v>
      </c>
      <c r="M13" s="19">
        <v>18502</v>
      </c>
      <c r="N13" s="19">
        <v>18502</v>
      </c>
      <c r="O13" s="19">
        <v>17226</v>
      </c>
      <c r="P13" s="20">
        <v>17230</v>
      </c>
      <c r="Q13" s="20">
        <v>16205</v>
      </c>
      <c r="R13" s="19">
        <v>16762</v>
      </c>
      <c r="S13" s="19">
        <v>17918</v>
      </c>
      <c r="T13" s="19">
        <v>18496</v>
      </c>
      <c r="U13" s="20">
        <v>13301</v>
      </c>
      <c r="V13" s="19">
        <v>12896</v>
      </c>
      <c r="W13" s="20">
        <v>10872</v>
      </c>
      <c r="X13" s="19">
        <v>10299.78947368421</v>
      </c>
      <c r="Y13" s="19">
        <v>8583.1578947368416</v>
      </c>
      <c r="Z13" s="14">
        <v>13649</v>
      </c>
      <c r="AA13" s="21">
        <v>14559</v>
      </c>
      <c r="AB13" s="21">
        <v>12285</v>
      </c>
      <c r="AC13" s="21">
        <v>13194.130000000001</v>
      </c>
      <c r="AD13" s="21">
        <v>14104.070000000002</v>
      </c>
      <c r="AE13" s="25">
        <v>6448</v>
      </c>
      <c r="AF13" s="17">
        <v>6453</v>
      </c>
      <c r="AG13" s="17">
        <v>6931</v>
      </c>
      <c r="AH13" s="16">
        <v>9563</v>
      </c>
      <c r="AI13" s="17">
        <v>9563.0700000000015</v>
      </c>
      <c r="AJ13" s="17">
        <v>8983.49</v>
      </c>
      <c r="AK13" s="18">
        <v>7001</v>
      </c>
      <c r="AL13" s="17">
        <v>6383.21</v>
      </c>
      <c r="AM13" s="17">
        <v>7000.94</v>
      </c>
      <c r="AN13" s="17">
        <v>5971.39</v>
      </c>
      <c r="AO13" s="15">
        <v>4869</v>
      </c>
      <c r="AP13" s="17">
        <v>5229</v>
      </c>
      <c r="AQ13" s="44">
        <v>5049</v>
      </c>
      <c r="AR13" s="18">
        <v>22922</v>
      </c>
      <c r="AS13" s="10" t="s">
        <v>31</v>
      </c>
      <c r="AT13" s="58"/>
    </row>
    <row r="14" spans="1:46" x14ac:dyDescent="0.2">
      <c r="A14" s="10" t="s">
        <v>33</v>
      </c>
      <c r="B14" s="10" t="s">
        <v>34</v>
      </c>
      <c r="C14" s="19">
        <v>1744</v>
      </c>
      <c r="D14" s="19">
        <v>1308</v>
      </c>
      <c r="E14" s="19">
        <v>1308</v>
      </c>
      <c r="F14" s="19">
        <v>1744</v>
      </c>
      <c r="G14" s="19">
        <v>3052</v>
      </c>
      <c r="H14" s="19">
        <v>3052</v>
      </c>
      <c r="I14" s="19">
        <v>8720</v>
      </c>
      <c r="J14" s="19">
        <v>7412</v>
      </c>
      <c r="K14" s="19">
        <v>6540</v>
      </c>
      <c r="L14" s="19">
        <v>6540</v>
      </c>
      <c r="M14" s="19">
        <v>7412</v>
      </c>
      <c r="N14" s="19">
        <v>6976</v>
      </c>
      <c r="O14" s="19">
        <v>6104</v>
      </c>
      <c r="P14" s="19">
        <v>3488</v>
      </c>
      <c r="Q14" s="19">
        <v>3488</v>
      </c>
      <c r="R14" s="19">
        <v>5232</v>
      </c>
      <c r="S14" s="19">
        <v>5232</v>
      </c>
      <c r="T14" s="19">
        <v>6104</v>
      </c>
      <c r="U14" s="19">
        <v>6104</v>
      </c>
      <c r="V14" s="20">
        <v>6812</v>
      </c>
      <c r="W14" s="19">
        <v>9740</v>
      </c>
      <c r="X14" s="19">
        <v>9740</v>
      </c>
      <c r="Y14" s="19">
        <v>10704.571428571428</v>
      </c>
      <c r="Z14" s="19">
        <v>10704.571428571428</v>
      </c>
      <c r="AA14" s="14">
        <v>6494</v>
      </c>
      <c r="AB14" s="21">
        <v>6494</v>
      </c>
      <c r="AC14" s="14">
        <v>5771</v>
      </c>
      <c r="AD14" s="21">
        <v>6558</v>
      </c>
      <c r="AE14" s="30">
        <v>6820.32</v>
      </c>
      <c r="AF14" s="15">
        <v>7819</v>
      </c>
      <c r="AG14" s="17">
        <v>7313.7999999999993</v>
      </c>
      <c r="AH14" s="23">
        <v>6809.4</v>
      </c>
      <c r="AI14" s="15">
        <v>8441</v>
      </c>
      <c r="AJ14" s="17">
        <v>8116.2499999999991</v>
      </c>
      <c r="AK14" s="17">
        <v>8765.2799999999988</v>
      </c>
      <c r="AL14" s="18">
        <v>5612</v>
      </c>
      <c r="AM14" s="17">
        <v>5180.3999999999996</v>
      </c>
      <c r="AN14" s="17">
        <v>5612.0999999999995</v>
      </c>
      <c r="AO14" s="15">
        <v>6776</v>
      </c>
      <c r="AP14" s="17">
        <v>5892</v>
      </c>
      <c r="AQ14" s="18">
        <v>6776</v>
      </c>
      <c r="AR14" s="18">
        <v>6886</v>
      </c>
      <c r="AS14" s="10" t="s">
        <v>33</v>
      </c>
    </row>
    <row r="15" spans="1:46" x14ac:dyDescent="0.2">
      <c r="A15" s="10" t="s">
        <v>135</v>
      </c>
      <c r="B15" s="10" t="s">
        <v>35</v>
      </c>
      <c r="C15" s="19">
        <v>61968</v>
      </c>
      <c r="D15" s="19">
        <v>64310</v>
      </c>
      <c r="E15" s="19">
        <v>60673</v>
      </c>
      <c r="F15" s="19">
        <v>50402</v>
      </c>
      <c r="G15" s="19">
        <v>48267</v>
      </c>
      <c r="H15" s="19">
        <v>46123</v>
      </c>
      <c r="I15" s="19">
        <v>45888</v>
      </c>
      <c r="J15" s="19">
        <v>45626</v>
      </c>
      <c r="K15" s="19">
        <v>40161</v>
      </c>
      <c r="L15" s="19">
        <v>42842</v>
      </c>
      <c r="M15" s="19">
        <v>44171</v>
      </c>
      <c r="N15" s="20">
        <v>44539</v>
      </c>
      <c r="O15" s="20">
        <v>52427</v>
      </c>
      <c r="P15" s="20">
        <v>50808</v>
      </c>
      <c r="Q15" s="19">
        <v>43039</v>
      </c>
      <c r="R15" s="19">
        <v>40421</v>
      </c>
      <c r="S15" s="19">
        <v>42039</v>
      </c>
      <c r="T15" s="19">
        <v>42788</v>
      </c>
      <c r="U15" s="19">
        <v>39062</v>
      </c>
      <c r="V15" s="14">
        <v>43332</v>
      </c>
      <c r="W15" s="14">
        <v>47359</v>
      </c>
      <c r="X15" s="14">
        <v>43672</v>
      </c>
      <c r="Y15" s="14">
        <v>40836</v>
      </c>
      <c r="Z15" s="14">
        <v>39116</v>
      </c>
      <c r="AA15" s="14">
        <v>36655</v>
      </c>
      <c r="AB15" s="14">
        <v>33211</v>
      </c>
      <c r="AC15" s="14">
        <v>33211</v>
      </c>
      <c r="AD15" s="14">
        <v>28722</v>
      </c>
      <c r="AE15" s="25">
        <v>25735</v>
      </c>
      <c r="AF15" s="15">
        <v>23847</v>
      </c>
      <c r="AG15" s="15">
        <v>21427</v>
      </c>
      <c r="AH15" s="16">
        <v>17453</v>
      </c>
      <c r="AI15" s="15">
        <v>22035</v>
      </c>
      <c r="AJ15" s="15">
        <v>21181</v>
      </c>
      <c r="AK15" s="15">
        <v>24415</v>
      </c>
      <c r="AL15" s="15">
        <v>24100</v>
      </c>
      <c r="AM15" s="15">
        <v>26706</v>
      </c>
      <c r="AN15" s="29">
        <v>28159</v>
      </c>
      <c r="AO15" s="29">
        <v>27124</v>
      </c>
      <c r="AP15" s="29">
        <v>32142</v>
      </c>
      <c r="AQ15" s="29">
        <v>34144</v>
      </c>
      <c r="AR15" s="29">
        <v>31395</v>
      </c>
      <c r="AS15" s="10" t="s">
        <v>135</v>
      </c>
    </row>
    <row r="16" spans="1:46" x14ac:dyDescent="0.2">
      <c r="A16" s="10" t="s">
        <v>134</v>
      </c>
      <c r="B16" s="10" t="s">
        <v>36</v>
      </c>
      <c r="C16" s="11">
        <v>98841</v>
      </c>
      <c r="D16" s="11">
        <v>98661</v>
      </c>
      <c r="E16" s="11">
        <v>92404</v>
      </c>
      <c r="F16" s="11">
        <v>82682</v>
      </c>
      <c r="G16" s="11">
        <v>81658</v>
      </c>
      <c r="H16" s="11">
        <v>89416</v>
      </c>
      <c r="I16" s="11">
        <v>96175</v>
      </c>
      <c r="J16" s="11">
        <v>95329</v>
      </c>
      <c r="K16" s="11">
        <v>95007</v>
      </c>
      <c r="L16" s="11">
        <v>91981</v>
      </c>
      <c r="M16" s="11">
        <v>93650</v>
      </c>
      <c r="N16" s="13">
        <v>96829</v>
      </c>
      <c r="O16" s="13">
        <v>93410</v>
      </c>
      <c r="P16" s="11">
        <v>86000</v>
      </c>
      <c r="Q16" s="11">
        <v>86406</v>
      </c>
      <c r="R16" s="11">
        <v>84602</v>
      </c>
      <c r="S16" s="11">
        <v>86641</v>
      </c>
      <c r="T16" s="11">
        <v>86663</v>
      </c>
      <c r="U16" s="11">
        <v>81248</v>
      </c>
      <c r="V16" s="14">
        <v>80538</v>
      </c>
      <c r="W16" s="14">
        <v>94287</v>
      </c>
      <c r="X16" s="14">
        <v>96928</v>
      </c>
      <c r="Y16" s="14">
        <v>85367</v>
      </c>
      <c r="Z16" s="14">
        <v>85367</v>
      </c>
      <c r="AA16" s="14">
        <v>91706</v>
      </c>
      <c r="AB16" s="14">
        <v>87948</v>
      </c>
      <c r="AC16" s="14">
        <v>73883</v>
      </c>
      <c r="AD16" s="14">
        <v>67529</v>
      </c>
      <c r="AE16" s="25">
        <v>65899</v>
      </c>
      <c r="AF16" s="15">
        <v>68267</v>
      </c>
      <c r="AG16" s="15">
        <v>65859</v>
      </c>
      <c r="AH16" s="16">
        <v>63559</v>
      </c>
      <c r="AI16" s="15">
        <v>56190</v>
      </c>
      <c r="AJ16" s="15">
        <v>45740</v>
      </c>
      <c r="AK16" s="15">
        <v>41434</v>
      </c>
      <c r="AL16" s="15">
        <v>48442</v>
      </c>
      <c r="AM16" s="15">
        <v>29311</v>
      </c>
      <c r="AN16" s="15">
        <v>35727</v>
      </c>
      <c r="AO16" s="15">
        <v>30987</v>
      </c>
      <c r="AP16" s="15">
        <v>33241</v>
      </c>
      <c r="AQ16" s="18">
        <v>31480</v>
      </c>
      <c r="AR16" s="18">
        <v>41554</v>
      </c>
      <c r="AS16" s="10" t="s">
        <v>134</v>
      </c>
    </row>
    <row r="17" spans="1:47" x14ac:dyDescent="0.2">
      <c r="A17" s="10" t="s">
        <v>133</v>
      </c>
      <c r="B17" s="10" t="s">
        <v>37</v>
      </c>
      <c r="C17" s="19" t="s">
        <v>167</v>
      </c>
      <c r="D17" s="19" t="s">
        <v>167</v>
      </c>
      <c r="E17" s="11">
        <v>126156</v>
      </c>
      <c r="F17" s="11">
        <v>110588</v>
      </c>
      <c r="G17" s="11">
        <v>94075</v>
      </c>
      <c r="H17" s="11">
        <v>92036</v>
      </c>
      <c r="I17" s="11">
        <v>98583</v>
      </c>
      <c r="J17" s="11">
        <v>100195</v>
      </c>
      <c r="K17" s="11">
        <v>116044</v>
      </c>
      <c r="L17" s="11">
        <v>127765</v>
      </c>
      <c r="M17" s="11">
        <v>121398</v>
      </c>
      <c r="N17" s="11">
        <v>112000</v>
      </c>
      <c r="O17" s="11">
        <v>114000</v>
      </c>
      <c r="P17" s="11">
        <v>102000</v>
      </c>
      <c r="Q17" s="11">
        <v>101428</v>
      </c>
      <c r="R17" s="11">
        <v>100470</v>
      </c>
      <c r="S17" s="11">
        <v>101385</v>
      </c>
      <c r="T17" s="11">
        <v>98874</v>
      </c>
      <c r="U17" s="11">
        <v>71296</v>
      </c>
      <c r="V17" s="14">
        <v>99533</v>
      </c>
      <c r="W17" s="14">
        <v>107434</v>
      </c>
      <c r="X17" s="14">
        <v>120102</v>
      </c>
      <c r="Y17" s="14">
        <v>123679</v>
      </c>
      <c r="Z17" s="14">
        <v>103708</v>
      </c>
      <c r="AA17" s="14">
        <v>91983</v>
      </c>
      <c r="AB17" s="14">
        <v>80114</v>
      </c>
      <c r="AC17" s="14">
        <v>83164</v>
      </c>
      <c r="AD17" s="14">
        <v>78488</v>
      </c>
      <c r="AE17" s="25">
        <v>73145</v>
      </c>
      <c r="AF17" s="15">
        <v>65551</v>
      </c>
      <c r="AG17" s="15">
        <v>67051</v>
      </c>
      <c r="AH17" s="16">
        <v>53973</v>
      </c>
      <c r="AI17" s="15">
        <v>40731</v>
      </c>
      <c r="AJ17" s="15">
        <v>38358</v>
      </c>
      <c r="AK17" s="15">
        <v>40427</v>
      </c>
      <c r="AL17" s="15">
        <v>36845</v>
      </c>
      <c r="AM17" s="15">
        <v>34794</v>
      </c>
      <c r="AN17" s="15">
        <v>36098</v>
      </c>
      <c r="AO17" s="15">
        <v>36140</v>
      </c>
      <c r="AP17" s="15">
        <v>37446</v>
      </c>
      <c r="AQ17" s="18">
        <v>38518</v>
      </c>
      <c r="AR17" s="18">
        <v>41818</v>
      </c>
      <c r="AS17" s="10" t="s">
        <v>133</v>
      </c>
    </row>
    <row r="18" spans="1:47" x14ac:dyDescent="0.2">
      <c r="A18" s="10" t="s">
        <v>173</v>
      </c>
      <c r="B18" s="10" t="s">
        <v>37</v>
      </c>
      <c r="C18" s="19">
        <v>26500</v>
      </c>
      <c r="D18" s="19">
        <v>24700</v>
      </c>
      <c r="E18" s="19">
        <v>28100</v>
      </c>
      <c r="F18" s="19">
        <v>28400</v>
      </c>
      <c r="G18" s="19">
        <v>24100</v>
      </c>
      <c r="H18" s="19">
        <v>26200</v>
      </c>
      <c r="I18" s="19">
        <v>26800</v>
      </c>
      <c r="J18" s="19">
        <v>28100</v>
      </c>
      <c r="K18" s="19">
        <v>28700</v>
      </c>
      <c r="L18" s="19">
        <v>32300</v>
      </c>
      <c r="M18" s="19">
        <v>32600</v>
      </c>
      <c r="N18" s="19">
        <v>30800</v>
      </c>
      <c r="O18" s="19">
        <v>26500</v>
      </c>
      <c r="P18" s="20">
        <v>23154</v>
      </c>
      <c r="Q18" s="19">
        <v>18600</v>
      </c>
      <c r="R18" s="19">
        <v>17385</v>
      </c>
      <c r="S18" s="19">
        <v>15860</v>
      </c>
      <c r="T18" s="19">
        <v>14945</v>
      </c>
      <c r="U18" s="19">
        <v>15860</v>
      </c>
      <c r="V18" s="20">
        <v>12210</v>
      </c>
      <c r="W18" s="19">
        <v>12496</v>
      </c>
      <c r="X18" s="19">
        <v>12212</v>
      </c>
      <c r="Y18" s="19">
        <v>13345.813953488372</v>
      </c>
      <c r="Z18" s="19">
        <v>13345.813953488372</v>
      </c>
      <c r="AA18" s="14">
        <v>8431</v>
      </c>
      <c r="AB18" s="14">
        <v>8733</v>
      </c>
      <c r="AC18" s="21">
        <v>10251.9</v>
      </c>
      <c r="AD18" s="14">
        <v>11876</v>
      </c>
      <c r="AE18" s="17">
        <v>10925.92</v>
      </c>
      <c r="AF18" s="15">
        <v>20109</v>
      </c>
      <c r="AG18" s="17">
        <v>21315.54</v>
      </c>
      <c r="AH18" s="23">
        <v>20913.36</v>
      </c>
      <c r="AI18" s="17">
        <v>22522.080000000002</v>
      </c>
      <c r="AJ18" s="15">
        <v>17917</v>
      </c>
      <c r="AK18" s="17">
        <v>16722.72</v>
      </c>
      <c r="AL18" s="17">
        <v>17021.34</v>
      </c>
      <c r="AM18" s="18">
        <v>18993</v>
      </c>
      <c r="AN18" s="17">
        <v>20028.981818181819</v>
      </c>
      <c r="AO18" s="17">
        <f>Table1[[#This Row],[2014]]/55*57</f>
        <v>19683.654545454545</v>
      </c>
      <c r="AP18" s="15">
        <v>20016</v>
      </c>
      <c r="AQ18" s="44">
        <v>20683</v>
      </c>
      <c r="AR18" s="44">
        <f>(20016/60)*59</f>
        <v>19682.400000000001</v>
      </c>
      <c r="AS18" s="10" t="s">
        <v>173</v>
      </c>
    </row>
    <row r="19" spans="1:47" x14ac:dyDescent="0.2">
      <c r="A19" s="10" t="s">
        <v>38</v>
      </c>
      <c r="B19" s="10" t="s">
        <v>39</v>
      </c>
      <c r="C19" s="19">
        <v>10125</v>
      </c>
      <c r="D19" s="19">
        <v>14850</v>
      </c>
      <c r="E19" s="19">
        <v>15525</v>
      </c>
      <c r="F19" s="19">
        <v>12825</v>
      </c>
      <c r="G19" s="19">
        <v>17550</v>
      </c>
      <c r="H19" s="19">
        <v>15525</v>
      </c>
      <c r="I19" s="19">
        <v>14175</v>
      </c>
      <c r="J19" s="19">
        <v>14175</v>
      </c>
      <c r="K19" s="19">
        <v>16200</v>
      </c>
      <c r="L19" s="19">
        <v>14850</v>
      </c>
      <c r="M19" s="19">
        <v>14175</v>
      </c>
      <c r="N19" s="19">
        <v>18900</v>
      </c>
      <c r="O19" s="20">
        <v>14849</v>
      </c>
      <c r="P19" s="19">
        <v>12150</v>
      </c>
      <c r="Q19" s="19">
        <v>12825</v>
      </c>
      <c r="R19" s="19">
        <v>13500</v>
      </c>
      <c r="S19" s="19">
        <v>13500</v>
      </c>
      <c r="T19" s="20">
        <v>12796</v>
      </c>
      <c r="U19" s="11">
        <v>12804</v>
      </c>
      <c r="V19" s="19">
        <v>11058</v>
      </c>
      <c r="W19" s="19">
        <v>12804</v>
      </c>
      <c r="X19" s="14">
        <v>15726</v>
      </c>
      <c r="Y19" s="19">
        <v>16599.666666666664</v>
      </c>
      <c r="Z19" s="19">
        <v>16599.666666666664</v>
      </c>
      <c r="AA19" s="14">
        <v>10403</v>
      </c>
      <c r="AB19" s="21">
        <v>7802</v>
      </c>
      <c r="AC19" s="21">
        <v>7802.25</v>
      </c>
      <c r="AD19" s="21">
        <v>7802.25</v>
      </c>
      <c r="AE19" s="30">
        <v>8322.4</v>
      </c>
      <c r="AF19" s="15">
        <v>14300</v>
      </c>
      <c r="AG19" s="17">
        <v>14300.400000000001</v>
      </c>
      <c r="AH19" s="23">
        <v>14300.400000000001</v>
      </c>
      <c r="AI19" s="15">
        <v>15217</v>
      </c>
      <c r="AJ19" s="17">
        <v>17499.55</v>
      </c>
      <c r="AK19" s="17">
        <v>15217</v>
      </c>
      <c r="AL19" s="18">
        <v>12449</v>
      </c>
      <c r="AM19" s="17">
        <v>12449.009999999998</v>
      </c>
      <c r="AN19" s="17">
        <v>13634.63</v>
      </c>
      <c r="AO19" s="15">
        <v>11381</v>
      </c>
      <c r="AP19" s="17">
        <v>11922</v>
      </c>
      <c r="AQ19" s="44">
        <v>10297</v>
      </c>
      <c r="AR19" s="18">
        <v>19181</v>
      </c>
      <c r="AS19" s="10" t="s">
        <v>38</v>
      </c>
      <c r="AT19" s="58"/>
    </row>
    <row r="20" spans="1:47" x14ac:dyDescent="0.2">
      <c r="A20" s="10" t="s">
        <v>40</v>
      </c>
      <c r="B20" s="10" t="s">
        <v>41</v>
      </c>
      <c r="C20" s="19">
        <v>3070</v>
      </c>
      <c r="D20" s="19">
        <v>1842</v>
      </c>
      <c r="E20" s="19">
        <v>1842</v>
      </c>
      <c r="F20" s="19">
        <v>2456</v>
      </c>
      <c r="G20" s="19">
        <v>1842</v>
      </c>
      <c r="H20" s="19">
        <v>1228</v>
      </c>
      <c r="I20" s="19">
        <v>614</v>
      </c>
      <c r="J20" s="19">
        <v>1842</v>
      </c>
      <c r="K20" s="19">
        <v>1228</v>
      </c>
      <c r="L20" s="19">
        <v>1228</v>
      </c>
      <c r="M20" s="19">
        <v>1842</v>
      </c>
      <c r="N20" s="19">
        <v>4912</v>
      </c>
      <c r="O20" s="19">
        <v>5526</v>
      </c>
      <c r="P20" s="20">
        <v>4912</v>
      </c>
      <c r="Q20" s="19">
        <v>3684</v>
      </c>
      <c r="R20" s="19">
        <v>3070</v>
      </c>
      <c r="S20" s="20">
        <v>3374</v>
      </c>
      <c r="T20" s="19">
        <v>2810</v>
      </c>
      <c r="U20" s="19">
        <v>3372</v>
      </c>
      <c r="V20" s="19">
        <v>2810</v>
      </c>
      <c r="W20" s="20">
        <v>4077</v>
      </c>
      <c r="X20" s="19">
        <v>4077</v>
      </c>
      <c r="Y20" s="19">
        <v>5096.25</v>
      </c>
      <c r="Z20" s="19">
        <v>5096.25</v>
      </c>
      <c r="AA20" s="19">
        <v>5096</v>
      </c>
      <c r="AB20" s="19">
        <v>5606</v>
      </c>
      <c r="AC20" s="14">
        <v>6118</v>
      </c>
      <c r="AD20" s="21">
        <v>5608.13</v>
      </c>
      <c r="AE20" s="30">
        <v>5608.13</v>
      </c>
      <c r="AF20" s="15">
        <v>8832</v>
      </c>
      <c r="AG20" s="17">
        <v>7948.8</v>
      </c>
      <c r="AH20" s="23">
        <v>10598.400000000001</v>
      </c>
      <c r="AI20" s="15">
        <v>10083</v>
      </c>
      <c r="AJ20" s="17">
        <v>7562.25</v>
      </c>
      <c r="AK20" s="17">
        <v>10083</v>
      </c>
      <c r="AL20" s="17">
        <v>11763.5</v>
      </c>
      <c r="AM20" s="18">
        <v>4754</v>
      </c>
      <c r="AN20" s="18">
        <v>5795</v>
      </c>
      <c r="AO20" s="17">
        <f>Table1[[#This Row],[2015]]/12*11</f>
        <v>5312.0833333333339</v>
      </c>
      <c r="AP20" s="17">
        <v>3380</v>
      </c>
      <c r="AQ20" s="18">
        <v>2282</v>
      </c>
      <c r="AR20" s="17">
        <f>(2282/10)*13</f>
        <v>2966.6</v>
      </c>
      <c r="AS20" s="10" t="s">
        <v>40</v>
      </c>
    </row>
    <row r="21" spans="1:47" x14ac:dyDescent="0.2">
      <c r="A21" s="10" t="s">
        <v>42</v>
      </c>
      <c r="B21" s="10" t="s">
        <v>43</v>
      </c>
      <c r="C21" s="19">
        <v>86000</v>
      </c>
      <c r="D21" s="19">
        <v>72000</v>
      </c>
      <c r="E21" s="19">
        <v>42000</v>
      </c>
      <c r="F21" s="19">
        <v>47000</v>
      </c>
      <c r="G21" s="19">
        <v>53000</v>
      </c>
      <c r="H21" s="19">
        <v>54000</v>
      </c>
      <c r="I21" s="19">
        <v>97000</v>
      </c>
      <c r="J21" s="19">
        <v>104000</v>
      </c>
      <c r="K21" s="19">
        <v>93000</v>
      </c>
      <c r="L21" s="19">
        <v>100000</v>
      </c>
      <c r="M21" s="19">
        <v>105000</v>
      </c>
      <c r="N21" s="19">
        <v>84000</v>
      </c>
      <c r="O21" s="19">
        <v>88000</v>
      </c>
      <c r="P21" s="19">
        <v>55000</v>
      </c>
      <c r="Q21" s="19">
        <v>50724</v>
      </c>
      <c r="R21" s="19">
        <v>50664</v>
      </c>
      <c r="S21" s="19">
        <v>45021</v>
      </c>
      <c r="T21" s="19">
        <v>64710</v>
      </c>
      <c r="U21" s="19">
        <v>60403</v>
      </c>
      <c r="V21" s="14">
        <v>64293</v>
      </c>
      <c r="W21" s="14">
        <v>61816</v>
      </c>
      <c r="X21" s="14">
        <v>51178</v>
      </c>
      <c r="Y21" s="14">
        <v>52407</v>
      </c>
      <c r="Z21" s="14">
        <v>47214</v>
      </c>
      <c r="AA21" s="14">
        <v>53099</v>
      </c>
      <c r="AB21" s="14">
        <v>46165</v>
      </c>
      <c r="AC21" s="14">
        <v>46657</v>
      </c>
      <c r="AD21" s="14">
        <v>44334</v>
      </c>
      <c r="AE21" s="25">
        <v>40704</v>
      </c>
      <c r="AF21" s="15">
        <v>35671</v>
      </c>
      <c r="AG21" s="15">
        <v>29494</v>
      </c>
      <c r="AH21" s="16">
        <v>36411</v>
      </c>
      <c r="AI21" s="15">
        <v>33613</v>
      </c>
      <c r="AJ21" s="15">
        <v>28237</v>
      </c>
      <c r="AK21" s="15">
        <v>28752</v>
      </c>
      <c r="AL21" s="15">
        <v>22212</v>
      </c>
      <c r="AM21" s="15">
        <v>22029</v>
      </c>
      <c r="AN21" s="15">
        <v>25229</v>
      </c>
      <c r="AO21" s="15">
        <v>25844</v>
      </c>
      <c r="AP21" s="15">
        <v>23526</v>
      </c>
      <c r="AQ21" s="18">
        <v>25226</v>
      </c>
      <c r="AR21" s="18">
        <v>24465</v>
      </c>
      <c r="AS21" s="10" t="s">
        <v>42</v>
      </c>
    </row>
    <row r="22" spans="1:47" x14ac:dyDescent="0.2">
      <c r="A22" s="10" t="s">
        <v>44</v>
      </c>
      <c r="B22" s="10" t="s">
        <v>45</v>
      </c>
      <c r="C22" s="19">
        <v>14136</v>
      </c>
      <c r="D22" s="19">
        <v>12648</v>
      </c>
      <c r="E22" s="19">
        <v>10044</v>
      </c>
      <c r="F22" s="19">
        <v>11160</v>
      </c>
      <c r="G22" s="19">
        <v>13020</v>
      </c>
      <c r="H22" s="19">
        <v>14136</v>
      </c>
      <c r="I22" s="19">
        <v>18600</v>
      </c>
      <c r="J22" s="19">
        <v>18972</v>
      </c>
      <c r="K22" s="19">
        <v>16368</v>
      </c>
      <c r="L22" s="19">
        <v>16740</v>
      </c>
      <c r="M22" s="19">
        <v>16740</v>
      </c>
      <c r="N22" s="19">
        <v>17484</v>
      </c>
      <c r="O22" s="19">
        <v>14508</v>
      </c>
      <c r="P22" s="20">
        <v>13033</v>
      </c>
      <c r="Q22" s="20">
        <v>16058</v>
      </c>
      <c r="R22" s="19">
        <v>17343</v>
      </c>
      <c r="S22" s="19">
        <v>23265</v>
      </c>
      <c r="T22" s="19">
        <v>25803</v>
      </c>
      <c r="U22" s="20">
        <v>33394</v>
      </c>
      <c r="V22" s="19">
        <v>38144</v>
      </c>
      <c r="W22" s="19">
        <v>42316</v>
      </c>
      <c r="X22" s="14">
        <v>38239</v>
      </c>
      <c r="Y22" s="19">
        <v>38239</v>
      </c>
      <c r="Z22" s="19">
        <v>38239</v>
      </c>
      <c r="AA22" s="19">
        <v>37080</v>
      </c>
      <c r="AB22" s="19">
        <v>35921</v>
      </c>
      <c r="AC22" s="21">
        <v>34183.42</v>
      </c>
      <c r="AD22" s="14">
        <v>30976</v>
      </c>
      <c r="AE22" s="17">
        <v>29992.48</v>
      </c>
      <c r="AF22" s="17">
        <v>30975.84</v>
      </c>
      <c r="AG22" s="15">
        <v>27276</v>
      </c>
      <c r="AH22" s="23">
        <v>25997.59</v>
      </c>
      <c r="AI22" s="17">
        <v>27702.35</v>
      </c>
      <c r="AJ22" s="17">
        <v>26849.97</v>
      </c>
      <c r="AK22" s="17">
        <v>28980.92</v>
      </c>
      <c r="AL22" s="17">
        <v>26423.78</v>
      </c>
      <c r="AM22" s="17">
        <v>28554.73</v>
      </c>
      <c r="AN22" s="17">
        <v>27276.16</v>
      </c>
      <c r="AO22" s="15">
        <v>14095</v>
      </c>
      <c r="AP22" s="17">
        <v>12773</v>
      </c>
      <c r="AQ22" s="44">
        <v>13875</v>
      </c>
      <c r="AR22" s="18">
        <v>21397</v>
      </c>
      <c r="AS22" s="10" t="s">
        <v>44</v>
      </c>
      <c r="AT22" s="58"/>
    </row>
    <row r="23" spans="1:47" x14ac:dyDescent="0.2">
      <c r="A23" s="10" t="s">
        <v>46</v>
      </c>
      <c r="B23" s="10" t="s">
        <v>47</v>
      </c>
      <c r="C23" s="19">
        <v>5026</v>
      </c>
      <c r="D23" s="19">
        <v>4308</v>
      </c>
      <c r="E23" s="19">
        <v>3949</v>
      </c>
      <c r="F23" s="19">
        <v>3949</v>
      </c>
      <c r="G23" s="19">
        <v>6821</v>
      </c>
      <c r="H23" s="19">
        <v>5744</v>
      </c>
      <c r="I23" s="19">
        <v>4667</v>
      </c>
      <c r="J23" s="19">
        <v>7539</v>
      </c>
      <c r="K23" s="19">
        <v>6821</v>
      </c>
      <c r="L23" s="19">
        <v>6821</v>
      </c>
      <c r="M23" s="19">
        <v>6462</v>
      </c>
      <c r="N23" s="19">
        <v>7180</v>
      </c>
      <c r="O23" s="19">
        <v>5744</v>
      </c>
      <c r="P23" s="20">
        <v>5736</v>
      </c>
      <c r="Q23" s="19">
        <v>6821</v>
      </c>
      <c r="R23" s="19">
        <v>7539</v>
      </c>
      <c r="S23" s="19">
        <v>7539</v>
      </c>
      <c r="T23" s="19">
        <v>8257</v>
      </c>
      <c r="U23" s="20">
        <v>16752</v>
      </c>
      <c r="V23" s="19">
        <v>15827</v>
      </c>
      <c r="W23" s="20">
        <v>14896</v>
      </c>
      <c r="X23" s="19">
        <v>14896</v>
      </c>
      <c r="Y23" s="19">
        <v>22344</v>
      </c>
      <c r="Z23" s="19">
        <v>21413</v>
      </c>
      <c r="AA23" s="19">
        <v>26068</v>
      </c>
      <c r="AB23" s="19">
        <v>27930</v>
      </c>
      <c r="AC23" s="21">
        <v>25137</v>
      </c>
      <c r="AD23" s="21">
        <v>25137</v>
      </c>
      <c r="AE23" s="25">
        <v>17333</v>
      </c>
      <c r="AF23" s="17">
        <v>20332</v>
      </c>
      <c r="AG23" s="17">
        <v>20332</v>
      </c>
      <c r="AH23" s="16">
        <v>12381</v>
      </c>
      <c r="AI23" s="17">
        <v>13756.8</v>
      </c>
      <c r="AJ23" s="17">
        <v>13756.8</v>
      </c>
      <c r="AK23" s="18">
        <v>9013</v>
      </c>
      <c r="AL23" s="17">
        <v>7307.7</v>
      </c>
      <c r="AM23" s="17">
        <v>6820.52</v>
      </c>
      <c r="AN23" s="18">
        <v>3463</v>
      </c>
      <c r="AO23" s="17">
        <f>Table1[[#This Row],[2015]]/30*31</f>
        <v>3578.4333333333334</v>
      </c>
      <c r="AP23" s="17">
        <v>3232</v>
      </c>
      <c r="AQ23" s="18">
        <v>2641</v>
      </c>
      <c r="AR23" s="17">
        <f>(2641/22)*29</f>
        <v>3481.318181818182</v>
      </c>
      <c r="AS23" s="10" t="s">
        <v>46</v>
      </c>
    </row>
    <row r="24" spans="1:47" x14ac:dyDescent="0.2">
      <c r="A24" s="10" t="s">
        <v>137</v>
      </c>
      <c r="B24" s="10" t="s">
        <v>48</v>
      </c>
      <c r="C24" s="19" t="s">
        <v>167</v>
      </c>
      <c r="D24" s="19" t="s">
        <v>167</v>
      </c>
      <c r="E24" s="19" t="s">
        <v>167</v>
      </c>
      <c r="F24" s="19" t="s">
        <v>167</v>
      </c>
      <c r="G24" s="19" t="s">
        <v>167</v>
      </c>
      <c r="H24" s="19" t="s">
        <v>167</v>
      </c>
      <c r="I24" s="19" t="s">
        <v>167</v>
      </c>
      <c r="J24" s="19" t="s">
        <v>167</v>
      </c>
      <c r="K24" s="19" t="s">
        <v>167</v>
      </c>
      <c r="L24" s="19" t="s">
        <v>167</v>
      </c>
      <c r="M24" s="19" t="s">
        <v>167</v>
      </c>
      <c r="N24" s="19" t="s">
        <v>167</v>
      </c>
      <c r="O24" s="19" t="s">
        <v>167</v>
      </c>
      <c r="P24" s="19" t="s">
        <v>167</v>
      </c>
      <c r="Q24" s="19" t="s">
        <v>167</v>
      </c>
      <c r="R24" s="19" t="s">
        <v>167</v>
      </c>
      <c r="S24" s="19" t="s">
        <v>167</v>
      </c>
      <c r="T24" s="19" t="s">
        <v>167</v>
      </c>
      <c r="U24" s="19" t="s">
        <v>167</v>
      </c>
      <c r="V24" s="19" t="s">
        <v>167</v>
      </c>
      <c r="W24" s="19" t="s">
        <v>167</v>
      </c>
      <c r="X24" s="14">
        <v>7409</v>
      </c>
      <c r="Y24" s="19">
        <v>19176</v>
      </c>
      <c r="Z24" s="19">
        <v>17869</v>
      </c>
      <c r="AA24" s="19">
        <v>19176</v>
      </c>
      <c r="AB24" s="19">
        <v>18740</v>
      </c>
      <c r="AC24" s="14">
        <v>10645</v>
      </c>
      <c r="AD24" s="21">
        <v>10886.85</v>
      </c>
      <c r="AE24" s="30">
        <v>11370.710000000001</v>
      </c>
      <c r="AF24" s="15">
        <v>9775</v>
      </c>
      <c r="AG24" s="17">
        <v>9775.0399999999991</v>
      </c>
      <c r="AH24" s="23">
        <v>9552.8799999999992</v>
      </c>
      <c r="AI24" s="15">
        <v>12892</v>
      </c>
      <c r="AJ24" s="17">
        <v>12892.050000000001</v>
      </c>
      <c r="AK24" s="17">
        <v>13178.54</v>
      </c>
      <c r="AL24" s="18">
        <v>8375</v>
      </c>
      <c r="AM24" s="17">
        <v>8375.2199999999993</v>
      </c>
      <c r="AN24" s="17">
        <v>8739.36</v>
      </c>
      <c r="AO24" s="15">
        <v>2760</v>
      </c>
      <c r="AP24" s="17">
        <v>2701</v>
      </c>
      <c r="AQ24" s="44">
        <v>2584</v>
      </c>
      <c r="AR24" s="18">
        <v>3500</v>
      </c>
      <c r="AS24" s="10" t="s">
        <v>137</v>
      </c>
    </row>
    <row r="25" spans="1:47" x14ac:dyDescent="0.2">
      <c r="A25" s="10" t="s">
        <v>49</v>
      </c>
      <c r="B25" s="10" t="s">
        <v>50</v>
      </c>
      <c r="C25" s="19">
        <v>26334</v>
      </c>
      <c r="D25" s="19">
        <v>13167</v>
      </c>
      <c r="E25" s="19">
        <v>10659</v>
      </c>
      <c r="F25" s="19">
        <v>15048</v>
      </c>
      <c r="G25" s="19">
        <v>22572</v>
      </c>
      <c r="H25" s="19">
        <v>18810</v>
      </c>
      <c r="I25" s="19">
        <v>15048</v>
      </c>
      <c r="J25" s="19">
        <v>18183</v>
      </c>
      <c r="K25" s="19">
        <v>14421</v>
      </c>
      <c r="L25" s="19">
        <v>23826</v>
      </c>
      <c r="M25" s="19">
        <v>26961</v>
      </c>
      <c r="N25" s="19">
        <v>21945</v>
      </c>
      <c r="O25" s="19">
        <v>23199</v>
      </c>
      <c r="P25" s="19">
        <v>22572</v>
      </c>
      <c r="Q25" s="20">
        <v>26345</v>
      </c>
      <c r="R25" s="20">
        <v>30245</v>
      </c>
      <c r="S25" s="19">
        <v>33488</v>
      </c>
      <c r="T25" s="19">
        <v>34132</v>
      </c>
      <c r="U25" s="20">
        <v>21590</v>
      </c>
      <c r="V25" s="19">
        <v>23664</v>
      </c>
      <c r="W25" s="19">
        <v>22968</v>
      </c>
      <c r="X25" s="19">
        <v>22272</v>
      </c>
      <c r="Y25" s="14">
        <v>33699</v>
      </c>
      <c r="Z25" s="31">
        <v>33699</v>
      </c>
      <c r="AA25" s="31">
        <v>36461</v>
      </c>
      <c r="AB25" s="31">
        <v>38671</v>
      </c>
      <c r="AC25" s="21">
        <v>39223.240000000005</v>
      </c>
      <c r="AD25" s="21">
        <v>35356.160000000003</v>
      </c>
      <c r="AE25" s="25">
        <v>34200</v>
      </c>
      <c r="AF25" s="17">
        <v>36924</v>
      </c>
      <c r="AG25" s="17">
        <v>32037</v>
      </c>
      <c r="AH25" s="16">
        <v>30943</v>
      </c>
      <c r="AI25" s="17">
        <v>31925.4</v>
      </c>
      <c r="AJ25" s="17">
        <v>32416.560000000001</v>
      </c>
      <c r="AK25" s="18">
        <v>37462</v>
      </c>
      <c r="AL25" s="17">
        <v>38632.44</v>
      </c>
      <c r="AM25" s="17">
        <v>36291.08</v>
      </c>
      <c r="AN25" s="17">
        <v>33364.380000000005</v>
      </c>
      <c r="AO25" s="15">
        <v>21868</v>
      </c>
      <c r="AP25" s="17">
        <v>22245</v>
      </c>
      <c r="AQ25" s="44">
        <v>20360</v>
      </c>
      <c r="AR25" s="18">
        <v>28705</v>
      </c>
      <c r="AS25" s="10" t="s">
        <v>49</v>
      </c>
    </row>
    <row r="26" spans="1:47" x14ac:dyDescent="0.2">
      <c r="A26" s="10" t="s">
        <v>168</v>
      </c>
      <c r="B26" s="10" t="s">
        <v>90</v>
      </c>
      <c r="C26" s="19" t="s">
        <v>167</v>
      </c>
      <c r="D26" s="19" t="s">
        <v>167</v>
      </c>
      <c r="E26" s="19" t="s">
        <v>167</v>
      </c>
      <c r="F26" s="19" t="s">
        <v>167</v>
      </c>
      <c r="G26" s="19" t="s">
        <v>167</v>
      </c>
      <c r="H26" s="19" t="s">
        <v>167</v>
      </c>
      <c r="I26" s="19" t="s">
        <v>167</v>
      </c>
      <c r="J26" s="19" t="s">
        <v>167</v>
      </c>
      <c r="K26" s="19" t="s">
        <v>167</v>
      </c>
      <c r="L26" s="19" t="s">
        <v>167</v>
      </c>
      <c r="M26" s="19" t="s">
        <v>167</v>
      </c>
      <c r="N26" s="19" t="s">
        <v>167</v>
      </c>
      <c r="O26" s="19" t="s">
        <v>167</v>
      </c>
      <c r="P26" s="19" t="s">
        <v>167</v>
      </c>
      <c r="Q26" s="19" t="s">
        <v>167</v>
      </c>
      <c r="R26" s="19" t="s">
        <v>167</v>
      </c>
      <c r="S26" s="19" t="s">
        <v>167</v>
      </c>
      <c r="T26" s="19" t="s">
        <v>167</v>
      </c>
      <c r="U26" s="19" t="s">
        <v>167</v>
      </c>
      <c r="V26" s="19" t="s">
        <v>167</v>
      </c>
      <c r="W26" s="19" t="s">
        <v>167</v>
      </c>
      <c r="X26" s="19" t="s">
        <v>167</v>
      </c>
      <c r="Y26" s="19" t="s">
        <v>167</v>
      </c>
      <c r="Z26" s="19" t="s">
        <v>167</v>
      </c>
      <c r="AA26" s="19" t="s">
        <v>167</v>
      </c>
      <c r="AB26" s="19" t="s">
        <v>167</v>
      </c>
      <c r="AC26" s="19" t="s">
        <v>167</v>
      </c>
      <c r="AD26" s="19" t="s">
        <v>167</v>
      </c>
      <c r="AE26" s="19" t="s">
        <v>167</v>
      </c>
      <c r="AF26" s="19" t="s">
        <v>167</v>
      </c>
      <c r="AG26" s="19" t="s">
        <v>167</v>
      </c>
      <c r="AH26" s="19" t="s">
        <v>167</v>
      </c>
      <c r="AI26" s="19" t="s">
        <v>167</v>
      </c>
      <c r="AJ26" s="19" t="s">
        <v>167</v>
      </c>
      <c r="AK26" s="19" t="s">
        <v>167</v>
      </c>
      <c r="AL26" s="19" t="s">
        <v>167</v>
      </c>
      <c r="AM26" s="19" t="s">
        <v>167</v>
      </c>
      <c r="AN26" s="18">
        <v>10151</v>
      </c>
      <c r="AO26" s="18">
        <v>9461</v>
      </c>
      <c r="AP26" s="18">
        <v>9797</v>
      </c>
      <c r="AQ26" s="18">
        <v>10000</v>
      </c>
      <c r="AR26" s="18">
        <v>11190</v>
      </c>
      <c r="AS26" s="10" t="s">
        <v>168</v>
      </c>
    </row>
    <row r="27" spans="1:47" x14ac:dyDescent="0.2">
      <c r="A27" s="10" t="s">
        <v>170</v>
      </c>
      <c r="B27" s="10" t="s">
        <v>51</v>
      </c>
      <c r="C27" s="19" t="s">
        <v>167</v>
      </c>
      <c r="D27" s="19" t="s">
        <v>167</v>
      </c>
      <c r="E27" s="19" t="s">
        <v>167</v>
      </c>
      <c r="F27" s="19" t="s">
        <v>167</v>
      </c>
      <c r="G27" s="19" t="s">
        <v>167</v>
      </c>
      <c r="H27" s="19" t="s">
        <v>167</v>
      </c>
      <c r="I27" s="19" t="s">
        <v>167</v>
      </c>
      <c r="J27" s="19" t="s">
        <v>167</v>
      </c>
      <c r="K27" s="19" t="s">
        <v>167</v>
      </c>
      <c r="L27" s="19" t="s">
        <v>167</v>
      </c>
      <c r="M27" s="19" t="s">
        <v>167</v>
      </c>
      <c r="N27" s="19" t="s">
        <v>167</v>
      </c>
      <c r="O27" s="19" t="s">
        <v>167</v>
      </c>
      <c r="P27" s="19" t="s">
        <v>167</v>
      </c>
      <c r="Q27" s="19" t="s">
        <v>167</v>
      </c>
      <c r="R27" s="19" t="s">
        <v>167</v>
      </c>
      <c r="S27" s="19" t="s">
        <v>167</v>
      </c>
      <c r="T27" s="19" t="s">
        <v>167</v>
      </c>
      <c r="U27" s="19" t="s">
        <v>167</v>
      </c>
      <c r="V27" s="19" t="s">
        <v>167</v>
      </c>
      <c r="W27" s="19" t="s">
        <v>167</v>
      </c>
      <c r="X27" s="19" t="s">
        <v>167</v>
      </c>
      <c r="Y27" s="19" t="s">
        <v>167</v>
      </c>
      <c r="Z27" s="19" t="s">
        <v>167</v>
      </c>
      <c r="AA27" s="14">
        <v>6853</v>
      </c>
      <c r="AB27" s="31">
        <v>6999</v>
      </c>
      <c r="AC27" s="14">
        <v>9576</v>
      </c>
      <c r="AD27" s="21">
        <v>8853.32</v>
      </c>
      <c r="AE27" s="30">
        <v>7769.2400000000007</v>
      </c>
      <c r="AF27" s="15">
        <v>18005</v>
      </c>
      <c r="AG27" s="17">
        <v>20574.399999999998</v>
      </c>
      <c r="AH27" s="23">
        <v>19104.8</v>
      </c>
      <c r="AI27" s="15">
        <v>17901</v>
      </c>
      <c r="AJ27" s="17">
        <v>21189.14</v>
      </c>
      <c r="AK27" s="17">
        <v>21189.14</v>
      </c>
      <c r="AL27" s="18">
        <v>14352</v>
      </c>
      <c r="AM27" s="17">
        <v>14847</v>
      </c>
      <c r="AN27" s="17">
        <v>10887.8</v>
      </c>
      <c r="AO27" s="15">
        <v>12436</v>
      </c>
      <c r="AP27" s="17">
        <v>14177</v>
      </c>
      <c r="AQ27" s="44">
        <v>15421</v>
      </c>
      <c r="AR27" s="17">
        <f>(12436/50)*54</f>
        <v>13430.88</v>
      </c>
      <c r="AS27" s="10" t="s">
        <v>170</v>
      </c>
      <c r="AT27" s="58"/>
    </row>
    <row r="28" spans="1:47" x14ac:dyDescent="0.2">
      <c r="A28" s="10" t="s">
        <v>52</v>
      </c>
      <c r="B28" s="10" t="s">
        <v>53</v>
      </c>
      <c r="C28" s="19">
        <v>11674</v>
      </c>
      <c r="D28" s="19">
        <v>13021</v>
      </c>
      <c r="E28" s="19">
        <v>8980</v>
      </c>
      <c r="F28" s="19">
        <v>9429</v>
      </c>
      <c r="G28" s="19">
        <v>7633</v>
      </c>
      <c r="H28" s="19">
        <v>8082</v>
      </c>
      <c r="I28" s="19">
        <v>8980</v>
      </c>
      <c r="J28" s="19">
        <v>8531</v>
      </c>
      <c r="K28" s="19">
        <v>11225</v>
      </c>
      <c r="L28" s="19">
        <v>12123</v>
      </c>
      <c r="M28" s="19">
        <v>11225</v>
      </c>
      <c r="N28" s="19">
        <v>13919</v>
      </c>
      <c r="O28" s="19">
        <v>13919</v>
      </c>
      <c r="P28" s="20">
        <v>13458</v>
      </c>
      <c r="Q28" s="19">
        <v>13021</v>
      </c>
      <c r="R28" s="19">
        <v>12123</v>
      </c>
      <c r="S28" s="19">
        <v>13919</v>
      </c>
      <c r="T28" s="20">
        <v>14134</v>
      </c>
      <c r="U28" s="20">
        <v>8079</v>
      </c>
      <c r="V28" s="19">
        <v>8608</v>
      </c>
      <c r="W28" s="20">
        <v>14628</v>
      </c>
      <c r="X28" s="19">
        <v>12740.516129032258</v>
      </c>
      <c r="Y28" s="19">
        <v>15099.870967741936</v>
      </c>
      <c r="Z28" s="19">
        <v>15099.870967741936</v>
      </c>
      <c r="AA28" s="19">
        <v>16515</v>
      </c>
      <c r="AB28" s="19">
        <v>17931</v>
      </c>
      <c r="AC28" s="14">
        <v>15745</v>
      </c>
      <c r="AD28" s="21">
        <v>15319.44</v>
      </c>
      <c r="AE28" s="30">
        <v>14468.36</v>
      </c>
      <c r="AF28" s="15">
        <v>11953</v>
      </c>
      <c r="AG28" s="17">
        <v>11567.4</v>
      </c>
      <c r="AH28" s="23">
        <v>9253.92</v>
      </c>
      <c r="AI28" s="15">
        <v>11170</v>
      </c>
      <c r="AJ28" s="17">
        <v>10399.59</v>
      </c>
      <c r="AK28" s="17">
        <v>10399.59</v>
      </c>
      <c r="AL28" s="18">
        <v>11929</v>
      </c>
      <c r="AM28" s="17">
        <v>12279.75</v>
      </c>
      <c r="AN28" s="17">
        <v>13683.150000000001</v>
      </c>
      <c r="AO28" s="15">
        <v>9061</v>
      </c>
      <c r="AP28" s="17">
        <v>9335</v>
      </c>
      <c r="AQ28" s="44">
        <v>9610</v>
      </c>
      <c r="AR28" s="18">
        <v>7291</v>
      </c>
      <c r="AS28" s="10" t="s">
        <v>52</v>
      </c>
    </row>
    <row r="29" spans="1:47" x14ac:dyDescent="0.2">
      <c r="A29" s="10" t="s">
        <v>54</v>
      </c>
      <c r="B29" s="10" t="s">
        <v>55</v>
      </c>
      <c r="C29" s="19">
        <v>7000</v>
      </c>
      <c r="D29" s="19">
        <v>10100</v>
      </c>
      <c r="E29" s="19">
        <v>8500</v>
      </c>
      <c r="F29" s="19">
        <v>8500</v>
      </c>
      <c r="G29" s="19">
        <v>9500</v>
      </c>
      <c r="H29" s="19">
        <v>8500</v>
      </c>
      <c r="I29" s="19">
        <v>7900</v>
      </c>
      <c r="J29" s="19">
        <v>8500</v>
      </c>
      <c r="K29" s="19">
        <v>8200</v>
      </c>
      <c r="L29" s="19">
        <v>12000</v>
      </c>
      <c r="M29" s="19">
        <v>12000</v>
      </c>
      <c r="N29" s="19">
        <v>15200</v>
      </c>
      <c r="O29" s="19">
        <v>18300</v>
      </c>
      <c r="P29" s="20">
        <v>18338</v>
      </c>
      <c r="Q29" s="20">
        <v>15151</v>
      </c>
      <c r="R29" s="19">
        <v>13566</v>
      </c>
      <c r="S29" s="19">
        <v>17290</v>
      </c>
      <c r="T29" s="19">
        <v>16492</v>
      </c>
      <c r="U29" s="20">
        <v>13382</v>
      </c>
      <c r="V29" s="19">
        <v>13140</v>
      </c>
      <c r="W29" s="19">
        <v>14016</v>
      </c>
      <c r="X29" s="14">
        <v>14242</v>
      </c>
      <c r="Y29" s="19">
        <v>14483.389830508475</v>
      </c>
      <c r="Z29" s="19">
        <v>14483.389830508475</v>
      </c>
      <c r="AA29" s="19">
        <v>17621</v>
      </c>
      <c r="AB29" s="19">
        <v>17380</v>
      </c>
      <c r="AC29" s="21">
        <v>17138.689999999999</v>
      </c>
      <c r="AD29" s="14">
        <v>15486</v>
      </c>
      <c r="AE29" s="17">
        <v>14613.37</v>
      </c>
      <c r="AF29" s="17">
        <v>14395.26</v>
      </c>
      <c r="AG29" s="15">
        <v>16946</v>
      </c>
      <c r="AH29" s="23">
        <v>18249.699999999997</v>
      </c>
      <c r="AI29" s="17">
        <v>20074.669999999998</v>
      </c>
      <c r="AJ29" s="15">
        <v>16611</v>
      </c>
      <c r="AK29" s="17">
        <v>17042.669999999998</v>
      </c>
      <c r="AL29" s="17">
        <v>17474.129999999997</v>
      </c>
      <c r="AM29" s="18">
        <v>7904</v>
      </c>
      <c r="AN29" s="17">
        <v>8512</v>
      </c>
      <c r="AO29" s="17">
        <f>Table1[[#This Row],[2014]]/78*77</f>
        <v>7802.6666666666661</v>
      </c>
      <c r="AP29" s="15">
        <v>5211</v>
      </c>
      <c r="AQ29" s="44">
        <v>5064</v>
      </c>
      <c r="AR29" s="44">
        <f>(5211/71)*61</f>
        <v>4477.0563380281692</v>
      </c>
      <c r="AS29" s="10" t="s">
        <v>54</v>
      </c>
      <c r="AU29" t="s">
        <v>172</v>
      </c>
    </row>
    <row r="30" spans="1:47" x14ac:dyDescent="0.2">
      <c r="A30" s="10" t="s">
        <v>56</v>
      </c>
      <c r="B30" s="10" t="s">
        <v>51</v>
      </c>
      <c r="C30" s="19">
        <v>58646</v>
      </c>
      <c r="D30" s="19">
        <v>55664</v>
      </c>
      <c r="E30" s="19">
        <v>67592</v>
      </c>
      <c r="F30" s="19">
        <v>63616</v>
      </c>
      <c r="G30" s="19">
        <v>55664</v>
      </c>
      <c r="H30" s="19">
        <v>50694</v>
      </c>
      <c r="I30" s="19">
        <v>55167</v>
      </c>
      <c r="J30" s="19">
        <v>54670</v>
      </c>
      <c r="K30" s="19">
        <v>54173</v>
      </c>
      <c r="L30" s="19">
        <v>49700</v>
      </c>
      <c r="M30" s="19">
        <v>53676</v>
      </c>
      <c r="N30" s="20">
        <v>41249</v>
      </c>
      <c r="O30" s="19">
        <v>58315</v>
      </c>
      <c r="P30" s="19">
        <v>56680</v>
      </c>
      <c r="Q30" s="20">
        <v>56664</v>
      </c>
      <c r="R30" s="19">
        <v>65130</v>
      </c>
      <c r="S30" s="20">
        <v>76654</v>
      </c>
      <c r="T30" s="19">
        <v>79365</v>
      </c>
      <c r="U30" s="19">
        <v>78810</v>
      </c>
      <c r="V30" s="19">
        <v>77145</v>
      </c>
      <c r="W30" s="20">
        <v>58388</v>
      </c>
      <c r="X30" s="19">
        <v>53347.309352517979</v>
      </c>
      <c r="Y30" s="19">
        <v>69309.496402877689</v>
      </c>
      <c r="Z30" s="14">
        <v>44308</v>
      </c>
      <c r="AA30" s="21">
        <v>40521</v>
      </c>
      <c r="AB30" s="21">
        <v>43172</v>
      </c>
      <c r="AC30" s="21">
        <v>46201.4</v>
      </c>
      <c r="AD30" s="21">
        <v>43172</v>
      </c>
      <c r="AE30" s="25">
        <v>44479</v>
      </c>
      <c r="AF30" s="17">
        <v>46371</v>
      </c>
      <c r="AG30" s="17">
        <v>44486</v>
      </c>
      <c r="AH30" s="16">
        <v>31788</v>
      </c>
      <c r="AI30" s="17">
        <v>33232.700000000004</v>
      </c>
      <c r="AJ30" s="17">
        <v>35255.560000000005</v>
      </c>
      <c r="AK30" s="18">
        <v>30728</v>
      </c>
      <c r="AL30" s="17">
        <v>29508.27</v>
      </c>
      <c r="AM30" s="17">
        <v>30971.49</v>
      </c>
      <c r="AN30" s="18">
        <v>21879</v>
      </c>
      <c r="AO30" s="17">
        <f>Table1[[#This Row],[2015]]/107*99</f>
        <v>20243.186915887851</v>
      </c>
      <c r="AP30" s="17">
        <v>21265</v>
      </c>
      <c r="AQ30" s="17">
        <v>20874</v>
      </c>
      <c r="AR30" s="18">
        <v>22136</v>
      </c>
      <c r="AS30" s="10" t="s">
        <v>56</v>
      </c>
      <c r="AT30" s="58"/>
    </row>
    <row r="31" spans="1:47" x14ac:dyDescent="0.2">
      <c r="A31" s="32" t="s">
        <v>174</v>
      </c>
      <c r="B31" s="10" t="s">
        <v>51</v>
      </c>
      <c r="C31" s="19">
        <v>31376</v>
      </c>
      <c r="D31" s="19">
        <v>31376</v>
      </c>
      <c r="E31" s="19">
        <v>33072</v>
      </c>
      <c r="F31" s="19">
        <v>26712</v>
      </c>
      <c r="G31" s="19">
        <v>32224</v>
      </c>
      <c r="H31" s="19">
        <v>27560</v>
      </c>
      <c r="I31" s="19">
        <v>30952</v>
      </c>
      <c r="J31" s="19">
        <v>25440</v>
      </c>
      <c r="K31" s="19">
        <v>33920</v>
      </c>
      <c r="L31" s="19">
        <v>39432</v>
      </c>
      <c r="M31" s="19">
        <v>39008</v>
      </c>
      <c r="N31" s="20">
        <v>42378</v>
      </c>
      <c r="O31" s="19">
        <v>44329</v>
      </c>
      <c r="P31" s="19">
        <v>43872</v>
      </c>
      <c r="Q31" s="20">
        <v>42072</v>
      </c>
      <c r="R31" s="19">
        <v>39427</v>
      </c>
      <c r="S31" s="20">
        <v>40776</v>
      </c>
      <c r="T31" s="19">
        <v>39342</v>
      </c>
      <c r="U31" s="20">
        <v>37038</v>
      </c>
      <c r="V31" s="19">
        <v>37051</v>
      </c>
      <c r="W31" s="19">
        <v>40803</v>
      </c>
      <c r="X31" s="19">
        <v>39396</v>
      </c>
      <c r="Y31" s="19">
        <v>41257.518987341777</v>
      </c>
      <c r="Z31" s="19">
        <v>41257.518987341777</v>
      </c>
      <c r="AA31" s="14">
        <v>29985</v>
      </c>
      <c r="AB31" s="21">
        <v>29704</v>
      </c>
      <c r="AC31" s="21">
        <v>32786.910000000003</v>
      </c>
      <c r="AD31" s="21">
        <v>34748.520000000004</v>
      </c>
      <c r="AE31" s="30">
        <v>30825.300000000003</v>
      </c>
      <c r="AF31" s="15">
        <v>32612</v>
      </c>
      <c r="AG31" s="17">
        <v>33215.599999999999</v>
      </c>
      <c r="AH31" s="23">
        <v>33819.519999999997</v>
      </c>
      <c r="AI31" s="15">
        <v>21032</v>
      </c>
      <c r="AJ31" s="17">
        <v>20597.899999999998</v>
      </c>
      <c r="AK31" s="17">
        <v>21031.54</v>
      </c>
      <c r="AL31" s="18">
        <v>29499</v>
      </c>
      <c r="AM31" s="17">
        <v>30601.59</v>
      </c>
      <c r="AN31" s="17">
        <v>30050.21</v>
      </c>
      <c r="AO31" s="17">
        <f>Table1[[#This Row],[2013]]/107*100</f>
        <v>27569.158878504673</v>
      </c>
      <c r="AP31" s="15">
        <v>32269</v>
      </c>
      <c r="AQ31" s="17">
        <v>27944</v>
      </c>
      <c r="AR31" s="17">
        <f>(32269/97)*83</f>
        <v>27611.618556701033</v>
      </c>
      <c r="AS31" s="32" t="s">
        <v>174</v>
      </c>
      <c r="AT31" s="58"/>
    </row>
    <row r="32" spans="1:47" x14ac:dyDescent="0.2">
      <c r="A32" s="10" t="s">
        <v>175</v>
      </c>
      <c r="B32" s="10" t="s">
        <v>51</v>
      </c>
      <c r="C32" s="19" t="s">
        <v>167</v>
      </c>
      <c r="D32" s="19" t="s">
        <v>167</v>
      </c>
      <c r="E32" s="19" t="s">
        <v>167</v>
      </c>
      <c r="F32" s="19" t="s">
        <v>167</v>
      </c>
      <c r="G32" s="19" t="s">
        <v>167</v>
      </c>
      <c r="H32" s="19" t="s">
        <v>167</v>
      </c>
      <c r="I32" s="19" t="s">
        <v>167</v>
      </c>
      <c r="J32" s="19" t="s">
        <v>167</v>
      </c>
      <c r="K32" s="19">
        <v>2400</v>
      </c>
      <c r="L32" s="19">
        <v>1800</v>
      </c>
      <c r="M32" s="19">
        <v>3600</v>
      </c>
      <c r="N32" s="19">
        <v>3000</v>
      </c>
      <c r="O32" s="19">
        <v>3600</v>
      </c>
      <c r="P32" s="19">
        <v>3000</v>
      </c>
      <c r="Q32" s="19">
        <v>5300</v>
      </c>
      <c r="R32" s="19">
        <v>4712</v>
      </c>
      <c r="S32" s="19">
        <v>4712</v>
      </c>
      <c r="T32" s="19">
        <v>4123</v>
      </c>
      <c r="U32" s="19">
        <v>4100</v>
      </c>
      <c r="V32" s="19">
        <v>1800</v>
      </c>
      <c r="W32" s="19">
        <v>2400</v>
      </c>
      <c r="X32" s="19">
        <v>2400</v>
      </c>
      <c r="Y32" s="19">
        <v>0</v>
      </c>
      <c r="Z32" s="19">
        <v>0</v>
      </c>
      <c r="AA32" s="19">
        <v>3392</v>
      </c>
      <c r="AB32" s="19">
        <v>3392</v>
      </c>
      <c r="AC32" s="21">
        <v>3816</v>
      </c>
      <c r="AD32" s="21">
        <v>3816</v>
      </c>
      <c r="AE32" s="30">
        <v>3392</v>
      </c>
      <c r="AF32" s="30">
        <v>2968</v>
      </c>
      <c r="AG32" s="30">
        <v>2968</v>
      </c>
      <c r="AH32" s="30">
        <v>3392</v>
      </c>
      <c r="AI32" s="30">
        <v>3392</v>
      </c>
      <c r="AJ32" s="30">
        <v>2544</v>
      </c>
      <c r="AK32" s="30">
        <v>2120</v>
      </c>
      <c r="AL32" s="30">
        <v>2120</v>
      </c>
      <c r="AM32" s="30">
        <v>1696</v>
      </c>
      <c r="AN32" s="30">
        <v>1696</v>
      </c>
      <c r="AO32" s="30">
        <f>Table1[[#This Row],[2015]]/4*6</f>
        <v>2544</v>
      </c>
      <c r="AP32" s="30">
        <v>2120</v>
      </c>
      <c r="AQ32" s="17">
        <v>2120</v>
      </c>
      <c r="AR32" s="17">
        <f>(2120/5)*4</f>
        <v>1696</v>
      </c>
      <c r="AS32" s="10" t="s">
        <v>175</v>
      </c>
    </row>
    <row r="33" spans="1:50" x14ac:dyDescent="0.2">
      <c r="A33" s="10" t="s">
        <v>132</v>
      </c>
      <c r="B33" s="10" t="s">
        <v>51</v>
      </c>
      <c r="C33" s="11">
        <v>211981</v>
      </c>
      <c r="D33" s="11">
        <v>212619</v>
      </c>
      <c r="E33" s="11">
        <v>196356</v>
      </c>
      <c r="F33" s="11">
        <v>184799</v>
      </c>
      <c r="G33" s="11">
        <v>169103</v>
      </c>
      <c r="H33" s="11">
        <v>175853</v>
      </c>
      <c r="I33" s="11">
        <v>193877</v>
      </c>
      <c r="J33" s="11">
        <v>199085</v>
      </c>
      <c r="K33" s="11">
        <v>208662</v>
      </c>
      <c r="L33" s="11">
        <v>215601</v>
      </c>
      <c r="M33" s="11">
        <v>220230</v>
      </c>
      <c r="N33" s="11">
        <v>225000</v>
      </c>
      <c r="O33" s="11">
        <v>234000</v>
      </c>
      <c r="P33" s="11">
        <v>248000</v>
      </c>
      <c r="Q33" s="11">
        <v>251600</v>
      </c>
      <c r="R33" s="11">
        <v>231410</v>
      </c>
      <c r="S33" s="11">
        <v>237937</v>
      </c>
      <c r="T33" s="11">
        <v>237682</v>
      </c>
      <c r="U33" s="11">
        <v>237682</v>
      </c>
      <c r="V33" s="14">
        <v>235381</v>
      </c>
      <c r="W33" s="14">
        <v>242530</v>
      </c>
      <c r="X33" s="14">
        <v>252763</v>
      </c>
      <c r="Y33" s="14">
        <v>260777</v>
      </c>
      <c r="Z33" s="14">
        <v>244801</v>
      </c>
      <c r="AA33" s="14">
        <v>205872</v>
      </c>
      <c r="AB33" s="14">
        <v>204058</v>
      </c>
      <c r="AC33" s="14">
        <v>212558</v>
      </c>
      <c r="AD33" s="14">
        <v>222275</v>
      </c>
      <c r="AE33" s="25">
        <v>213740</v>
      </c>
      <c r="AF33" s="15">
        <v>203136</v>
      </c>
      <c r="AG33" s="15">
        <v>197202</v>
      </c>
      <c r="AH33" s="16">
        <v>171322</v>
      </c>
      <c r="AI33" s="15">
        <v>166490</v>
      </c>
      <c r="AJ33" s="15">
        <v>159699</v>
      </c>
      <c r="AK33" s="15">
        <v>158237</v>
      </c>
      <c r="AL33" s="15">
        <v>154040</v>
      </c>
      <c r="AM33" s="15">
        <v>151119</v>
      </c>
      <c r="AN33" s="15">
        <v>154059</v>
      </c>
      <c r="AO33" s="15">
        <v>162294</v>
      </c>
      <c r="AP33" s="15">
        <v>160122</v>
      </c>
      <c r="AQ33" s="18">
        <v>168250</v>
      </c>
      <c r="AR33" s="18">
        <v>190648</v>
      </c>
      <c r="AS33" s="10" t="s">
        <v>132</v>
      </c>
    </row>
    <row r="34" spans="1:50" x14ac:dyDescent="0.2">
      <c r="A34" s="10" t="s">
        <v>57</v>
      </c>
      <c r="B34" s="10" t="s">
        <v>51</v>
      </c>
      <c r="C34" s="19">
        <v>41002</v>
      </c>
      <c r="D34" s="19">
        <v>41990</v>
      </c>
      <c r="E34" s="19">
        <v>54834</v>
      </c>
      <c r="F34" s="19">
        <v>47918</v>
      </c>
      <c r="G34" s="19">
        <v>37544</v>
      </c>
      <c r="H34" s="19">
        <v>39520</v>
      </c>
      <c r="I34" s="19">
        <v>44954</v>
      </c>
      <c r="J34" s="19">
        <v>33592</v>
      </c>
      <c r="K34" s="19">
        <v>41496</v>
      </c>
      <c r="L34" s="19">
        <v>45448</v>
      </c>
      <c r="M34" s="19">
        <v>44460</v>
      </c>
      <c r="N34" s="20">
        <v>40490</v>
      </c>
      <c r="O34" s="19">
        <v>41976</v>
      </c>
      <c r="P34" s="19">
        <v>53424</v>
      </c>
      <c r="Q34" s="20">
        <v>56700</v>
      </c>
      <c r="R34" s="19">
        <v>57717</v>
      </c>
      <c r="S34" s="20">
        <v>60305</v>
      </c>
      <c r="T34" s="19">
        <v>62230</v>
      </c>
      <c r="U34" s="19">
        <v>69100</v>
      </c>
      <c r="V34" s="19">
        <v>67100</v>
      </c>
      <c r="W34" s="19">
        <v>76000</v>
      </c>
      <c r="X34" s="19">
        <v>69135.483870967742</v>
      </c>
      <c r="Y34" s="20">
        <v>73325</v>
      </c>
      <c r="Z34" s="24">
        <v>73325</v>
      </c>
      <c r="AA34" s="24">
        <v>59257</v>
      </c>
      <c r="AB34" s="24">
        <v>57552</v>
      </c>
      <c r="AC34" s="21">
        <v>52862.44</v>
      </c>
      <c r="AD34" s="21">
        <v>52009.82</v>
      </c>
      <c r="AE34" s="25">
        <v>40497</v>
      </c>
      <c r="AF34" s="17">
        <v>41623</v>
      </c>
      <c r="AG34" s="17">
        <v>41623</v>
      </c>
      <c r="AH34" s="16">
        <v>31994</v>
      </c>
      <c r="AI34" s="17">
        <v>31442.34</v>
      </c>
      <c r="AJ34" s="17">
        <v>34200.44</v>
      </c>
      <c r="AK34" s="18">
        <v>35869</v>
      </c>
      <c r="AL34" s="17">
        <v>40105.06</v>
      </c>
      <c r="AM34" s="17">
        <v>40669.919999999998</v>
      </c>
      <c r="AN34" s="18">
        <v>29174</v>
      </c>
      <c r="AO34" s="17">
        <f>Table1[[#This Row],[2015]]/140*118</f>
        <v>24589.514285714286</v>
      </c>
      <c r="AP34" s="17">
        <v>23547</v>
      </c>
      <c r="AQ34" s="18">
        <v>21950</v>
      </c>
      <c r="AR34" s="17">
        <f>(21950/123)*128</f>
        <v>22842.276422764229</v>
      </c>
      <c r="AS34" s="10" t="s">
        <v>57</v>
      </c>
    </row>
    <row r="35" spans="1:50" x14ac:dyDescent="0.2">
      <c r="A35" s="10" t="s">
        <v>58</v>
      </c>
      <c r="B35" s="10" t="s">
        <v>51</v>
      </c>
      <c r="C35" s="19" t="s">
        <v>167</v>
      </c>
      <c r="D35" s="19">
        <v>3296</v>
      </c>
      <c r="E35" s="19">
        <v>9476</v>
      </c>
      <c r="F35" s="19">
        <v>12360</v>
      </c>
      <c r="G35" s="19">
        <v>21012</v>
      </c>
      <c r="H35" s="19">
        <v>31312</v>
      </c>
      <c r="I35" s="19">
        <v>37080</v>
      </c>
      <c r="J35" s="19">
        <v>44908</v>
      </c>
      <c r="K35" s="19">
        <v>42848</v>
      </c>
      <c r="L35" s="19">
        <v>52324</v>
      </c>
      <c r="M35" s="19">
        <v>52736</v>
      </c>
      <c r="N35" s="20">
        <v>52026</v>
      </c>
      <c r="O35" s="19">
        <v>48840</v>
      </c>
      <c r="P35" s="19">
        <v>42240</v>
      </c>
      <c r="Q35" s="20">
        <v>46673</v>
      </c>
      <c r="R35" s="19">
        <v>42372</v>
      </c>
      <c r="S35" s="20">
        <v>37429</v>
      </c>
      <c r="T35" s="19">
        <v>33930</v>
      </c>
      <c r="U35" s="19">
        <v>37100</v>
      </c>
      <c r="V35" s="19">
        <v>39200</v>
      </c>
      <c r="W35" s="20">
        <v>33434</v>
      </c>
      <c r="X35" s="19">
        <v>30417.398496240599</v>
      </c>
      <c r="Y35" s="19">
        <v>32428.466165413534</v>
      </c>
      <c r="Z35" s="19">
        <v>32428.466165413534</v>
      </c>
      <c r="AA35" s="19">
        <v>34942</v>
      </c>
      <c r="AB35" s="19">
        <v>32931</v>
      </c>
      <c r="AC35" s="21">
        <v>40220.800000000003</v>
      </c>
      <c r="AD35" s="21">
        <v>38461.14</v>
      </c>
      <c r="AE35" s="25">
        <v>55423</v>
      </c>
      <c r="AF35" s="17">
        <v>57681</v>
      </c>
      <c r="AG35" s="17">
        <v>52780</v>
      </c>
      <c r="AH35" s="16">
        <v>49978</v>
      </c>
      <c r="AI35" s="17">
        <v>49638.54</v>
      </c>
      <c r="AJ35" s="17">
        <v>47598.6</v>
      </c>
      <c r="AK35" s="17">
        <v>45558.66</v>
      </c>
      <c r="AL35" s="18">
        <v>35633</v>
      </c>
      <c r="AM35" s="17">
        <v>34858.35</v>
      </c>
      <c r="AN35" s="30">
        <v>32018.039999999997</v>
      </c>
      <c r="AO35" s="15">
        <v>31009</v>
      </c>
      <c r="AP35" s="17">
        <v>31009</v>
      </c>
      <c r="AQ35" s="44">
        <v>34001</v>
      </c>
      <c r="AR35" s="18">
        <v>47648</v>
      </c>
      <c r="AS35" s="10" t="s">
        <v>58</v>
      </c>
      <c r="AT35" s="58"/>
    </row>
    <row r="36" spans="1:50" x14ac:dyDescent="0.2">
      <c r="A36" s="10" t="s">
        <v>142</v>
      </c>
      <c r="B36" s="10" t="s">
        <v>51</v>
      </c>
      <c r="C36" s="19">
        <v>17250</v>
      </c>
      <c r="D36" s="19">
        <v>21375</v>
      </c>
      <c r="E36" s="19">
        <v>21000</v>
      </c>
      <c r="F36" s="19">
        <v>20625</v>
      </c>
      <c r="G36" s="19">
        <v>19125</v>
      </c>
      <c r="H36" s="19">
        <v>15000</v>
      </c>
      <c r="I36" s="19">
        <v>13875</v>
      </c>
      <c r="J36" s="19">
        <v>15375</v>
      </c>
      <c r="K36" s="19">
        <v>16125</v>
      </c>
      <c r="L36" s="19">
        <v>18375</v>
      </c>
      <c r="M36" s="19">
        <v>16875</v>
      </c>
      <c r="N36" s="20">
        <v>18368</v>
      </c>
      <c r="O36" s="19">
        <v>20928</v>
      </c>
      <c r="P36" s="19">
        <v>21364</v>
      </c>
      <c r="Q36" s="20">
        <v>27775</v>
      </c>
      <c r="R36" s="19">
        <v>28424</v>
      </c>
      <c r="S36" s="20">
        <v>36998</v>
      </c>
      <c r="T36" s="19">
        <v>48778</v>
      </c>
      <c r="U36" s="19">
        <v>41200</v>
      </c>
      <c r="V36" s="19">
        <v>41200</v>
      </c>
      <c r="W36" s="20">
        <v>37485</v>
      </c>
      <c r="X36" s="19">
        <v>24990</v>
      </c>
      <c r="Y36" s="19">
        <v>22990.799999999999</v>
      </c>
      <c r="Z36" s="19">
        <v>22990.799999999999</v>
      </c>
      <c r="AA36" s="14">
        <v>27956</v>
      </c>
      <c r="AB36" s="19">
        <v>28447</v>
      </c>
      <c r="AC36" s="21">
        <v>28937.14</v>
      </c>
      <c r="AD36" s="21">
        <v>28937.14</v>
      </c>
      <c r="AE36" s="25">
        <v>39651</v>
      </c>
      <c r="AF36" s="17">
        <v>49413</v>
      </c>
      <c r="AG36" s="17">
        <v>44526</v>
      </c>
      <c r="AH36" s="16">
        <v>31906</v>
      </c>
      <c r="AI36" s="17">
        <v>31450.2</v>
      </c>
      <c r="AJ36" s="17">
        <v>31450.2</v>
      </c>
      <c r="AK36" s="17">
        <v>29171.200000000001</v>
      </c>
      <c r="AL36" s="18">
        <v>38323</v>
      </c>
      <c r="AM36" s="17">
        <v>36430.239999999998</v>
      </c>
      <c r="AN36" s="30">
        <v>35483.999999999993</v>
      </c>
      <c r="AO36" s="30">
        <f>Table1[[#This Row],[2013]]/81*67</f>
        <v>31699.271604938269</v>
      </c>
      <c r="AP36" s="15">
        <v>33940</v>
      </c>
      <c r="AQ36" s="44">
        <v>38367</v>
      </c>
      <c r="AR36" s="44">
        <f>(33940/69)*85</f>
        <v>41810.144927536232</v>
      </c>
      <c r="AS36" s="10" t="s">
        <v>142</v>
      </c>
    </row>
    <row r="37" spans="1:50" x14ac:dyDescent="0.2">
      <c r="A37" s="10" t="s">
        <v>59</v>
      </c>
      <c r="B37" s="10" t="s">
        <v>60</v>
      </c>
      <c r="C37" s="19" t="s">
        <v>167</v>
      </c>
      <c r="D37" s="19" t="s">
        <v>167</v>
      </c>
      <c r="E37" s="19" t="s">
        <v>167</v>
      </c>
      <c r="F37" s="19" t="s">
        <v>167</v>
      </c>
      <c r="G37" s="19">
        <v>19034</v>
      </c>
      <c r="H37" s="19">
        <v>37454</v>
      </c>
      <c r="I37" s="19">
        <v>58944</v>
      </c>
      <c r="J37" s="19">
        <v>60172</v>
      </c>
      <c r="K37" s="19">
        <v>68768</v>
      </c>
      <c r="L37" s="19">
        <v>68154</v>
      </c>
      <c r="M37" s="19">
        <v>73066</v>
      </c>
      <c r="N37" s="19">
        <v>74294</v>
      </c>
      <c r="O37" s="19">
        <v>73066</v>
      </c>
      <c r="P37" s="20">
        <v>70036</v>
      </c>
      <c r="Q37" s="19">
        <v>73066</v>
      </c>
      <c r="R37" s="19">
        <v>74908</v>
      </c>
      <c r="S37" s="19">
        <v>82276</v>
      </c>
      <c r="T37" s="20">
        <v>90057</v>
      </c>
      <c r="U37" s="20">
        <v>82725</v>
      </c>
      <c r="V37" s="19">
        <v>77350</v>
      </c>
      <c r="W37" s="19">
        <v>76160</v>
      </c>
      <c r="X37" s="19">
        <v>78540</v>
      </c>
      <c r="Y37" s="19">
        <v>96413.309352517987</v>
      </c>
      <c r="Z37" s="19">
        <v>96413.309352517987</v>
      </c>
      <c r="AA37" s="19">
        <v>84510</v>
      </c>
      <c r="AB37" s="19">
        <v>80344</v>
      </c>
      <c r="AC37" s="21">
        <v>77368.2</v>
      </c>
      <c r="AD37" s="14">
        <v>73769</v>
      </c>
      <c r="AE37" s="17">
        <v>68776.599999999991</v>
      </c>
      <c r="AF37" s="17">
        <v>69930</v>
      </c>
      <c r="AG37" s="15">
        <v>70575</v>
      </c>
      <c r="AH37" s="23">
        <v>71105.759999999995</v>
      </c>
      <c r="AI37" s="17">
        <v>67921.919999999998</v>
      </c>
      <c r="AJ37" s="15">
        <v>48164</v>
      </c>
      <c r="AK37" s="17">
        <v>44803.200000000004</v>
      </c>
      <c r="AL37" s="17">
        <v>44429.840000000004</v>
      </c>
      <c r="AM37" s="17">
        <v>44429.840000000004</v>
      </c>
      <c r="AN37" s="18">
        <v>44086</v>
      </c>
      <c r="AO37" s="30">
        <f>Table1[[#This Row],[2015]]/109*108</f>
        <v>43681.541284403669</v>
      </c>
      <c r="AP37" s="30">
        <v>42063</v>
      </c>
      <c r="AQ37" s="38">
        <v>46168</v>
      </c>
      <c r="AR37" s="22">
        <f>(46168/104)*120</f>
        <v>53270.769230769227</v>
      </c>
      <c r="AS37" s="10" t="s">
        <v>59</v>
      </c>
    </row>
    <row r="38" spans="1:50" x14ac:dyDescent="0.2">
      <c r="A38" s="10" t="s">
        <v>61</v>
      </c>
      <c r="B38" s="10" t="s">
        <v>62</v>
      </c>
      <c r="C38" s="19">
        <v>8200</v>
      </c>
      <c r="D38" s="19">
        <v>7900</v>
      </c>
      <c r="E38" s="19">
        <v>8800</v>
      </c>
      <c r="F38" s="19">
        <v>8500</v>
      </c>
      <c r="G38" s="19">
        <v>8200</v>
      </c>
      <c r="H38" s="19">
        <v>9100</v>
      </c>
      <c r="I38" s="19">
        <v>8500</v>
      </c>
      <c r="J38" s="19">
        <v>8800</v>
      </c>
      <c r="K38" s="19">
        <v>8500</v>
      </c>
      <c r="L38" s="19">
        <v>10000</v>
      </c>
      <c r="M38" s="19">
        <v>10000</v>
      </c>
      <c r="N38" s="19">
        <v>8500</v>
      </c>
      <c r="O38" s="20">
        <v>7694</v>
      </c>
      <c r="P38" s="20">
        <v>10208</v>
      </c>
      <c r="Q38" s="20">
        <v>9740</v>
      </c>
      <c r="R38" s="19">
        <v>8640</v>
      </c>
      <c r="S38" s="19">
        <v>8400</v>
      </c>
      <c r="T38" s="19">
        <v>8640</v>
      </c>
      <c r="U38" s="19">
        <v>9600</v>
      </c>
      <c r="V38" s="20">
        <v>8744</v>
      </c>
      <c r="W38" s="19">
        <v>7960</v>
      </c>
      <c r="X38" s="19">
        <v>7960</v>
      </c>
      <c r="Y38" s="20">
        <v>13484</v>
      </c>
      <c r="Z38" s="24">
        <v>13484</v>
      </c>
      <c r="AA38" s="24">
        <v>15089</v>
      </c>
      <c r="AB38" s="24">
        <v>15410</v>
      </c>
      <c r="AC38" s="21">
        <v>16052.5</v>
      </c>
      <c r="AD38" s="21">
        <v>14126.2</v>
      </c>
      <c r="AE38" s="25">
        <v>9557</v>
      </c>
      <c r="AF38" s="17">
        <v>10290</v>
      </c>
      <c r="AG38" s="17">
        <v>10780</v>
      </c>
      <c r="AH38" s="16">
        <v>5623</v>
      </c>
      <c r="AI38" s="17">
        <v>5998.08</v>
      </c>
      <c r="AJ38" s="17">
        <v>5248.32</v>
      </c>
      <c r="AK38" s="17">
        <v>5459.28</v>
      </c>
      <c r="AL38" s="17">
        <v>5078.3999999999996</v>
      </c>
      <c r="AM38" s="18">
        <v>4711</v>
      </c>
      <c r="AN38" s="30">
        <v>4711</v>
      </c>
      <c r="AO38" s="17">
        <f>Table1[[#This Row],[2014]]/41*39</f>
        <v>4481.1951219512193</v>
      </c>
      <c r="AP38" s="15">
        <v>6078</v>
      </c>
      <c r="AQ38" s="44">
        <v>6078</v>
      </c>
      <c r="AR38" s="44">
        <v>6078</v>
      </c>
      <c r="AS38" s="10" t="s">
        <v>61</v>
      </c>
    </row>
    <row r="39" spans="1:50" x14ac:dyDescent="0.2">
      <c r="A39" s="10" t="s">
        <v>63</v>
      </c>
      <c r="B39" s="10" t="s">
        <v>64</v>
      </c>
      <c r="C39" s="19">
        <v>12688</v>
      </c>
      <c r="D39" s="19">
        <v>14640</v>
      </c>
      <c r="E39" s="19">
        <v>13176</v>
      </c>
      <c r="F39" s="19">
        <v>12200</v>
      </c>
      <c r="G39" s="19">
        <v>12200</v>
      </c>
      <c r="H39" s="19">
        <v>11712</v>
      </c>
      <c r="I39" s="19">
        <v>9760</v>
      </c>
      <c r="J39" s="19">
        <v>9272</v>
      </c>
      <c r="K39" s="19">
        <v>6832</v>
      </c>
      <c r="L39" s="19">
        <v>6344</v>
      </c>
      <c r="M39" s="19">
        <v>7320</v>
      </c>
      <c r="N39" s="19">
        <v>7320</v>
      </c>
      <c r="O39" s="19">
        <v>3904</v>
      </c>
      <c r="P39" s="20">
        <v>3901</v>
      </c>
      <c r="Q39" s="19">
        <v>3904</v>
      </c>
      <c r="R39" s="20">
        <v>2063</v>
      </c>
      <c r="S39" s="19">
        <v>2748</v>
      </c>
      <c r="T39" s="19">
        <v>2977</v>
      </c>
      <c r="U39" s="19">
        <v>2700</v>
      </c>
      <c r="V39" s="20">
        <v>5325</v>
      </c>
      <c r="W39" s="19">
        <v>4840</v>
      </c>
      <c r="X39" s="19">
        <v>4356</v>
      </c>
      <c r="Y39" s="20">
        <v>5129</v>
      </c>
      <c r="Z39" s="24">
        <v>5129</v>
      </c>
      <c r="AA39" s="24">
        <v>6062</v>
      </c>
      <c r="AB39" s="24">
        <v>5129</v>
      </c>
      <c r="AC39" s="21">
        <v>5129.3</v>
      </c>
      <c r="AD39" s="21">
        <v>4663</v>
      </c>
      <c r="AE39" s="25">
        <v>6625</v>
      </c>
      <c r="AF39" s="17">
        <v>7360</v>
      </c>
      <c r="AG39" s="17">
        <v>9568</v>
      </c>
      <c r="AH39" s="16">
        <v>7022</v>
      </c>
      <c r="AI39" s="17">
        <v>6241.76</v>
      </c>
      <c r="AJ39" s="17">
        <v>5851.6500000000005</v>
      </c>
      <c r="AK39" s="17">
        <v>5851.6500000000005</v>
      </c>
      <c r="AL39" s="18">
        <v>6577</v>
      </c>
      <c r="AM39" s="17">
        <v>5059.2</v>
      </c>
      <c r="AN39" s="30">
        <v>5565.12</v>
      </c>
      <c r="AO39" s="15">
        <v>6693</v>
      </c>
      <c r="AP39" s="17">
        <v>6693</v>
      </c>
      <c r="AQ39" s="44">
        <v>5578</v>
      </c>
      <c r="AR39" s="18">
        <v>3778</v>
      </c>
      <c r="AS39" s="10" t="s">
        <v>63</v>
      </c>
    </row>
    <row r="40" spans="1:50" x14ac:dyDescent="0.2">
      <c r="A40" s="10" t="s">
        <v>65</v>
      </c>
      <c r="B40" s="10" t="s">
        <v>66</v>
      </c>
      <c r="C40" s="19" t="s">
        <v>167</v>
      </c>
      <c r="D40" s="19" t="s">
        <v>167</v>
      </c>
      <c r="E40" s="19" t="s">
        <v>167</v>
      </c>
      <c r="F40" s="19">
        <v>1968</v>
      </c>
      <c r="G40" s="19">
        <v>2460</v>
      </c>
      <c r="H40" s="19">
        <v>3444</v>
      </c>
      <c r="I40" s="19">
        <v>2952</v>
      </c>
      <c r="J40" s="19">
        <v>5904</v>
      </c>
      <c r="K40" s="19">
        <v>3936</v>
      </c>
      <c r="L40" s="19">
        <v>4428</v>
      </c>
      <c r="M40" s="19">
        <v>8364</v>
      </c>
      <c r="N40" s="19">
        <v>8856</v>
      </c>
      <c r="O40" s="20">
        <v>7380</v>
      </c>
      <c r="P40" s="20">
        <v>9583</v>
      </c>
      <c r="Q40" s="19">
        <v>11088</v>
      </c>
      <c r="R40" s="20">
        <v>8101</v>
      </c>
      <c r="S40" s="19">
        <v>10422</v>
      </c>
      <c r="T40" s="19">
        <v>9650</v>
      </c>
      <c r="U40" s="19">
        <v>8900</v>
      </c>
      <c r="V40" s="19">
        <v>6600</v>
      </c>
      <c r="W40" s="19">
        <v>6900</v>
      </c>
      <c r="X40" s="20">
        <v>15823</v>
      </c>
      <c r="Y40" s="19">
        <v>15823</v>
      </c>
      <c r="Z40" s="19">
        <v>14157</v>
      </c>
      <c r="AA40" s="19">
        <v>14990</v>
      </c>
      <c r="AB40" s="19">
        <v>15823</v>
      </c>
      <c r="AC40" s="21">
        <v>16655.8</v>
      </c>
      <c r="AD40" s="21">
        <v>18321.379999999997</v>
      </c>
      <c r="AE40" s="25">
        <v>13108</v>
      </c>
      <c r="AF40" s="17">
        <v>13800</v>
      </c>
      <c r="AG40" s="15">
        <v>13728</v>
      </c>
      <c r="AH40" s="23">
        <v>13104</v>
      </c>
      <c r="AI40" s="17">
        <v>13728</v>
      </c>
      <c r="AJ40" s="17">
        <v>15600</v>
      </c>
      <c r="AK40" s="18">
        <v>20873</v>
      </c>
      <c r="AL40" s="17">
        <v>17394</v>
      </c>
      <c r="AM40" s="17">
        <v>19133.400000000001</v>
      </c>
      <c r="AN40" s="18">
        <v>18983</v>
      </c>
      <c r="AO40" s="30">
        <f>Table1[[#This Row],[2015]]/24*27</f>
        <v>21355.875</v>
      </c>
      <c r="AP40" s="30">
        <v>22146</v>
      </c>
      <c r="AQ40" s="46">
        <v>21355</v>
      </c>
      <c r="AR40" s="46">
        <f>(18983/24)*31</f>
        <v>24519.708333333336</v>
      </c>
      <c r="AS40" s="10" t="s">
        <v>65</v>
      </c>
    </row>
    <row r="41" spans="1:50" x14ac:dyDescent="0.2">
      <c r="A41" s="10" t="s">
        <v>67</v>
      </c>
      <c r="B41" s="10" t="s">
        <v>68</v>
      </c>
      <c r="C41" s="19">
        <v>34782</v>
      </c>
      <c r="D41" s="19">
        <v>37944</v>
      </c>
      <c r="E41" s="19">
        <v>40052</v>
      </c>
      <c r="F41" s="19">
        <v>37417</v>
      </c>
      <c r="G41" s="19">
        <v>30039</v>
      </c>
      <c r="H41" s="19">
        <v>26877</v>
      </c>
      <c r="I41" s="19">
        <v>25823</v>
      </c>
      <c r="J41" s="19">
        <v>29512</v>
      </c>
      <c r="K41" s="19">
        <v>27931</v>
      </c>
      <c r="L41" s="19">
        <v>37944</v>
      </c>
      <c r="M41" s="19">
        <v>32147</v>
      </c>
      <c r="N41" s="19">
        <v>32147</v>
      </c>
      <c r="O41" s="20">
        <v>27926</v>
      </c>
      <c r="P41" s="19">
        <v>26350</v>
      </c>
      <c r="Q41" s="19">
        <v>28985</v>
      </c>
      <c r="R41" s="19">
        <v>27931</v>
      </c>
      <c r="S41" s="19">
        <v>31093</v>
      </c>
      <c r="T41" s="20">
        <v>33518</v>
      </c>
      <c r="U41" s="20">
        <v>21140</v>
      </c>
      <c r="V41" s="19">
        <v>18432</v>
      </c>
      <c r="W41" s="19">
        <v>19200</v>
      </c>
      <c r="X41" s="19">
        <v>18432</v>
      </c>
      <c r="Y41" s="20">
        <v>28884</v>
      </c>
      <c r="Z41" s="24">
        <v>28884</v>
      </c>
      <c r="AA41" s="24">
        <v>29391</v>
      </c>
      <c r="AB41" s="24">
        <v>28377</v>
      </c>
      <c r="AC41" s="21">
        <v>24323.52</v>
      </c>
      <c r="AD41" s="21">
        <v>25843.74</v>
      </c>
      <c r="AE41" s="25">
        <v>14827</v>
      </c>
      <c r="AF41" s="17">
        <v>14259</v>
      </c>
      <c r="AG41" s="17">
        <v>16878</v>
      </c>
      <c r="AH41" s="16">
        <v>12146</v>
      </c>
      <c r="AI41" s="17">
        <v>11278.279999999999</v>
      </c>
      <c r="AJ41" s="17">
        <v>11061.39</v>
      </c>
      <c r="AK41" s="17">
        <v>10627.609999999999</v>
      </c>
      <c r="AL41" s="18">
        <v>12214</v>
      </c>
      <c r="AM41" s="17">
        <v>11061.599999999999</v>
      </c>
      <c r="AN41" s="30">
        <v>11752.949999999997</v>
      </c>
      <c r="AO41" s="15">
        <v>13505</v>
      </c>
      <c r="AP41" s="17">
        <v>17363</v>
      </c>
      <c r="AQ41" s="44">
        <v>18971</v>
      </c>
      <c r="AR41" s="18">
        <v>16990</v>
      </c>
      <c r="AS41" s="10" t="s">
        <v>67</v>
      </c>
    </row>
    <row r="42" spans="1:50" x14ac:dyDescent="0.2">
      <c r="A42" s="10" t="s">
        <v>131</v>
      </c>
      <c r="B42" s="10" t="s">
        <v>69</v>
      </c>
      <c r="C42" s="11">
        <v>107700</v>
      </c>
      <c r="D42" s="11">
        <v>113128</v>
      </c>
      <c r="E42" s="11">
        <v>120294</v>
      </c>
      <c r="F42" s="11">
        <v>108854</v>
      </c>
      <c r="G42" s="11">
        <v>93132</v>
      </c>
      <c r="H42" s="11">
        <v>87218</v>
      </c>
      <c r="I42" s="11">
        <v>95766</v>
      </c>
      <c r="J42" s="11">
        <v>97000</v>
      </c>
      <c r="K42" s="11">
        <v>103000</v>
      </c>
      <c r="L42" s="11">
        <v>140000</v>
      </c>
      <c r="M42" s="11">
        <v>139000</v>
      </c>
      <c r="N42" s="11">
        <v>129000</v>
      </c>
      <c r="O42" s="11">
        <v>110000</v>
      </c>
      <c r="P42" s="11">
        <v>134000</v>
      </c>
      <c r="Q42" s="11">
        <v>122686</v>
      </c>
      <c r="R42" s="11">
        <v>119376</v>
      </c>
      <c r="S42" s="11">
        <v>120950</v>
      </c>
      <c r="T42" s="11">
        <v>127356</v>
      </c>
      <c r="U42" s="11">
        <v>125707</v>
      </c>
      <c r="V42" s="14">
        <v>124600</v>
      </c>
      <c r="W42" s="14">
        <v>170742</v>
      </c>
      <c r="X42" s="14">
        <v>124479</v>
      </c>
      <c r="Y42" s="14">
        <v>132097</v>
      </c>
      <c r="Z42" s="14">
        <v>128987</v>
      </c>
      <c r="AA42" s="14">
        <v>125189</v>
      </c>
      <c r="AB42" s="14">
        <v>115262</v>
      </c>
      <c r="AC42" s="14">
        <v>120081</v>
      </c>
      <c r="AD42" s="14">
        <v>114970</v>
      </c>
      <c r="AE42" s="25">
        <v>115074</v>
      </c>
      <c r="AF42" s="15">
        <v>111154</v>
      </c>
      <c r="AG42" s="15">
        <v>101978</v>
      </c>
      <c r="AH42" s="16">
        <v>99862</v>
      </c>
      <c r="AI42" s="15">
        <v>95690</v>
      </c>
      <c r="AJ42" s="15">
        <v>92975</v>
      </c>
      <c r="AK42" s="15">
        <v>97285</v>
      </c>
      <c r="AL42" s="15">
        <v>91125</v>
      </c>
      <c r="AM42" s="15">
        <v>96403</v>
      </c>
      <c r="AN42" s="15">
        <v>95453</v>
      </c>
      <c r="AO42" s="15">
        <v>99391</v>
      </c>
      <c r="AP42" s="15">
        <v>109620</v>
      </c>
      <c r="AQ42" s="18">
        <v>114966</v>
      </c>
      <c r="AR42" s="18">
        <v>118268</v>
      </c>
      <c r="AS42" s="10" t="s">
        <v>131</v>
      </c>
    </row>
    <row r="43" spans="1:50" x14ac:dyDescent="0.2">
      <c r="A43" s="10" t="s">
        <v>70</v>
      </c>
      <c r="B43" s="10" t="s">
        <v>71</v>
      </c>
      <c r="C43" s="19">
        <v>8050</v>
      </c>
      <c r="D43" s="19">
        <v>8050</v>
      </c>
      <c r="E43" s="19">
        <v>9800</v>
      </c>
      <c r="F43" s="19">
        <v>9450</v>
      </c>
      <c r="G43" s="19">
        <v>11200</v>
      </c>
      <c r="H43" s="19">
        <v>10850</v>
      </c>
      <c r="I43" s="19">
        <v>12600</v>
      </c>
      <c r="J43" s="19">
        <v>12600</v>
      </c>
      <c r="K43" s="19">
        <v>16100</v>
      </c>
      <c r="L43" s="19">
        <v>18200</v>
      </c>
      <c r="M43" s="19">
        <v>19600</v>
      </c>
      <c r="N43" s="19">
        <v>21350</v>
      </c>
      <c r="O43" s="20">
        <v>24486</v>
      </c>
      <c r="P43" s="20">
        <v>14277</v>
      </c>
      <c r="Q43" s="20">
        <v>16175</v>
      </c>
      <c r="R43" s="19">
        <v>15900</v>
      </c>
      <c r="S43" s="19">
        <v>15635</v>
      </c>
      <c r="T43" s="19">
        <v>14840</v>
      </c>
      <c r="U43" s="20">
        <v>20303</v>
      </c>
      <c r="V43" s="19">
        <v>22360</v>
      </c>
      <c r="W43" s="19">
        <v>25112</v>
      </c>
      <c r="X43" s="19">
        <v>24424</v>
      </c>
      <c r="Y43" s="20">
        <v>14791</v>
      </c>
      <c r="Z43" s="24">
        <v>14791</v>
      </c>
      <c r="AA43" s="24">
        <v>15624</v>
      </c>
      <c r="AB43" s="24">
        <v>15832</v>
      </c>
      <c r="AC43" s="21">
        <v>15415.68</v>
      </c>
      <c r="AD43" s="21">
        <v>15415.68</v>
      </c>
      <c r="AE43" s="25">
        <v>19837</v>
      </c>
      <c r="AF43" s="17">
        <v>19251</v>
      </c>
      <c r="AG43" s="17">
        <v>20367</v>
      </c>
      <c r="AH43" s="16">
        <v>19680</v>
      </c>
      <c r="AI43" s="17">
        <v>19414.349999999999</v>
      </c>
      <c r="AJ43" s="17">
        <v>17286.75</v>
      </c>
      <c r="AK43" s="17">
        <v>17818.649999999998</v>
      </c>
      <c r="AL43" s="17">
        <v>18350.55</v>
      </c>
      <c r="AM43" s="17">
        <v>17552.7</v>
      </c>
      <c r="AN43" s="18">
        <v>8453</v>
      </c>
      <c r="AO43" s="18">
        <v>13116</v>
      </c>
      <c r="AP43" s="17">
        <v>13887</v>
      </c>
      <c r="AQ43" s="44">
        <v>12537</v>
      </c>
      <c r="AR43" s="18">
        <v>15774</v>
      </c>
      <c r="AS43" s="10" t="s">
        <v>70</v>
      </c>
    </row>
    <row r="44" spans="1:50" x14ac:dyDescent="0.2">
      <c r="A44" s="10" t="s">
        <v>72</v>
      </c>
      <c r="B44" s="10" t="s">
        <v>73</v>
      </c>
      <c r="C44" s="19">
        <v>12025</v>
      </c>
      <c r="D44" s="19">
        <v>11050</v>
      </c>
      <c r="E44" s="19">
        <v>8450</v>
      </c>
      <c r="F44" s="19">
        <v>10400</v>
      </c>
      <c r="G44" s="19">
        <v>10725</v>
      </c>
      <c r="H44" s="19">
        <v>7475</v>
      </c>
      <c r="I44" s="19">
        <v>8450</v>
      </c>
      <c r="J44" s="19">
        <v>7800</v>
      </c>
      <c r="K44" s="19">
        <v>5525</v>
      </c>
      <c r="L44" s="19">
        <v>6500</v>
      </c>
      <c r="M44" s="19">
        <v>6500</v>
      </c>
      <c r="N44" s="19">
        <v>14300</v>
      </c>
      <c r="O44" s="19">
        <v>14300</v>
      </c>
      <c r="P44" s="19">
        <v>13975</v>
      </c>
      <c r="Q44" s="20">
        <v>13009</v>
      </c>
      <c r="R44" s="19">
        <v>12084</v>
      </c>
      <c r="S44" s="19">
        <v>10812</v>
      </c>
      <c r="T44" s="19">
        <v>10494</v>
      </c>
      <c r="U44" s="19">
        <v>10500</v>
      </c>
      <c r="V44" s="20">
        <v>7231</v>
      </c>
      <c r="W44" s="19">
        <v>8362</v>
      </c>
      <c r="X44" s="19">
        <v>7458</v>
      </c>
      <c r="Y44" s="19">
        <v>7231</v>
      </c>
      <c r="Z44" s="19">
        <v>7231</v>
      </c>
      <c r="AA44" s="19">
        <v>6553</v>
      </c>
      <c r="AB44" s="14">
        <v>5021</v>
      </c>
      <c r="AC44" s="21">
        <v>4662.32</v>
      </c>
      <c r="AD44" s="21">
        <v>4483</v>
      </c>
      <c r="AE44" s="30">
        <v>4841.6399999999994</v>
      </c>
      <c r="AF44" s="15">
        <v>9729</v>
      </c>
      <c r="AG44" s="17">
        <v>9729</v>
      </c>
      <c r="AH44" s="23">
        <v>9729</v>
      </c>
      <c r="AI44" s="15">
        <v>4828</v>
      </c>
      <c r="AJ44" s="17">
        <v>4962.0700000000006</v>
      </c>
      <c r="AK44" s="17">
        <v>4157.4100000000008</v>
      </c>
      <c r="AL44" s="17">
        <v>4425.63</v>
      </c>
      <c r="AM44" s="18">
        <v>4401</v>
      </c>
      <c r="AN44" s="30">
        <v>3883.2352941176468</v>
      </c>
      <c r="AO44" s="30">
        <f>Table1[[#This Row],[2014]]/34*29</f>
        <v>3753.7941176470586</v>
      </c>
      <c r="AP44" s="15">
        <v>2813</v>
      </c>
      <c r="AQ44" s="44">
        <v>2572</v>
      </c>
      <c r="AR44" s="44">
        <f>(2813/35)*28</f>
        <v>2250.3999999999996</v>
      </c>
      <c r="AS44" s="10" t="s">
        <v>72</v>
      </c>
    </row>
    <row r="45" spans="1:50" x14ac:dyDescent="0.2">
      <c r="A45" s="10" t="s">
        <v>74</v>
      </c>
      <c r="B45" s="10" t="s">
        <v>75</v>
      </c>
      <c r="C45" s="19">
        <v>15609</v>
      </c>
      <c r="D45" s="19">
        <v>15609</v>
      </c>
      <c r="E45" s="19">
        <v>12705</v>
      </c>
      <c r="F45" s="19">
        <v>9801</v>
      </c>
      <c r="G45" s="19">
        <v>10164</v>
      </c>
      <c r="H45" s="19">
        <v>8712</v>
      </c>
      <c r="I45" s="19">
        <v>10164</v>
      </c>
      <c r="J45" s="19">
        <v>9438</v>
      </c>
      <c r="K45" s="19">
        <v>7986</v>
      </c>
      <c r="L45" s="19">
        <v>7623</v>
      </c>
      <c r="M45" s="19">
        <v>7986</v>
      </c>
      <c r="N45" s="19">
        <v>7623</v>
      </c>
      <c r="O45" s="19">
        <v>6534</v>
      </c>
      <c r="P45" s="19">
        <v>7260</v>
      </c>
      <c r="Q45" s="20">
        <v>6904</v>
      </c>
      <c r="R45" s="20">
        <v>6152</v>
      </c>
      <c r="S45" s="19">
        <v>5544</v>
      </c>
      <c r="T45" s="19">
        <v>6160</v>
      </c>
      <c r="U45" s="19">
        <v>5500</v>
      </c>
      <c r="V45" s="19">
        <v>5900</v>
      </c>
      <c r="W45" s="19">
        <v>6500</v>
      </c>
      <c r="X45" s="20">
        <v>6856</v>
      </c>
      <c r="Y45" s="19">
        <v>6856</v>
      </c>
      <c r="Z45" s="19">
        <v>6856</v>
      </c>
      <c r="AA45" s="19">
        <v>5550</v>
      </c>
      <c r="AB45" s="19">
        <v>5224</v>
      </c>
      <c r="AC45" s="21">
        <v>4897.2000000000007</v>
      </c>
      <c r="AD45" s="14">
        <v>7724</v>
      </c>
      <c r="AE45" s="17">
        <v>6535.65</v>
      </c>
      <c r="AF45" s="17">
        <v>5940</v>
      </c>
      <c r="AG45" s="15">
        <v>5482</v>
      </c>
      <c r="AH45" s="23">
        <v>7126.6</v>
      </c>
      <c r="AI45" s="17">
        <v>8223</v>
      </c>
      <c r="AJ45" s="15">
        <v>8345</v>
      </c>
      <c r="AK45" s="17">
        <v>7905.78</v>
      </c>
      <c r="AL45" s="17">
        <v>7905.78</v>
      </c>
      <c r="AM45" s="18">
        <v>4355</v>
      </c>
      <c r="AN45" s="30">
        <v>4355</v>
      </c>
      <c r="AO45" s="30">
        <f>Table1[[#This Row],[2014]]/16*14</f>
        <v>3810.625</v>
      </c>
      <c r="AP45" s="15">
        <v>5977</v>
      </c>
      <c r="AQ45" s="44">
        <v>5977</v>
      </c>
      <c r="AR45" s="44">
        <f>(5977/13)*17</f>
        <v>7816.0769230769229</v>
      </c>
      <c r="AS45" s="10" t="s">
        <v>74</v>
      </c>
    </row>
    <row r="46" spans="1:50" x14ac:dyDescent="0.2">
      <c r="A46" s="10" t="s">
        <v>76</v>
      </c>
      <c r="B46" s="10" t="s">
        <v>77</v>
      </c>
      <c r="C46" s="19">
        <v>15810</v>
      </c>
      <c r="D46" s="19">
        <v>14790</v>
      </c>
      <c r="E46" s="19">
        <v>16320</v>
      </c>
      <c r="F46" s="19">
        <v>18360</v>
      </c>
      <c r="G46" s="19">
        <v>18360</v>
      </c>
      <c r="H46" s="19">
        <v>13260</v>
      </c>
      <c r="I46" s="19">
        <v>14280</v>
      </c>
      <c r="J46" s="19">
        <v>13770</v>
      </c>
      <c r="K46" s="19">
        <v>13770</v>
      </c>
      <c r="L46" s="19">
        <v>14280</v>
      </c>
      <c r="M46" s="19">
        <v>11730</v>
      </c>
      <c r="N46" s="19">
        <v>13770</v>
      </c>
      <c r="O46" s="19">
        <v>14790</v>
      </c>
      <c r="P46" s="20">
        <v>14267</v>
      </c>
      <c r="Q46" s="19">
        <v>13260</v>
      </c>
      <c r="R46" s="19">
        <v>13770</v>
      </c>
      <c r="S46" s="20">
        <v>16335</v>
      </c>
      <c r="T46" s="19">
        <v>19380</v>
      </c>
      <c r="U46" s="19">
        <v>20900</v>
      </c>
      <c r="V46" s="20">
        <v>30068</v>
      </c>
      <c r="W46" s="19">
        <v>33333</v>
      </c>
      <c r="X46" s="19">
        <v>33333</v>
      </c>
      <c r="Y46" s="19">
        <v>43883.027027027027</v>
      </c>
      <c r="Z46" s="19">
        <v>41412</v>
      </c>
      <c r="AA46" s="19">
        <v>43883</v>
      </c>
      <c r="AB46" s="21">
        <v>38194.549999999996</v>
      </c>
      <c r="AC46" s="21">
        <v>38194.549999999996</v>
      </c>
      <c r="AD46" s="21">
        <v>39007.199999999997</v>
      </c>
      <c r="AE46" s="30">
        <v>39007.199999999997</v>
      </c>
      <c r="AF46" s="15">
        <v>14947</v>
      </c>
      <c r="AG46" s="17">
        <v>16884.8</v>
      </c>
      <c r="AH46" s="23">
        <v>16054.400000000001</v>
      </c>
      <c r="AI46" s="15">
        <v>10596</v>
      </c>
      <c r="AJ46" s="17">
        <v>9553.5</v>
      </c>
      <c r="AK46" s="17">
        <v>10074.599999999999</v>
      </c>
      <c r="AL46" s="18">
        <v>7975</v>
      </c>
      <c r="AM46" s="17">
        <v>7695.05</v>
      </c>
      <c r="AN46" s="30">
        <v>7135.41</v>
      </c>
      <c r="AO46" s="18">
        <v>8428</v>
      </c>
      <c r="AP46" s="17">
        <v>9288</v>
      </c>
      <c r="AQ46" s="44">
        <v>8772</v>
      </c>
      <c r="AR46" s="18">
        <v>15650</v>
      </c>
      <c r="AS46" s="10" t="s">
        <v>76</v>
      </c>
      <c r="AT46" s="58"/>
    </row>
    <row r="47" spans="1:50" x14ac:dyDescent="0.2">
      <c r="A47" s="10" t="s">
        <v>78</v>
      </c>
      <c r="B47" s="10" t="s">
        <v>79</v>
      </c>
      <c r="C47" s="19">
        <v>29268</v>
      </c>
      <c r="D47" s="19">
        <v>29268</v>
      </c>
      <c r="E47" s="19">
        <v>31978</v>
      </c>
      <c r="F47" s="19">
        <v>34688</v>
      </c>
      <c r="G47" s="19">
        <v>30352</v>
      </c>
      <c r="H47" s="19">
        <v>28184</v>
      </c>
      <c r="I47" s="19">
        <v>24932</v>
      </c>
      <c r="J47" s="19">
        <v>24390</v>
      </c>
      <c r="K47" s="19">
        <v>24390</v>
      </c>
      <c r="L47" s="19">
        <v>23848</v>
      </c>
      <c r="M47" s="19">
        <v>26016</v>
      </c>
      <c r="N47" s="19">
        <v>24390</v>
      </c>
      <c r="O47" s="19">
        <v>23848</v>
      </c>
      <c r="P47" s="19">
        <v>23306</v>
      </c>
      <c r="Q47" s="20">
        <v>20349</v>
      </c>
      <c r="R47" s="19">
        <v>20774</v>
      </c>
      <c r="S47" s="19">
        <v>20332</v>
      </c>
      <c r="T47" s="20">
        <v>17627</v>
      </c>
      <c r="U47" s="19">
        <v>18900</v>
      </c>
      <c r="V47" s="19">
        <v>18100</v>
      </c>
      <c r="W47" s="19">
        <v>19700</v>
      </c>
      <c r="X47" s="19">
        <v>19700</v>
      </c>
      <c r="Y47" s="19">
        <v>21404.214285714286</v>
      </c>
      <c r="Z47" s="19">
        <v>20565</v>
      </c>
      <c r="AA47" s="19">
        <v>21404</v>
      </c>
      <c r="AB47" s="19">
        <v>22663</v>
      </c>
      <c r="AC47" s="21">
        <v>22663.26</v>
      </c>
      <c r="AD47" s="14">
        <v>17568</v>
      </c>
      <c r="AE47" s="17">
        <v>16904.97</v>
      </c>
      <c r="AF47" s="17">
        <v>18536</v>
      </c>
      <c r="AG47" s="17">
        <v>17543</v>
      </c>
      <c r="AH47" s="16">
        <v>11943</v>
      </c>
      <c r="AI47" s="17">
        <v>11943.189999999999</v>
      </c>
      <c r="AJ47" s="17">
        <v>11943.189999999999</v>
      </c>
      <c r="AK47" s="18">
        <v>10456</v>
      </c>
      <c r="AL47" s="17">
        <v>10284.6</v>
      </c>
      <c r="AM47" s="17">
        <v>9941.7800000000007</v>
      </c>
      <c r="AN47" s="18">
        <v>8972</v>
      </c>
      <c r="AO47" s="30">
        <f>Table1[[#This Row],[2015]]/53*50</f>
        <v>8464.1509433962274</v>
      </c>
      <c r="AP47" s="30">
        <v>8125</v>
      </c>
      <c r="AQ47" s="38">
        <v>11840</v>
      </c>
      <c r="AR47" s="22">
        <f>(11840/49)*45</f>
        <v>10873.469387755102</v>
      </c>
      <c r="AS47" s="10" t="s">
        <v>78</v>
      </c>
      <c r="AW47" s="8"/>
      <c r="AX47" s="9"/>
    </row>
    <row r="48" spans="1:50" x14ac:dyDescent="0.2">
      <c r="A48" s="10" t="s">
        <v>130</v>
      </c>
      <c r="B48" s="10" t="s">
        <v>80</v>
      </c>
      <c r="C48" s="19">
        <v>16368</v>
      </c>
      <c r="D48" s="19">
        <v>16709</v>
      </c>
      <c r="E48" s="19">
        <v>15686</v>
      </c>
      <c r="F48" s="19">
        <v>15345</v>
      </c>
      <c r="G48" s="19">
        <v>13981</v>
      </c>
      <c r="H48" s="19">
        <v>15004</v>
      </c>
      <c r="I48" s="19">
        <v>13640</v>
      </c>
      <c r="J48" s="19">
        <v>14663</v>
      </c>
      <c r="K48" s="19">
        <v>13981</v>
      </c>
      <c r="L48" s="19">
        <v>13299</v>
      </c>
      <c r="M48" s="19">
        <v>14322</v>
      </c>
      <c r="N48" s="19">
        <v>17732</v>
      </c>
      <c r="O48" s="20">
        <v>15553</v>
      </c>
      <c r="P48" s="20">
        <v>12442</v>
      </c>
      <c r="Q48" s="20">
        <v>15009</v>
      </c>
      <c r="R48" s="19">
        <v>15686</v>
      </c>
      <c r="S48" s="19">
        <v>15686</v>
      </c>
      <c r="T48" s="19">
        <v>15686</v>
      </c>
      <c r="U48" s="20">
        <v>7524</v>
      </c>
      <c r="V48" s="19">
        <v>7380</v>
      </c>
      <c r="W48" s="19">
        <v>7216</v>
      </c>
      <c r="X48" s="19">
        <v>7216</v>
      </c>
      <c r="Y48" s="20">
        <v>6173</v>
      </c>
      <c r="Z48" s="24">
        <v>5119</v>
      </c>
      <c r="AA48" s="24">
        <v>5872</v>
      </c>
      <c r="AB48" s="24">
        <v>5872</v>
      </c>
      <c r="AC48" s="21">
        <v>5570.72</v>
      </c>
      <c r="AD48" s="21">
        <v>7678.56</v>
      </c>
      <c r="AE48" s="25">
        <v>9054</v>
      </c>
      <c r="AF48" s="17">
        <v>9849</v>
      </c>
      <c r="AG48" s="17">
        <v>9447</v>
      </c>
      <c r="AH48" s="16">
        <v>10555</v>
      </c>
      <c r="AI48" s="17">
        <v>11034.939999999999</v>
      </c>
      <c r="AJ48" s="17">
        <v>9115.82</v>
      </c>
      <c r="AK48" s="18">
        <v>8218</v>
      </c>
      <c r="AL48" s="17">
        <v>8428.7999999999993</v>
      </c>
      <c r="AM48" s="17">
        <v>8428.7999999999993</v>
      </c>
      <c r="AN48" s="18">
        <v>8091</v>
      </c>
      <c r="AO48" s="30">
        <f>Table1[[#This Row],[2015]]/42*47</f>
        <v>9054.2142857142862</v>
      </c>
      <c r="AP48" s="30">
        <v>8668</v>
      </c>
      <c r="AQ48" s="38">
        <v>6831</v>
      </c>
      <c r="AR48" s="22">
        <f>(6831/44)*41</f>
        <v>6365.25</v>
      </c>
      <c r="AS48" s="10" t="s">
        <v>130</v>
      </c>
      <c r="AW48" s="8"/>
      <c r="AX48" s="9"/>
    </row>
    <row r="49" spans="1:50" x14ac:dyDescent="0.2">
      <c r="A49" s="10" t="s">
        <v>81</v>
      </c>
      <c r="B49" s="10" t="s">
        <v>82</v>
      </c>
      <c r="C49" s="19">
        <v>12412</v>
      </c>
      <c r="D49" s="19">
        <v>12840</v>
      </c>
      <c r="E49" s="19">
        <v>14552</v>
      </c>
      <c r="F49" s="19">
        <v>13696</v>
      </c>
      <c r="G49" s="19">
        <v>14124</v>
      </c>
      <c r="H49" s="19">
        <v>11984</v>
      </c>
      <c r="I49" s="19">
        <v>9416</v>
      </c>
      <c r="J49" s="19">
        <v>6848</v>
      </c>
      <c r="K49" s="19">
        <v>7276</v>
      </c>
      <c r="L49" s="19">
        <v>7276</v>
      </c>
      <c r="M49" s="19">
        <v>5564</v>
      </c>
      <c r="N49" s="19">
        <v>7704</v>
      </c>
      <c r="O49" s="19">
        <v>10272</v>
      </c>
      <c r="P49" s="19">
        <v>10700</v>
      </c>
      <c r="Q49" s="20">
        <v>10602</v>
      </c>
      <c r="R49" s="19">
        <v>8646</v>
      </c>
      <c r="S49" s="19">
        <v>7074</v>
      </c>
      <c r="T49" s="19">
        <v>7860</v>
      </c>
      <c r="U49" s="20">
        <v>12715</v>
      </c>
      <c r="V49" s="19">
        <v>18582</v>
      </c>
      <c r="W49" s="20">
        <v>7867</v>
      </c>
      <c r="X49" s="19">
        <v>7524.95652173913</v>
      </c>
      <c r="Y49" s="19">
        <v>7524.95652173913</v>
      </c>
      <c r="Z49" s="14">
        <v>5640</v>
      </c>
      <c r="AA49" s="21">
        <v>5452</v>
      </c>
      <c r="AB49" s="21">
        <v>4888</v>
      </c>
      <c r="AC49" s="21">
        <v>4888</v>
      </c>
      <c r="AD49" s="21">
        <v>5076</v>
      </c>
      <c r="AE49" s="25">
        <v>12142</v>
      </c>
      <c r="AF49" s="17">
        <v>13156</v>
      </c>
      <c r="AG49" s="17">
        <v>15180</v>
      </c>
      <c r="AH49" s="23">
        <v>13662</v>
      </c>
      <c r="AI49" s="17">
        <v>13662</v>
      </c>
      <c r="AJ49" s="15">
        <v>13966</v>
      </c>
      <c r="AK49" s="17">
        <v>13966.05</v>
      </c>
      <c r="AL49" s="17">
        <v>15961.199999999999</v>
      </c>
      <c r="AM49" s="18">
        <v>12400</v>
      </c>
      <c r="AN49" s="30">
        <v>10015.384615384615</v>
      </c>
      <c r="AO49" s="30">
        <f>Table1[[#This Row],[2014]]/26*20</f>
        <v>9538.461538461539</v>
      </c>
      <c r="AP49" s="15">
        <v>6791</v>
      </c>
      <c r="AQ49" s="44">
        <v>7470</v>
      </c>
      <c r="AR49" s="44">
        <f>(6791/20)*25</f>
        <v>8488.75</v>
      </c>
      <c r="AS49" s="10" t="s">
        <v>81</v>
      </c>
      <c r="AW49" s="8"/>
      <c r="AX49" s="9"/>
    </row>
    <row r="50" spans="1:50" x14ac:dyDescent="0.2">
      <c r="A50" s="10" t="s">
        <v>129</v>
      </c>
      <c r="B50" s="10" t="s">
        <v>83</v>
      </c>
      <c r="C50" s="11">
        <v>84287</v>
      </c>
      <c r="D50" s="11">
        <v>86431</v>
      </c>
      <c r="E50" s="11">
        <v>80582</v>
      </c>
      <c r="F50" s="11">
        <v>75082</v>
      </c>
      <c r="G50" s="11">
        <v>61889</v>
      </c>
      <c r="H50" s="11">
        <v>53412</v>
      </c>
      <c r="I50" s="11">
        <v>54486</v>
      </c>
      <c r="J50" s="11">
        <v>53089</v>
      </c>
      <c r="K50" s="11">
        <v>43247</v>
      </c>
      <c r="L50" s="11">
        <v>55097</v>
      </c>
      <c r="M50" s="11">
        <v>51353</v>
      </c>
      <c r="N50" s="11">
        <v>51000</v>
      </c>
      <c r="O50" s="11">
        <v>59803</v>
      </c>
      <c r="P50" s="11">
        <v>52657</v>
      </c>
      <c r="Q50" s="11">
        <v>43602</v>
      </c>
      <c r="R50" s="11">
        <v>39236</v>
      </c>
      <c r="S50" s="11">
        <v>42094</v>
      </c>
      <c r="T50" s="11">
        <v>37751</v>
      </c>
      <c r="U50" s="11">
        <v>37751</v>
      </c>
      <c r="V50" s="19">
        <v>35869</v>
      </c>
      <c r="W50" s="19">
        <v>27683</v>
      </c>
      <c r="X50" s="19">
        <v>30123</v>
      </c>
      <c r="Y50" s="19">
        <v>33480</v>
      </c>
      <c r="Z50" s="19">
        <v>32437</v>
      </c>
      <c r="AA50" s="14">
        <v>34586</v>
      </c>
      <c r="AB50" s="14">
        <v>33577</v>
      </c>
      <c r="AC50" s="14">
        <v>32345</v>
      </c>
      <c r="AD50" s="14">
        <v>31280</v>
      </c>
      <c r="AE50" s="25">
        <v>26428</v>
      </c>
      <c r="AF50" s="15">
        <v>26194</v>
      </c>
      <c r="AG50" s="15">
        <v>23527</v>
      </c>
      <c r="AH50" s="16">
        <v>20969</v>
      </c>
      <c r="AI50" s="15">
        <v>22520</v>
      </c>
      <c r="AJ50" s="15">
        <v>23035</v>
      </c>
      <c r="AK50" s="15">
        <v>25875</v>
      </c>
      <c r="AL50" s="15">
        <v>27482</v>
      </c>
      <c r="AM50" s="15">
        <v>27100</v>
      </c>
      <c r="AN50" s="15">
        <v>31220</v>
      </c>
      <c r="AO50" s="15">
        <v>34234</v>
      </c>
      <c r="AP50" s="15">
        <v>31811</v>
      </c>
      <c r="AQ50" s="38">
        <v>32825</v>
      </c>
      <c r="AR50" s="38">
        <v>35233</v>
      </c>
      <c r="AS50" s="10" t="s">
        <v>129</v>
      </c>
      <c r="AW50" s="8"/>
      <c r="AX50" s="9"/>
    </row>
    <row r="51" spans="1:50" x14ac:dyDescent="0.2">
      <c r="A51" s="10" t="s">
        <v>84</v>
      </c>
      <c r="B51" s="10" t="s">
        <v>85</v>
      </c>
      <c r="C51" s="19">
        <v>7476</v>
      </c>
      <c r="D51" s="19">
        <v>7476</v>
      </c>
      <c r="E51" s="19">
        <v>7476</v>
      </c>
      <c r="F51" s="19">
        <v>9078</v>
      </c>
      <c r="G51" s="19">
        <v>8544</v>
      </c>
      <c r="H51" s="19">
        <v>8010</v>
      </c>
      <c r="I51" s="19">
        <v>8277</v>
      </c>
      <c r="J51" s="19">
        <v>8544</v>
      </c>
      <c r="K51" s="19">
        <v>7743</v>
      </c>
      <c r="L51" s="19">
        <v>8010</v>
      </c>
      <c r="M51" s="19">
        <v>7476</v>
      </c>
      <c r="N51" s="19">
        <v>7743</v>
      </c>
      <c r="O51" s="19">
        <v>8811</v>
      </c>
      <c r="P51" s="20">
        <v>7753</v>
      </c>
      <c r="Q51" s="19">
        <v>8010</v>
      </c>
      <c r="R51" s="19">
        <v>6675</v>
      </c>
      <c r="S51" s="19">
        <v>6675</v>
      </c>
      <c r="T51" s="19">
        <v>5874</v>
      </c>
      <c r="U51" s="19">
        <v>5300</v>
      </c>
      <c r="V51" s="20">
        <v>11762</v>
      </c>
      <c r="W51" s="19">
        <v>11762</v>
      </c>
      <c r="X51" s="19">
        <v>12273.391304347826</v>
      </c>
      <c r="Y51" s="19">
        <v>15341.739130434782</v>
      </c>
      <c r="Z51" s="19">
        <v>16467</v>
      </c>
      <c r="AA51" s="19">
        <v>18231</v>
      </c>
      <c r="AB51" s="21">
        <v>17643</v>
      </c>
      <c r="AC51" s="14">
        <v>10896</v>
      </c>
      <c r="AD51" s="21">
        <v>10895.880000000001</v>
      </c>
      <c r="AE51" s="30">
        <v>10895.880000000001</v>
      </c>
      <c r="AF51" s="15">
        <v>6830</v>
      </c>
      <c r="AG51" s="17">
        <v>6342.18</v>
      </c>
      <c r="AH51" s="23">
        <v>5854.32</v>
      </c>
      <c r="AI51" s="15">
        <v>8861</v>
      </c>
      <c r="AJ51" s="17">
        <v>8861</v>
      </c>
      <c r="AK51" s="17">
        <v>7797.68</v>
      </c>
      <c r="AL51" s="18">
        <v>5762</v>
      </c>
      <c r="AM51" s="17">
        <v>6310.74</v>
      </c>
      <c r="AN51" s="30">
        <v>6859.5</v>
      </c>
      <c r="AO51" s="15">
        <v>2714</v>
      </c>
      <c r="AP51" s="17">
        <v>2261</v>
      </c>
      <c r="AQ51" s="44">
        <v>2261</v>
      </c>
      <c r="AR51" s="18">
        <v>4804</v>
      </c>
      <c r="AS51" s="10" t="s">
        <v>84</v>
      </c>
    </row>
    <row r="52" spans="1:50" x14ac:dyDescent="0.2">
      <c r="A52" s="10" t="s">
        <v>86</v>
      </c>
      <c r="B52" s="10" t="s">
        <v>87</v>
      </c>
      <c r="C52" s="19">
        <v>12825</v>
      </c>
      <c r="D52" s="19">
        <v>14725</v>
      </c>
      <c r="E52" s="19">
        <v>13775</v>
      </c>
      <c r="F52" s="19">
        <v>13775</v>
      </c>
      <c r="G52" s="19">
        <v>14250</v>
      </c>
      <c r="H52" s="19">
        <v>11400</v>
      </c>
      <c r="I52" s="19">
        <v>10450</v>
      </c>
      <c r="J52" s="19">
        <v>10450</v>
      </c>
      <c r="K52" s="19">
        <v>9975</v>
      </c>
      <c r="L52" s="19">
        <v>14250</v>
      </c>
      <c r="M52" s="19">
        <v>13775</v>
      </c>
      <c r="N52" s="19">
        <v>14725</v>
      </c>
      <c r="O52" s="19">
        <v>13775</v>
      </c>
      <c r="P52" s="20">
        <v>6652</v>
      </c>
      <c r="Q52" s="19">
        <v>9975</v>
      </c>
      <c r="R52" s="19">
        <v>11400</v>
      </c>
      <c r="S52" s="19">
        <v>13775</v>
      </c>
      <c r="T52" s="20">
        <v>7353</v>
      </c>
      <c r="U52" s="19">
        <v>7100</v>
      </c>
      <c r="V52" s="19">
        <v>6800</v>
      </c>
      <c r="W52" s="19">
        <v>7300</v>
      </c>
      <c r="X52" s="20">
        <v>10964</v>
      </c>
      <c r="Y52" s="19">
        <v>12229.076923076922</v>
      </c>
      <c r="Z52" s="19">
        <v>11386</v>
      </c>
      <c r="AA52" s="19">
        <v>12651</v>
      </c>
      <c r="AB52" s="19">
        <v>11807</v>
      </c>
      <c r="AC52" s="21">
        <v>12650.7</v>
      </c>
      <c r="AD52" s="14">
        <v>10803</v>
      </c>
      <c r="AE52" s="17">
        <v>12403.41</v>
      </c>
      <c r="AF52" s="17">
        <v>11600</v>
      </c>
      <c r="AG52" s="17">
        <v>12403.41</v>
      </c>
      <c r="AH52" s="16">
        <v>8439</v>
      </c>
      <c r="AI52" s="17">
        <v>7772.8</v>
      </c>
      <c r="AJ52" s="17">
        <v>6440.3200000000006</v>
      </c>
      <c r="AK52" s="18">
        <v>8502</v>
      </c>
      <c r="AL52" s="17">
        <v>10047.959999999999</v>
      </c>
      <c r="AM52" s="17">
        <v>10705.599999999999</v>
      </c>
      <c r="AN52" s="30">
        <v>10705.599999999999</v>
      </c>
      <c r="AO52" s="30">
        <f>Table1[[#This Row],[2012]]/33*37</f>
        <v>9532.545454545454</v>
      </c>
      <c r="AP52" s="15">
        <v>9954</v>
      </c>
      <c r="AQ52" s="44">
        <v>9678</v>
      </c>
      <c r="AR52" s="44">
        <f>(9954/36)*31</f>
        <v>8571.5</v>
      </c>
      <c r="AS52" s="10" t="s">
        <v>86</v>
      </c>
    </row>
    <row r="53" spans="1:50" x14ac:dyDescent="0.2">
      <c r="A53" s="10" t="s">
        <v>138</v>
      </c>
      <c r="B53" s="10" t="s">
        <v>88</v>
      </c>
      <c r="C53" s="19" t="s">
        <v>167</v>
      </c>
      <c r="D53" s="19" t="s">
        <v>167</v>
      </c>
      <c r="E53" s="19" t="s">
        <v>167</v>
      </c>
      <c r="F53" s="19" t="s">
        <v>167</v>
      </c>
      <c r="G53" s="19" t="s">
        <v>167</v>
      </c>
      <c r="H53" s="19" t="s">
        <v>167</v>
      </c>
      <c r="I53" s="19" t="s">
        <v>167</v>
      </c>
      <c r="J53" s="19" t="s">
        <v>167</v>
      </c>
      <c r="K53" s="19" t="s">
        <v>167</v>
      </c>
      <c r="L53" s="19" t="s">
        <v>167</v>
      </c>
      <c r="M53" s="19" t="s">
        <v>167</v>
      </c>
      <c r="N53" s="19" t="s">
        <v>167</v>
      </c>
      <c r="O53" s="19" t="s">
        <v>167</v>
      </c>
      <c r="P53" s="19" t="s">
        <v>167</v>
      </c>
      <c r="Q53" s="19" t="s">
        <v>167</v>
      </c>
      <c r="R53" s="19" t="s">
        <v>167</v>
      </c>
      <c r="S53" s="19" t="s">
        <v>167</v>
      </c>
      <c r="T53" s="19" t="s">
        <v>167</v>
      </c>
      <c r="U53" s="19" t="s">
        <v>167</v>
      </c>
      <c r="V53" s="19" t="s">
        <v>167</v>
      </c>
      <c r="W53" s="19" t="s">
        <v>167</v>
      </c>
      <c r="X53" s="19" t="s">
        <v>167</v>
      </c>
      <c r="Y53" s="14">
        <v>2464</v>
      </c>
      <c r="Z53" s="19">
        <v>2053</v>
      </c>
      <c r="AA53" s="19">
        <v>1848</v>
      </c>
      <c r="AB53" s="19">
        <v>2669</v>
      </c>
      <c r="AC53" s="21">
        <v>2669.29</v>
      </c>
      <c r="AD53" s="21">
        <v>2669.29</v>
      </c>
      <c r="AE53" s="25">
        <v>2450</v>
      </c>
      <c r="AF53" s="17">
        <v>2449.7999999999997</v>
      </c>
      <c r="AG53" s="17">
        <v>2858.1</v>
      </c>
      <c r="AH53" s="16">
        <v>2512</v>
      </c>
      <c r="AI53" s="17">
        <v>3110.12</v>
      </c>
      <c r="AJ53" s="17">
        <v>2751.26</v>
      </c>
      <c r="AK53" s="17">
        <v>2512.02</v>
      </c>
      <c r="AL53" s="17">
        <v>2631.6400000000003</v>
      </c>
      <c r="AM53" s="18">
        <v>1927</v>
      </c>
      <c r="AN53" s="30">
        <v>1686.125</v>
      </c>
      <c r="AO53" s="30">
        <f>Table1[[#This Row],[2014]]/24*20</f>
        <v>1605.8333333333335</v>
      </c>
      <c r="AP53" s="15">
        <v>2337</v>
      </c>
      <c r="AQ53" s="44">
        <v>2091</v>
      </c>
      <c r="AR53" s="44">
        <f>(2337/19)*17</f>
        <v>2091</v>
      </c>
      <c r="AS53" s="10" t="s">
        <v>138</v>
      </c>
    </row>
    <row r="54" spans="1:50" x14ac:dyDescent="0.2">
      <c r="A54" s="10" t="s">
        <v>89</v>
      </c>
      <c r="B54" s="10" t="s">
        <v>90</v>
      </c>
      <c r="C54" s="19">
        <v>10283</v>
      </c>
      <c r="D54" s="19">
        <v>9492</v>
      </c>
      <c r="E54" s="19">
        <v>10283</v>
      </c>
      <c r="F54" s="19">
        <v>11865</v>
      </c>
      <c r="G54" s="19">
        <v>9492</v>
      </c>
      <c r="H54" s="19">
        <v>7910</v>
      </c>
      <c r="I54" s="19">
        <v>14238</v>
      </c>
      <c r="J54" s="19">
        <v>9492</v>
      </c>
      <c r="K54" s="19">
        <v>11074</v>
      </c>
      <c r="L54" s="19">
        <v>6328</v>
      </c>
      <c r="M54" s="19">
        <v>6328</v>
      </c>
      <c r="N54" s="19">
        <v>10283</v>
      </c>
      <c r="O54" s="19">
        <v>11074</v>
      </c>
      <c r="P54" s="19">
        <v>7910</v>
      </c>
      <c r="Q54" s="20">
        <v>11073</v>
      </c>
      <c r="R54" s="20">
        <v>7677</v>
      </c>
      <c r="S54" s="19">
        <v>12656</v>
      </c>
      <c r="T54" s="19">
        <v>13447</v>
      </c>
      <c r="U54" s="19">
        <v>15800</v>
      </c>
      <c r="V54" s="20">
        <v>9104</v>
      </c>
      <c r="W54" s="19">
        <v>7128</v>
      </c>
      <c r="X54" s="20">
        <v>5376</v>
      </c>
      <c r="Y54" s="19">
        <v>8400</v>
      </c>
      <c r="Z54" s="19">
        <v>7392</v>
      </c>
      <c r="AA54" s="19">
        <v>7728</v>
      </c>
      <c r="AB54" s="19">
        <v>7392</v>
      </c>
      <c r="AC54" s="21">
        <v>6720</v>
      </c>
      <c r="AD54" s="14">
        <v>5442</v>
      </c>
      <c r="AE54" s="17">
        <v>4625.7000000000007</v>
      </c>
      <c r="AF54" s="17">
        <v>4625.7000000000007</v>
      </c>
      <c r="AG54" s="15">
        <v>5514</v>
      </c>
      <c r="AH54" s="23">
        <v>5513.9500000000007</v>
      </c>
      <c r="AI54" s="17">
        <v>5189.6000000000004</v>
      </c>
      <c r="AJ54" s="15">
        <v>2697</v>
      </c>
      <c r="AK54" s="17">
        <v>2547.11</v>
      </c>
      <c r="AL54" s="17">
        <v>2397.2800000000002</v>
      </c>
      <c r="AM54" s="18">
        <v>1345</v>
      </c>
      <c r="AN54" s="30">
        <v>1513.125</v>
      </c>
      <c r="AO54" s="30">
        <f>Table1[[#This Row],[2014]]/16*17</f>
        <v>1429.0625</v>
      </c>
      <c r="AP54" s="15">
        <v>2546</v>
      </c>
      <c r="AQ54" s="44">
        <v>2546</v>
      </c>
      <c r="AR54" s="44">
        <v>2546</v>
      </c>
      <c r="AS54" s="10" t="s">
        <v>89</v>
      </c>
    </row>
    <row r="55" spans="1:50" x14ac:dyDescent="0.2">
      <c r="A55" s="10" t="s">
        <v>91</v>
      </c>
      <c r="B55" s="10" t="s">
        <v>92</v>
      </c>
      <c r="C55" s="19">
        <v>9153</v>
      </c>
      <c r="D55" s="19">
        <v>9153</v>
      </c>
      <c r="E55" s="19">
        <v>9153</v>
      </c>
      <c r="F55" s="19">
        <v>7119</v>
      </c>
      <c r="G55" s="19">
        <v>7119</v>
      </c>
      <c r="H55" s="19">
        <v>8136</v>
      </c>
      <c r="I55" s="19">
        <v>7119</v>
      </c>
      <c r="J55" s="19">
        <v>6441</v>
      </c>
      <c r="K55" s="19">
        <v>6102</v>
      </c>
      <c r="L55" s="19">
        <v>6441</v>
      </c>
      <c r="M55" s="19">
        <v>8136</v>
      </c>
      <c r="N55" s="19">
        <v>9153</v>
      </c>
      <c r="O55" s="19">
        <v>8814</v>
      </c>
      <c r="P55" s="20">
        <v>8810</v>
      </c>
      <c r="Q55" s="19">
        <v>9153</v>
      </c>
      <c r="R55" s="20">
        <v>11182</v>
      </c>
      <c r="S55" s="19">
        <v>11592</v>
      </c>
      <c r="T55" s="19">
        <v>12006</v>
      </c>
      <c r="U55" s="20">
        <v>11929</v>
      </c>
      <c r="V55" s="19">
        <v>10348</v>
      </c>
      <c r="W55" s="19">
        <v>10746</v>
      </c>
      <c r="X55" s="20">
        <v>11499</v>
      </c>
      <c r="Y55" s="24">
        <v>11499</v>
      </c>
      <c r="Z55" s="24">
        <v>11499</v>
      </c>
      <c r="AA55" s="24">
        <v>11958</v>
      </c>
      <c r="AB55" s="24">
        <v>10579</v>
      </c>
      <c r="AC55" s="21">
        <v>10579.08</v>
      </c>
      <c r="AD55" s="14">
        <v>10845</v>
      </c>
      <c r="AE55" s="17">
        <v>10844.96</v>
      </c>
      <c r="AF55" s="17">
        <v>9912</v>
      </c>
      <c r="AG55" s="15">
        <v>6625</v>
      </c>
      <c r="AH55" s="23">
        <v>5830</v>
      </c>
      <c r="AI55" s="17">
        <v>6625</v>
      </c>
      <c r="AJ55" s="17">
        <v>7420</v>
      </c>
      <c r="AK55" s="18">
        <v>10588</v>
      </c>
      <c r="AL55" s="17">
        <v>10588.08</v>
      </c>
      <c r="AM55" s="17">
        <v>8382.23</v>
      </c>
      <c r="AN55" s="30">
        <v>8382.23</v>
      </c>
      <c r="AO55" s="15">
        <v>7636</v>
      </c>
      <c r="AP55" s="17">
        <v>8113</v>
      </c>
      <c r="AQ55" s="17">
        <v>10500</v>
      </c>
      <c r="AR55" s="18">
        <v>13013</v>
      </c>
      <c r="AS55" s="10" t="s">
        <v>91</v>
      </c>
    </row>
    <row r="56" spans="1:50" x14ac:dyDescent="0.2">
      <c r="A56" s="10" t="s">
        <v>93</v>
      </c>
      <c r="B56" s="10" t="s">
        <v>94</v>
      </c>
      <c r="C56" s="19">
        <v>13053</v>
      </c>
      <c r="D56" s="19">
        <v>13740</v>
      </c>
      <c r="E56" s="19">
        <v>11679</v>
      </c>
      <c r="F56" s="19">
        <v>13740</v>
      </c>
      <c r="G56" s="19">
        <v>13053</v>
      </c>
      <c r="H56" s="19">
        <v>9618</v>
      </c>
      <c r="I56" s="19">
        <v>11679</v>
      </c>
      <c r="J56" s="19">
        <v>8931</v>
      </c>
      <c r="K56" s="19">
        <v>8244</v>
      </c>
      <c r="L56" s="19">
        <v>8244</v>
      </c>
      <c r="M56" s="19">
        <v>8244</v>
      </c>
      <c r="N56" s="19">
        <v>8244</v>
      </c>
      <c r="O56" s="19">
        <v>7557</v>
      </c>
      <c r="P56" s="20">
        <v>6873</v>
      </c>
      <c r="Q56" s="19">
        <v>8931</v>
      </c>
      <c r="R56" s="19">
        <v>6870</v>
      </c>
      <c r="S56" s="19">
        <v>8931</v>
      </c>
      <c r="T56" s="20">
        <v>7165</v>
      </c>
      <c r="U56" s="20">
        <v>4162</v>
      </c>
      <c r="V56" s="20">
        <v>11972</v>
      </c>
      <c r="W56" s="19">
        <v>12768</v>
      </c>
      <c r="X56" s="19">
        <v>10374</v>
      </c>
      <c r="Y56" s="19">
        <v>13568.266666666666</v>
      </c>
      <c r="Z56" s="14">
        <v>8838</v>
      </c>
      <c r="AA56" s="21">
        <v>8838</v>
      </c>
      <c r="AB56" s="21">
        <v>12275</v>
      </c>
      <c r="AC56" s="21">
        <v>12766</v>
      </c>
      <c r="AD56" s="21">
        <v>12275</v>
      </c>
      <c r="AE56" s="30">
        <v>12275</v>
      </c>
      <c r="AF56" s="15">
        <v>9083</v>
      </c>
      <c r="AG56" s="17">
        <v>8746.4</v>
      </c>
      <c r="AH56" s="23">
        <v>7737.2</v>
      </c>
      <c r="AI56" s="15">
        <v>5542</v>
      </c>
      <c r="AJ56" s="17">
        <v>5278</v>
      </c>
      <c r="AK56" s="17">
        <v>4750.2</v>
      </c>
      <c r="AL56" s="18">
        <v>4189</v>
      </c>
      <c r="AM56" s="17">
        <v>4450.7700000000004</v>
      </c>
      <c r="AN56" s="30">
        <v>4974.3900000000003</v>
      </c>
      <c r="AO56" s="15">
        <v>2700</v>
      </c>
      <c r="AP56" s="17">
        <v>3825</v>
      </c>
      <c r="AQ56" s="44">
        <v>2250</v>
      </c>
      <c r="AR56" s="18">
        <v>2593</v>
      </c>
      <c r="AS56" s="10" t="s">
        <v>93</v>
      </c>
    </row>
    <row r="57" spans="1:50" x14ac:dyDescent="0.2">
      <c r="A57" s="10" t="s">
        <v>95</v>
      </c>
      <c r="B57" s="10" t="s">
        <v>96</v>
      </c>
      <c r="C57" s="19">
        <v>6260</v>
      </c>
      <c r="D57" s="19">
        <v>7199</v>
      </c>
      <c r="E57" s="19">
        <v>7825</v>
      </c>
      <c r="F57" s="19">
        <v>8138</v>
      </c>
      <c r="G57" s="19">
        <v>8764</v>
      </c>
      <c r="H57" s="19">
        <v>7199</v>
      </c>
      <c r="I57" s="19">
        <v>5634</v>
      </c>
      <c r="J57" s="19">
        <v>5321</v>
      </c>
      <c r="K57" s="19">
        <v>5008</v>
      </c>
      <c r="L57" s="19">
        <v>5008</v>
      </c>
      <c r="M57" s="19">
        <v>5008</v>
      </c>
      <c r="N57" s="19">
        <v>5321</v>
      </c>
      <c r="O57" s="19">
        <v>5008</v>
      </c>
      <c r="P57" s="20">
        <v>5631</v>
      </c>
      <c r="Q57" s="20">
        <v>4741</v>
      </c>
      <c r="R57" s="19">
        <v>4500</v>
      </c>
      <c r="S57" s="19">
        <v>4000</v>
      </c>
      <c r="T57" s="19">
        <v>4250</v>
      </c>
      <c r="U57" s="19">
        <v>4300</v>
      </c>
      <c r="V57" s="19">
        <v>3000</v>
      </c>
      <c r="W57" s="20">
        <v>4302</v>
      </c>
      <c r="X57" s="19">
        <v>4660.5</v>
      </c>
      <c r="Y57" s="19">
        <v>6094.5</v>
      </c>
      <c r="Z57" s="19">
        <v>6453</v>
      </c>
      <c r="AA57" s="21">
        <v>6453</v>
      </c>
      <c r="AB57" s="21">
        <v>6812</v>
      </c>
      <c r="AC57" s="14">
        <v>7676</v>
      </c>
      <c r="AD57" s="21">
        <v>8406.9599999999991</v>
      </c>
      <c r="AE57" s="30">
        <v>8406.9599999999991</v>
      </c>
      <c r="AF57" s="12">
        <v>7300</v>
      </c>
      <c r="AG57" s="15">
        <v>5021</v>
      </c>
      <c r="AH57" s="23">
        <v>4820.16</v>
      </c>
      <c r="AI57" s="17">
        <v>4820.16</v>
      </c>
      <c r="AJ57" s="15">
        <v>7407</v>
      </c>
      <c r="AK57" s="17">
        <v>7110.7199999999993</v>
      </c>
      <c r="AL57" s="17">
        <v>7703.2799999999988</v>
      </c>
      <c r="AM57" s="18">
        <v>6012</v>
      </c>
      <c r="AN57" s="30">
        <v>5290.5599999999995</v>
      </c>
      <c r="AO57" s="30">
        <f>Table1[[#This Row],[2014]]/25*20</f>
        <v>4809.5999999999995</v>
      </c>
      <c r="AP57" s="15">
        <v>9542</v>
      </c>
      <c r="AQ57" s="44">
        <v>8633</v>
      </c>
      <c r="AR57" s="44">
        <f>(9542/21)*17</f>
        <v>7724.4761904761908</v>
      </c>
      <c r="AS57" s="10" t="s">
        <v>95</v>
      </c>
    </row>
    <row r="58" spans="1:50" x14ac:dyDescent="0.2">
      <c r="A58" s="10" t="s">
        <v>97</v>
      </c>
      <c r="B58" s="10" t="s">
        <v>98</v>
      </c>
      <c r="C58" s="19">
        <v>15260</v>
      </c>
      <c r="D58" s="19">
        <v>22672</v>
      </c>
      <c r="E58" s="19">
        <v>23108</v>
      </c>
      <c r="F58" s="19">
        <v>21364</v>
      </c>
      <c r="G58" s="19">
        <v>20056</v>
      </c>
      <c r="H58" s="19">
        <v>17440</v>
      </c>
      <c r="I58" s="19">
        <v>17004</v>
      </c>
      <c r="J58" s="19">
        <v>20056</v>
      </c>
      <c r="K58" s="19">
        <v>17876</v>
      </c>
      <c r="L58" s="19">
        <v>18312</v>
      </c>
      <c r="M58" s="19">
        <v>17876</v>
      </c>
      <c r="N58" s="19">
        <v>18748</v>
      </c>
      <c r="O58" s="19">
        <v>15260</v>
      </c>
      <c r="P58" s="19">
        <v>15696</v>
      </c>
      <c r="Q58" s="19">
        <v>14388</v>
      </c>
      <c r="R58" s="19">
        <v>14388</v>
      </c>
      <c r="S58" s="19">
        <v>13516</v>
      </c>
      <c r="T58" s="19">
        <v>13080</v>
      </c>
      <c r="U58" s="20">
        <v>21588</v>
      </c>
      <c r="V58" s="19">
        <v>26214</v>
      </c>
      <c r="W58" s="19">
        <v>25443</v>
      </c>
      <c r="X58" s="19">
        <v>23130</v>
      </c>
      <c r="Y58" s="19">
        <v>31611</v>
      </c>
      <c r="Z58" s="14">
        <v>38324</v>
      </c>
      <c r="AA58" s="21">
        <v>44505</v>
      </c>
      <c r="AB58" s="21">
        <v>43269</v>
      </c>
      <c r="AC58" s="21">
        <v>44505.36</v>
      </c>
      <c r="AD58" s="21">
        <v>32142.76</v>
      </c>
      <c r="AE58" s="30">
        <v>34615.279999999999</v>
      </c>
      <c r="AF58" s="15">
        <v>16689</v>
      </c>
      <c r="AG58" s="17">
        <v>19898.28</v>
      </c>
      <c r="AH58" s="23">
        <v>19898.28</v>
      </c>
      <c r="AI58" s="15">
        <v>11077</v>
      </c>
      <c r="AJ58" s="17">
        <v>10760.66</v>
      </c>
      <c r="AK58" s="17">
        <v>10760.66</v>
      </c>
      <c r="AL58" s="18">
        <v>9486</v>
      </c>
      <c r="AM58" s="17">
        <v>9215.0199999999986</v>
      </c>
      <c r="AN58" s="30">
        <v>9215.0199999999986</v>
      </c>
      <c r="AO58" s="15">
        <v>18227</v>
      </c>
      <c r="AP58" s="15">
        <v>14720</v>
      </c>
      <c r="AQ58" s="44">
        <v>15670</v>
      </c>
      <c r="AR58" s="17">
        <f>(14720/31)*26</f>
        <v>12345.806451612903</v>
      </c>
      <c r="AS58" s="10" t="s">
        <v>97</v>
      </c>
      <c r="AT58" s="58"/>
    </row>
    <row r="59" spans="1:50" x14ac:dyDescent="0.2">
      <c r="A59" s="10" t="s">
        <v>99</v>
      </c>
      <c r="B59" s="10" t="s">
        <v>100</v>
      </c>
      <c r="C59" s="19">
        <v>12708</v>
      </c>
      <c r="D59" s="19">
        <v>11296</v>
      </c>
      <c r="E59" s="19">
        <v>14826</v>
      </c>
      <c r="F59" s="19">
        <v>18356</v>
      </c>
      <c r="G59" s="19">
        <v>15532</v>
      </c>
      <c r="H59" s="19">
        <v>14826</v>
      </c>
      <c r="I59" s="19">
        <v>14120</v>
      </c>
      <c r="J59" s="19">
        <v>15532</v>
      </c>
      <c r="K59" s="19">
        <v>14826</v>
      </c>
      <c r="L59" s="19">
        <v>12002</v>
      </c>
      <c r="M59" s="19">
        <v>15532</v>
      </c>
      <c r="N59" s="19">
        <v>17650</v>
      </c>
      <c r="O59" s="20">
        <v>16950</v>
      </c>
      <c r="P59" s="19">
        <v>16944</v>
      </c>
      <c r="Q59" s="19">
        <v>15532</v>
      </c>
      <c r="R59" s="20">
        <v>7131</v>
      </c>
      <c r="S59" s="19">
        <v>9108</v>
      </c>
      <c r="T59" s="19">
        <v>9900</v>
      </c>
      <c r="U59" s="19">
        <v>8700</v>
      </c>
      <c r="V59" s="19">
        <v>8300</v>
      </c>
      <c r="W59" s="20">
        <v>13511</v>
      </c>
      <c r="X59" s="19">
        <v>11484.35</v>
      </c>
      <c r="Y59" s="19">
        <v>10133.25</v>
      </c>
      <c r="Z59" s="19">
        <v>12160</v>
      </c>
      <c r="AA59" s="21">
        <v>10809</v>
      </c>
      <c r="AB59" s="21">
        <v>9458</v>
      </c>
      <c r="AC59" s="21">
        <v>8106.5999999999995</v>
      </c>
      <c r="AD59" s="14">
        <v>12116</v>
      </c>
      <c r="AE59" s="17">
        <v>10096.699999999999</v>
      </c>
      <c r="AF59" s="17">
        <v>11110</v>
      </c>
      <c r="AG59" s="15">
        <v>13067</v>
      </c>
      <c r="AH59" s="23">
        <v>17087.55</v>
      </c>
      <c r="AI59" s="17">
        <v>17087.55</v>
      </c>
      <c r="AJ59" s="17">
        <v>17087.55</v>
      </c>
      <c r="AK59" s="17">
        <v>17087.55</v>
      </c>
      <c r="AL59" s="17">
        <v>15077.25</v>
      </c>
      <c r="AM59" s="18">
        <v>10267</v>
      </c>
      <c r="AN59" s="30">
        <v>8687.4615384615372</v>
      </c>
      <c r="AO59" s="30">
        <f>Table1[[#This Row],[2014]]/13*10</f>
        <v>7897.6923076923067</v>
      </c>
      <c r="AP59" s="15">
        <v>13382</v>
      </c>
      <c r="AQ59" s="44">
        <v>13382</v>
      </c>
      <c r="AR59" s="44">
        <f>(13382/12)*14</f>
        <v>15612.333333333334</v>
      </c>
      <c r="AS59" s="10" t="s">
        <v>99</v>
      </c>
    </row>
    <row r="60" spans="1:50" x14ac:dyDescent="0.2">
      <c r="A60" s="10" t="s">
        <v>101</v>
      </c>
      <c r="B60" s="10" t="s">
        <v>102</v>
      </c>
      <c r="C60" s="19">
        <v>7480</v>
      </c>
      <c r="D60" s="19">
        <v>5100</v>
      </c>
      <c r="E60" s="19">
        <v>4760</v>
      </c>
      <c r="F60" s="19">
        <v>5440</v>
      </c>
      <c r="G60" s="19">
        <v>4420</v>
      </c>
      <c r="H60" s="19">
        <v>4420</v>
      </c>
      <c r="I60" s="19">
        <v>5100</v>
      </c>
      <c r="J60" s="19">
        <v>3740</v>
      </c>
      <c r="K60" s="19">
        <v>6460</v>
      </c>
      <c r="L60" s="19">
        <v>7820</v>
      </c>
      <c r="M60" s="19">
        <v>11560</v>
      </c>
      <c r="N60" s="19">
        <v>11900</v>
      </c>
      <c r="O60" s="19">
        <v>11900</v>
      </c>
      <c r="P60" s="20">
        <v>11895</v>
      </c>
      <c r="Q60" s="19">
        <v>14280</v>
      </c>
      <c r="R60" s="19">
        <v>14280</v>
      </c>
      <c r="S60" s="19">
        <v>16660</v>
      </c>
      <c r="T60" s="19">
        <v>18020</v>
      </c>
      <c r="U60" s="20">
        <v>6936</v>
      </c>
      <c r="V60" s="19">
        <v>7089</v>
      </c>
      <c r="W60" s="19">
        <v>7923</v>
      </c>
      <c r="X60" s="20">
        <v>6640</v>
      </c>
      <c r="Y60" s="19">
        <v>7767.5471698113206</v>
      </c>
      <c r="Z60" s="19">
        <v>7642</v>
      </c>
      <c r="AA60" s="21">
        <v>7768</v>
      </c>
      <c r="AB60" s="21">
        <v>6515</v>
      </c>
      <c r="AC60" s="21">
        <v>6890.4</v>
      </c>
      <c r="AD60" s="14">
        <v>8963</v>
      </c>
      <c r="AE60" s="17">
        <v>7493.43</v>
      </c>
      <c r="AF60" s="17">
        <v>7203</v>
      </c>
      <c r="AG60" s="15">
        <v>7654</v>
      </c>
      <c r="AH60" s="23">
        <v>7832</v>
      </c>
      <c r="AI60" s="17">
        <v>7476</v>
      </c>
      <c r="AJ60" s="15">
        <v>7667</v>
      </c>
      <c r="AK60" s="17">
        <v>7667.01</v>
      </c>
      <c r="AL60" s="17">
        <v>7863.6</v>
      </c>
      <c r="AM60" s="18">
        <v>5984</v>
      </c>
      <c r="AN60" s="30">
        <v>5463.652173913043</v>
      </c>
      <c r="AO60" s="30">
        <f>Table1[[#This Row],[2014]]/46*41</f>
        <v>5333.565217391304</v>
      </c>
      <c r="AP60" s="30">
        <v>5333</v>
      </c>
      <c r="AQ60" s="45">
        <v>4553</v>
      </c>
      <c r="AR60" s="45">
        <f>(5984/46)*25</f>
        <v>3252.173913043478</v>
      </c>
      <c r="AS60" s="10" t="s">
        <v>101</v>
      </c>
    </row>
    <row r="61" spans="1:50" x14ac:dyDescent="0.2">
      <c r="A61" s="10" t="s">
        <v>103</v>
      </c>
      <c r="B61" s="10" t="s">
        <v>104</v>
      </c>
      <c r="C61" s="19">
        <v>9660</v>
      </c>
      <c r="D61" s="19">
        <v>11960</v>
      </c>
      <c r="E61" s="19">
        <v>12420</v>
      </c>
      <c r="F61" s="19">
        <v>17940</v>
      </c>
      <c r="G61" s="19">
        <v>20240</v>
      </c>
      <c r="H61" s="19">
        <v>19780</v>
      </c>
      <c r="I61" s="19">
        <v>14260</v>
      </c>
      <c r="J61" s="19">
        <v>12420</v>
      </c>
      <c r="K61" s="19">
        <v>12420</v>
      </c>
      <c r="L61" s="19">
        <v>11960</v>
      </c>
      <c r="M61" s="19">
        <v>11960</v>
      </c>
      <c r="N61" s="19">
        <v>16100</v>
      </c>
      <c r="O61" s="19">
        <v>15640</v>
      </c>
      <c r="P61" s="19">
        <v>17480</v>
      </c>
      <c r="Q61" s="20">
        <v>16563</v>
      </c>
      <c r="R61" s="19">
        <v>14336</v>
      </c>
      <c r="S61" s="19">
        <v>15232</v>
      </c>
      <c r="T61" s="20">
        <v>10692</v>
      </c>
      <c r="U61" s="20">
        <v>14352</v>
      </c>
      <c r="V61" s="19">
        <v>15400</v>
      </c>
      <c r="W61" s="19">
        <v>19250</v>
      </c>
      <c r="X61" s="20">
        <v>21040</v>
      </c>
      <c r="Y61" s="19">
        <v>21487.659574468085</v>
      </c>
      <c r="Z61" s="19">
        <v>24621</v>
      </c>
      <c r="AA61" s="21">
        <v>26412</v>
      </c>
      <c r="AB61" s="21">
        <v>23278</v>
      </c>
      <c r="AC61" s="21">
        <v>29545.56</v>
      </c>
      <c r="AD61" s="14">
        <v>13869</v>
      </c>
      <c r="AE61" s="17">
        <v>14277.2</v>
      </c>
      <c r="AF61" s="12">
        <v>13872</v>
      </c>
      <c r="AG61" s="12">
        <v>12240</v>
      </c>
      <c r="AH61" s="33">
        <v>13260</v>
      </c>
      <c r="AI61" s="12">
        <v>12852</v>
      </c>
      <c r="AJ61" s="12">
        <v>12036</v>
      </c>
      <c r="AK61" s="12">
        <v>12852</v>
      </c>
      <c r="AL61" s="18">
        <v>11832</v>
      </c>
      <c r="AM61" s="17">
        <v>11393.720000000001</v>
      </c>
      <c r="AN61" s="30">
        <v>11393.720000000001</v>
      </c>
      <c r="AO61" s="15">
        <v>17616</v>
      </c>
      <c r="AP61" s="17">
        <v>20786</v>
      </c>
      <c r="AQ61" s="44">
        <v>21844</v>
      </c>
      <c r="AR61" s="18">
        <v>17187</v>
      </c>
      <c r="AS61" s="10" t="s">
        <v>103</v>
      </c>
    </row>
    <row r="62" spans="1:50" x14ac:dyDescent="0.2">
      <c r="A62" s="10" t="s">
        <v>105</v>
      </c>
      <c r="B62" s="10" t="s">
        <v>106</v>
      </c>
      <c r="C62" s="19">
        <v>29250</v>
      </c>
      <c r="D62" s="19">
        <v>33930</v>
      </c>
      <c r="E62" s="19">
        <v>34515</v>
      </c>
      <c r="F62" s="19">
        <v>34515</v>
      </c>
      <c r="G62" s="19">
        <v>27495</v>
      </c>
      <c r="H62" s="19">
        <v>31590</v>
      </c>
      <c r="I62" s="19">
        <v>25155</v>
      </c>
      <c r="J62" s="19">
        <v>28080</v>
      </c>
      <c r="K62" s="19">
        <v>27495</v>
      </c>
      <c r="L62" s="19">
        <v>24570</v>
      </c>
      <c r="M62" s="19">
        <v>31590</v>
      </c>
      <c r="N62" s="19">
        <v>21645</v>
      </c>
      <c r="O62" s="20">
        <v>21239</v>
      </c>
      <c r="P62" s="20">
        <v>22798</v>
      </c>
      <c r="Q62" s="19">
        <v>26910</v>
      </c>
      <c r="R62" s="19">
        <v>22815</v>
      </c>
      <c r="S62" s="20">
        <v>19506</v>
      </c>
      <c r="T62" s="19">
        <v>21344</v>
      </c>
      <c r="U62" s="19">
        <v>20900</v>
      </c>
      <c r="V62" s="20">
        <v>21674</v>
      </c>
      <c r="W62" s="20">
        <v>11018</v>
      </c>
      <c r="X62" s="19">
        <v>10517.181818181818</v>
      </c>
      <c r="Y62" s="20">
        <v>20047</v>
      </c>
      <c r="Z62" s="24">
        <v>21383</v>
      </c>
      <c r="AA62" s="34">
        <v>24056</v>
      </c>
      <c r="AB62" s="34">
        <v>22720</v>
      </c>
      <c r="AC62" s="21">
        <v>24501.95</v>
      </c>
      <c r="AD62" s="21">
        <v>26729.4</v>
      </c>
      <c r="AE62" s="25">
        <v>24094</v>
      </c>
      <c r="AF62" s="17">
        <v>23002</v>
      </c>
      <c r="AG62" s="17">
        <v>23373</v>
      </c>
      <c r="AH62" s="16">
        <v>21043</v>
      </c>
      <c r="AI62" s="17">
        <v>18173.309999999998</v>
      </c>
      <c r="AJ62" s="17">
        <v>21042.78</v>
      </c>
      <c r="AK62" s="17">
        <v>22955.759999999998</v>
      </c>
      <c r="AL62" s="18">
        <v>19431</v>
      </c>
      <c r="AM62" s="17">
        <v>19168.34</v>
      </c>
      <c r="AN62" s="30">
        <v>17330.28</v>
      </c>
      <c r="AO62" s="15">
        <v>16430</v>
      </c>
      <c r="AP62" s="17">
        <v>18227</v>
      </c>
      <c r="AQ62" s="44">
        <v>18997</v>
      </c>
      <c r="AR62" s="18">
        <v>21876</v>
      </c>
      <c r="AS62" s="10" t="s">
        <v>105</v>
      </c>
    </row>
    <row r="63" spans="1:50" x14ac:dyDescent="0.2">
      <c r="A63" s="10" t="s">
        <v>107</v>
      </c>
      <c r="B63" s="10" t="s">
        <v>107</v>
      </c>
      <c r="C63" s="19">
        <v>9300</v>
      </c>
      <c r="D63" s="19">
        <v>5580</v>
      </c>
      <c r="E63" s="19">
        <v>4030</v>
      </c>
      <c r="F63" s="19">
        <v>5270</v>
      </c>
      <c r="G63" s="19">
        <v>5890</v>
      </c>
      <c r="H63" s="19">
        <v>4650</v>
      </c>
      <c r="I63" s="19">
        <v>6510</v>
      </c>
      <c r="J63" s="19">
        <v>6200</v>
      </c>
      <c r="K63" s="19">
        <v>6820</v>
      </c>
      <c r="L63" s="19">
        <v>5580</v>
      </c>
      <c r="M63" s="19">
        <v>8060</v>
      </c>
      <c r="N63" s="19">
        <v>7130</v>
      </c>
      <c r="O63" s="19">
        <v>7750</v>
      </c>
      <c r="P63" s="19">
        <v>8060</v>
      </c>
      <c r="Q63" s="20">
        <v>7433</v>
      </c>
      <c r="R63" s="19">
        <v>7750</v>
      </c>
      <c r="S63" s="19">
        <v>8680</v>
      </c>
      <c r="T63" s="19">
        <v>9300</v>
      </c>
      <c r="U63" s="19">
        <v>9000</v>
      </c>
      <c r="V63" s="20">
        <v>7930</v>
      </c>
      <c r="W63" s="19">
        <v>8780</v>
      </c>
      <c r="X63" s="19">
        <v>7363</v>
      </c>
      <c r="Y63" s="19">
        <v>7080.3571428571431</v>
      </c>
      <c r="Z63" s="19">
        <v>7080.3571428571431</v>
      </c>
      <c r="AA63" s="21">
        <v>6231</v>
      </c>
      <c r="AB63" s="21">
        <v>7363</v>
      </c>
      <c r="AC63" s="14">
        <v>11281</v>
      </c>
      <c r="AD63" s="21">
        <v>10575.9</v>
      </c>
      <c r="AE63" s="30">
        <v>13396.14</v>
      </c>
      <c r="AF63" s="12">
        <v>12672</v>
      </c>
      <c r="AG63" s="15">
        <v>12667</v>
      </c>
      <c r="AH63" s="23">
        <v>13009.300000000001</v>
      </c>
      <c r="AI63" s="17">
        <v>13351.650000000001</v>
      </c>
      <c r="AJ63" s="17">
        <v>12324.6</v>
      </c>
      <c r="AK63" s="18">
        <v>8633</v>
      </c>
      <c r="AL63" s="17">
        <v>8632.84</v>
      </c>
      <c r="AM63" s="17">
        <v>8178.4800000000005</v>
      </c>
      <c r="AN63" s="18">
        <v>3795</v>
      </c>
      <c r="AO63" s="30">
        <f>Table1[[#This Row],[2015]]/30*34</f>
        <v>4301</v>
      </c>
      <c r="AP63" s="30">
        <v>3795</v>
      </c>
      <c r="AQ63" s="38">
        <v>3916</v>
      </c>
      <c r="AR63" s="22">
        <f>(3916/33)*31</f>
        <v>3678.666666666667</v>
      </c>
      <c r="AS63" s="10" t="s">
        <v>107</v>
      </c>
    </row>
    <row r="64" spans="1:50" x14ac:dyDescent="0.2">
      <c r="A64" s="10" t="s">
        <v>141</v>
      </c>
      <c r="B64" s="10" t="s">
        <v>108</v>
      </c>
      <c r="C64" s="11">
        <v>124857</v>
      </c>
      <c r="D64" s="11">
        <v>118421</v>
      </c>
      <c r="E64" s="11">
        <v>104698</v>
      </c>
      <c r="F64" s="11">
        <v>104636</v>
      </c>
      <c r="G64" s="11">
        <v>80906</v>
      </c>
      <c r="H64" s="11">
        <v>85963</v>
      </c>
      <c r="I64" s="11">
        <v>96456</v>
      </c>
      <c r="J64" s="11">
        <v>87132</v>
      </c>
      <c r="K64" s="11">
        <v>87274</v>
      </c>
      <c r="L64" s="11">
        <v>106744</v>
      </c>
      <c r="M64" s="11">
        <v>118797</v>
      </c>
      <c r="N64" s="11">
        <v>110129</v>
      </c>
      <c r="O64" s="11">
        <v>89732</v>
      </c>
      <c r="P64" s="11">
        <v>91464</v>
      </c>
      <c r="Q64" s="11">
        <v>82904</v>
      </c>
      <c r="R64" s="11">
        <v>75773</v>
      </c>
      <c r="S64" s="11">
        <v>77164</v>
      </c>
      <c r="T64" s="11">
        <v>75965</v>
      </c>
      <c r="U64" s="11">
        <v>79777</v>
      </c>
      <c r="V64" s="14">
        <v>81243</v>
      </c>
      <c r="W64" s="14">
        <v>82426</v>
      </c>
      <c r="X64" s="14">
        <v>82418</v>
      </c>
      <c r="Y64" s="14">
        <v>74961</v>
      </c>
      <c r="Z64" s="14">
        <v>74132</v>
      </c>
      <c r="AA64" s="14">
        <v>74998</v>
      </c>
      <c r="AB64" s="14">
        <v>65100</v>
      </c>
      <c r="AC64" s="14">
        <v>62243</v>
      </c>
      <c r="AD64" s="14">
        <v>64255</v>
      </c>
      <c r="AE64" s="25">
        <v>58971</v>
      </c>
      <c r="AF64" s="15">
        <v>48323</v>
      </c>
      <c r="AG64" s="15">
        <v>46954</v>
      </c>
      <c r="AH64" s="16">
        <v>40235</v>
      </c>
      <c r="AI64" s="15">
        <v>37100</v>
      </c>
      <c r="AJ64" s="15">
        <v>37122</v>
      </c>
      <c r="AK64" s="15">
        <v>37411</v>
      </c>
      <c r="AL64" s="15">
        <v>36119</v>
      </c>
      <c r="AM64" s="15">
        <v>36550</v>
      </c>
      <c r="AN64" s="15">
        <v>38043</v>
      </c>
      <c r="AO64" s="15">
        <v>41198</v>
      </c>
      <c r="AP64" s="15">
        <v>41603</v>
      </c>
      <c r="AQ64" s="18">
        <v>43648</v>
      </c>
      <c r="AR64" s="18">
        <v>47756</v>
      </c>
      <c r="AS64" s="10" t="s">
        <v>141</v>
      </c>
      <c r="AV64" t="s">
        <v>172</v>
      </c>
    </row>
    <row r="65" spans="1:46" x14ac:dyDescent="0.2">
      <c r="A65" s="10" t="s">
        <v>109</v>
      </c>
      <c r="B65" s="10" t="s">
        <v>110</v>
      </c>
      <c r="C65" s="19">
        <v>17400</v>
      </c>
      <c r="D65" s="19">
        <v>19140</v>
      </c>
      <c r="E65" s="19">
        <v>18560</v>
      </c>
      <c r="F65" s="19">
        <v>22040</v>
      </c>
      <c r="G65" s="19">
        <v>16820</v>
      </c>
      <c r="H65" s="19">
        <v>15660</v>
      </c>
      <c r="I65" s="19">
        <v>20880</v>
      </c>
      <c r="J65" s="19">
        <v>17980</v>
      </c>
      <c r="K65" s="19">
        <v>17980</v>
      </c>
      <c r="L65" s="19">
        <v>13920</v>
      </c>
      <c r="M65" s="19">
        <v>13920</v>
      </c>
      <c r="N65" s="19">
        <v>19140</v>
      </c>
      <c r="O65" s="19">
        <v>16820</v>
      </c>
      <c r="P65" s="19">
        <v>15660</v>
      </c>
      <c r="Q65" s="20">
        <v>17970</v>
      </c>
      <c r="R65" s="19">
        <v>15080</v>
      </c>
      <c r="S65" s="19">
        <v>17400</v>
      </c>
      <c r="T65" s="20">
        <v>9536</v>
      </c>
      <c r="U65" s="20">
        <v>9353</v>
      </c>
      <c r="V65" s="19">
        <v>9688</v>
      </c>
      <c r="W65" s="19">
        <v>8650</v>
      </c>
      <c r="X65" s="14">
        <v>8963</v>
      </c>
      <c r="Y65" s="20">
        <v>14148</v>
      </c>
      <c r="Z65" s="24">
        <v>14672</v>
      </c>
      <c r="AA65" s="24">
        <v>14148</v>
      </c>
      <c r="AB65" s="24">
        <v>16244</v>
      </c>
      <c r="AC65" s="21">
        <v>15720</v>
      </c>
      <c r="AD65" s="21">
        <v>14672</v>
      </c>
      <c r="AE65" s="25">
        <v>8657</v>
      </c>
      <c r="AF65" s="17">
        <v>9630</v>
      </c>
      <c r="AG65" s="17">
        <v>9309</v>
      </c>
      <c r="AH65" s="16">
        <v>4137</v>
      </c>
      <c r="AI65" s="17">
        <v>3900.6</v>
      </c>
      <c r="AJ65" s="17">
        <v>3782.4</v>
      </c>
      <c r="AK65" s="18">
        <v>5814</v>
      </c>
      <c r="AL65" s="17">
        <v>6564.25</v>
      </c>
      <c r="AM65" s="17">
        <v>6751.8</v>
      </c>
      <c r="AN65" s="18">
        <v>5701</v>
      </c>
      <c r="AO65" s="30">
        <f>Table1[[#This Row],[2015]]/34*30</f>
        <v>5030.2941176470595</v>
      </c>
      <c r="AP65" s="30">
        <v>5365</v>
      </c>
      <c r="AQ65" s="38">
        <v>3303</v>
      </c>
      <c r="AR65" s="22">
        <f>(3303/24)*25</f>
        <v>3440.625</v>
      </c>
      <c r="AS65" s="10" t="s">
        <v>109</v>
      </c>
    </row>
    <row r="66" spans="1:46" x14ac:dyDescent="0.2">
      <c r="A66" s="10" t="s">
        <v>111</v>
      </c>
      <c r="B66" s="10" t="s">
        <v>112</v>
      </c>
      <c r="C66" s="19">
        <v>656</v>
      </c>
      <c r="D66" s="19">
        <v>1804</v>
      </c>
      <c r="E66" s="19">
        <v>1640</v>
      </c>
      <c r="F66" s="19">
        <v>1476</v>
      </c>
      <c r="G66" s="19">
        <v>1312</v>
      </c>
      <c r="H66" s="19">
        <v>820</v>
      </c>
      <c r="I66" s="19">
        <v>1640</v>
      </c>
      <c r="J66" s="19">
        <v>2296</v>
      </c>
      <c r="K66" s="19">
        <v>2624</v>
      </c>
      <c r="L66" s="19">
        <v>2624</v>
      </c>
      <c r="M66" s="19">
        <v>2460</v>
      </c>
      <c r="N66" s="19">
        <v>2788</v>
      </c>
      <c r="O66" s="19">
        <v>3116</v>
      </c>
      <c r="P66" s="20">
        <v>3119</v>
      </c>
      <c r="Q66" s="19">
        <v>3116</v>
      </c>
      <c r="R66" s="19">
        <v>3280</v>
      </c>
      <c r="S66" s="20">
        <v>2795</v>
      </c>
      <c r="T66" s="19">
        <v>2635</v>
      </c>
      <c r="U66" s="20">
        <v>1742</v>
      </c>
      <c r="V66" s="19">
        <v>1199</v>
      </c>
      <c r="W66" s="19">
        <v>1308</v>
      </c>
      <c r="X66" s="14">
        <v>1468</v>
      </c>
      <c r="Y66" s="19">
        <v>1101</v>
      </c>
      <c r="Z66" s="19">
        <v>1101</v>
      </c>
      <c r="AA66" s="19">
        <v>1101</v>
      </c>
      <c r="AB66" s="19">
        <v>856</v>
      </c>
      <c r="AC66" s="21">
        <v>978.64</v>
      </c>
      <c r="AD66" s="14">
        <v>3048</v>
      </c>
      <c r="AE66" s="17">
        <v>3048.01</v>
      </c>
      <c r="AF66" s="15">
        <v>5566</v>
      </c>
      <c r="AG66" s="17">
        <v>7951.4</v>
      </c>
      <c r="AH66" s="23">
        <v>7951.4</v>
      </c>
      <c r="AI66" s="17">
        <v>7951.4</v>
      </c>
      <c r="AJ66" s="15">
        <v>3195</v>
      </c>
      <c r="AK66" s="17">
        <v>3194.95</v>
      </c>
      <c r="AL66" s="17">
        <v>3485.3999999999996</v>
      </c>
      <c r="AM66" s="18">
        <v>2108</v>
      </c>
      <c r="AN66" s="30">
        <v>2108</v>
      </c>
      <c r="AO66" s="30">
        <f>Table1[[#This Row],[2014]]/13*14</f>
        <v>2270.1538461538462</v>
      </c>
      <c r="AP66" s="15">
        <v>3490</v>
      </c>
      <c r="AQ66" s="44">
        <v>2991</v>
      </c>
      <c r="AR66" s="17">
        <f>(3490/14)*13</f>
        <v>3240.7142857142858</v>
      </c>
      <c r="AS66" s="10" t="s">
        <v>111</v>
      </c>
    </row>
    <row r="67" spans="1:46" x14ac:dyDescent="0.2">
      <c r="A67" s="10" t="s">
        <v>128</v>
      </c>
      <c r="B67" s="10" t="s">
        <v>113</v>
      </c>
      <c r="C67" s="19">
        <v>110298</v>
      </c>
      <c r="D67" s="19">
        <v>111325</v>
      </c>
      <c r="E67" s="19">
        <v>113431</v>
      </c>
      <c r="F67" s="19">
        <v>99065</v>
      </c>
      <c r="G67" s="19">
        <v>75384</v>
      </c>
      <c r="H67" s="19">
        <v>76568</v>
      </c>
      <c r="I67" s="19">
        <v>74933</v>
      </c>
      <c r="J67" s="19">
        <v>70553</v>
      </c>
      <c r="K67" s="19">
        <v>72102</v>
      </c>
      <c r="L67" s="19">
        <v>83497</v>
      </c>
      <c r="M67" s="19">
        <v>80847</v>
      </c>
      <c r="N67" s="19">
        <v>73679</v>
      </c>
      <c r="O67" s="19">
        <v>77627</v>
      </c>
      <c r="P67" s="19">
        <v>80562</v>
      </c>
      <c r="Q67" s="19">
        <v>92756</v>
      </c>
      <c r="R67" s="19">
        <v>82706</v>
      </c>
      <c r="S67" s="19">
        <v>78823</v>
      </c>
      <c r="T67" s="19">
        <v>58913</v>
      </c>
      <c r="U67" s="19">
        <v>52780</v>
      </c>
      <c r="V67" s="14">
        <v>50357</v>
      </c>
      <c r="W67" s="14">
        <v>58023</v>
      </c>
      <c r="X67" s="14">
        <v>55359</v>
      </c>
      <c r="Y67" s="14">
        <v>61570</v>
      </c>
      <c r="Z67" s="14">
        <v>74030</v>
      </c>
      <c r="AA67" s="14">
        <v>94786</v>
      </c>
      <c r="AB67" s="14">
        <v>85160</v>
      </c>
      <c r="AC67" s="14">
        <v>86347</v>
      </c>
      <c r="AD67" s="14">
        <v>81202</v>
      </c>
      <c r="AE67" s="25">
        <v>69836</v>
      </c>
      <c r="AF67" s="15">
        <v>56508</v>
      </c>
      <c r="AG67" s="15">
        <v>51506</v>
      </c>
      <c r="AH67" s="16">
        <v>40068</v>
      </c>
      <c r="AI67" s="15">
        <v>57784</v>
      </c>
      <c r="AJ67" s="15">
        <v>40651</v>
      </c>
      <c r="AK67" s="15">
        <v>35648</v>
      </c>
      <c r="AL67" s="15">
        <v>37870</v>
      </c>
      <c r="AM67" s="15">
        <v>48797</v>
      </c>
      <c r="AN67" s="15">
        <v>65283</v>
      </c>
      <c r="AO67" s="15">
        <v>50702</v>
      </c>
      <c r="AP67" s="15">
        <v>50444</v>
      </c>
      <c r="AQ67" s="18">
        <v>58469</v>
      </c>
      <c r="AR67" s="18">
        <v>62447</v>
      </c>
      <c r="AS67" s="10" t="s">
        <v>128</v>
      </c>
    </row>
    <row r="68" spans="1:46" x14ac:dyDescent="0.2">
      <c r="A68" s="10" t="s">
        <v>114</v>
      </c>
      <c r="B68" s="10" t="s">
        <v>115</v>
      </c>
      <c r="C68" s="19">
        <v>41360</v>
      </c>
      <c r="D68" s="19">
        <v>49256</v>
      </c>
      <c r="E68" s="19">
        <v>42864</v>
      </c>
      <c r="F68" s="19">
        <v>45496</v>
      </c>
      <c r="G68" s="19">
        <v>40984</v>
      </c>
      <c r="H68" s="19">
        <v>45120</v>
      </c>
      <c r="I68" s="19">
        <v>40232</v>
      </c>
      <c r="J68" s="19">
        <v>41360</v>
      </c>
      <c r="K68" s="19">
        <v>41360</v>
      </c>
      <c r="L68" s="19">
        <v>40232</v>
      </c>
      <c r="M68" s="19">
        <v>42488</v>
      </c>
      <c r="N68" s="19">
        <v>43240</v>
      </c>
      <c r="O68" s="20">
        <v>42132</v>
      </c>
      <c r="P68" s="19">
        <v>46284</v>
      </c>
      <c r="Q68" s="20">
        <v>38123</v>
      </c>
      <c r="R68" s="19">
        <v>36992</v>
      </c>
      <c r="S68" s="19">
        <v>36414</v>
      </c>
      <c r="T68" s="19">
        <v>36992</v>
      </c>
      <c r="U68" s="19">
        <v>37600</v>
      </c>
      <c r="V68" s="20">
        <v>35100</v>
      </c>
      <c r="W68" s="19">
        <v>36835</v>
      </c>
      <c r="X68" s="19">
        <v>32860</v>
      </c>
      <c r="Y68" s="20">
        <v>34822</v>
      </c>
      <c r="Z68" s="24">
        <v>33699</v>
      </c>
      <c r="AA68" s="24">
        <v>35047</v>
      </c>
      <c r="AB68" s="24">
        <v>33924</v>
      </c>
      <c r="AC68" s="21">
        <v>35271.620000000003</v>
      </c>
      <c r="AD68" s="21">
        <v>37742.879999999997</v>
      </c>
      <c r="AE68" s="25">
        <v>69050</v>
      </c>
      <c r="AF68" s="17">
        <v>67392</v>
      </c>
      <c r="AG68" s="17">
        <v>69888</v>
      </c>
      <c r="AH68" s="23">
        <v>67392</v>
      </c>
      <c r="AI68" s="17">
        <v>70304</v>
      </c>
      <c r="AJ68" s="17">
        <v>68224</v>
      </c>
      <c r="AK68" s="18">
        <v>40033</v>
      </c>
      <c r="AL68" s="17">
        <v>38567.799999999996</v>
      </c>
      <c r="AM68" s="17">
        <v>39056</v>
      </c>
      <c r="AN68" s="18">
        <v>37985</v>
      </c>
      <c r="AO68" s="30">
        <f>Table1[[#This Row],[2015]]/151*150</f>
        <v>37733.443708609273</v>
      </c>
      <c r="AP68" s="30">
        <v>39242</v>
      </c>
      <c r="AQ68" s="22">
        <v>38488</v>
      </c>
      <c r="AR68" s="38">
        <v>66805</v>
      </c>
      <c r="AS68" s="10" t="s">
        <v>114</v>
      </c>
      <c r="AT68" s="58"/>
    </row>
    <row r="69" spans="1:46" x14ac:dyDescent="0.2">
      <c r="A69" s="10" t="s">
        <v>116</v>
      </c>
      <c r="B69" s="10" t="s">
        <v>117</v>
      </c>
      <c r="C69" s="19">
        <v>12903</v>
      </c>
      <c r="D69" s="19">
        <v>11220</v>
      </c>
      <c r="E69" s="19">
        <v>12342</v>
      </c>
      <c r="F69" s="19">
        <v>13464</v>
      </c>
      <c r="G69" s="19">
        <v>10659</v>
      </c>
      <c r="H69" s="19">
        <v>10659</v>
      </c>
      <c r="I69" s="19">
        <v>10659</v>
      </c>
      <c r="J69" s="19">
        <v>12903</v>
      </c>
      <c r="K69" s="19">
        <v>11220</v>
      </c>
      <c r="L69" s="19">
        <v>12342</v>
      </c>
      <c r="M69" s="19">
        <v>10659</v>
      </c>
      <c r="N69" s="19">
        <v>9537</v>
      </c>
      <c r="O69" s="19">
        <v>8976</v>
      </c>
      <c r="P69" s="19">
        <v>9537</v>
      </c>
      <c r="Q69" s="20">
        <v>10100</v>
      </c>
      <c r="R69" s="20">
        <v>7930</v>
      </c>
      <c r="S69" s="19">
        <v>11536</v>
      </c>
      <c r="T69" s="19">
        <v>11536</v>
      </c>
      <c r="U69" s="19">
        <v>11500</v>
      </c>
      <c r="V69" s="19">
        <v>12300</v>
      </c>
      <c r="W69" s="19">
        <v>12300</v>
      </c>
      <c r="X69" s="14">
        <v>10417</v>
      </c>
      <c r="Y69" s="19">
        <v>12255.294117647059</v>
      </c>
      <c r="Z69" s="19">
        <v>11030</v>
      </c>
      <c r="AA69" s="19">
        <v>11030</v>
      </c>
      <c r="AB69" s="19">
        <v>7966</v>
      </c>
      <c r="AC69" s="21">
        <v>10416.92</v>
      </c>
      <c r="AD69" s="14">
        <v>4658</v>
      </c>
      <c r="AE69" s="17">
        <v>5323.36</v>
      </c>
      <c r="AF69" s="15">
        <v>4913</v>
      </c>
      <c r="AG69" s="17">
        <v>7369.56</v>
      </c>
      <c r="AH69" s="23">
        <v>7369.56</v>
      </c>
      <c r="AI69" s="17">
        <v>6960.14</v>
      </c>
      <c r="AJ69" s="15">
        <v>4428</v>
      </c>
      <c r="AK69" s="17">
        <v>4428</v>
      </c>
      <c r="AL69" s="17">
        <v>4428</v>
      </c>
      <c r="AM69" s="17">
        <v>4182</v>
      </c>
      <c r="AN69" s="18">
        <v>6553</v>
      </c>
      <c r="AO69" s="30">
        <f>Table1[[#This Row],[2015]]/16*15</f>
        <v>6143.4375</v>
      </c>
      <c r="AP69" s="30">
        <v>6143</v>
      </c>
      <c r="AQ69" s="38">
        <v>4505</v>
      </c>
      <c r="AR69" s="22">
        <v>4505</v>
      </c>
      <c r="AS69" s="10" t="s">
        <v>116</v>
      </c>
    </row>
    <row r="70" spans="1:46" x14ac:dyDescent="0.2">
      <c r="A70" s="10" t="s">
        <v>118</v>
      </c>
      <c r="B70" s="10" t="s">
        <v>119</v>
      </c>
      <c r="C70" s="19">
        <v>19880</v>
      </c>
      <c r="D70" s="19">
        <v>22365</v>
      </c>
      <c r="E70" s="19">
        <v>17040</v>
      </c>
      <c r="F70" s="19">
        <v>16685</v>
      </c>
      <c r="G70" s="19">
        <v>17395</v>
      </c>
      <c r="H70" s="19">
        <v>14555</v>
      </c>
      <c r="I70" s="19">
        <v>16685</v>
      </c>
      <c r="J70" s="19">
        <v>17040</v>
      </c>
      <c r="K70" s="19">
        <v>17395</v>
      </c>
      <c r="L70" s="19">
        <v>19525</v>
      </c>
      <c r="M70" s="19">
        <v>21300</v>
      </c>
      <c r="N70" s="19">
        <v>19525</v>
      </c>
      <c r="O70" s="20">
        <v>20578</v>
      </c>
      <c r="P70" s="19">
        <v>19880</v>
      </c>
      <c r="Q70" s="20">
        <v>17291</v>
      </c>
      <c r="R70" s="19">
        <v>18240</v>
      </c>
      <c r="S70" s="19">
        <v>16960</v>
      </c>
      <c r="T70" s="20">
        <v>23472</v>
      </c>
      <c r="U70" s="19">
        <v>23500</v>
      </c>
      <c r="V70" s="19">
        <v>21300</v>
      </c>
      <c r="W70" s="20">
        <v>23601</v>
      </c>
      <c r="X70" s="19">
        <v>22637.693877551021</v>
      </c>
      <c r="Y70" s="19">
        <v>24564.306122448979</v>
      </c>
      <c r="Z70" s="19">
        <v>23601</v>
      </c>
      <c r="AA70" s="19">
        <v>21674</v>
      </c>
      <c r="AB70" s="19">
        <v>22156</v>
      </c>
      <c r="AC70" s="21">
        <v>23119.199999999997</v>
      </c>
      <c r="AD70" s="14">
        <v>24186</v>
      </c>
      <c r="AE70" s="17">
        <v>24186.2</v>
      </c>
      <c r="AF70" s="15">
        <v>24782</v>
      </c>
      <c r="AG70" s="17">
        <v>25275.600000000002</v>
      </c>
      <c r="AH70" s="23">
        <v>27258</v>
      </c>
      <c r="AI70" s="15">
        <v>18612</v>
      </c>
      <c r="AJ70" s="17">
        <v>17959.149999999998</v>
      </c>
      <c r="AK70" s="17">
        <v>16979.559999999998</v>
      </c>
      <c r="AL70" s="17">
        <v>17959.7</v>
      </c>
      <c r="AM70" s="17">
        <v>18939.32</v>
      </c>
      <c r="AN70" s="15">
        <v>15173</v>
      </c>
      <c r="AO70" s="30">
        <f>Table1[[#This Row],[2015]]/59*58</f>
        <v>14915.830508474575</v>
      </c>
      <c r="AP70" s="30">
        <v>14401</v>
      </c>
      <c r="AQ70" s="30">
        <v>13373</v>
      </c>
      <c r="AR70" s="38">
        <v>15260</v>
      </c>
      <c r="AS70" s="10" t="s">
        <v>118</v>
      </c>
    </row>
    <row r="71" spans="1:46" x14ac:dyDescent="0.2">
      <c r="A71" s="10" t="s">
        <v>120</v>
      </c>
      <c r="B71" s="10" t="s">
        <v>121</v>
      </c>
      <c r="C71" s="19">
        <v>10281</v>
      </c>
      <c r="D71" s="19">
        <v>11175</v>
      </c>
      <c r="E71" s="19">
        <v>10281</v>
      </c>
      <c r="F71" s="19">
        <v>11622</v>
      </c>
      <c r="G71" s="19">
        <v>12963</v>
      </c>
      <c r="H71" s="19">
        <v>11622</v>
      </c>
      <c r="I71" s="19">
        <v>12963</v>
      </c>
      <c r="J71" s="19">
        <v>12516</v>
      </c>
      <c r="K71" s="19">
        <v>9834</v>
      </c>
      <c r="L71" s="19">
        <v>15645</v>
      </c>
      <c r="M71" s="19">
        <v>15198</v>
      </c>
      <c r="N71" s="19">
        <v>14751</v>
      </c>
      <c r="O71" s="19">
        <v>16539</v>
      </c>
      <c r="P71" s="19">
        <v>13857</v>
      </c>
      <c r="Q71" s="20">
        <v>14758</v>
      </c>
      <c r="R71" s="19">
        <v>15614</v>
      </c>
      <c r="S71" s="19">
        <v>17302</v>
      </c>
      <c r="T71" s="20">
        <v>8625</v>
      </c>
      <c r="U71" s="20">
        <v>6267</v>
      </c>
      <c r="V71" s="19">
        <v>5814</v>
      </c>
      <c r="W71" s="19">
        <v>5814</v>
      </c>
      <c r="X71" s="14">
        <v>9746</v>
      </c>
      <c r="Y71" s="19">
        <v>12487.0625</v>
      </c>
      <c r="Z71" s="19">
        <v>7614</v>
      </c>
      <c r="AA71" s="19">
        <v>8528</v>
      </c>
      <c r="AB71" s="19">
        <v>8223</v>
      </c>
      <c r="AC71" s="21">
        <v>6395.76</v>
      </c>
      <c r="AD71" s="14">
        <v>8488</v>
      </c>
      <c r="AE71" s="17">
        <v>8912.4</v>
      </c>
      <c r="AF71" s="17">
        <v>9752</v>
      </c>
      <c r="AG71" s="15">
        <v>5257</v>
      </c>
      <c r="AH71" s="23">
        <v>5632.5</v>
      </c>
      <c r="AI71" s="17">
        <v>5820.25</v>
      </c>
      <c r="AJ71" s="17">
        <v>5820.25</v>
      </c>
      <c r="AK71" s="18">
        <v>2785</v>
      </c>
      <c r="AL71" s="17">
        <v>2874.88</v>
      </c>
      <c r="AM71" s="17">
        <v>2964.7200000000003</v>
      </c>
      <c r="AN71" s="15">
        <v>3225</v>
      </c>
      <c r="AO71" s="30">
        <f>Table1[[#This Row],[2015]]/33*35</f>
        <v>3420.4545454545455</v>
      </c>
      <c r="AP71" s="30">
        <v>3029</v>
      </c>
      <c r="AQ71" s="38">
        <v>2896</v>
      </c>
      <c r="AR71" s="22">
        <f>(2896/31)*30</f>
        <v>2802.5806451612902</v>
      </c>
      <c r="AS71" s="10" t="s">
        <v>120</v>
      </c>
    </row>
    <row r="72" spans="1:46" x14ac:dyDescent="0.2">
      <c r="A72" s="10" t="s">
        <v>122</v>
      </c>
      <c r="B72" s="10" t="s">
        <v>123</v>
      </c>
      <c r="C72" s="19">
        <v>4632</v>
      </c>
      <c r="D72" s="19">
        <v>3474</v>
      </c>
      <c r="E72" s="19">
        <v>4632</v>
      </c>
      <c r="F72" s="19">
        <v>4632</v>
      </c>
      <c r="G72" s="19">
        <v>3860</v>
      </c>
      <c r="H72" s="19">
        <v>3860</v>
      </c>
      <c r="I72" s="19">
        <v>3860</v>
      </c>
      <c r="J72" s="19">
        <v>3474</v>
      </c>
      <c r="K72" s="19">
        <v>3860</v>
      </c>
      <c r="L72" s="19">
        <v>5018</v>
      </c>
      <c r="M72" s="19">
        <v>4632</v>
      </c>
      <c r="N72" s="19">
        <v>3860</v>
      </c>
      <c r="O72" s="19">
        <v>4246</v>
      </c>
      <c r="P72" s="20">
        <v>5017</v>
      </c>
      <c r="Q72" s="19">
        <v>5404</v>
      </c>
      <c r="R72" s="20">
        <v>2605</v>
      </c>
      <c r="S72" s="19">
        <v>3081</v>
      </c>
      <c r="T72" s="19">
        <v>2607</v>
      </c>
      <c r="U72" s="19">
        <v>2400</v>
      </c>
      <c r="V72" s="20">
        <v>2187</v>
      </c>
      <c r="W72" s="19">
        <v>2190</v>
      </c>
      <c r="X72" s="14">
        <v>5331</v>
      </c>
      <c r="Y72" s="19">
        <v>7463.4</v>
      </c>
      <c r="Z72" s="19">
        <v>6930</v>
      </c>
      <c r="AA72" s="19">
        <v>7463</v>
      </c>
      <c r="AB72" s="19">
        <v>6930</v>
      </c>
      <c r="AC72" s="21">
        <v>5864.1</v>
      </c>
      <c r="AD72" s="14">
        <v>6084</v>
      </c>
      <c r="AE72" s="17">
        <v>5530.9000000000005</v>
      </c>
      <c r="AF72" s="17">
        <v>4977</v>
      </c>
      <c r="AG72" s="17">
        <v>4424</v>
      </c>
      <c r="AH72" s="16">
        <v>4504</v>
      </c>
      <c r="AI72" s="17">
        <v>4503.96</v>
      </c>
      <c r="AJ72" s="17">
        <v>5004.3999999999996</v>
      </c>
      <c r="AK72" s="17">
        <v>5504.84</v>
      </c>
      <c r="AL72" s="18">
        <v>1732</v>
      </c>
      <c r="AM72" s="17">
        <v>1732</v>
      </c>
      <c r="AN72" s="30">
        <v>1212.3999999999999</v>
      </c>
      <c r="AO72" s="15">
        <v>1049</v>
      </c>
      <c r="AP72" s="17">
        <v>1049</v>
      </c>
      <c r="AQ72" s="44">
        <v>1200</v>
      </c>
      <c r="AR72" s="18">
        <v>5175</v>
      </c>
      <c r="AS72" s="10" t="s">
        <v>122</v>
      </c>
    </row>
    <row r="73" spans="1:46" ht="13.5" thickBot="1" x14ac:dyDescent="0.25">
      <c r="A73" s="49" t="s">
        <v>124</v>
      </c>
      <c r="B73" s="49" t="s">
        <v>125</v>
      </c>
      <c r="C73" s="50">
        <v>11844</v>
      </c>
      <c r="D73" s="50">
        <v>11280</v>
      </c>
      <c r="E73" s="50">
        <v>12408</v>
      </c>
      <c r="F73" s="50">
        <v>15792</v>
      </c>
      <c r="G73" s="50">
        <v>14100</v>
      </c>
      <c r="H73" s="50">
        <v>12408</v>
      </c>
      <c r="I73" s="50">
        <v>10716</v>
      </c>
      <c r="J73" s="50">
        <v>9588</v>
      </c>
      <c r="K73" s="50">
        <v>11280</v>
      </c>
      <c r="L73" s="50">
        <v>8460</v>
      </c>
      <c r="M73" s="50">
        <v>9588</v>
      </c>
      <c r="N73" s="50">
        <v>10716</v>
      </c>
      <c r="O73" s="50">
        <v>9024</v>
      </c>
      <c r="P73" s="51">
        <v>9029</v>
      </c>
      <c r="Q73" s="50">
        <v>10152</v>
      </c>
      <c r="R73" s="50">
        <v>10716</v>
      </c>
      <c r="S73" s="50">
        <v>9588</v>
      </c>
      <c r="T73" s="50">
        <v>9588</v>
      </c>
      <c r="U73" s="51">
        <v>6851</v>
      </c>
      <c r="V73" s="50">
        <v>6448</v>
      </c>
      <c r="W73" s="50">
        <v>6045</v>
      </c>
      <c r="X73" s="50">
        <v>9029</v>
      </c>
      <c r="Y73" s="50">
        <v>6448</v>
      </c>
      <c r="Z73" s="52">
        <v>6011</v>
      </c>
      <c r="AA73" s="53">
        <v>5582</v>
      </c>
      <c r="AB73" s="53">
        <v>4723</v>
      </c>
      <c r="AC73" s="53">
        <v>4722.96</v>
      </c>
      <c r="AD73" s="53">
        <v>5152.32</v>
      </c>
      <c r="AE73" s="53">
        <v>4293.6000000000004</v>
      </c>
      <c r="AF73" s="54">
        <v>6022</v>
      </c>
      <c r="AG73" s="55">
        <v>6624.2000000000007</v>
      </c>
      <c r="AH73" s="56">
        <v>7226.4000000000005</v>
      </c>
      <c r="AI73" s="55">
        <v>6624.2000000000007</v>
      </c>
      <c r="AJ73" s="55">
        <v>5419.8</v>
      </c>
      <c r="AK73" s="57">
        <v>6276</v>
      </c>
      <c r="AL73" s="55">
        <v>5705.5</v>
      </c>
      <c r="AM73" s="55">
        <v>5705.5</v>
      </c>
      <c r="AN73" s="55">
        <v>6846.5999999999995</v>
      </c>
      <c r="AO73" s="54">
        <v>4769</v>
      </c>
      <c r="AP73" s="55">
        <v>4769</v>
      </c>
      <c r="AQ73" s="57">
        <v>2078</v>
      </c>
      <c r="AR73" s="55">
        <f>(2078/10)*8</f>
        <v>1662.4</v>
      </c>
      <c r="AS73" s="49" t="s">
        <v>124</v>
      </c>
    </row>
    <row r="74" spans="1:46" ht="13.5" thickTop="1" x14ac:dyDescent="0.2">
      <c r="A74" s="47" t="s">
        <v>169</v>
      </c>
      <c r="B74" s="48"/>
      <c r="C74" s="48">
        <f t="shared" ref="C74:J74" si="0">SUM(C4:C73)/1000</f>
        <v>1754.0150000000001</v>
      </c>
      <c r="D74" s="48">
        <f t="shared" si="0"/>
        <v>1758.441</v>
      </c>
      <c r="E74" s="48">
        <f t="shared" si="0"/>
        <v>1823.7850000000001</v>
      </c>
      <c r="F74" s="48">
        <f t="shared" si="0"/>
        <v>1751.6469999999999</v>
      </c>
      <c r="G74" s="48">
        <f t="shared" si="0"/>
        <v>1622.6</v>
      </c>
      <c r="H74" s="48">
        <f t="shared" si="0"/>
        <v>1623.9860000000001</v>
      </c>
      <c r="I74" s="48">
        <f t="shared" si="0"/>
        <v>1763.491</v>
      </c>
      <c r="J74" s="48">
        <f t="shared" si="0"/>
        <v>1765.4010000000001</v>
      </c>
      <c r="K74" s="48">
        <f t="shared" ref="K74:R74" si="1">SUM(K4:K73)/1000</f>
        <v>1793.9929999999999</v>
      </c>
      <c r="L74" s="48">
        <f t="shared" si="1"/>
        <v>1950.18</v>
      </c>
      <c r="M74" s="48">
        <f t="shared" si="1"/>
        <v>1984.0409999999999</v>
      </c>
      <c r="N74" s="48">
        <f t="shared" si="1"/>
        <v>1962.88</v>
      </c>
      <c r="O74" s="48">
        <f t="shared" si="1"/>
        <v>1932.62</v>
      </c>
      <c r="P74" s="48">
        <f t="shared" si="1"/>
        <v>1878.7529999999999</v>
      </c>
      <c r="Q74" s="48">
        <f t="shared" si="1"/>
        <v>1885.3113000000001</v>
      </c>
      <c r="R74" s="48">
        <f t="shared" si="1"/>
        <v>1813.3109999999999</v>
      </c>
      <c r="S74" s="48">
        <f t="shared" ref="S74" si="2">SUM(S4:S73)/1000</f>
        <v>1891.002</v>
      </c>
      <c r="T74" s="48">
        <f t="shared" ref="T74" si="3">SUM(T4:T73)/1000</f>
        <v>1890.8710000000001</v>
      </c>
      <c r="U74" s="48">
        <f t="shared" ref="U74" si="4">SUM(U4:U73)/1000</f>
        <v>1803.191</v>
      </c>
      <c r="V74" s="48">
        <f t="shared" ref="V74" si="5">SUM(V4:V73)/1000</f>
        <v>1858.729</v>
      </c>
      <c r="W74" s="48">
        <f t="shared" ref="W74" si="6">SUM(W4:W73)/1000</f>
        <v>1924.538</v>
      </c>
      <c r="X74" s="48">
        <f t="shared" ref="X74" si="7">SUM(X4:X73)/1000</f>
        <v>1874.2577246904164</v>
      </c>
      <c r="Y74" s="48">
        <f t="shared" ref="Y74" si="8">SUM(Y4:Y73)/1000</f>
        <v>2031.4723040298913</v>
      </c>
      <c r="Z74" s="48">
        <f t="shared" ref="Z74" si="9">SUM(Z4:Z73)/1000</f>
        <v>1964.8303496932424</v>
      </c>
      <c r="AA74" s="48">
        <f t="shared" ref="AA74" si="10">SUM(AA4:AA73)/1000</f>
        <v>1936.941</v>
      </c>
      <c r="AB74" s="48">
        <f t="shared" ref="AB74" si="11">SUM(AB4:AB73)/1000</f>
        <v>1847.8975800000001</v>
      </c>
      <c r="AC74" s="48">
        <f t="shared" ref="AC74" si="12">SUM(AC4:AC73)/1000</f>
        <v>1856.4867000000004</v>
      </c>
      <c r="AD74" s="48">
        <f t="shared" ref="AD74" si="13">SUM(AD4:AD73)/1000</f>
        <v>1800.4375099999993</v>
      </c>
      <c r="AE74" s="48">
        <f t="shared" ref="AE74" si="14">SUM(AE4:AE73)/1000</f>
        <v>1756.8584599999992</v>
      </c>
      <c r="AF74" s="48">
        <f t="shared" ref="AF74" si="15">SUM(AF4:AF73)/1000</f>
        <v>1711.9052900000002</v>
      </c>
      <c r="AG74" s="48">
        <f t="shared" ref="AG74" si="16">SUM(AG4:AG73)/1000</f>
        <v>1670.484295</v>
      </c>
      <c r="AH74" s="48">
        <f t="shared" ref="AH74" si="17">SUM(AH4:AH73)/1000</f>
        <v>1522.5471399999999</v>
      </c>
      <c r="AI74" s="48">
        <f t="shared" ref="AI74" si="18">SUM(AI4:AI73)/1000</f>
        <v>1475.4822149999998</v>
      </c>
      <c r="AJ74" s="48">
        <f t="shared" ref="AJ74" si="19">SUM(AJ4:AJ73)/1000</f>
        <v>1384.6271699999998</v>
      </c>
      <c r="AK74" s="48">
        <f t="shared" ref="AK74" si="20">SUM(AK4:AK73)/1000</f>
        <v>1356.3399400000001</v>
      </c>
      <c r="AL74" s="48">
        <f t="shared" ref="AL74" si="21">SUM(AL4:AL73)/1000</f>
        <v>1326.605</v>
      </c>
      <c r="AM74" s="48">
        <f t="shared" ref="AM74" si="22">SUM(AM4:AM73)/1000</f>
        <v>1258.0271200000002</v>
      </c>
      <c r="AN74" s="48">
        <f>SUM(AN4:AN73)/1000</f>
        <v>1257.5532619669984</v>
      </c>
      <c r="AO74" s="48">
        <f>SUM(AO4:AO73)/1000</f>
        <v>1209.3099112298935</v>
      </c>
      <c r="AP74" s="48">
        <f>SUM(AP4:AP73)/1000</f>
        <v>1259.991</v>
      </c>
      <c r="AQ74" s="48">
        <f>SUM(AQ4:AQ73)/1000</f>
        <v>1293.8430000000001</v>
      </c>
      <c r="AR74" s="48">
        <f>SUM(AR4:AR9,AR11:AR73)/1000</f>
        <v>1454.7939294139956</v>
      </c>
      <c r="AS74" s="48"/>
    </row>
    <row r="75" spans="1:46" ht="13.5" x14ac:dyDescent="0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39"/>
      <c r="AR75" s="39"/>
      <c r="AS75" s="6"/>
    </row>
    <row r="76" spans="1:46" x14ac:dyDescent="0.2">
      <c r="A76" s="7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0"/>
      <c r="AR76" s="40"/>
    </row>
    <row r="78" spans="1:46" x14ac:dyDescent="0.2">
      <c r="B78" s="2"/>
      <c r="AS78" s="1"/>
    </row>
    <row r="79" spans="1:46" x14ac:dyDescent="0.2">
      <c r="B79" s="2"/>
    </row>
  </sheetData>
  <mergeCells count="2">
    <mergeCell ref="A1:AS1"/>
    <mergeCell ref="A2:AS2"/>
  </mergeCells>
  <phoneticPr fontId="3" type="noConversion"/>
  <pageMargins left="0.75" right="0.75" top="1" bottom="1" header="0.5" footer="0.5"/>
  <pageSetup paperSize="17" scale="42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Operations</vt:lpstr>
      <vt:lpstr>Operations!Print_Area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Data</dc:title>
  <dc:creator>INDOT Aeronautics</dc:creator>
  <cp:lastModifiedBy>Courtade, Julian</cp:lastModifiedBy>
  <cp:lastPrinted>2017-04-04T16:57:13Z</cp:lastPrinted>
  <dcterms:created xsi:type="dcterms:W3CDTF">2001-04-24T14:30:11Z</dcterms:created>
  <dcterms:modified xsi:type="dcterms:W3CDTF">2020-04-09T18:28:11Z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1506570301</vt:i4>
  </property>
  <property fmtid="{D5CDD505-2E9C-101B-9397-08002B2CF9AE}" pid="3" name="_EmailSubject">
    <vt:lpwstr>Ops and Traffic Counts</vt:lpwstr>
  </property>
  <property fmtid="{D5CDD505-2E9C-101B-9397-08002B2CF9AE}" pid="4" name="_AuthorEmail">
    <vt:lpwstr>JGKEEFER@indot.state.in.us</vt:lpwstr>
  </property>
  <property fmtid="{D5CDD505-2E9C-101B-9397-08002B2CF9AE}" pid="5" name="_AuthorEmailDisplayName">
    <vt:lpwstr>KEEFER, JIM G. (IT)</vt:lpwstr>
  </property>
  <property fmtid="{D5CDD505-2E9C-101B-9397-08002B2CF9AE}" pid="6" name="_PreviousAdHocReviewCycleID">
    <vt:i4>535254299</vt:i4>
  </property>
  <property fmtid="{D5CDD505-2E9C-101B-9397-08002B2CF9AE}" pid="7" name="_ReviewingToolsShownOnce">
    <vt:lpwstr/>
  </property>
</Properties>
</file>