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ingov-my.sharepoint.com/personal/aschwinghamer_indot_in_gov/Documents/Desktop/Templates/Storm drains and inlets/Median Inlet Barrier wall/calculations/"/>
    </mc:Choice>
  </mc:AlternateContent>
  <xr:revisionPtr revIDLastSave="732" documentId="8_{7967F855-1FAE-4984-98C7-6345BBC5C876}" xr6:coauthVersionLast="47" xr6:coauthVersionMax="47" xr10:uidLastSave="{4FF2767C-DD91-4712-A799-C296BCB203F9}"/>
  <bookViews>
    <workbookView xWindow="28680" yWindow="-120" windowWidth="29040" windowHeight="17520" activeTab="1" xr2:uid="{00000000-000D-0000-FFFF-FFFF00000000}"/>
  </bookViews>
  <sheets>
    <sheet name="Instructions" sheetId="5" r:id="rId1"/>
    <sheet name="Computations" sheetId="1" r:id="rId2"/>
    <sheet name="INDOT Table" sheetId="2" r:id="rId3"/>
    <sheet name="Lookup Tables" sheetId="3"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8" i="1" l="1" a="1"/>
  <c r="U18" i="1" s="1"/>
  <c r="U19" i="1" a="1"/>
  <c r="U19" i="1" s="1"/>
  <c r="U20" i="1" a="1"/>
  <c r="U20" i="1" s="1"/>
  <c r="U21" i="1" a="1"/>
  <c r="U21" i="1"/>
  <c r="U22" i="1" a="1"/>
  <c r="U22" i="1"/>
  <c r="U23" i="1" a="1"/>
  <c r="U23" i="1"/>
  <c r="U24" i="1" a="1"/>
  <c r="U24" i="1" s="1"/>
  <c r="U25" i="1" a="1"/>
  <c r="U25" i="1" s="1"/>
  <c r="U26" i="1" a="1"/>
  <c r="U26" i="1" s="1"/>
  <c r="U27" i="1" a="1"/>
  <c r="U27" i="1"/>
  <c r="U28" i="1" a="1"/>
  <c r="U28" i="1" s="1"/>
  <c r="U29" i="1" a="1"/>
  <c r="U29" i="1" s="1"/>
  <c r="U30" i="1" a="1"/>
  <c r="U30" i="1" s="1"/>
  <c r="U31" i="1" a="1"/>
  <c r="U31" i="1"/>
  <c r="U32" i="1" a="1"/>
  <c r="U32" i="1" s="1"/>
  <c r="U33" i="1" a="1"/>
  <c r="U33" i="1"/>
  <c r="U34" i="1" a="1"/>
  <c r="U34" i="1"/>
  <c r="U35" i="1" a="1"/>
  <c r="U35" i="1"/>
  <c r="U36" i="1" a="1"/>
  <c r="U36" i="1"/>
  <c r="U17" i="1" a="1"/>
  <c r="U17" i="1" s="1"/>
  <c r="T22" i="1"/>
  <c r="T24" i="1"/>
  <c r="BQ35" i="1"/>
  <c r="BQ36" i="1"/>
  <c r="BN20" i="1"/>
  <c r="BN18" i="1"/>
  <c r="BN19" i="1"/>
  <c r="BN21" i="1"/>
  <c r="BN22" i="1"/>
  <c r="BN23" i="1"/>
  <c r="BN24" i="1"/>
  <c r="BN25" i="1"/>
  <c r="BN26" i="1"/>
  <c r="BN27" i="1"/>
  <c r="BN28" i="1"/>
  <c r="BN29" i="1"/>
  <c r="BN30" i="1"/>
  <c r="BN31" i="1"/>
  <c r="BN32" i="1"/>
  <c r="BN33" i="1"/>
  <c r="BN34" i="1"/>
  <c r="BN35" i="1"/>
  <c r="BN36" i="1"/>
  <c r="BN17" i="1"/>
  <c r="BK18" i="1"/>
  <c r="BK19" i="1"/>
  <c r="BK20" i="1"/>
  <c r="BK21" i="1"/>
  <c r="BK22" i="1"/>
  <c r="BK23" i="1"/>
  <c r="BK24" i="1"/>
  <c r="BK25" i="1"/>
  <c r="BK26" i="1"/>
  <c r="BK27" i="1"/>
  <c r="BK28" i="1"/>
  <c r="BK29" i="1"/>
  <c r="BK30" i="1"/>
  <c r="BK31" i="1"/>
  <c r="BK32" i="1"/>
  <c r="BK33" i="1"/>
  <c r="BK34" i="1"/>
  <c r="BK35" i="1"/>
  <c r="BK36" i="1"/>
  <c r="BK17" i="1"/>
  <c r="BS17" i="1"/>
  <c r="BS24" i="1"/>
  <c r="BS25" i="1"/>
  <c r="BS26" i="1"/>
  <c r="BS27" i="1"/>
  <c r="BS28" i="1"/>
  <c r="BS29" i="1"/>
  <c r="BS32" i="1"/>
  <c r="BS33" i="1"/>
  <c r="BS34" i="1"/>
  <c r="BS35" i="1"/>
  <c r="BS36" i="1"/>
  <c r="BO17" i="1"/>
  <c r="BQ17" i="1" s="1"/>
  <c r="BO18" i="1"/>
  <c r="BQ18" i="1" s="1"/>
  <c r="BO19" i="1"/>
  <c r="BO20" i="1"/>
  <c r="BQ20" i="1" s="1"/>
  <c r="BO21" i="1"/>
  <c r="BO22" i="1"/>
  <c r="BQ22" i="1" s="1"/>
  <c r="BO23" i="1"/>
  <c r="BQ23" i="1" s="1"/>
  <c r="BO24" i="1"/>
  <c r="BQ24" i="1" s="1"/>
  <c r="BO25" i="1"/>
  <c r="BQ25" i="1" s="1"/>
  <c r="BO26" i="1"/>
  <c r="BQ26" i="1" s="1"/>
  <c r="BO27" i="1"/>
  <c r="BQ27" i="1" s="1"/>
  <c r="BO28" i="1"/>
  <c r="BQ28" i="1" s="1"/>
  <c r="BO29" i="1"/>
  <c r="BO30" i="1"/>
  <c r="BQ30" i="1" s="1"/>
  <c r="BO31" i="1"/>
  <c r="BQ31" i="1" s="1"/>
  <c r="BO32" i="1"/>
  <c r="BO33" i="1"/>
  <c r="BQ33" i="1" s="1"/>
  <c r="BO34" i="1"/>
  <c r="BQ34" i="1" s="1"/>
  <c r="BO35" i="1"/>
  <c r="BO36" i="1"/>
  <c r="BL18" i="1"/>
  <c r="BL19" i="1"/>
  <c r="BL20" i="1"/>
  <c r="BL21" i="1"/>
  <c r="BL22" i="1"/>
  <c r="BL23" i="1"/>
  <c r="BL24" i="1"/>
  <c r="BL25" i="1"/>
  <c r="BL26" i="1"/>
  <c r="BL27" i="1"/>
  <c r="BL28" i="1"/>
  <c r="BL29" i="1"/>
  <c r="BL30" i="1"/>
  <c r="BL31" i="1"/>
  <c r="BL32" i="1"/>
  <c r="BL33" i="1"/>
  <c r="BL34" i="1"/>
  <c r="BL35" i="1"/>
  <c r="BL36" i="1"/>
  <c r="BL17" i="1"/>
  <c r="BT35" i="1" l="1"/>
  <c r="BT27" i="1"/>
  <c r="BT26" i="1"/>
  <c r="BT36" i="1"/>
  <c r="BT34" i="1"/>
  <c r="BT25" i="1"/>
  <c r="BT24" i="1"/>
  <c r="BT33" i="1"/>
  <c r="BT32" i="1"/>
  <c r="BT29" i="1"/>
  <c r="BT28" i="1"/>
  <c r="BT17" i="1"/>
  <c r="J33" i="3" l="1"/>
  <c r="I33" i="3"/>
  <c r="G33" i="3"/>
  <c r="J32" i="3"/>
  <c r="I32" i="3"/>
  <c r="G32" i="3"/>
  <c r="J31" i="3"/>
  <c r="I31" i="3"/>
  <c r="G31" i="3"/>
  <c r="J30" i="3"/>
  <c r="I30" i="3"/>
  <c r="G30" i="3"/>
  <c r="J29" i="3"/>
  <c r="I29" i="3"/>
  <c r="G29" i="3"/>
  <c r="J28" i="3"/>
  <c r="I28" i="3"/>
  <c r="G28" i="3"/>
  <c r="J27" i="3"/>
  <c r="I27" i="3"/>
  <c r="G27" i="3"/>
  <c r="J26" i="3"/>
  <c r="I26" i="3"/>
  <c r="G26" i="3"/>
  <c r="J25" i="3"/>
  <c r="I25" i="3"/>
  <c r="G25" i="3"/>
  <c r="BH18" i="1" l="1"/>
  <c r="BH19" i="1"/>
  <c r="BH20" i="1"/>
  <c r="BH21" i="1"/>
  <c r="BH22" i="1"/>
  <c r="BH23" i="1"/>
  <c r="BH24" i="1"/>
  <c r="BH25" i="1"/>
  <c r="BH26" i="1"/>
  <c r="BH27" i="1"/>
  <c r="BH28" i="1"/>
  <c r="BH29" i="1"/>
  <c r="BH30" i="1"/>
  <c r="BH31" i="1"/>
  <c r="BH32" i="1"/>
  <c r="BH33" i="1"/>
  <c r="BH34" i="1"/>
  <c r="BH35" i="1"/>
  <c r="BH36" i="1"/>
  <c r="BH17" i="1"/>
  <c r="BD17" i="1" l="1"/>
  <c r="BC17" i="1"/>
  <c r="BB17" i="1"/>
  <c r="BC18" i="1" l="1"/>
  <c r="BC19" i="1"/>
  <c r="BC20" i="1"/>
  <c r="BC21" i="1"/>
  <c r="BC22" i="1"/>
  <c r="BC23" i="1"/>
  <c r="BC24" i="1"/>
  <c r="BC25" i="1"/>
  <c r="BC26" i="1"/>
  <c r="BC27" i="1"/>
  <c r="BC28" i="1"/>
  <c r="BC29" i="1"/>
  <c r="BC30" i="1"/>
  <c r="BC31" i="1"/>
  <c r="BC32" i="1"/>
  <c r="BC33" i="1"/>
  <c r="BC34" i="1"/>
  <c r="BC35" i="1"/>
  <c r="BC36" i="1"/>
  <c r="BD18" i="1" l="1"/>
  <c r="BD19" i="1"/>
  <c r="BD20" i="1"/>
  <c r="BD21" i="1"/>
  <c r="BD22" i="1"/>
  <c r="BD23" i="1"/>
  <c r="BD24" i="1"/>
  <c r="BD25" i="1"/>
  <c r="BD26" i="1"/>
  <c r="BD27" i="1"/>
  <c r="BD28" i="1"/>
  <c r="BD29" i="1"/>
  <c r="BD30" i="1"/>
  <c r="BD31" i="1"/>
  <c r="BD32" i="1"/>
  <c r="BD33" i="1"/>
  <c r="BD34" i="1"/>
  <c r="BD35" i="1"/>
  <c r="BD36" i="1"/>
  <c r="BB18" i="1"/>
  <c r="BB19" i="1"/>
  <c r="BB20" i="1"/>
  <c r="BB21" i="1"/>
  <c r="BB22" i="1"/>
  <c r="BB23" i="1"/>
  <c r="BB24" i="1"/>
  <c r="BB25" i="1"/>
  <c r="BB26" i="1"/>
  <c r="BB27" i="1"/>
  <c r="BB28" i="1"/>
  <c r="BB29" i="1"/>
  <c r="BB30" i="1"/>
  <c r="BB31" i="1"/>
  <c r="BB32" i="1"/>
  <c r="BB33" i="1"/>
  <c r="BB34" i="1"/>
  <c r="BB35" i="1"/>
  <c r="BB36" i="1"/>
  <c r="AN17" i="1"/>
  <c r="AY18" i="1" l="1"/>
  <c r="AY19" i="1"/>
  <c r="AY20" i="1"/>
  <c r="AY21" i="1"/>
  <c r="AY22" i="1"/>
  <c r="AY23" i="1"/>
  <c r="AY24" i="1"/>
  <c r="AY25" i="1"/>
  <c r="AY26" i="1"/>
  <c r="AY27" i="1"/>
  <c r="AY28" i="1"/>
  <c r="AY29" i="1"/>
  <c r="AY30" i="1"/>
  <c r="AY31" i="1"/>
  <c r="AY32" i="1"/>
  <c r="AY33" i="1"/>
  <c r="AY34" i="1"/>
  <c r="AY35" i="1"/>
  <c r="AY36" i="1"/>
  <c r="AY17" i="1"/>
  <c r="AB18" i="1"/>
  <c r="AB19" i="1"/>
  <c r="AB20" i="1"/>
  <c r="AB21" i="1"/>
  <c r="AB22" i="1"/>
  <c r="AB23" i="1"/>
  <c r="AB24" i="1"/>
  <c r="AB25" i="1"/>
  <c r="AB26" i="1"/>
  <c r="AB27" i="1"/>
  <c r="AB28" i="1"/>
  <c r="AB29" i="1"/>
  <c r="AB30" i="1"/>
  <c r="AB31" i="1"/>
  <c r="AB32" i="1"/>
  <c r="AB33" i="1"/>
  <c r="AB34" i="1"/>
  <c r="AB35" i="1"/>
  <c r="AB36" i="1"/>
  <c r="AB17" i="1"/>
  <c r="AA18" i="1"/>
  <c r="BM18" i="1" s="1"/>
  <c r="AA19" i="1"/>
  <c r="AA20" i="1"/>
  <c r="BM20" i="1" s="1"/>
  <c r="AA21" i="1"/>
  <c r="BQ21" i="1" s="1"/>
  <c r="AA22" i="1"/>
  <c r="BM22" i="1" s="1"/>
  <c r="AA23" i="1"/>
  <c r="BM23" i="1" s="1"/>
  <c r="AA24" i="1"/>
  <c r="BM24" i="1" s="1"/>
  <c r="AA25" i="1"/>
  <c r="BM25" i="1" s="1"/>
  <c r="AA26" i="1"/>
  <c r="BM26" i="1" s="1"/>
  <c r="AA27" i="1"/>
  <c r="BM27" i="1" s="1"/>
  <c r="AA28" i="1"/>
  <c r="BM28" i="1" s="1"/>
  <c r="AA29" i="1"/>
  <c r="AA30" i="1"/>
  <c r="BM30" i="1" s="1"/>
  <c r="AA31" i="1"/>
  <c r="BM31" i="1" s="1"/>
  <c r="AA32" i="1"/>
  <c r="AA33" i="1"/>
  <c r="BM33" i="1" s="1"/>
  <c r="AA34" i="1"/>
  <c r="BM34" i="1" s="1"/>
  <c r="AA35" i="1"/>
  <c r="BM35" i="1" s="1"/>
  <c r="AA36" i="1"/>
  <c r="BM36" i="1" s="1"/>
  <c r="AA17" i="1"/>
  <c r="BM17" i="1" s="1"/>
  <c r="Z18" i="1"/>
  <c r="Z19" i="1"/>
  <c r="Z20" i="1"/>
  <c r="Z21" i="1"/>
  <c r="Z22" i="1"/>
  <c r="Z23" i="1"/>
  <c r="Z24" i="1"/>
  <c r="Z25" i="1"/>
  <c r="Z26" i="1"/>
  <c r="Z27" i="1"/>
  <c r="Z28" i="1"/>
  <c r="Z29" i="1"/>
  <c r="Z30" i="1"/>
  <c r="Z31" i="1"/>
  <c r="Z32" i="1"/>
  <c r="Z33" i="1"/>
  <c r="Z34" i="1"/>
  <c r="Z35" i="1"/>
  <c r="Z36" i="1"/>
  <c r="Z17" i="1"/>
  <c r="AN18" i="1"/>
  <c r="BM19" i="1" l="1"/>
  <c r="BQ19" i="1"/>
  <c r="BM29" i="1"/>
  <c r="BQ29" i="1"/>
  <c r="BM32" i="1"/>
  <c r="BQ32" i="1"/>
  <c r="BM21" i="1"/>
  <c r="C27" i="3"/>
  <c r="C28" i="3"/>
  <c r="C32" i="3" l="1"/>
  <c r="T17" i="1" l="1"/>
  <c r="D9" i="3" l="1"/>
  <c r="F33" i="2" l="1"/>
  <c r="F32" i="2"/>
  <c r="F31" i="2"/>
  <c r="F30" i="2"/>
  <c r="F29" i="2"/>
  <c r="F28" i="2"/>
  <c r="F27" i="2"/>
  <c r="E33" i="2"/>
  <c r="E32" i="2"/>
  <c r="E31" i="2"/>
  <c r="E30" i="2"/>
  <c r="E29" i="2"/>
  <c r="E28" i="2"/>
  <c r="E27" i="2"/>
  <c r="E26" i="2"/>
  <c r="E25" i="2"/>
  <c r="E24" i="2"/>
  <c r="E23" i="2"/>
  <c r="E22" i="2"/>
  <c r="E21" i="2"/>
  <c r="E20" i="2"/>
  <c r="E19" i="2"/>
  <c r="E18" i="2"/>
  <c r="E17" i="2"/>
  <c r="E16" i="2"/>
  <c r="E15" i="2"/>
  <c r="E14" i="2"/>
  <c r="T36" i="1"/>
  <c r="T35" i="1"/>
  <c r="T34" i="1"/>
  <c r="T33" i="1"/>
  <c r="T32" i="1"/>
  <c r="T31" i="1"/>
  <c r="T30" i="1"/>
  <c r="T29" i="1"/>
  <c r="T28" i="1"/>
  <c r="T27" i="1"/>
  <c r="T26" i="1"/>
  <c r="T25" i="1"/>
  <c r="T23" i="1"/>
  <c r="T21" i="1"/>
  <c r="T20" i="1"/>
  <c r="T19" i="1"/>
  <c r="T18" i="1"/>
  <c r="S36" i="1"/>
  <c r="D33" i="2" s="1"/>
  <c r="S35" i="1"/>
  <c r="D32" i="2" s="1"/>
  <c r="S34" i="1"/>
  <c r="D31" i="2" s="1"/>
  <c r="S33" i="1"/>
  <c r="D30" i="2" s="1"/>
  <c r="S32" i="1"/>
  <c r="D29" i="2" s="1"/>
  <c r="S31" i="1"/>
  <c r="D28" i="2" s="1"/>
  <c r="S30" i="1"/>
  <c r="D27" i="2" s="1"/>
  <c r="S29" i="1"/>
  <c r="S28" i="1"/>
  <c r="S27" i="1"/>
  <c r="S26" i="1"/>
  <c r="S25" i="1"/>
  <c r="S24" i="1"/>
  <c r="S23" i="1"/>
  <c r="S22" i="1"/>
  <c r="S21" i="1"/>
  <c r="S20" i="1"/>
  <c r="S19" i="1"/>
  <c r="S18" i="1"/>
  <c r="D17" i="3"/>
  <c r="D16" i="3"/>
  <c r="D14" i="3"/>
  <c r="D13" i="3"/>
  <c r="D10" i="3"/>
  <c r="D21" i="2" l="1"/>
  <c r="D20" i="2"/>
  <c r="F25" i="2"/>
  <c r="F24" i="2"/>
  <c r="F26" i="2"/>
  <c r="D22" i="2"/>
  <c r="D26" i="2"/>
  <c r="D24" i="2"/>
  <c r="D25" i="2"/>
  <c r="D19" i="2"/>
  <c r="D17" i="2"/>
  <c r="D15" i="2"/>
  <c r="D23" i="2"/>
  <c r="F23" i="2"/>
  <c r="F22" i="2"/>
  <c r="F21" i="2"/>
  <c r="F20" i="2"/>
  <c r="F19" i="2"/>
  <c r="F18" i="2"/>
  <c r="D18" i="2"/>
  <c r="F17" i="2"/>
  <c r="D16" i="2"/>
  <c r="F16" i="2"/>
  <c r="F15" i="2"/>
  <c r="F14" i="2"/>
  <c r="S17" i="1" l="1"/>
  <c r="D14" i="2" s="1"/>
  <c r="C33" i="2" l="1"/>
  <c r="C32" i="2"/>
  <c r="C31" i="2"/>
  <c r="C30" i="2"/>
  <c r="C29" i="2"/>
  <c r="C28" i="2"/>
  <c r="C27" i="2"/>
  <c r="C26" i="2"/>
  <c r="C25" i="2"/>
  <c r="C24" i="2"/>
  <c r="C23" i="2"/>
  <c r="C22" i="2"/>
  <c r="C21" i="2"/>
  <c r="C14" i="2" l="1"/>
  <c r="C15" i="2"/>
  <c r="C16" i="2"/>
  <c r="C17" i="2"/>
  <c r="C18" i="2"/>
  <c r="C19" i="2"/>
  <c r="C20" i="2"/>
  <c r="R33" i="2"/>
  <c r="R32" i="2"/>
  <c r="R31" i="2"/>
  <c r="Q33" i="2"/>
  <c r="Q32" i="2"/>
  <c r="Q31" i="2"/>
  <c r="P33" i="2"/>
  <c r="P32" i="2"/>
  <c r="P31" i="2"/>
  <c r="P30" i="2"/>
  <c r="P29" i="2"/>
  <c r="P28" i="2"/>
  <c r="P27" i="2"/>
  <c r="P26" i="2"/>
  <c r="P25" i="2"/>
  <c r="P24" i="2"/>
  <c r="P23" i="2"/>
  <c r="P22" i="2"/>
  <c r="P21" i="2"/>
  <c r="P20" i="2"/>
  <c r="P19" i="2"/>
  <c r="P18" i="2"/>
  <c r="P17" i="2"/>
  <c r="P16" i="2"/>
  <c r="P15" i="2"/>
  <c r="P14" i="2"/>
  <c r="O33" i="2"/>
  <c r="O32" i="2"/>
  <c r="O31" i="2"/>
  <c r="O24" i="2"/>
  <c r="N33" i="2"/>
  <c r="N32" i="2"/>
  <c r="N31" i="2"/>
  <c r="N24" i="2"/>
  <c r="N23" i="2"/>
  <c r="M33" i="2"/>
  <c r="M32" i="2"/>
  <c r="M31" i="2"/>
  <c r="M30" i="2"/>
  <c r="M29" i="2"/>
  <c r="M28" i="2"/>
  <c r="M27" i="2"/>
  <c r="M26" i="2"/>
  <c r="M25" i="2"/>
  <c r="M24" i="2"/>
  <c r="M23" i="2"/>
  <c r="M22" i="2"/>
  <c r="M21" i="2"/>
  <c r="M20" i="2"/>
  <c r="M19" i="2"/>
  <c r="M18" i="2"/>
  <c r="M17" i="2"/>
  <c r="M16" i="2"/>
  <c r="M15" i="2"/>
  <c r="M14" i="2"/>
  <c r="L33" i="2"/>
  <c r="L32" i="2"/>
  <c r="L31" i="2"/>
  <c r="L30" i="2"/>
  <c r="L24" i="2"/>
  <c r="L23" i="2"/>
  <c r="H14" i="2"/>
  <c r="I33" i="2"/>
  <c r="I32" i="2"/>
  <c r="I31" i="2"/>
  <c r="I30" i="2"/>
  <c r="I29" i="2"/>
  <c r="I28" i="2"/>
  <c r="I27" i="2"/>
  <c r="I26" i="2"/>
  <c r="I25" i="2"/>
  <c r="I24" i="2"/>
  <c r="I23" i="2"/>
  <c r="I22" i="2"/>
  <c r="I21" i="2"/>
  <c r="I20" i="2"/>
  <c r="I19" i="2"/>
  <c r="I18" i="2"/>
  <c r="I17" i="2"/>
  <c r="I16" i="2"/>
  <c r="I15" i="2"/>
  <c r="I14" i="2"/>
  <c r="H33" i="2"/>
  <c r="G33" i="2"/>
  <c r="H32" i="2"/>
  <c r="G32" i="2"/>
  <c r="H31" i="2"/>
  <c r="G31" i="2"/>
  <c r="H30" i="2"/>
  <c r="G30" i="2"/>
  <c r="H29" i="2"/>
  <c r="H28" i="2"/>
  <c r="H27" i="2"/>
  <c r="H26" i="2"/>
  <c r="H25" i="2"/>
  <c r="H24" i="2"/>
  <c r="H23" i="2"/>
  <c r="H22" i="2"/>
  <c r="H21" i="2"/>
  <c r="H20" i="2"/>
  <c r="H19" i="2"/>
  <c r="H18" i="2"/>
  <c r="H17" i="2"/>
  <c r="H16" i="2"/>
  <c r="H15" i="2"/>
  <c r="K6" i="2"/>
  <c r="R3" i="2"/>
  <c r="R2" i="2"/>
  <c r="N2" i="2"/>
  <c r="N1" i="2"/>
  <c r="I2" i="2"/>
  <c r="I1" i="2"/>
  <c r="B3" i="2"/>
  <c r="B2" i="2"/>
  <c r="C1" i="2"/>
  <c r="F6" i="2"/>
  <c r="B33" i="2"/>
  <c r="B32" i="2"/>
  <c r="B31" i="2"/>
  <c r="B30" i="2"/>
  <c r="B29" i="2"/>
  <c r="B28" i="2"/>
  <c r="B27" i="2"/>
  <c r="B26" i="2"/>
  <c r="B25" i="2"/>
  <c r="B24" i="2"/>
  <c r="B23" i="2"/>
  <c r="B22" i="2"/>
  <c r="B21" i="2"/>
  <c r="B20" i="2"/>
  <c r="B19" i="2"/>
  <c r="B18" i="2"/>
  <c r="B17" i="2"/>
  <c r="B16" i="2"/>
  <c r="B15" i="2"/>
  <c r="B14" i="2"/>
  <c r="A33" i="2"/>
  <c r="A32" i="2"/>
  <c r="A31" i="2"/>
  <c r="A30" i="2"/>
  <c r="A29" i="2"/>
  <c r="A28" i="2"/>
  <c r="A27" i="2"/>
  <c r="A26" i="2"/>
  <c r="A25" i="2"/>
  <c r="A24" i="2"/>
  <c r="A23" i="2"/>
  <c r="A22" i="2"/>
  <c r="A21" i="2"/>
  <c r="A20" i="2"/>
  <c r="A19" i="2"/>
  <c r="A18" i="2"/>
  <c r="A17" i="2"/>
  <c r="A16" i="2"/>
  <c r="A15" i="2"/>
  <c r="A14" i="2"/>
  <c r="AN35" i="1"/>
  <c r="AN36" i="1"/>
  <c r="AN19" i="1"/>
  <c r="AN20" i="1"/>
  <c r="AN21" i="1"/>
  <c r="AN22" i="1"/>
  <c r="AN23" i="1"/>
  <c r="AN24" i="1"/>
  <c r="AN25" i="1"/>
  <c r="AN26" i="1"/>
  <c r="AN27" i="1"/>
  <c r="AN28" i="1"/>
  <c r="AN29" i="1"/>
  <c r="AN30" i="1"/>
  <c r="AN31" i="1"/>
  <c r="AN32" i="1"/>
  <c r="AN33" i="1"/>
  <c r="AN34" i="1"/>
  <c r="K23" i="2" l="1"/>
  <c r="J23" i="2"/>
  <c r="K24" i="2"/>
  <c r="J24" i="2"/>
  <c r="J31" i="2"/>
  <c r="K31" i="2"/>
  <c r="J32" i="2"/>
  <c r="K32" i="2"/>
  <c r="J33" i="2"/>
  <c r="K33" i="2"/>
  <c r="O23" i="2"/>
  <c r="G23" i="2" l="1"/>
  <c r="Q23" i="2" l="1"/>
  <c r="R23" i="2" l="1"/>
  <c r="G24" i="2" l="1"/>
  <c r="Q24" i="2" l="1"/>
  <c r="R24" i="2" l="1"/>
  <c r="R30" i="2" l="1"/>
  <c r="K30" i="2" l="1"/>
  <c r="J30" i="2" l="1"/>
  <c r="BS22" i="1" l="1"/>
  <c r="BT22" i="1" l="1"/>
  <c r="J29" i="2" l="1"/>
  <c r="G29" i="2"/>
  <c r="L29" i="2" l="1"/>
  <c r="N29" i="2" l="1"/>
  <c r="O29" i="2" s="1"/>
  <c r="K29" i="2" l="1"/>
  <c r="BS20" i="1"/>
  <c r="BT20" i="1" s="1"/>
  <c r="J25" i="2" l="1"/>
  <c r="G25" i="2"/>
  <c r="L25" i="2" l="1"/>
  <c r="N25" i="2" l="1"/>
  <c r="O25" i="2" s="1"/>
  <c r="K25" i="2" l="1"/>
  <c r="Q25" i="2" l="1"/>
  <c r="R25" i="2" l="1"/>
  <c r="J26" i="2" l="1"/>
  <c r="G26" i="2" l="1"/>
  <c r="L26" i="2" l="1"/>
  <c r="N26" i="2" l="1"/>
  <c r="O26" i="2" s="1"/>
  <c r="K26" i="2" l="1"/>
  <c r="Q26" i="2" l="1"/>
  <c r="R26" i="2" l="1"/>
  <c r="G27" i="2" l="1"/>
  <c r="J27" i="2"/>
  <c r="L27" i="2" l="1"/>
  <c r="N27" i="2"/>
  <c r="O27" i="2" s="1"/>
  <c r="Q27" i="2" l="1"/>
  <c r="R27" i="2" l="1"/>
  <c r="K27" i="2"/>
  <c r="J28" i="2" l="1"/>
  <c r="G28" i="2" l="1"/>
  <c r="BS31" i="1" l="1"/>
  <c r="BT31" i="1" s="1"/>
  <c r="N28" i="2" l="1"/>
  <c r="O28" i="2" s="1"/>
  <c r="K28" i="2" l="1"/>
  <c r="BI17" i="1" l="1"/>
  <c r="J14" i="2" s="1"/>
  <c r="V17" i="1" l="1"/>
  <c r="X17" i="1" l="1"/>
  <c r="AX17" i="1"/>
  <c r="AZ17" i="1" s="1"/>
  <c r="BE17" i="1"/>
  <c r="BF17" i="1" s="1"/>
  <c r="Y17" i="1" s="1"/>
  <c r="BR17" i="1"/>
  <c r="G14" i="2"/>
  <c r="BP17" i="1"/>
  <c r="AT17" i="1" l="1"/>
  <c r="W17" i="1"/>
  <c r="AQ17" i="1"/>
  <c r="AU17" i="1"/>
  <c r="L14" i="2"/>
  <c r="AO17" i="1" l="1"/>
  <c r="AP17" i="1" s="1"/>
  <c r="AD17" i="1" s="1"/>
  <c r="N14" i="2"/>
  <c r="O14" i="2" s="1"/>
  <c r="AR17" i="1"/>
  <c r="AC17" i="1" s="1"/>
  <c r="AV17" i="1"/>
  <c r="AW17" i="1" s="1"/>
  <c r="AE17" i="1" l="1"/>
  <c r="AF17" i="1" s="1"/>
  <c r="AH17" i="1"/>
  <c r="K14" i="2"/>
  <c r="AG17" i="1"/>
  <c r="AI17" i="1" l="1"/>
  <c r="AJ17" i="1" s="1"/>
  <c r="Q14" i="2" l="1"/>
  <c r="AK17" i="1"/>
  <c r="BI28" i="1" l="1"/>
  <c r="V28" i="1" s="1"/>
  <c r="BI33" i="1"/>
  <c r="V33" i="1" s="1"/>
  <c r="BI32" i="1"/>
  <c r="V32" i="1" s="1"/>
  <c r="BI30" i="1"/>
  <c r="V30" i="1" s="1"/>
  <c r="BI25" i="1"/>
  <c r="BI26" i="1"/>
  <c r="V26" i="1" s="1"/>
  <c r="BI27" i="1"/>
  <c r="V27" i="1" s="1"/>
  <c r="BI34" i="1"/>
  <c r="V34" i="1" s="1"/>
  <c r="BI35" i="1"/>
  <c r="V35" i="1" s="1"/>
  <c r="BI36" i="1"/>
  <c r="V36" i="1" s="1"/>
  <c r="BI18" i="1"/>
  <c r="R14" i="2"/>
  <c r="Y33" i="1" l="1"/>
  <c r="BR33" i="1"/>
  <c r="BP33" i="1"/>
  <c r="AX33" i="1"/>
  <c r="AZ33" i="1" s="1"/>
  <c r="BE33" i="1"/>
  <c r="BF33" i="1" s="1"/>
  <c r="X33" i="1"/>
  <c r="BR30" i="1"/>
  <c r="BP30" i="1"/>
  <c r="BS30" i="1" s="1"/>
  <c r="BT30" i="1" s="1"/>
  <c r="BE30" i="1"/>
  <c r="BF30" i="1" s="1"/>
  <c r="X30" i="1"/>
  <c r="AX30" i="1"/>
  <c r="AZ30" i="1" s="1"/>
  <c r="Y30" i="1"/>
  <c r="X32" i="1"/>
  <c r="BE32" i="1"/>
  <c r="BF32" i="1" s="1"/>
  <c r="Y32" i="1" s="1"/>
  <c r="BP32" i="1"/>
  <c r="BR32" i="1"/>
  <c r="AX32" i="1"/>
  <c r="AZ32" i="1" s="1"/>
  <c r="BE28" i="1"/>
  <c r="BF28" i="1" s="1"/>
  <c r="BR28" i="1"/>
  <c r="AX28" i="1"/>
  <c r="AZ28" i="1" s="1"/>
  <c r="BP28" i="1"/>
  <c r="Y28" i="1"/>
  <c r="X28" i="1"/>
  <c r="V25" i="1"/>
  <c r="G22" i="2" s="1"/>
  <c r="J22" i="2"/>
  <c r="J15" i="2"/>
  <c r="V18" i="1"/>
  <c r="Y35" i="1"/>
  <c r="BR35" i="1"/>
  <c r="BP35" i="1"/>
  <c r="BE35" i="1"/>
  <c r="BF35" i="1" s="1"/>
  <c r="X35" i="1"/>
  <c r="AX35" i="1"/>
  <c r="AZ35" i="1" s="1"/>
  <c r="Y27" i="1"/>
  <c r="BP27" i="1"/>
  <c r="BR27" i="1"/>
  <c r="AX27" i="1"/>
  <c r="AZ27" i="1" s="1"/>
  <c r="BE27" i="1"/>
  <c r="BF27" i="1" s="1"/>
  <c r="X27" i="1"/>
  <c r="Y36" i="1"/>
  <c r="BR36" i="1"/>
  <c r="BP36" i="1"/>
  <c r="AX36" i="1"/>
  <c r="AZ36" i="1" s="1"/>
  <c r="BE36" i="1"/>
  <c r="BF36" i="1" s="1"/>
  <c r="X36" i="1"/>
  <c r="Y34" i="1"/>
  <c r="BP34" i="1"/>
  <c r="BR34" i="1"/>
  <c r="BE34" i="1"/>
  <c r="BF34" i="1" s="1"/>
  <c r="AX34" i="1"/>
  <c r="AZ34" i="1" s="1"/>
  <c r="X34" i="1"/>
  <c r="Y26" i="1"/>
  <c r="BP26" i="1"/>
  <c r="BR26" i="1"/>
  <c r="AX26" i="1"/>
  <c r="AZ26" i="1" s="1"/>
  <c r="X26" i="1"/>
  <c r="BE26" i="1"/>
  <c r="BF26" i="1" s="1"/>
  <c r="BP25" i="1" l="1"/>
  <c r="BE25" i="1"/>
  <c r="BF25" i="1" s="1"/>
  <c r="Y25" i="1" s="1"/>
  <c r="L22" i="2" s="1"/>
  <c r="X25" i="1"/>
  <c r="BR25" i="1"/>
  <c r="AX25" i="1"/>
  <c r="AZ25" i="1" s="1"/>
  <c r="AU32" i="1"/>
  <c r="AT32" i="1"/>
  <c r="AV32" i="1" s="1"/>
  <c r="AW32" i="1" s="1"/>
  <c r="W32" i="1"/>
  <c r="AQ32" i="1"/>
  <c r="W30" i="1"/>
  <c r="AU30" i="1"/>
  <c r="AT30" i="1"/>
  <c r="AQ30" i="1"/>
  <c r="AU28" i="1"/>
  <c r="AT28" i="1"/>
  <c r="AV28" i="1" s="1"/>
  <c r="AW28" i="1" s="1"/>
  <c r="AQ28" i="1"/>
  <c r="W28" i="1"/>
  <c r="W33" i="1"/>
  <c r="AT33" i="1"/>
  <c r="AV33" i="1" s="1"/>
  <c r="AW33" i="1" s="1"/>
  <c r="AU33" i="1"/>
  <c r="AQ33" i="1"/>
  <c r="W36" i="1"/>
  <c r="AU36" i="1"/>
  <c r="AQ36" i="1"/>
  <c r="AT36" i="1"/>
  <c r="W26" i="1"/>
  <c r="AT26" i="1"/>
  <c r="AQ26" i="1"/>
  <c r="AU26" i="1"/>
  <c r="W34" i="1"/>
  <c r="AT34" i="1"/>
  <c r="AQ34" i="1"/>
  <c r="AU34" i="1"/>
  <c r="X18" i="1"/>
  <c r="BE18" i="1"/>
  <c r="BF18" i="1" s="1"/>
  <c r="BR18" i="1"/>
  <c r="G15" i="2"/>
  <c r="BP18" i="1"/>
  <c r="BS18" i="1" s="1"/>
  <c r="BT18" i="1" s="1"/>
  <c r="AX18" i="1"/>
  <c r="AZ18" i="1" s="1"/>
  <c r="W27" i="1"/>
  <c r="AT27" i="1"/>
  <c r="AU27" i="1"/>
  <c r="AQ27" i="1"/>
  <c r="W35" i="1"/>
  <c r="AU35" i="1"/>
  <c r="AT35" i="1"/>
  <c r="AQ35" i="1"/>
  <c r="AU25" i="1" l="1"/>
  <c r="AT25" i="1"/>
  <c r="AV25" i="1" s="1"/>
  <c r="AQ25" i="1"/>
  <c r="W25" i="1"/>
  <c r="N22" i="2" s="1"/>
  <c r="O22" i="2" s="1"/>
  <c r="AV30" i="1"/>
  <c r="AW30" i="1"/>
  <c r="N30" i="2"/>
  <c r="O30" i="2" s="1"/>
  <c r="AR33" i="1"/>
  <c r="AC33" i="1" s="1"/>
  <c r="AO33" i="1"/>
  <c r="AP33" i="1" s="1"/>
  <c r="AD33" i="1" s="1"/>
  <c r="AG33" i="1" s="1"/>
  <c r="AR28" i="1"/>
  <c r="AC28" i="1" s="1"/>
  <c r="AO28" i="1"/>
  <c r="AP28" i="1" s="1"/>
  <c r="AD28" i="1" s="1"/>
  <c r="AG28" i="1" s="1"/>
  <c r="AO30" i="1"/>
  <c r="AP30" i="1" s="1"/>
  <c r="AD30" i="1" s="1"/>
  <c r="AG30" i="1" s="1"/>
  <c r="AR30" i="1"/>
  <c r="AC30" i="1" s="1"/>
  <c r="AR32" i="1"/>
  <c r="AC32" i="1" s="1"/>
  <c r="AO32" i="1"/>
  <c r="AP32" i="1" s="1"/>
  <c r="AD32" i="1" s="1"/>
  <c r="AG32" i="1" s="1"/>
  <c r="Y18" i="1"/>
  <c r="AT18" i="1" s="1"/>
  <c r="AV18" i="1" s="1"/>
  <c r="AW34" i="1"/>
  <c r="AV34" i="1"/>
  <c r="AR34" i="1"/>
  <c r="AC34" i="1" s="1"/>
  <c r="AO34" i="1"/>
  <c r="AP34" i="1" s="1"/>
  <c r="AD34" i="1" s="1"/>
  <c r="AG34" i="1" s="1"/>
  <c r="AV26" i="1"/>
  <c r="AW26" i="1"/>
  <c r="AR26" i="1"/>
  <c r="AC26" i="1" s="1"/>
  <c r="AO26" i="1"/>
  <c r="AP26" i="1" s="1"/>
  <c r="AD26" i="1" s="1"/>
  <c r="AG26" i="1" s="1"/>
  <c r="AW35" i="1"/>
  <c r="AV35" i="1"/>
  <c r="AR35" i="1"/>
  <c r="AC35" i="1" s="1"/>
  <c r="AO35" i="1"/>
  <c r="AP35" i="1" s="1"/>
  <c r="AD35" i="1" s="1"/>
  <c r="AG35" i="1" s="1"/>
  <c r="AV27" i="1"/>
  <c r="AW27" i="1"/>
  <c r="AR27" i="1"/>
  <c r="AC27" i="1" s="1"/>
  <c r="AO27" i="1"/>
  <c r="AP27" i="1" s="1"/>
  <c r="AD27" i="1" s="1"/>
  <c r="AG27" i="1" s="1"/>
  <c r="AW36" i="1"/>
  <c r="AV36" i="1"/>
  <c r="AR36" i="1"/>
  <c r="AC36" i="1" s="1"/>
  <c r="AO36" i="1"/>
  <c r="AP36" i="1" s="1"/>
  <c r="AD36" i="1" s="1"/>
  <c r="AG36" i="1" s="1"/>
  <c r="AW25" i="1" l="1"/>
  <c r="AO25" i="1"/>
  <c r="AP25" i="1" s="1"/>
  <c r="AD25" i="1" s="1"/>
  <c r="K22" i="2" s="1"/>
  <c r="AR25" i="1"/>
  <c r="AC25" i="1" s="1"/>
  <c r="AE25" i="1" s="1"/>
  <c r="AH30" i="1"/>
  <c r="AI30" i="1" s="1"/>
  <c r="AE30" i="1"/>
  <c r="AF30" i="1" s="1"/>
  <c r="W18" i="1"/>
  <c r="AR18" i="1" s="1"/>
  <c r="AH28" i="1"/>
  <c r="AI28" i="1" s="1"/>
  <c r="AE28" i="1"/>
  <c r="AF28" i="1" s="1"/>
  <c r="AH32" i="1"/>
  <c r="AI32" i="1" s="1"/>
  <c r="AE32" i="1"/>
  <c r="AF32" i="1" s="1"/>
  <c r="AE33" i="1"/>
  <c r="AF33" i="1" s="1"/>
  <c r="AH33" i="1"/>
  <c r="AI33" i="1" s="1"/>
  <c r="L15" i="2"/>
  <c r="AQ18" i="1"/>
  <c r="AU18" i="1"/>
  <c r="AW18" i="1" s="1"/>
  <c r="AE27" i="1"/>
  <c r="AF27" i="1" s="1"/>
  <c r="AH27" i="1"/>
  <c r="AI27" i="1" s="1"/>
  <c r="AH36" i="1"/>
  <c r="AI36" i="1" s="1"/>
  <c r="AE36" i="1"/>
  <c r="AF36" i="1" s="1"/>
  <c r="AE34" i="1"/>
  <c r="AF34" i="1" s="1"/>
  <c r="AH34" i="1"/>
  <c r="AI34" i="1" s="1"/>
  <c r="AE35" i="1"/>
  <c r="AF35" i="1" s="1"/>
  <c r="AH35" i="1"/>
  <c r="AI35" i="1" s="1"/>
  <c r="AE26" i="1"/>
  <c r="AF26" i="1" s="1"/>
  <c r="AH26" i="1"/>
  <c r="AI26" i="1" s="1"/>
  <c r="AJ30" i="1" l="1"/>
  <c r="AK30" i="1" s="1"/>
  <c r="BI31" i="1" s="1"/>
  <c r="V31" i="1" s="1"/>
  <c r="BP31" i="1" s="1"/>
  <c r="AF25" i="1"/>
  <c r="AH25" i="1"/>
  <c r="AG25" i="1"/>
  <c r="N15" i="2"/>
  <c r="O15" i="2" s="1"/>
  <c r="AC18" i="1"/>
  <c r="AH18" i="1" s="1"/>
  <c r="AJ33" i="1"/>
  <c r="AJ32" i="1"/>
  <c r="AJ28" i="1"/>
  <c r="AK28" i="1" s="1"/>
  <c r="BI29" i="1" s="1"/>
  <c r="V29" i="1" s="1"/>
  <c r="AO18" i="1"/>
  <c r="AP18" i="1" s="1"/>
  <c r="AD18" i="1" s="1"/>
  <c r="K15" i="2" s="1"/>
  <c r="AJ36" i="1"/>
  <c r="AK36" i="1" s="1"/>
  <c r="AJ27" i="1"/>
  <c r="AK27" i="1" s="1"/>
  <c r="AJ35" i="1"/>
  <c r="AK35" i="1" s="1"/>
  <c r="AJ34" i="1"/>
  <c r="AK34" i="1" s="1"/>
  <c r="AJ26" i="1"/>
  <c r="AK26" i="1" s="1"/>
  <c r="Y31" i="1" l="1"/>
  <c r="W31" i="1" s="1"/>
  <c r="BE31" i="1"/>
  <c r="BF31" i="1" s="1"/>
  <c r="BR31" i="1"/>
  <c r="X31" i="1"/>
  <c r="AX31" i="1"/>
  <c r="AZ31" i="1" s="1"/>
  <c r="AI25" i="1"/>
  <c r="AJ25" i="1" s="1"/>
  <c r="Q22" i="2" s="1"/>
  <c r="AG18" i="1"/>
  <c r="AI18" i="1" s="1"/>
  <c r="AE18" i="1"/>
  <c r="AF18" i="1" s="1"/>
  <c r="Q30" i="2"/>
  <c r="AK33" i="1"/>
  <c r="AX29" i="1"/>
  <c r="AZ29" i="1" s="1"/>
  <c r="BE29" i="1"/>
  <c r="BF29" i="1" s="1"/>
  <c r="Y29" i="1" s="1"/>
  <c r="BP29" i="1"/>
  <c r="BR29" i="1"/>
  <c r="X29" i="1"/>
  <c r="Q29" i="2"/>
  <c r="AK32" i="1"/>
  <c r="R29" i="2" s="1"/>
  <c r="L28" i="2"/>
  <c r="AQ31" i="1" l="1"/>
  <c r="AU31" i="1"/>
  <c r="AT31" i="1"/>
  <c r="AK25" i="1"/>
  <c r="R22" i="2" s="1"/>
  <c r="AJ18" i="1"/>
  <c r="Q15" i="2" s="1"/>
  <c r="AV31" i="1"/>
  <c r="AW31" i="1"/>
  <c r="AO31" i="1"/>
  <c r="AP31" i="1" s="1"/>
  <c r="AD31" i="1" s="1"/>
  <c r="AG31" i="1" s="1"/>
  <c r="AR31" i="1"/>
  <c r="AC31" i="1" s="1"/>
  <c r="AU29" i="1"/>
  <c r="W29" i="1"/>
  <c r="AQ29" i="1"/>
  <c r="AT29" i="1"/>
  <c r="AV29" i="1" s="1"/>
  <c r="AW29" i="1" s="1"/>
  <c r="BI24" i="1" l="1"/>
  <c r="J21" i="2" s="1"/>
  <c r="AK18" i="1"/>
  <c r="BI19" i="1" s="1"/>
  <c r="AE31" i="1"/>
  <c r="AF31" i="1" s="1"/>
  <c r="AH31" i="1"/>
  <c r="AI31" i="1" s="1"/>
  <c r="AO29" i="1"/>
  <c r="AP29" i="1" s="1"/>
  <c r="AD29" i="1" s="1"/>
  <c r="AG29" i="1" s="1"/>
  <c r="AR29" i="1"/>
  <c r="AC29" i="1" s="1"/>
  <c r="R15" i="2" l="1"/>
  <c r="V24" i="1"/>
  <c r="AX24" i="1" s="1"/>
  <c r="AZ24" i="1" s="1"/>
  <c r="G21" i="2"/>
  <c r="BP24" i="1"/>
  <c r="X24" i="1"/>
  <c r="AE29" i="1"/>
  <c r="AF29" i="1" s="1"/>
  <c r="AH29" i="1"/>
  <c r="AI29" i="1" s="1"/>
  <c r="AJ31" i="1"/>
  <c r="V19" i="1"/>
  <c r="J16" i="2"/>
  <c r="BR24" i="1" l="1"/>
  <c r="BE24" i="1"/>
  <c r="BF24" i="1" s="1"/>
  <c r="Y24" i="1" s="1"/>
  <c r="L21" i="2" s="1"/>
  <c r="Q28" i="2"/>
  <c r="AK31" i="1"/>
  <c r="R28" i="2" s="1"/>
  <c r="AJ29" i="1"/>
  <c r="AK29" i="1" s="1"/>
  <c r="BE19" i="1"/>
  <c r="BF19" i="1" s="1"/>
  <c r="X19" i="1"/>
  <c r="AX19" i="1"/>
  <c r="BP19" i="1"/>
  <c r="G16" i="2"/>
  <c r="BR19" i="1"/>
  <c r="W24" i="1" l="1"/>
  <c r="AO24" i="1" s="1"/>
  <c r="AP24" i="1" s="1"/>
  <c r="AD24" i="1" s="1"/>
  <c r="AQ24" i="1"/>
  <c r="AT24" i="1"/>
  <c r="AV24" i="1" s="1"/>
  <c r="AU24" i="1"/>
  <c r="N21" i="2"/>
  <c r="O21" i="2" s="1"/>
  <c r="BS19" i="1"/>
  <c r="AW24" i="1" l="1"/>
  <c r="AR24" i="1"/>
  <c r="AC24" i="1" s="1"/>
  <c r="AH24" i="1"/>
  <c r="AE24" i="1"/>
  <c r="AF24" i="1" s="1"/>
  <c r="AG24" i="1"/>
  <c r="K21" i="2"/>
  <c r="Y19" i="1"/>
  <c r="BT19" i="1"/>
  <c r="AI24" i="1" l="1"/>
  <c r="AJ24" i="1" s="1"/>
  <c r="W19" i="1"/>
  <c r="N16" i="2" s="1"/>
  <c r="O16" i="2" s="1"/>
  <c r="AQ19" i="1"/>
  <c r="L16" i="2"/>
  <c r="AU19" i="1"/>
  <c r="AT19" i="1"/>
  <c r="Q21" i="2" l="1"/>
  <c r="AK24" i="1"/>
  <c r="R21" i="2" s="1"/>
  <c r="AO19" i="1"/>
  <c r="AP19" i="1" s="1"/>
  <c r="AD19" i="1" s="1"/>
  <c r="AG19" i="1" s="1"/>
  <c r="AR19" i="1"/>
  <c r="AC19" i="1" s="1"/>
  <c r="AV19" i="1"/>
  <c r="AW19" i="1" s="1"/>
  <c r="AZ19" i="1" s="1"/>
  <c r="K16" i="2"/>
  <c r="AE19" i="1" l="1"/>
  <c r="AF19" i="1" s="1"/>
  <c r="AH19" i="1"/>
  <c r="AI19" i="1" s="1"/>
  <c r="AJ19" i="1" l="1"/>
  <c r="AK19" i="1" s="1"/>
  <c r="R16" i="2" l="1"/>
  <c r="BI20" i="1"/>
  <c r="Q16" i="2"/>
  <c r="V20" i="1" l="1"/>
  <c r="J17" i="2"/>
  <c r="X20" i="1" l="1"/>
  <c r="AX20" i="1"/>
  <c r="AZ20" i="1" s="1"/>
  <c r="BP20" i="1"/>
  <c r="BE20" i="1"/>
  <c r="BF20" i="1" s="1"/>
  <c r="Y20" i="1" s="1"/>
  <c r="G17" i="2"/>
  <c r="BR20" i="1"/>
  <c r="AT20" i="1" l="1"/>
  <c r="AU20" i="1"/>
  <c r="W20" i="1"/>
  <c r="AQ20" i="1"/>
  <c r="L17" i="2"/>
  <c r="AR20" i="1" l="1"/>
  <c r="AC20" i="1" s="1"/>
  <c r="N17" i="2"/>
  <c r="O17" i="2" s="1"/>
  <c r="AO20" i="1"/>
  <c r="AP20" i="1" s="1"/>
  <c r="AD20" i="1" s="1"/>
  <c r="AV20" i="1"/>
  <c r="AW20" i="1" s="1"/>
  <c r="K17" i="2" l="1"/>
  <c r="AG20" i="1"/>
  <c r="AE20" i="1"/>
  <c r="AF20" i="1" s="1"/>
  <c r="AH20" i="1"/>
  <c r="AI20" i="1" l="1"/>
  <c r="AJ20" i="1" s="1"/>
  <c r="AK20" i="1" l="1"/>
  <c r="Q17" i="2"/>
  <c r="R17" i="2" l="1"/>
  <c r="BI21" i="1"/>
  <c r="V21" i="1" l="1"/>
  <c r="J18" i="2"/>
  <c r="G18" i="2" l="1"/>
  <c r="BE21" i="1"/>
  <c r="BF21" i="1" s="1"/>
  <c r="X21" i="1"/>
  <c r="BR21" i="1"/>
  <c r="BP21" i="1"/>
  <c r="BS21" i="1" s="1"/>
  <c r="AX21" i="1"/>
  <c r="AZ21" i="1" s="1"/>
  <c r="BT21" i="1" l="1"/>
  <c r="Y21" i="1"/>
  <c r="W21" i="1" l="1"/>
  <c r="AO21" i="1" s="1"/>
  <c r="AP21" i="1" s="1"/>
  <c r="AD21" i="1" s="1"/>
  <c r="AT21" i="1"/>
  <c r="AV21" i="1" s="1"/>
  <c r="AQ21" i="1"/>
  <c r="L18" i="2"/>
  <c r="AU21" i="1"/>
  <c r="N18" i="2" l="1"/>
  <c r="O18" i="2" s="1"/>
  <c r="AR21" i="1"/>
  <c r="AC21" i="1" s="1"/>
  <c r="AE21" i="1" s="1"/>
  <c r="AF21" i="1" s="1"/>
  <c r="K18" i="2"/>
  <c r="AG21" i="1"/>
  <c r="AW21" i="1"/>
  <c r="AH21" i="1" l="1"/>
  <c r="AI21" i="1" s="1"/>
  <c r="AJ21" i="1" s="1"/>
  <c r="Q18" i="2" l="1"/>
  <c r="AK21" i="1"/>
  <c r="R18" i="2" l="1"/>
  <c r="BI22" i="1"/>
  <c r="J19" i="2" l="1"/>
  <c r="V22" i="1"/>
  <c r="G19" i="2" l="1"/>
  <c r="X22" i="1"/>
  <c r="BE22" i="1"/>
  <c r="BF22" i="1" s="1"/>
  <c r="Y22" i="1" s="1"/>
  <c r="BR22" i="1"/>
  <c r="BP22" i="1"/>
  <c r="AX22" i="1"/>
  <c r="AZ22" i="1" l="1"/>
  <c r="W22" i="1"/>
  <c r="AQ22" i="1"/>
  <c r="AU22" i="1"/>
  <c r="L19" i="2"/>
  <c r="AT22" i="1"/>
  <c r="AV22" i="1" s="1"/>
  <c r="AW22" i="1" l="1"/>
  <c r="N19" i="2"/>
  <c r="O19" i="2" s="1"/>
  <c r="AO22" i="1"/>
  <c r="AP22" i="1" s="1"/>
  <c r="AD22" i="1" s="1"/>
  <c r="AR22" i="1"/>
  <c r="AC22" i="1" s="1"/>
  <c r="K19" i="2" l="1"/>
  <c r="AG22" i="1"/>
  <c r="AH22" i="1"/>
  <c r="AE22" i="1"/>
  <c r="AF22" i="1" s="1"/>
  <c r="AI22" i="1" l="1"/>
  <c r="AJ22" i="1" s="1"/>
  <c r="Q19" i="2"/>
  <c r="AK22" i="1" l="1"/>
  <c r="R19" i="2" s="1"/>
  <c r="BI23" i="1" l="1"/>
  <c r="J20" i="2" s="1"/>
  <c r="V23" i="1" l="1"/>
  <c r="G20" i="2" l="1"/>
  <c r="BE23" i="1"/>
  <c r="BF23" i="1" s="1"/>
  <c r="BR23" i="1"/>
  <c r="AX23" i="1"/>
  <c r="AZ23" i="1" s="1"/>
  <c r="BP23" i="1"/>
  <c r="X23" i="1"/>
  <c r="BS23" i="1" l="1"/>
  <c r="BT23" i="1" s="1"/>
  <c r="Y23" i="1"/>
  <c r="AU23" i="1" s="1"/>
  <c r="W23" i="1" l="1"/>
  <c r="L20" i="2"/>
  <c r="AT23" i="1"/>
  <c r="AQ23" i="1"/>
  <c r="AO23" i="1"/>
  <c r="AP23" i="1" s="1"/>
  <c r="AD23" i="1" s="1"/>
  <c r="AG23" i="1" s="1"/>
  <c r="AR23" i="1"/>
  <c r="N20" i="2"/>
  <c r="O20" i="2" s="1"/>
  <c r="AV23" i="1"/>
  <c r="AW23" i="1"/>
  <c r="K20" i="2" l="1"/>
  <c r="AC23" i="1"/>
  <c r="AH23" i="1"/>
  <c r="AI23" i="1" s="1"/>
  <c r="AE23" i="1"/>
  <c r="AF23" i="1" s="1"/>
  <c r="AJ23" i="1" s="1"/>
  <c r="Q20" i="2" l="1"/>
  <c r="AK23" i="1"/>
  <c r="R20"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<sst xmlns="http://schemas.openxmlformats.org/spreadsheetml/2006/main" count="452" uniqueCount="308">
  <si>
    <t>Width</t>
  </si>
  <si>
    <t>Length</t>
  </si>
  <si>
    <t>Vo</t>
  </si>
  <si>
    <t>Type</t>
  </si>
  <si>
    <t>(feet)</t>
  </si>
  <si>
    <t>(fps)</t>
  </si>
  <si>
    <t xml:space="preserve"> </t>
  </si>
  <si>
    <t>DATA INPUT AND COMPUTATIONS PAGE</t>
  </si>
  <si>
    <t>(Table for INDOT submittal is on the following sheet)</t>
  </si>
  <si>
    <t xml:space="preserve">Project:  </t>
  </si>
  <si>
    <t xml:space="preserve">Station of High Pt:  </t>
  </si>
  <si>
    <t xml:space="preserve">Station of Low Pt:  </t>
  </si>
  <si>
    <t xml:space="preserve">Location:  </t>
  </si>
  <si>
    <t xml:space="preserve">Design Frequency:  </t>
  </si>
  <si>
    <t>years</t>
  </si>
  <si>
    <t xml:space="preserve">Gutter n-value:  </t>
  </si>
  <si>
    <t>DATA ENTRY SECTION:</t>
  </si>
  <si>
    <t>Inlet</t>
  </si>
  <si>
    <t>Number</t>
  </si>
  <si>
    <t>Station</t>
  </si>
  <si>
    <t>Drainage</t>
  </si>
  <si>
    <t>Area</t>
  </si>
  <si>
    <t>(acres)</t>
  </si>
  <si>
    <t>Rational</t>
  </si>
  <si>
    <t>Slope of</t>
  </si>
  <si>
    <t>P.G.</t>
  </si>
  <si>
    <r>
      <t>(S</t>
    </r>
    <r>
      <rPr>
        <vertAlign val="subscript"/>
        <sz val="11"/>
        <color theme="1"/>
        <rFont val="Calibri"/>
        <family val="2"/>
        <scheme val="minor"/>
      </rPr>
      <t>L</t>
    </r>
    <r>
      <rPr>
        <sz val="11"/>
        <color theme="1"/>
        <rFont val="Calibri"/>
        <family val="2"/>
        <scheme val="minor"/>
      </rPr>
      <t>)</t>
    </r>
  </si>
  <si>
    <t>Pavement</t>
  </si>
  <si>
    <t>Cross</t>
  </si>
  <si>
    <r>
      <t>Slope (S</t>
    </r>
    <r>
      <rPr>
        <vertAlign val="subscript"/>
        <sz val="11"/>
        <color theme="1"/>
        <rFont val="Calibri"/>
        <family val="2"/>
        <scheme val="minor"/>
      </rPr>
      <t>x</t>
    </r>
    <r>
      <rPr>
        <sz val="11"/>
        <color theme="1"/>
        <rFont val="Calibri"/>
        <family val="2"/>
        <scheme val="minor"/>
      </rPr>
      <t>)</t>
    </r>
  </si>
  <si>
    <t>Gutter</t>
  </si>
  <si>
    <r>
      <t>Slope (S</t>
    </r>
    <r>
      <rPr>
        <vertAlign val="subscript"/>
        <sz val="11"/>
        <color theme="1"/>
        <rFont val="Calibri"/>
        <family val="2"/>
        <scheme val="minor"/>
      </rPr>
      <t>w</t>
    </r>
    <r>
      <rPr>
        <sz val="11"/>
        <color theme="1"/>
        <rFont val="Calibri"/>
        <family val="2"/>
        <scheme val="minor"/>
      </rPr>
      <t>)</t>
    </r>
  </si>
  <si>
    <t>Width (w)</t>
  </si>
  <si>
    <t>(ft/ft)</t>
  </si>
  <si>
    <t>Allowable</t>
  </si>
  <si>
    <t>Spread</t>
  </si>
  <si>
    <t>COMPUTATION SECTION:</t>
  </si>
  <si>
    <t>(Do not enter data in this area)</t>
  </si>
  <si>
    <t>Q</t>
  </si>
  <si>
    <t>(cfs)</t>
  </si>
  <si>
    <t>Req'd</t>
  </si>
  <si>
    <t>Convey-</t>
  </si>
  <si>
    <t>ance (K)</t>
  </si>
  <si>
    <t>Depth</t>
  </si>
  <si>
    <t>Grate</t>
  </si>
  <si>
    <t>Splash-</t>
  </si>
  <si>
    <t>Over</t>
  </si>
  <si>
    <t>Velocity</t>
  </si>
  <si>
    <t>Frontal</t>
  </si>
  <si>
    <t>Flow</t>
  </si>
  <si>
    <t>Flow In</t>
  </si>
  <si>
    <t>Efficiency</t>
  </si>
  <si>
    <r>
      <t>(R</t>
    </r>
    <r>
      <rPr>
        <vertAlign val="subscript"/>
        <sz val="11"/>
        <color theme="1"/>
        <rFont val="Calibri"/>
        <family val="2"/>
        <scheme val="minor"/>
      </rPr>
      <t>f</t>
    </r>
    <r>
      <rPr>
        <sz val="11"/>
        <color theme="1"/>
        <rFont val="Calibri"/>
        <family val="2"/>
        <scheme val="minor"/>
      </rPr>
      <t>)</t>
    </r>
  </si>
  <si>
    <t>Side Flow</t>
  </si>
  <si>
    <r>
      <t>(R</t>
    </r>
    <r>
      <rPr>
        <vertAlign val="subscript"/>
        <sz val="11"/>
        <color theme="1"/>
        <rFont val="Calibri"/>
        <family val="2"/>
        <scheme val="minor"/>
      </rPr>
      <t>s</t>
    </r>
    <r>
      <rPr>
        <sz val="11"/>
        <color theme="1"/>
        <rFont val="Calibri"/>
        <family val="2"/>
        <scheme val="minor"/>
      </rPr>
      <t>)</t>
    </r>
  </si>
  <si>
    <t>In</t>
  </si>
  <si>
    <t>Total</t>
  </si>
  <si>
    <t>Runby</t>
  </si>
  <si>
    <t>(See Design Manual,</t>
  </si>
  <si>
    <t>Slope</t>
  </si>
  <si>
    <r>
      <t>S</t>
    </r>
    <r>
      <rPr>
        <vertAlign val="subscript"/>
        <sz val="11"/>
        <color theme="1"/>
        <rFont val="Calibri"/>
        <family val="2"/>
        <scheme val="minor"/>
      </rPr>
      <t>w</t>
    </r>
    <r>
      <rPr>
        <sz val="11"/>
        <color theme="1"/>
        <rFont val="Calibri"/>
        <family val="2"/>
        <scheme val="minor"/>
      </rPr>
      <t xml:space="preserve"> / S</t>
    </r>
    <r>
      <rPr>
        <vertAlign val="subscript"/>
        <sz val="11"/>
        <color theme="1"/>
        <rFont val="Calibri"/>
        <family val="2"/>
        <scheme val="minor"/>
      </rPr>
      <t>x</t>
    </r>
  </si>
  <si>
    <t>(sf)</t>
  </si>
  <si>
    <t>Flow Area</t>
  </si>
  <si>
    <t>Side</t>
  </si>
  <si>
    <t>Computations for frontal and side flow</t>
  </si>
  <si>
    <t>No.</t>
  </si>
  <si>
    <t>Drain</t>
  </si>
  <si>
    <t>(ac.)</t>
  </si>
  <si>
    <t>Run-</t>
  </si>
  <si>
    <t>off</t>
  </si>
  <si>
    <t>Coef.</t>
  </si>
  <si>
    <t>C</t>
  </si>
  <si>
    <t>Time</t>
  </si>
  <si>
    <t>of</t>
  </si>
  <si>
    <t>Conc.</t>
  </si>
  <si>
    <t>Tc</t>
  </si>
  <si>
    <t>(min.)</t>
  </si>
  <si>
    <t>Rain</t>
  </si>
  <si>
    <t>Inten-</t>
  </si>
  <si>
    <t>(in/hr)</t>
  </si>
  <si>
    <t>Grade</t>
  </si>
  <si>
    <t>Prev.</t>
  </si>
  <si>
    <t>by</t>
  </si>
  <si>
    <t>Gutt.</t>
  </si>
  <si>
    <t>T/W</t>
  </si>
  <si>
    <t>(ft)</t>
  </si>
  <si>
    <t>A</t>
  </si>
  <si>
    <r>
      <t>S</t>
    </r>
    <r>
      <rPr>
        <i/>
        <vertAlign val="subscript"/>
        <sz val="11"/>
        <color theme="1"/>
        <rFont val="Calibri"/>
        <family val="2"/>
        <scheme val="minor"/>
      </rPr>
      <t>x</t>
    </r>
  </si>
  <si>
    <t>W</t>
  </si>
  <si>
    <t>Sprd.</t>
  </si>
  <si>
    <t>T</t>
  </si>
  <si>
    <t>W/T</t>
  </si>
  <si>
    <t>CIA</t>
  </si>
  <si>
    <t>sity</t>
  </si>
  <si>
    <t>I</t>
  </si>
  <si>
    <t>d</t>
  </si>
  <si>
    <t>Inter-</t>
  </si>
  <si>
    <t>cept</t>
  </si>
  <si>
    <r>
      <t>Q</t>
    </r>
    <r>
      <rPr>
        <i/>
        <vertAlign val="subscript"/>
        <sz val="11"/>
        <color theme="1"/>
        <rFont val="Calibri"/>
        <family val="2"/>
        <scheme val="minor"/>
      </rPr>
      <t>i</t>
    </r>
  </si>
  <si>
    <r>
      <t>Q</t>
    </r>
    <r>
      <rPr>
        <i/>
        <vertAlign val="subscript"/>
        <sz val="11"/>
        <color theme="1"/>
        <rFont val="Calibri"/>
        <family val="2"/>
        <scheme val="minor"/>
      </rPr>
      <t>r</t>
    </r>
  </si>
  <si>
    <t>Remarks</t>
  </si>
  <si>
    <t>GUTTER DISCHARGE</t>
  </si>
  <si>
    <t>Design Frequency:</t>
  </si>
  <si>
    <t>LOCATION</t>
  </si>
  <si>
    <t>Allowable Spread:</t>
  </si>
  <si>
    <t>yrs.</t>
  </si>
  <si>
    <t>feet</t>
  </si>
  <si>
    <t>INLET DISCHARGE</t>
  </si>
  <si>
    <t>INLET SPACING COMPUTATION SHEET</t>
  </si>
  <si>
    <t xml:space="preserve">Computed by:  </t>
  </si>
  <si>
    <t xml:space="preserve">Date: </t>
  </si>
  <si>
    <t xml:space="preserve">Checked by:  </t>
  </si>
  <si>
    <t>Sheet</t>
  </si>
  <si>
    <t>From:</t>
  </si>
  <si>
    <t xml:space="preserve">To:  </t>
  </si>
  <si>
    <t xml:space="preserve">PROJECT:  </t>
  </si>
  <si>
    <t>COMPUTED BY:</t>
  </si>
  <si>
    <t xml:space="preserve">DATE:  </t>
  </si>
  <si>
    <t>CHECKED BY:</t>
  </si>
  <si>
    <t>(Do not enter more than 20 inlets)</t>
  </si>
  <si>
    <t>HOW TO USE THIS INLET SPACING WORKSHEET</t>
  </si>
  <si>
    <t>PURPOSE</t>
  </si>
  <si>
    <t>This spreadsheet analyzes gutter flow and inlet interception using methods prescribed in the</t>
  </si>
  <si>
    <t>There are a wide variety of variables what affect the performance of an inlet on grade.</t>
  </si>
  <si>
    <t>This spreadsheet uses terminology and variable names which are mostly consistent with</t>
  </si>
  <si>
    <t>the Design Manual.  Thus, before using this spreadsheet it is recommended that the user</t>
  </si>
  <si>
    <t>The first is at the top of the "Computations" worksheet, where the project data,</t>
  </si>
  <si>
    <t>designer name, dates, etc. are filled out.</t>
  </si>
  <si>
    <t>Area (ac)</t>
  </si>
  <si>
    <t>CA</t>
  </si>
  <si>
    <t>Average</t>
  </si>
  <si>
    <t>DA</t>
  </si>
  <si>
    <t>Eo</t>
  </si>
  <si>
    <t>OS</t>
  </si>
  <si>
    <t>SQ</t>
  </si>
  <si>
    <t>Figure 203-4C)</t>
  </si>
  <si>
    <t xml:space="preserve">Des Number:  </t>
  </si>
  <si>
    <t xml:space="preserve">Enter Rainfall   </t>
  </si>
  <si>
    <t xml:space="preserve">from NOAA:  </t>
  </si>
  <si>
    <t>Duration</t>
  </si>
  <si>
    <t>Intensity</t>
  </si>
  <si>
    <t>(min)</t>
  </si>
  <si>
    <t>On-Site Area</t>
  </si>
  <si>
    <t>Time of</t>
  </si>
  <si>
    <t>Off-Site Area</t>
  </si>
  <si>
    <t>DATA ON INLET GRATES (NO CLOGGING):</t>
  </si>
  <si>
    <t>Notes</t>
  </si>
  <si>
    <t>curved</t>
  </si>
  <si>
    <t>reticuline</t>
  </si>
  <si>
    <t>model as clogged</t>
  </si>
  <si>
    <t>has cub box</t>
  </si>
  <si>
    <t>INDOT Design Manual, Sections 203.4.  It is intended to simplify the task of placing</t>
  </si>
  <si>
    <t>curb inlets on grade.</t>
  </si>
  <si>
    <t>HOW TO ENTER DATA</t>
  </si>
  <si>
    <t>review and be familiar with the Design Manual on computation methods, clogging, etc.</t>
  </si>
  <si>
    <t xml:space="preserve">1.)  </t>
  </si>
  <si>
    <t>There are three areas where data input is allowed in this spreadsheet:</t>
  </si>
  <si>
    <t>Most of the data in this section is self-explanatory, but there are a few items to</t>
  </si>
  <si>
    <t>note:</t>
  </si>
  <si>
    <t xml:space="preserve">Side:  </t>
  </si>
  <si>
    <r>
      <t>Important Note:</t>
    </r>
    <r>
      <rPr>
        <sz val="11"/>
        <color theme="1"/>
        <rFont val="Calibri"/>
        <family val="2"/>
        <scheme val="minor"/>
      </rPr>
      <t xml:space="preserve">  This spread is intended to model only one line of inlets extending from a</t>
    </r>
  </si>
  <si>
    <t>high point on the roadway profile to a sag point or other form of outlet, along one side of</t>
  </si>
  <si>
    <t>the roadway.  Thus, there could be several copies of this spreadsheet for a single project.</t>
  </si>
  <si>
    <t>the inlet numbers it contains.</t>
  </si>
  <si>
    <t>One idea for keeping the spreadsheets organized would be to rename each file to reflect</t>
  </si>
  <si>
    <t>The "Side" data entry should indicate which side of the road the line of inlets is on.</t>
  </si>
  <si>
    <t>There is no set list of choices for this entry, but normally this would be something</t>
  </si>
  <si>
    <t>like "left," "right," or "median."</t>
  </si>
  <si>
    <t>The rainfall data entry should be taken from the online NOAA Precipitation</t>
  </si>
  <si>
    <t>Frequency Data Server and the data should reflect rainfall intensities for the</t>
  </si>
  <si>
    <t>project location.</t>
  </si>
  <si>
    <t xml:space="preserve">2.) </t>
  </si>
  <si>
    <t>the bold red "Data Entry Section" header.</t>
  </si>
  <si>
    <t>The second is on the "Computations" tab of this spreadsheet inside the box with</t>
  </si>
  <si>
    <t>a.)  The first two columns are the inlet number and station.</t>
  </si>
  <si>
    <t>b.)  The second section is the "On-Site Area" data which is used to compute the</t>
  </si>
  <si>
    <t>roadway and adjacent area draining to the inlet, including sidewalks, etc. that</t>
  </si>
  <si>
    <t>Inlets must be entered in order from upstream to downstream.</t>
  </si>
  <si>
    <t>Each line in this section corresponds to a single inlet.</t>
  </si>
  <si>
    <t xml:space="preserve"> The data entry in this section has four parts:</t>
  </si>
  <si>
    <t>may drain towards the curbs.  The drainage area is computed based on the</t>
  </si>
  <si>
    <t>stationing between inlets and the average width of the area draining to the</t>
  </si>
  <si>
    <t>gutters.</t>
  </si>
  <si>
    <t>If no other data is entered, the time of concentration is assumed to be 5 minutes.</t>
  </si>
  <si>
    <t>c.)  The third section is the "Off-Site Area" which allows data entry for inflows from</t>
  </si>
  <si>
    <t>parking lots, yards, etc. that are outside of the project limits.  This part may be left</t>
  </si>
  <si>
    <t>blank if no off-site areas drain toward the roadway.</t>
  </si>
  <si>
    <t>If a time of concentration of greater than 5 minutes is entered in this section, the</t>
  </si>
  <si>
    <t>discharge is computed by computing the "sum CA" for the on- and off-site areas</t>
  </si>
  <si>
    <t>and then applying a rainfall intensity determined from the off-site time of</t>
  </si>
  <si>
    <t>The area, C value and time of concentration should be detemined from outside</t>
  </si>
  <si>
    <t>computations.</t>
  </si>
  <si>
    <t>concentration.  It should  be noted that this time of concentration is not transferred</t>
  </si>
  <si>
    <t>to the next inlet downstream.  If there is no off-site inflow to the next inlet, the</t>
  </si>
  <si>
    <t>time of concenration will be 5 minutes.  Otherwise, the it will be based on the</t>
  </si>
  <si>
    <t>time of concenration of the off-site flows at that inlet.  The discharge at the inlet</t>
  </si>
  <si>
    <t>will be computed based on the Rational Method for that time of concentraton</t>
  </si>
  <si>
    <t>plus the upstream bypass flow which is assumed to be independent of time.</t>
  </si>
  <si>
    <t>d.)  The fourth section of this section is the data for the roadway cross section,</t>
  </si>
  <si>
    <t>slope and inlet type.  The inlet type should be selected from the drop-down list</t>
  </si>
  <si>
    <t>that appears for that data entry column.</t>
  </si>
  <si>
    <t xml:space="preserve">3.)  </t>
  </si>
  <si>
    <t>The third data entry area is the "Remarks" column on the worksheet tab called</t>
  </si>
  <si>
    <t>"INDOT Table."</t>
  </si>
  <si>
    <t>Once the design data has been filled into the first two data entry area describe above, the</t>
  </si>
  <si>
    <t>spreadsheet will automatically complete the gutter flow and inlet computations.  The results</t>
  </si>
  <si>
    <t>of these computations are shown in the box called "Computation Section," just to the right</t>
  </si>
  <si>
    <t>of the data entry area.</t>
  </si>
  <si>
    <t>The "INDOT Table" tab contains the pre-defined design form provided in the IDM.</t>
  </si>
  <si>
    <t xml:space="preserve">Computations worksheet.  Thus, once the data has been entered, the user would </t>
  </si>
  <si>
    <t xml:space="preserve">The values in this table are filled in automatically as the data is filled in on the </t>
  </si>
  <si>
    <t>need only to fill in any needed comments.</t>
  </si>
  <si>
    <t>RESULTS</t>
  </si>
  <si>
    <t>SECRET TRICKS</t>
  </si>
  <si>
    <t>What if my line of inlets has more than 20 in it?</t>
  </si>
  <si>
    <t>Well, maybe you will want to take some aspirin do deal with the headache that the roadway</t>
  </si>
  <si>
    <t>design project is creating for you, but otherwise, here is the recommended method for</t>
  </si>
  <si>
    <t xml:space="preserve">dealing with this:  </t>
  </si>
  <si>
    <t>First, you don't need to modify the spreadsheet.  Rather, you can just start another one</t>
  </si>
  <si>
    <t>(spreadsheet 2) that starts with the next inlet after the last one in the first spreadsheet</t>
  </si>
  <si>
    <t xml:space="preserve"> (i.e. - number 1).  To do this, you would take the station of the last inlet in spreadsheet1</t>
  </si>
  <si>
    <t>and enter it into the "High point" data entry cell in spreadsheet 2.  You would also take the</t>
  </si>
  <si>
    <t>computed runby from the last inlet in spreadsheet 1 and enter it into cell AH16 in</t>
  </si>
  <si>
    <t>spreadsheet 2.  The discharge computation for the first inlet in spreadsheet 2 will grab that</t>
  </si>
  <si>
    <t>value and compute the correct discharge.</t>
  </si>
  <si>
    <t>DATA ON INLET GRATES (this data is used)</t>
  </si>
  <si>
    <r>
      <t>Length (L</t>
    </r>
    <r>
      <rPr>
        <vertAlign val="subscript"/>
        <sz val="11"/>
        <color theme="1"/>
        <rFont val="Calibri"/>
        <family val="2"/>
        <scheme val="minor"/>
      </rPr>
      <t>T</t>
    </r>
    <r>
      <rPr>
        <sz val="11"/>
        <color theme="1"/>
        <rFont val="Calibri"/>
        <family val="2"/>
        <scheme val="minor"/>
      </rPr>
      <t>)</t>
    </r>
  </si>
  <si>
    <t>Turnout</t>
  </si>
  <si>
    <t>Curb Side flow only</t>
  </si>
  <si>
    <t>depth at curb with local depression (ft)</t>
  </si>
  <si>
    <t>effective head of orifice throat (ft)</t>
  </si>
  <si>
    <t>Flow intercepted (cfs)</t>
  </si>
  <si>
    <t>di</t>
  </si>
  <si>
    <t>Ao</t>
  </si>
  <si>
    <t>do</t>
  </si>
  <si>
    <t>CMI</t>
  </si>
  <si>
    <t xml:space="preserve">Curb Median Inlet (CMI) </t>
  </si>
  <si>
    <t>Cw</t>
  </si>
  <si>
    <t>ft</t>
  </si>
  <si>
    <r>
      <t>S</t>
    </r>
    <r>
      <rPr>
        <vertAlign val="subscript"/>
        <sz val="11"/>
        <color theme="1"/>
        <rFont val="Calibri"/>
        <family val="2"/>
        <scheme val="minor"/>
      </rPr>
      <t>depression</t>
    </r>
  </si>
  <si>
    <t>ft/ft</t>
  </si>
  <si>
    <t>h</t>
  </si>
  <si>
    <t>a</t>
  </si>
  <si>
    <t>g</t>
  </si>
  <si>
    <t>ft/s^2</t>
  </si>
  <si>
    <t>Co</t>
  </si>
  <si>
    <t>h/2</t>
  </si>
  <si>
    <t>(if applicable)</t>
  </si>
  <si>
    <t>Curb Turnout (CTO) Width</t>
  </si>
  <si>
    <t>CTO</t>
  </si>
  <si>
    <t>Clear area of opening (sf)</t>
  </si>
  <si>
    <t>curb turnout</t>
  </si>
  <si>
    <t>curb median inlet</t>
  </si>
  <si>
    <t>square bridge deck drain</t>
  </si>
  <si>
    <t xml:space="preserve">square bridge deck drain </t>
  </si>
  <si>
    <t>Acronym key - images below</t>
  </si>
  <si>
    <t>Inlet Drawings</t>
  </si>
  <si>
    <t>Curb Castings 5, 8, 10, 12,13, &amp; 15</t>
  </si>
  <si>
    <t>Curb Castings 6 &amp; 3</t>
  </si>
  <si>
    <t>Links from figures below</t>
  </si>
  <si>
    <t>Se</t>
  </si>
  <si>
    <t>Combined slope Depth Calcs</t>
  </si>
  <si>
    <t>Qgutter</t>
  </si>
  <si>
    <t>Curb Median Inlet Flow</t>
  </si>
  <si>
    <t>total depth of gutter</t>
  </si>
  <si>
    <t>sag or on-grade</t>
  </si>
  <si>
    <t>if on-grade, bypass goes to</t>
  </si>
  <si>
    <t>sag</t>
  </si>
  <si>
    <t>on-grade</t>
  </si>
  <si>
    <t xml:space="preserve">Bypass </t>
  </si>
  <si>
    <t>Str. #</t>
  </si>
  <si>
    <t xml:space="preserve">bypass flow </t>
  </si>
  <si>
    <t>Sag Calcs</t>
  </si>
  <si>
    <t>INDOT</t>
  </si>
  <si>
    <t>Perimeter*</t>
  </si>
  <si>
    <t>Inlet Type</t>
  </si>
  <si>
    <r>
      <t>(ft</t>
    </r>
    <r>
      <rPr>
        <vertAlign val="superscript"/>
        <sz val="11"/>
        <color theme="1"/>
        <rFont val="Calibri"/>
        <family val="2"/>
        <scheme val="minor"/>
      </rPr>
      <t>2</t>
    </r>
    <r>
      <rPr>
        <sz val="11"/>
        <color theme="1"/>
        <rFont val="Calibri"/>
        <family val="2"/>
        <scheme val="minor"/>
      </rPr>
      <t>)</t>
    </r>
  </si>
  <si>
    <t>Neenah Type</t>
  </si>
  <si>
    <t>R3287-5</t>
  </si>
  <si>
    <t>OK</t>
  </si>
  <si>
    <t>R3393-A</t>
  </si>
  <si>
    <t>R3286-8V</t>
  </si>
  <si>
    <t>R3287-10V</t>
  </si>
  <si>
    <t>R3360-A</t>
  </si>
  <si>
    <t>R3593</t>
  </si>
  <si>
    <t>R3287-15</t>
  </si>
  <si>
    <t>SQA</t>
  </si>
  <si>
    <t>R4016-K</t>
  </si>
  <si>
    <t>OSD</t>
  </si>
  <si>
    <t>R3936-A</t>
  </si>
  <si>
    <t>sag calcs</t>
  </si>
  <si>
    <t>a (ft)</t>
  </si>
  <si>
    <t>L (ft)</t>
  </si>
  <si>
    <t>Clogging factor</t>
  </si>
  <si>
    <t>control depth (ft)</t>
  </si>
  <si>
    <t>Ao (sf)</t>
  </si>
  <si>
    <t>do (ft)</t>
  </si>
  <si>
    <t>dw (ft)</t>
  </si>
  <si>
    <t>HEC-22 spread (ft)</t>
  </si>
  <si>
    <t>grate inlet</t>
  </si>
  <si>
    <r>
      <t>S</t>
    </r>
    <r>
      <rPr>
        <i/>
        <vertAlign val="subscript"/>
        <sz val="11"/>
        <color theme="1"/>
        <rFont val="Calibri"/>
        <family val="2"/>
        <scheme val="minor"/>
      </rPr>
      <t>L</t>
    </r>
  </si>
  <si>
    <t>P (ft)</t>
  </si>
  <si>
    <t>curb inlet</t>
  </si>
  <si>
    <t>inlet bypass goes to</t>
  </si>
  <si>
    <t>bypass from other spreadsheets (cfs)</t>
  </si>
  <si>
    <t>Intensity (in/hr)</t>
  </si>
  <si>
    <t>Typically on-grade is 10 yr and sag is 50 yr</t>
  </si>
  <si>
    <t>Additional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</si>
</sst>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
    <numFmt numFmtId="166" formatCode="####\+##.#"/>
    <numFmt numFmtId="167" formatCode="0.0"/>
    <numFmt numFmtId="168" formatCode="#\+##"/>
  </numFmts>
  <fonts count="14" x14ac:knownFonts="1">
    <font>
      <sz val="11"/>
      <color theme="1"/>
      <name val="Calibri"/>
      <family val="2"/>
      <scheme val="minor"/>
    </font>
    <font>
      <b/>
      <i/>
      <sz val="14"/>
      <color theme="1"/>
      <name val="Calibri"/>
      <family val="2"/>
      <scheme val="minor"/>
    </font>
    <font>
      <b/>
      <i/>
      <sz val="11"/>
      <color theme="1"/>
      <name val="Calibri"/>
      <family val="2"/>
      <scheme val="minor"/>
    </font>
    <font>
      <b/>
      <i/>
      <sz val="11"/>
      <color rgb="FFFF0000"/>
      <name val="Calibri"/>
      <family val="2"/>
      <scheme val="minor"/>
    </font>
    <font>
      <vertAlign val="subscrip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i/>
      <vertAlign val="subscript"/>
      <sz val="11"/>
      <color theme="1"/>
      <name val="Calibri"/>
      <family val="2"/>
      <scheme val="minor"/>
    </font>
    <font>
      <b/>
      <sz val="11"/>
      <color rgb="FFFF0000"/>
      <name val="Calibri"/>
      <family val="2"/>
      <scheme val="minor"/>
    </font>
    <font>
      <u/>
      <sz val="11"/>
      <color theme="10"/>
      <name val="Calibri"/>
      <family val="2"/>
      <scheme val="minor"/>
    </font>
    <font>
      <u/>
      <sz val="14"/>
      <color indexed="30"/>
      <name val="Arial"/>
      <family val="1"/>
      <charset val="204"/>
    </font>
    <font>
      <sz val="11"/>
      <color theme="1"/>
      <name val="Calibri"/>
      <family val="2"/>
      <scheme val="minor"/>
    </font>
    <font>
      <vertAlign val="superscript"/>
      <sz val="11"/>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8" tint="0.59999389629810485"/>
        <bgColor indexed="64"/>
      </patternFill>
    </fill>
  </fills>
  <borders count="70">
    <border>
      <left/>
      <right/>
      <top/>
      <bottom/>
      <diagonal/>
    </border>
    <border>
      <left/>
      <right/>
      <top/>
      <bottom style="thin">
        <color indexed="64"/>
      </bottom>
      <diagonal/>
    </border>
    <border>
      <left/>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double">
        <color auto="1"/>
      </bottom>
      <diagonal/>
    </border>
    <border>
      <left/>
      <right/>
      <top/>
      <bottom style="double">
        <color auto="1"/>
      </bottom>
      <diagonal/>
    </border>
    <border>
      <left/>
      <right style="medium">
        <color auto="1"/>
      </right>
      <top/>
      <bottom style="double">
        <color auto="1"/>
      </bottom>
      <diagonal/>
    </border>
    <border>
      <left/>
      <right/>
      <top style="medium">
        <color indexed="64"/>
      </top>
      <bottom style="thin">
        <color indexed="64"/>
      </bottom>
      <diagonal/>
    </border>
    <border>
      <left style="medium">
        <color auto="1"/>
      </left>
      <right/>
      <top/>
      <bottom style="thin">
        <color indexed="64"/>
      </bottom>
      <diagonal/>
    </border>
    <border>
      <left/>
      <right style="medium">
        <color auto="1"/>
      </right>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style="medium">
        <color auto="1"/>
      </right>
      <top style="thin">
        <color indexed="64"/>
      </top>
      <bottom/>
      <diagonal/>
    </border>
    <border>
      <left style="thin">
        <color indexed="64"/>
      </left>
      <right style="medium">
        <color auto="1"/>
      </right>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style="double">
        <color indexed="64"/>
      </bottom>
      <diagonal/>
    </border>
    <border>
      <left style="medium">
        <color auto="1"/>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auto="1"/>
      </left>
      <right style="thin">
        <color auto="1"/>
      </right>
      <top style="thin">
        <color indexed="64"/>
      </top>
      <bottom/>
      <diagonal/>
    </border>
    <border>
      <left style="medium">
        <color auto="1"/>
      </left>
      <right style="thin">
        <color auto="1"/>
      </right>
      <top/>
      <bottom/>
      <diagonal/>
    </border>
    <border>
      <left style="medium">
        <color auto="1"/>
      </left>
      <right style="thin">
        <color auto="1"/>
      </right>
      <top/>
      <bottom style="thin">
        <color indexed="64"/>
      </bottom>
      <diagonal/>
    </border>
    <border>
      <left/>
      <right/>
      <top style="double">
        <color auto="1"/>
      </top>
      <bottom/>
      <diagonal/>
    </border>
    <border>
      <left style="medium">
        <color auto="1"/>
      </left>
      <right style="thin">
        <color indexed="64"/>
      </right>
      <top style="medium">
        <color auto="1"/>
      </top>
      <bottom/>
      <diagonal/>
    </border>
    <border>
      <left style="medium">
        <color auto="1"/>
      </left>
      <right style="thin">
        <color indexed="64"/>
      </right>
      <top/>
      <bottom style="double">
        <color auto="1"/>
      </bottom>
      <diagonal/>
    </border>
    <border>
      <left style="medium">
        <color auto="1"/>
      </left>
      <right style="thin">
        <color indexed="64"/>
      </right>
      <top/>
      <bottom style="medium">
        <color auto="1"/>
      </bottom>
      <diagonal/>
    </border>
    <border>
      <left style="medium">
        <color auto="1"/>
      </left>
      <right style="thin">
        <color auto="1"/>
      </right>
      <top style="double">
        <color auto="1"/>
      </top>
      <bottom style="thin">
        <color indexed="64"/>
      </bottom>
      <diagonal/>
    </border>
    <border>
      <left style="medium">
        <color auto="1"/>
      </left>
      <right style="thin">
        <color auto="1"/>
      </right>
      <top style="thin">
        <color indexed="64"/>
      </top>
      <bottom style="thin">
        <color indexed="64"/>
      </bottom>
      <diagonal/>
    </border>
    <border>
      <left/>
      <right style="dashed">
        <color indexed="64"/>
      </right>
      <top style="medium">
        <color auto="1"/>
      </top>
      <bottom/>
      <diagonal/>
    </border>
    <border>
      <left/>
      <right style="dashed">
        <color indexed="64"/>
      </right>
      <top/>
      <bottom/>
      <diagonal/>
    </border>
    <border>
      <left/>
      <right style="dashed">
        <color indexed="64"/>
      </right>
      <top style="medium">
        <color auto="1"/>
      </top>
      <bottom style="thin">
        <color indexed="64"/>
      </bottom>
      <diagonal/>
    </border>
    <border>
      <left style="medium">
        <color auto="1"/>
      </left>
      <right style="medium">
        <color indexed="64"/>
      </right>
      <top/>
      <bottom/>
      <diagonal/>
    </border>
    <border>
      <left style="thin">
        <color indexed="64"/>
      </left>
      <right style="thin">
        <color indexed="64"/>
      </right>
      <top style="thin">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style="dotted">
        <color indexed="64"/>
      </right>
      <top style="medium">
        <color auto="1"/>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double">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0" fillId="0" borderId="0" applyNumberFormat="0" applyFill="0" applyBorder="0" applyAlignment="0" applyProtection="0"/>
    <xf numFmtId="9" fontId="12" fillId="0" borderId="0" applyFont="0" applyFill="0" applyBorder="0" applyAlignment="0" applyProtection="0"/>
  </cellStyleXfs>
  <cellXfs count="172">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quotePrefix="1"/>
    <xf numFmtId="0" fontId="0" fillId="0" borderId="1" xfId="0" applyBorder="1"/>
    <xf numFmtId="0" fontId="1" fillId="0" borderId="0" xfId="0" applyFont="1"/>
    <xf numFmtId="0" fontId="2" fillId="0" borderId="0" xfId="0" applyFont="1" applyAlignment="1">
      <alignment horizontal="right"/>
    </xf>
    <xf numFmtId="0" fontId="3" fillId="0" borderId="0" xfId="0" applyFont="1"/>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6" xfId="0" applyBorder="1"/>
    <xf numFmtId="0" fontId="0" fillId="0" borderId="7" xfId="0" applyBorder="1"/>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4" xfId="0" applyBorder="1"/>
    <xf numFmtId="0" fontId="0" fillId="0" borderId="5" xfId="0" applyBorder="1"/>
    <xf numFmtId="164" fontId="0" fillId="0" borderId="9" xfId="0" applyNumberFormat="1" applyBorder="1" applyAlignment="1">
      <alignment horizontal="center"/>
    </xf>
    <xf numFmtId="2" fontId="0" fillId="0" borderId="0" xfId="0" applyNumberFormat="1" applyAlignment="1">
      <alignment horizontal="center"/>
    </xf>
    <xf numFmtId="0" fontId="0" fillId="0" borderId="3" xfId="0" applyBorder="1"/>
    <xf numFmtId="2" fontId="0" fillId="0" borderId="7"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0" fontId="5" fillId="0" borderId="0" xfId="0" applyFont="1"/>
    <xf numFmtId="0" fontId="6" fillId="0" borderId="0" xfId="0" applyFont="1"/>
    <xf numFmtId="164" fontId="0" fillId="0" borderId="6" xfId="0" applyNumberFormat="1" applyBorder="1" applyAlignment="1">
      <alignment horizontal="center"/>
    </xf>
    <xf numFmtId="165" fontId="0" fillId="0" borderId="0" xfId="0" applyNumberFormat="1"/>
    <xf numFmtId="0" fontId="2" fillId="0" borderId="0" xfId="0" applyFont="1" applyAlignment="1">
      <alignment horizontal="center"/>
    </xf>
    <xf numFmtId="0" fontId="0" fillId="0" borderId="14" xfId="0" applyBorder="1"/>
    <xf numFmtId="0" fontId="0" fillId="0" borderId="0" xfId="0" applyAlignment="1">
      <alignment horizontal="right"/>
    </xf>
    <xf numFmtId="0" fontId="0" fillId="0" borderId="15" xfId="0" applyBorder="1"/>
    <xf numFmtId="0" fontId="0" fillId="0" borderId="16" xfId="0" applyBorder="1"/>
    <xf numFmtId="0" fontId="0" fillId="0" borderId="17"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xf>
    <xf numFmtId="0" fontId="0" fillId="0" borderId="22" xfId="0" applyBorder="1"/>
    <xf numFmtId="0" fontId="0" fillId="0" borderId="23" xfId="0" applyBorder="1"/>
    <xf numFmtId="0" fontId="0" fillId="0" borderId="24" xfId="0" applyBorder="1"/>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7" fillId="0" borderId="38" xfId="0" applyFont="1" applyBorder="1" applyAlignment="1">
      <alignment horizontal="center"/>
    </xf>
    <xf numFmtId="0" fontId="0" fillId="0" borderId="42"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2" fontId="0" fillId="0" borderId="29" xfId="0" applyNumberFormat="1" applyBorder="1" applyAlignment="1">
      <alignment horizontal="center"/>
    </xf>
    <xf numFmtId="2" fontId="0" fillId="0" borderId="32" xfId="0" applyNumberFormat="1" applyBorder="1" applyAlignment="1">
      <alignment horizontal="center"/>
    </xf>
    <xf numFmtId="2" fontId="0" fillId="0" borderId="35" xfId="0" applyNumberFormat="1" applyBorder="1" applyAlignment="1">
      <alignment horizontal="center"/>
    </xf>
    <xf numFmtId="2" fontId="0" fillId="0" borderId="1" xfId="0" applyNumberFormat="1" applyBorder="1" applyAlignment="1">
      <alignment horizontal="center"/>
    </xf>
    <xf numFmtId="165" fontId="0" fillId="0" borderId="29" xfId="0" applyNumberFormat="1" applyBorder="1" applyAlignment="1">
      <alignment horizontal="center"/>
    </xf>
    <xf numFmtId="164" fontId="0" fillId="0" borderId="29" xfId="0" applyNumberFormat="1" applyBorder="1" applyAlignment="1">
      <alignment horizontal="center"/>
    </xf>
    <xf numFmtId="164" fontId="0" fillId="0" borderId="32" xfId="0" applyNumberFormat="1" applyBorder="1" applyAlignment="1">
      <alignment horizontal="center"/>
    </xf>
    <xf numFmtId="164" fontId="0" fillId="0" borderId="35" xfId="0" applyNumberFormat="1" applyBorder="1" applyAlignment="1">
      <alignment horizontal="center"/>
    </xf>
    <xf numFmtId="165" fontId="0" fillId="0" borderId="32" xfId="0" applyNumberFormat="1" applyBorder="1" applyAlignment="1">
      <alignment horizontal="center"/>
    </xf>
    <xf numFmtId="165" fontId="0" fillId="0" borderId="35" xfId="0" applyNumberFormat="1" applyBorder="1" applyAlignment="1">
      <alignment horizontal="center"/>
    </xf>
    <xf numFmtId="1" fontId="0" fillId="0" borderId="29" xfId="0" applyNumberFormat="1" applyBorder="1" applyAlignment="1">
      <alignment horizontal="center"/>
    </xf>
    <xf numFmtId="1" fontId="0" fillId="0" borderId="32" xfId="0" applyNumberFormat="1" applyBorder="1" applyAlignment="1">
      <alignment horizontal="center"/>
    </xf>
    <xf numFmtId="1" fontId="0" fillId="0" borderId="35" xfId="0" applyNumberFormat="1" applyBorder="1" applyAlignment="1">
      <alignment horizontal="center"/>
    </xf>
    <xf numFmtId="167" fontId="0" fillId="0" borderId="0" xfId="0" applyNumberFormat="1"/>
    <xf numFmtId="164" fontId="0" fillId="0" borderId="8" xfId="0" applyNumberFormat="1" applyBorder="1" applyAlignment="1">
      <alignment horizontal="center"/>
    </xf>
    <xf numFmtId="0" fontId="0" fillId="0" borderId="43" xfId="0" applyBorder="1"/>
    <xf numFmtId="0" fontId="0" fillId="0" borderId="0" xfId="0" applyProtection="1">
      <protection locked="0"/>
    </xf>
    <xf numFmtId="0" fontId="0" fillId="0" borderId="30" xfId="0" applyBorder="1" applyProtection="1">
      <protection locked="0"/>
    </xf>
    <xf numFmtId="0" fontId="0" fillId="0" borderId="33" xfId="0" applyBorder="1" applyProtection="1">
      <protection locked="0"/>
    </xf>
    <xf numFmtId="0" fontId="0" fillId="0" borderId="36" xfId="0" applyBorder="1" applyProtection="1">
      <protection locked="0"/>
    </xf>
    <xf numFmtId="168" fontId="0" fillId="0" borderId="1" xfId="0" applyNumberFormat="1" applyBorder="1"/>
    <xf numFmtId="168" fontId="0" fillId="0" borderId="29" xfId="0" applyNumberFormat="1" applyBorder="1" applyAlignment="1">
      <alignment horizontal="center"/>
    </xf>
    <xf numFmtId="168" fontId="0" fillId="0" borderId="32" xfId="0" applyNumberFormat="1" applyBorder="1" applyAlignment="1">
      <alignment horizontal="center"/>
    </xf>
    <xf numFmtId="168" fontId="0" fillId="0" borderId="35" xfId="0" applyNumberFormat="1" applyBorder="1" applyAlignment="1">
      <alignment horizontal="center"/>
    </xf>
    <xf numFmtId="164" fontId="0" fillId="0" borderId="0" xfId="0" applyNumberFormat="1"/>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0" borderId="0" xfId="0" quotePrefix="1" applyAlignment="1">
      <alignment horizontal="center"/>
    </xf>
    <xf numFmtId="0" fontId="9" fillId="0" borderId="0" xfId="0" applyFont="1"/>
    <xf numFmtId="0" fontId="0" fillId="2" borderId="44" xfId="0" applyFill="1" applyBorder="1" applyAlignment="1">
      <alignment horizontal="center"/>
    </xf>
    <xf numFmtId="0" fontId="0" fillId="2" borderId="45" xfId="0" applyFill="1" applyBorder="1" applyAlignment="1">
      <alignment horizontal="center"/>
    </xf>
    <xf numFmtId="0" fontId="3" fillId="0" borderId="9" xfId="0" applyFont="1" applyBorder="1"/>
    <xf numFmtId="0" fontId="0" fillId="0" borderId="52" xfId="0" applyBorder="1"/>
    <xf numFmtId="164" fontId="0" fillId="0" borderId="0" xfId="0" applyNumberFormat="1" applyAlignment="1">
      <alignment horizontal="center"/>
    </xf>
    <xf numFmtId="2" fontId="0" fillId="0" borderId="6" xfId="0" applyNumberFormat="1" applyBorder="1" applyAlignment="1">
      <alignment horizontal="center"/>
    </xf>
    <xf numFmtId="2" fontId="0" fillId="0" borderId="8" xfId="0" applyNumberFormat="1" applyBorder="1" applyAlignment="1">
      <alignment horizontal="center"/>
    </xf>
    <xf numFmtId="0" fontId="0" fillId="0" borderId="53" xfId="0" applyBorder="1"/>
    <xf numFmtId="0" fontId="0" fillId="0" borderId="53" xfId="0" applyBorder="1" applyAlignment="1">
      <alignment horizontal="center"/>
    </xf>
    <xf numFmtId="0" fontId="0" fillId="4" borderId="53" xfId="0" applyFill="1" applyBorder="1" applyAlignment="1" applyProtection="1">
      <alignment horizontal="center"/>
      <protection locked="0"/>
    </xf>
    <xf numFmtId="166" fontId="0" fillId="0" borderId="53" xfId="0" applyNumberFormat="1" applyBorder="1" applyAlignment="1">
      <alignment horizontal="center"/>
    </xf>
    <xf numFmtId="166" fontId="0" fillId="4" borderId="53" xfId="0" applyNumberFormat="1" applyFill="1" applyBorder="1" applyAlignment="1" applyProtection="1">
      <alignment horizontal="center"/>
      <protection locked="0"/>
    </xf>
    <xf numFmtId="0" fontId="0" fillId="4" borderId="53" xfId="0" quotePrefix="1" applyFill="1" applyBorder="1" applyAlignment="1" applyProtection="1">
      <alignment horizontal="center"/>
      <protection locked="0"/>
    </xf>
    <xf numFmtId="0" fontId="0" fillId="3" borderId="53" xfId="0" applyFill="1" applyBorder="1"/>
    <xf numFmtId="0" fontId="0" fillId="4" borderId="53" xfId="0" applyFill="1" applyBorder="1" applyProtection="1">
      <protection locked="0"/>
    </xf>
    <xf numFmtId="166" fontId="0" fillId="4" borderId="53" xfId="0" applyNumberFormat="1" applyFill="1" applyBorder="1" applyProtection="1">
      <protection locked="0"/>
    </xf>
    <xf numFmtId="0" fontId="11" fillId="0" borderId="0" xfId="0" applyFont="1" applyAlignment="1">
      <alignment wrapText="1"/>
    </xf>
    <xf numFmtId="164" fontId="0" fillId="0" borderId="7" xfId="0" applyNumberFormat="1" applyBorder="1" applyAlignment="1">
      <alignment horizontal="center"/>
    </xf>
    <xf numFmtId="0" fontId="0" fillId="4" borderId="1" xfId="0" applyFill="1" applyBorder="1" applyAlignment="1" applyProtection="1">
      <alignment horizontal="center"/>
      <protection locked="0"/>
    </xf>
    <xf numFmtId="164" fontId="0" fillId="4" borderId="0" xfId="0" applyNumberFormat="1" applyFill="1" applyAlignment="1">
      <alignment horizontal="center"/>
    </xf>
    <xf numFmtId="164" fontId="0" fillId="0" borderId="12" xfId="0" applyNumberFormat="1" applyBorder="1" applyAlignment="1">
      <alignment horizontal="center"/>
    </xf>
    <xf numFmtId="166" fontId="0" fillId="0" borderId="0" xfId="0" applyNumberFormat="1" applyAlignment="1" applyProtection="1">
      <alignment horizontal="center"/>
      <protection locked="0"/>
    </xf>
    <xf numFmtId="0" fontId="0" fillId="0" borderId="8" xfId="0" applyBorder="1"/>
    <xf numFmtId="0" fontId="0" fillId="0" borderId="10" xfId="0" applyBorder="1"/>
    <xf numFmtId="0" fontId="0" fillId="0" borderId="13" xfId="0" applyBorder="1" applyAlignment="1">
      <alignment horizontal="center" wrapText="1"/>
    </xf>
    <xf numFmtId="0" fontId="6" fillId="0" borderId="0" xfId="0" applyFont="1" applyAlignment="1">
      <alignment horizontal="right"/>
    </xf>
    <xf numFmtId="0" fontId="0" fillId="0" borderId="0" xfId="0" applyAlignment="1" applyProtection="1">
      <alignment horizontal="center"/>
      <protection locked="0"/>
    </xf>
    <xf numFmtId="2" fontId="0" fillId="0" borderId="0" xfId="0" applyNumberFormat="1"/>
    <xf numFmtId="9" fontId="0" fillId="0" borderId="0" xfId="2" applyFont="1" applyBorder="1"/>
    <xf numFmtId="2" fontId="0" fillId="0" borderId="7" xfId="0" applyNumberFormat="1" applyBorder="1"/>
    <xf numFmtId="0" fontId="0" fillId="0" borderId="9" xfId="0" applyBorder="1"/>
    <xf numFmtId="2" fontId="0" fillId="0" borderId="9" xfId="0" applyNumberFormat="1" applyBorder="1"/>
    <xf numFmtId="9" fontId="0" fillId="0" borderId="9" xfId="2" applyFont="1" applyBorder="1"/>
    <xf numFmtId="2" fontId="0" fillId="0" borderId="10" xfId="0" applyNumberFormat="1" applyBorder="1"/>
    <xf numFmtId="0" fontId="0" fillId="0" borderId="11" xfId="0" applyBorder="1"/>
    <xf numFmtId="0" fontId="0" fillId="0" borderId="12" xfId="0" applyBorder="1"/>
    <xf numFmtId="2" fontId="0" fillId="0" borderId="59" xfId="0" applyNumberFormat="1" applyBorder="1" applyAlignment="1">
      <alignment horizontal="center"/>
    </xf>
    <xf numFmtId="164" fontId="0" fillId="0" borderId="60" xfId="0" applyNumberFormat="1" applyBorder="1" applyAlignment="1">
      <alignment horizontal="center"/>
    </xf>
    <xf numFmtId="2" fontId="0" fillId="0" borderId="61" xfId="0" applyNumberFormat="1" applyBorder="1" applyAlignment="1">
      <alignment horizontal="center"/>
    </xf>
    <xf numFmtId="2" fontId="0" fillId="0" borderId="62" xfId="0" applyNumberFormat="1" applyBorder="1" applyAlignment="1">
      <alignment horizontal="center"/>
    </xf>
    <xf numFmtId="0" fontId="0" fillId="4" borderId="53" xfId="0" applyFill="1" applyBorder="1"/>
    <xf numFmtId="0" fontId="6" fillId="0" borderId="53" xfId="0" applyFont="1" applyBorder="1" applyAlignment="1">
      <alignment wrapText="1"/>
    </xf>
    <xf numFmtId="0" fontId="0" fillId="2" borderId="53" xfId="0" applyFill="1" applyBorder="1" applyAlignment="1">
      <alignment horizontal="center"/>
    </xf>
    <xf numFmtId="2" fontId="0" fillId="4" borderId="53" xfId="0" applyNumberFormat="1" applyFill="1" applyBorder="1" applyAlignment="1">
      <alignment horizontal="center"/>
    </xf>
    <xf numFmtId="2" fontId="0" fillId="4" borderId="64" xfId="0" applyNumberFormat="1" applyFill="1" applyBorder="1" applyAlignment="1">
      <alignment horizontal="center"/>
    </xf>
    <xf numFmtId="0" fontId="0" fillId="0" borderId="63" xfId="0" applyBorder="1" applyAlignment="1">
      <alignment horizontal="center"/>
    </xf>
    <xf numFmtId="2" fontId="0" fillId="4" borderId="63" xfId="0" applyNumberFormat="1" applyFill="1" applyBorder="1" applyAlignment="1">
      <alignment horizontal="center"/>
    </xf>
    <xf numFmtId="2" fontId="0" fillId="4" borderId="65" xfId="0" applyNumberForma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0" fillId="0" borderId="53" xfId="0" applyBorder="1" applyAlignment="1">
      <alignment horizontal="center"/>
    </xf>
    <xf numFmtId="0" fontId="0" fillId="0" borderId="4" xfId="0" applyBorder="1" applyAlignment="1">
      <alignment horizontal="center" wrapText="1"/>
    </xf>
    <xf numFmtId="0" fontId="0" fillId="0" borderId="0" xfId="0" applyAlignment="1">
      <alignment horizontal="center" wrapText="1"/>
    </xf>
    <xf numFmtId="0" fontId="2" fillId="0" borderId="14" xfId="0" applyFont="1" applyBorder="1" applyAlignment="1">
      <alignment horizontal="center"/>
    </xf>
    <xf numFmtId="0" fontId="2" fillId="0" borderId="51" xfId="0" applyFont="1" applyBorder="1" applyAlignment="1">
      <alignment horizontal="center"/>
    </xf>
    <xf numFmtId="0" fontId="0" fillId="0" borderId="3"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7" xfId="0" applyBorder="1" applyAlignment="1">
      <alignment horizontal="center" wrapText="1"/>
    </xf>
    <xf numFmtId="0" fontId="10" fillId="0" borderId="53" xfId="1" applyBorder="1" applyAlignment="1">
      <alignment horizontal="left"/>
    </xf>
    <xf numFmtId="0" fontId="6" fillId="5" borderId="53" xfId="0" applyFont="1" applyFill="1" applyBorder="1" applyAlignment="1">
      <alignment horizontal="center"/>
    </xf>
    <xf numFmtId="0" fontId="0" fillId="0" borderId="12" xfId="0" applyBorder="1" applyAlignment="1">
      <alignment horizontal="center" wrapText="1"/>
    </xf>
    <xf numFmtId="0" fontId="0" fillId="0" borderId="13" xfId="0" applyBorder="1" applyAlignment="1">
      <alignment horizontal="center" wrapText="1"/>
    </xf>
    <xf numFmtId="0" fontId="0" fillId="2" borderId="66" xfId="0" applyFill="1" applyBorder="1" applyAlignment="1">
      <alignment horizontal="center"/>
    </xf>
    <xf numFmtId="0" fontId="0" fillId="2" borderId="67" xfId="0" applyFill="1" applyBorder="1" applyAlignment="1">
      <alignment horizontal="center"/>
    </xf>
    <xf numFmtId="0" fontId="6" fillId="5" borderId="6" xfId="0" applyFont="1" applyFill="1" applyBorder="1" applyAlignment="1">
      <alignment horizontal="center" wrapText="1"/>
    </xf>
    <xf numFmtId="0" fontId="0" fillId="0" borderId="54"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0" fontId="0" fillId="0" borderId="58" xfId="0" applyBorder="1" applyAlignment="1">
      <alignment horizontal="center" wrapText="1"/>
    </xf>
    <xf numFmtId="0" fontId="0" fillId="4" borderId="1" xfId="0" applyFill="1" applyBorder="1" applyAlignment="1">
      <alignment horizontal="center"/>
    </xf>
    <xf numFmtId="0" fontId="0" fillId="4" borderId="2" xfId="0" applyFill="1" applyBorder="1" applyAlignment="1" applyProtection="1">
      <alignment horizontal="center"/>
      <protection locked="0"/>
    </xf>
    <xf numFmtId="49"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center"/>
      <protection locked="0"/>
    </xf>
    <xf numFmtId="14" fontId="0" fillId="4" borderId="2" xfId="0" applyNumberFormat="1" applyFill="1" applyBorder="1" applyAlignment="1" applyProtection="1">
      <alignment horizontal="center"/>
      <protection locked="0"/>
    </xf>
    <xf numFmtId="0" fontId="6" fillId="5" borderId="68" xfId="0" applyFont="1" applyFill="1" applyBorder="1" applyAlignment="1">
      <alignment horizontal="center"/>
    </xf>
    <xf numFmtId="0" fontId="6" fillId="5" borderId="2" xfId="0" applyFont="1" applyFill="1" applyBorder="1" applyAlignment="1">
      <alignment horizontal="center"/>
    </xf>
    <xf numFmtId="0" fontId="6" fillId="5" borderId="69" xfId="0" applyFont="1" applyFill="1" applyBorder="1" applyAlignment="1">
      <alignment horizontal="center"/>
    </xf>
    <xf numFmtId="0" fontId="6" fillId="0" borderId="0" xfId="0" applyFont="1" applyAlignment="1">
      <alignment horizontal="center"/>
    </xf>
    <xf numFmtId="14" fontId="0" fillId="0" borderId="2" xfId="0" applyNumberFormat="1" applyBorder="1" applyAlignment="1">
      <alignment horizontal="left"/>
    </xf>
  </cellXfs>
  <cellStyles count="3">
    <cellStyle name="Hyperlink" xfId="1" builtinId="8"/>
    <cellStyle name="Normal" xfId="0" builtinId="0"/>
    <cellStyle name="Percent" xfId="2" builtinId="5"/>
  </cellStyles>
  <dxfs count="3">
    <dxf>
      <font>
        <color rgb="FF006100"/>
      </font>
      <fill>
        <patternFill>
          <bgColor rgb="FFC6EFCE"/>
        </patternFill>
      </fill>
    </dxf>
    <dxf>
      <font>
        <b/>
        <i val="0"/>
        <color rgb="FFFF0000"/>
      </font>
    </dxf>
    <dxf>
      <fill>
        <patternFill patternType="solid">
          <bgColor rgb="FFFFFF00"/>
        </patternFill>
      </fill>
      <border>
        <left style="thin">
          <color auto="1"/>
        </left>
        <right style="thin">
          <color auto="1"/>
        </right>
        <top style="thin">
          <color auto="1"/>
        </top>
        <bottom style="thin">
          <color auto="1"/>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23</xdr:col>
      <xdr:colOff>247650</xdr:colOff>
      <xdr:row>0</xdr:row>
      <xdr:rowOff>228601</xdr:rowOff>
    </xdr:from>
    <xdr:to>
      <xdr:col>29</xdr:col>
      <xdr:colOff>381000</xdr:colOff>
      <xdr:row>4</xdr:row>
      <xdr:rowOff>179296</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5431621" y="228601"/>
          <a:ext cx="4032997" cy="134022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chemeClr val="dk1"/>
              </a:solidFill>
              <a:effectLst/>
              <a:latin typeface="+mn-lt"/>
              <a:ea typeface="+mn-ea"/>
              <a:cs typeface="+mn-cs"/>
            </a:rPr>
            <a:t>Disclaimer: “This spreadsheet is intended as a tool to provide convenience in hydraulic design.  There is no guarantee, either implied or explicit, as to the accuracy or reliability of the results provided by this spreadsheet.  By using this spreadsheet, the user agrees to take full responsibility for the input data and for the interpretation and use of the spreadsheet results.”</a:t>
          </a:r>
        </a:p>
        <a:p>
          <a:endParaRPr lang="en-US" sz="1100" i="1">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p>
      </xdr:txBody>
    </xdr:sp>
    <xdr:clientData/>
  </xdr:twoCellAnchor>
  <xdr:twoCellAnchor editAs="oneCell">
    <xdr:from>
      <xdr:col>0</xdr:col>
      <xdr:colOff>0</xdr:colOff>
      <xdr:row>44</xdr:row>
      <xdr:rowOff>0</xdr:rowOff>
    </xdr:from>
    <xdr:to>
      <xdr:col>22</xdr:col>
      <xdr:colOff>314325</xdr:colOff>
      <xdr:row>94</xdr:row>
      <xdr:rowOff>152400</xdr:rowOff>
    </xdr:to>
    <xdr:pic>
      <xdr:nvPicPr>
        <xdr:cNvPr id="3" name="Picture 2">
          <a:extLst>
            <a:ext uri="{FF2B5EF4-FFF2-40B4-BE49-F238E27FC236}">
              <a16:creationId xmlns:a16="http://schemas.microsoft.com/office/drawing/2014/main" id="{0E0812D3-D65E-E0EB-608E-C502851B4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63025"/>
          <a:ext cx="14811375" cy="967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68</xdr:col>
      <xdr:colOff>0</xdr:colOff>
      <xdr:row>2</xdr:row>
      <xdr:rowOff>0</xdr:rowOff>
    </xdr:from>
    <xdr:to>
      <xdr:col>76</xdr:col>
      <xdr:colOff>296039</xdr:colOff>
      <xdr:row>8</xdr:row>
      <xdr:rowOff>66849</xdr:rowOff>
    </xdr:to>
    <xdr:pic>
      <xdr:nvPicPr>
        <xdr:cNvPr id="4" name="Picture 3">
          <a:extLst>
            <a:ext uri="{FF2B5EF4-FFF2-40B4-BE49-F238E27FC236}">
              <a16:creationId xmlns:a16="http://schemas.microsoft.com/office/drawing/2014/main" id="{AB6A0102-AB1C-DBC3-3274-A223CE884651}"/>
            </a:ext>
          </a:extLst>
        </xdr:cNvPr>
        <xdr:cNvPicPr>
          <a:picLocks noChangeAspect="1"/>
        </xdr:cNvPicPr>
      </xdr:nvPicPr>
      <xdr:blipFill>
        <a:blip xmlns:r="http://schemas.openxmlformats.org/officeDocument/2006/relationships" r:embed="rId2"/>
        <a:stretch>
          <a:fillRect/>
        </a:stretch>
      </xdr:blipFill>
      <xdr:spPr>
        <a:xfrm>
          <a:off x="43176825" y="428625"/>
          <a:ext cx="5477639" cy="1238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1</xdr:row>
      <xdr:rowOff>38100</xdr:rowOff>
    </xdr:from>
    <xdr:to>
      <xdr:col>29</xdr:col>
      <xdr:colOff>134134</xdr:colOff>
      <xdr:row>43</xdr:row>
      <xdr:rowOff>86858</xdr:rowOff>
    </xdr:to>
    <xdr:pic>
      <xdr:nvPicPr>
        <xdr:cNvPr id="2" name="Picture 1">
          <a:extLst>
            <a:ext uri="{FF2B5EF4-FFF2-40B4-BE49-F238E27FC236}">
              <a16:creationId xmlns:a16="http://schemas.microsoft.com/office/drawing/2014/main" id="{B9D8A3D5-5342-4ADC-8113-6644812F9704}"/>
            </a:ext>
          </a:extLst>
        </xdr:cNvPr>
        <xdr:cNvPicPr>
          <a:picLocks noChangeAspect="1"/>
        </xdr:cNvPicPr>
      </xdr:nvPicPr>
      <xdr:blipFill>
        <a:blip xmlns:r="http://schemas.openxmlformats.org/officeDocument/2006/relationships" r:embed="rId1"/>
        <a:stretch>
          <a:fillRect/>
        </a:stretch>
      </xdr:blipFill>
      <xdr:spPr>
        <a:xfrm>
          <a:off x="12192000" y="228600"/>
          <a:ext cx="5620534" cy="8116433"/>
        </a:xfrm>
        <a:prstGeom prst="rect">
          <a:avLst/>
        </a:prstGeom>
      </xdr:spPr>
    </xdr:pic>
    <xdr:clientData/>
  </xdr:twoCellAnchor>
  <xdr:twoCellAnchor editAs="oneCell">
    <xdr:from>
      <xdr:col>30</xdr:col>
      <xdr:colOff>47625</xdr:colOff>
      <xdr:row>1</xdr:row>
      <xdr:rowOff>0</xdr:rowOff>
    </xdr:from>
    <xdr:to>
      <xdr:col>39</xdr:col>
      <xdr:colOff>105549</xdr:colOff>
      <xdr:row>39</xdr:row>
      <xdr:rowOff>162967</xdr:rowOff>
    </xdr:to>
    <xdr:pic>
      <xdr:nvPicPr>
        <xdr:cNvPr id="3" name="Picture 2">
          <a:extLst>
            <a:ext uri="{FF2B5EF4-FFF2-40B4-BE49-F238E27FC236}">
              <a16:creationId xmlns:a16="http://schemas.microsoft.com/office/drawing/2014/main" id="{5E53ED42-E082-4250-9150-493D23C2B5BC}"/>
            </a:ext>
          </a:extLst>
        </xdr:cNvPr>
        <xdr:cNvPicPr>
          <a:picLocks noChangeAspect="1"/>
        </xdr:cNvPicPr>
      </xdr:nvPicPr>
      <xdr:blipFill>
        <a:blip xmlns:r="http://schemas.openxmlformats.org/officeDocument/2006/relationships" r:embed="rId2"/>
        <a:stretch>
          <a:fillRect/>
        </a:stretch>
      </xdr:blipFill>
      <xdr:spPr>
        <a:xfrm>
          <a:off x="18335625" y="190500"/>
          <a:ext cx="5544324" cy="7468642"/>
        </a:xfrm>
        <a:prstGeom prst="rect">
          <a:avLst/>
        </a:prstGeom>
      </xdr:spPr>
    </xdr:pic>
    <xdr:clientData/>
  </xdr:twoCellAnchor>
  <xdr:twoCellAnchor editAs="oneCell">
    <xdr:from>
      <xdr:col>40</xdr:col>
      <xdr:colOff>0</xdr:colOff>
      <xdr:row>1</xdr:row>
      <xdr:rowOff>0</xdr:rowOff>
    </xdr:from>
    <xdr:to>
      <xdr:col>51</xdr:col>
      <xdr:colOff>515358</xdr:colOff>
      <xdr:row>47</xdr:row>
      <xdr:rowOff>67917</xdr:rowOff>
    </xdr:to>
    <xdr:pic>
      <xdr:nvPicPr>
        <xdr:cNvPr id="4" name="Picture 3">
          <a:extLst>
            <a:ext uri="{FF2B5EF4-FFF2-40B4-BE49-F238E27FC236}">
              <a16:creationId xmlns:a16="http://schemas.microsoft.com/office/drawing/2014/main" id="{86A2C386-3E76-4E52-A87A-13410D4B3D4C}"/>
            </a:ext>
          </a:extLst>
        </xdr:cNvPr>
        <xdr:cNvPicPr>
          <a:picLocks noChangeAspect="1"/>
        </xdr:cNvPicPr>
      </xdr:nvPicPr>
      <xdr:blipFill>
        <a:blip xmlns:r="http://schemas.openxmlformats.org/officeDocument/2006/relationships" r:embed="rId3"/>
        <a:stretch>
          <a:fillRect/>
        </a:stretch>
      </xdr:blipFill>
      <xdr:spPr>
        <a:xfrm>
          <a:off x="24384000" y="190500"/>
          <a:ext cx="7220958" cy="8897592"/>
        </a:xfrm>
        <a:prstGeom prst="rect">
          <a:avLst/>
        </a:prstGeom>
      </xdr:spPr>
    </xdr:pic>
    <xdr:clientData/>
  </xdr:twoCellAnchor>
  <xdr:twoCellAnchor editAs="oneCell">
    <xdr:from>
      <xdr:col>40</xdr:col>
      <xdr:colOff>0</xdr:colOff>
      <xdr:row>48</xdr:row>
      <xdr:rowOff>0</xdr:rowOff>
    </xdr:from>
    <xdr:to>
      <xdr:col>52</xdr:col>
      <xdr:colOff>448758</xdr:colOff>
      <xdr:row>97</xdr:row>
      <xdr:rowOff>182303</xdr:rowOff>
    </xdr:to>
    <xdr:pic>
      <xdr:nvPicPr>
        <xdr:cNvPr id="5" name="Picture 4">
          <a:extLst>
            <a:ext uri="{FF2B5EF4-FFF2-40B4-BE49-F238E27FC236}">
              <a16:creationId xmlns:a16="http://schemas.microsoft.com/office/drawing/2014/main" id="{4FF57A64-17CA-440C-98CA-490058FAAB8B}"/>
            </a:ext>
          </a:extLst>
        </xdr:cNvPr>
        <xdr:cNvPicPr>
          <a:picLocks noChangeAspect="1"/>
        </xdr:cNvPicPr>
      </xdr:nvPicPr>
      <xdr:blipFill>
        <a:blip xmlns:r="http://schemas.openxmlformats.org/officeDocument/2006/relationships" r:embed="rId4"/>
        <a:stretch>
          <a:fillRect/>
        </a:stretch>
      </xdr:blipFill>
      <xdr:spPr>
        <a:xfrm>
          <a:off x="24384000" y="9210675"/>
          <a:ext cx="7763958" cy="9516803"/>
        </a:xfrm>
        <a:prstGeom prst="rect">
          <a:avLst/>
        </a:prstGeom>
      </xdr:spPr>
    </xdr:pic>
    <xdr:clientData/>
  </xdr:twoCellAnchor>
  <xdr:twoCellAnchor editAs="oneCell">
    <xdr:from>
      <xdr:col>53</xdr:col>
      <xdr:colOff>0</xdr:colOff>
      <xdr:row>1</xdr:row>
      <xdr:rowOff>0</xdr:rowOff>
    </xdr:from>
    <xdr:to>
      <xdr:col>63</xdr:col>
      <xdr:colOff>19904</xdr:colOff>
      <xdr:row>41</xdr:row>
      <xdr:rowOff>182073</xdr:rowOff>
    </xdr:to>
    <xdr:pic>
      <xdr:nvPicPr>
        <xdr:cNvPr id="6" name="Picture 5">
          <a:extLst>
            <a:ext uri="{FF2B5EF4-FFF2-40B4-BE49-F238E27FC236}">
              <a16:creationId xmlns:a16="http://schemas.microsoft.com/office/drawing/2014/main" id="{734E57D2-E844-3208-FA7A-28FFE5B4B111}"/>
            </a:ext>
          </a:extLst>
        </xdr:cNvPr>
        <xdr:cNvPicPr>
          <a:picLocks noChangeAspect="1"/>
        </xdr:cNvPicPr>
      </xdr:nvPicPr>
      <xdr:blipFill>
        <a:blip xmlns:r="http://schemas.openxmlformats.org/officeDocument/2006/relationships" r:embed="rId5"/>
        <a:stretch>
          <a:fillRect/>
        </a:stretch>
      </xdr:blipFill>
      <xdr:spPr>
        <a:xfrm>
          <a:off x="32308800" y="190500"/>
          <a:ext cx="6115904" cy="786874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https://www.in.gov/dot/div/contracts/standards/drawings/sep21/700e/e700%20combined%20pdfs/E720-INCA.pdf" TargetMode="External"/><Relationship Id="rId2" Type="http://schemas.openxmlformats.org/officeDocument/2006/relationships/hyperlink" Target="https://www.in.gov/dot/div/contracts/standards/drawings/sep21/700e/e700%20combined%20pdfs/E720-ICCA.pdf" TargetMode="External"/><Relationship Id="rId1" Type="http://schemas.openxmlformats.org/officeDocument/2006/relationships/hyperlink" Target="https://www.in.gov/dot/div/contracts/standards/drawings/sep21/700e/e700%20combined%20pdfs/E720-INST.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P106"/>
  <sheetViews>
    <sheetView topLeftCell="A27" workbookViewId="0">
      <selection activeCell="K118" sqref="K118"/>
    </sheetView>
  </sheetViews>
  <sheetFormatPr defaultRowHeight="15" x14ac:dyDescent="0.25"/>
  <cols>
    <col min="9" max="9" width="9.140625" customWidth="1"/>
  </cols>
  <sheetData>
    <row r="1" spans="1:16" ht="18.75" x14ac:dyDescent="0.3">
      <c r="A1" s="5" t="s">
        <v>120</v>
      </c>
    </row>
    <row r="3" spans="1:16" x14ac:dyDescent="0.25">
      <c r="A3" s="90" t="s">
        <v>121</v>
      </c>
    </row>
    <row r="4" spans="1:16" x14ac:dyDescent="0.25">
      <c r="A4" t="s">
        <v>122</v>
      </c>
    </row>
    <row r="5" spans="1:16" x14ac:dyDescent="0.25">
      <c r="A5" t="s">
        <v>151</v>
      </c>
    </row>
    <row r="6" spans="1:16" x14ac:dyDescent="0.25">
      <c r="A6" t="s">
        <v>152</v>
      </c>
    </row>
    <row r="8" spans="1:16" x14ac:dyDescent="0.25">
      <c r="A8" s="90" t="s">
        <v>153</v>
      </c>
      <c r="P8" s="27"/>
    </row>
    <row r="9" spans="1:16" x14ac:dyDescent="0.25">
      <c r="A9" t="s">
        <v>123</v>
      </c>
    </row>
    <row r="10" spans="1:16" x14ac:dyDescent="0.25">
      <c r="A10" t="s">
        <v>124</v>
      </c>
    </row>
    <row r="11" spans="1:16" x14ac:dyDescent="0.25">
      <c r="A11" t="s">
        <v>125</v>
      </c>
    </row>
    <row r="12" spans="1:16" x14ac:dyDescent="0.25">
      <c r="A12" t="s">
        <v>154</v>
      </c>
    </row>
    <row r="14" spans="1:16" x14ac:dyDescent="0.25">
      <c r="A14" s="27" t="s">
        <v>160</v>
      </c>
    </row>
    <row r="15" spans="1:16" x14ac:dyDescent="0.25">
      <c r="A15" t="s">
        <v>161</v>
      </c>
    </row>
    <row r="16" spans="1:16" x14ac:dyDescent="0.25">
      <c r="A16" t="s">
        <v>162</v>
      </c>
    </row>
    <row r="17" spans="1:2" x14ac:dyDescent="0.25">
      <c r="A17" t="s">
        <v>164</v>
      </c>
    </row>
    <row r="18" spans="1:2" x14ac:dyDescent="0.25">
      <c r="A18" t="s">
        <v>163</v>
      </c>
    </row>
    <row r="22" spans="1:2" x14ac:dyDescent="0.25">
      <c r="A22" t="s">
        <v>156</v>
      </c>
    </row>
    <row r="24" spans="1:2" x14ac:dyDescent="0.25">
      <c r="A24" s="32" t="s">
        <v>155</v>
      </c>
      <c r="B24" t="s">
        <v>126</v>
      </c>
    </row>
    <row r="25" spans="1:2" x14ac:dyDescent="0.25">
      <c r="B25" t="s">
        <v>127</v>
      </c>
    </row>
    <row r="27" spans="1:2" x14ac:dyDescent="0.25">
      <c r="B27" t="s">
        <v>157</v>
      </c>
    </row>
    <row r="28" spans="1:2" x14ac:dyDescent="0.25">
      <c r="B28" t="s">
        <v>158</v>
      </c>
    </row>
    <row r="30" spans="1:2" x14ac:dyDescent="0.25">
      <c r="B30" t="s">
        <v>165</v>
      </c>
    </row>
    <row r="31" spans="1:2" x14ac:dyDescent="0.25">
      <c r="B31" t="s">
        <v>166</v>
      </c>
    </row>
    <row r="32" spans="1:2" x14ac:dyDescent="0.25">
      <c r="B32" t="s">
        <v>167</v>
      </c>
    </row>
    <row r="34" spans="1:2" x14ac:dyDescent="0.25">
      <c r="B34" t="s">
        <v>168</v>
      </c>
    </row>
    <row r="35" spans="1:2" x14ac:dyDescent="0.25">
      <c r="B35" t="s">
        <v>169</v>
      </c>
    </row>
    <row r="36" spans="1:2" x14ac:dyDescent="0.25">
      <c r="B36" t="s">
        <v>170</v>
      </c>
    </row>
    <row r="38" spans="1:2" x14ac:dyDescent="0.25">
      <c r="A38" s="32" t="s">
        <v>171</v>
      </c>
      <c r="B38" t="s">
        <v>173</v>
      </c>
    </row>
    <row r="39" spans="1:2" x14ac:dyDescent="0.25">
      <c r="B39" t="s">
        <v>172</v>
      </c>
    </row>
    <row r="41" spans="1:2" x14ac:dyDescent="0.25">
      <c r="B41" t="s">
        <v>178</v>
      </c>
    </row>
    <row r="42" spans="1:2" x14ac:dyDescent="0.25">
      <c r="B42" s="27" t="s">
        <v>177</v>
      </c>
    </row>
    <row r="44" spans="1:2" x14ac:dyDescent="0.25">
      <c r="B44" t="s">
        <v>179</v>
      </c>
    </row>
    <row r="46" spans="1:2" x14ac:dyDescent="0.25">
      <c r="B46" t="s">
        <v>174</v>
      </c>
    </row>
    <row r="48" spans="1:2" x14ac:dyDescent="0.25">
      <c r="B48" t="s">
        <v>175</v>
      </c>
    </row>
    <row r="49" spans="2:2" x14ac:dyDescent="0.25">
      <c r="B49" t="s">
        <v>176</v>
      </c>
    </row>
    <row r="50" spans="2:2" x14ac:dyDescent="0.25">
      <c r="B50" t="s">
        <v>180</v>
      </c>
    </row>
    <row r="51" spans="2:2" x14ac:dyDescent="0.25">
      <c r="B51" t="s">
        <v>181</v>
      </c>
    </row>
    <row r="52" spans="2:2" x14ac:dyDescent="0.25">
      <c r="B52" t="s">
        <v>182</v>
      </c>
    </row>
    <row r="54" spans="2:2" x14ac:dyDescent="0.25">
      <c r="B54" t="s">
        <v>183</v>
      </c>
    </row>
    <row r="56" spans="2:2" x14ac:dyDescent="0.25">
      <c r="B56" t="s">
        <v>184</v>
      </c>
    </row>
    <row r="57" spans="2:2" x14ac:dyDescent="0.25">
      <c r="B57" t="s">
        <v>185</v>
      </c>
    </row>
    <row r="58" spans="2:2" x14ac:dyDescent="0.25">
      <c r="B58" t="s">
        <v>186</v>
      </c>
    </row>
    <row r="60" spans="2:2" x14ac:dyDescent="0.25">
      <c r="B60" t="s">
        <v>190</v>
      </c>
    </row>
    <row r="61" spans="2:2" x14ac:dyDescent="0.25">
      <c r="B61" t="s">
        <v>191</v>
      </c>
    </row>
    <row r="63" spans="2:2" x14ac:dyDescent="0.25">
      <c r="B63" t="s">
        <v>187</v>
      </c>
    </row>
    <row r="64" spans="2:2" x14ac:dyDescent="0.25">
      <c r="B64" t="s">
        <v>188</v>
      </c>
    </row>
    <row r="65" spans="1:2" x14ac:dyDescent="0.25">
      <c r="B65" t="s">
        <v>189</v>
      </c>
    </row>
    <row r="66" spans="1:2" x14ac:dyDescent="0.25">
      <c r="B66" t="s">
        <v>192</v>
      </c>
    </row>
    <row r="67" spans="1:2" x14ac:dyDescent="0.25">
      <c r="B67" t="s">
        <v>193</v>
      </c>
    </row>
    <row r="68" spans="1:2" x14ac:dyDescent="0.25">
      <c r="B68" t="s">
        <v>194</v>
      </c>
    </row>
    <row r="69" spans="1:2" x14ac:dyDescent="0.25">
      <c r="B69" t="s">
        <v>195</v>
      </c>
    </row>
    <row r="70" spans="1:2" x14ac:dyDescent="0.25">
      <c r="B70" t="s">
        <v>196</v>
      </c>
    </row>
    <row r="71" spans="1:2" x14ac:dyDescent="0.25">
      <c r="B71" t="s">
        <v>197</v>
      </c>
    </row>
    <row r="73" spans="1:2" x14ac:dyDescent="0.25">
      <c r="B73" t="s">
        <v>198</v>
      </c>
    </row>
    <row r="74" spans="1:2" x14ac:dyDescent="0.25">
      <c r="B74" t="s">
        <v>199</v>
      </c>
    </row>
    <row r="75" spans="1:2" x14ac:dyDescent="0.25">
      <c r="B75" t="s">
        <v>200</v>
      </c>
    </row>
    <row r="77" spans="1:2" x14ac:dyDescent="0.25">
      <c r="A77" s="32" t="s">
        <v>201</v>
      </c>
      <c r="B77" t="s">
        <v>202</v>
      </c>
    </row>
    <row r="78" spans="1:2" x14ac:dyDescent="0.25">
      <c r="B78" t="s">
        <v>203</v>
      </c>
    </row>
    <row r="80" spans="1:2" x14ac:dyDescent="0.25">
      <c r="B80" t="s">
        <v>208</v>
      </c>
    </row>
    <row r="81" spans="1:2" x14ac:dyDescent="0.25">
      <c r="B81" t="s">
        <v>210</v>
      </c>
    </row>
    <row r="82" spans="1:2" x14ac:dyDescent="0.25">
      <c r="B82" t="s">
        <v>209</v>
      </c>
    </row>
    <row r="83" spans="1:2" x14ac:dyDescent="0.25">
      <c r="B83" t="s">
        <v>211</v>
      </c>
    </row>
    <row r="86" spans="1:2" x14ac:dyDescent="0.25">
      <c r="A86" s="90" t="s">
        <v>212</v>
      </c>
    </row>
    <row r="87" spans="1:2" x14ac:dyDescent="0.25">
      <c r="A87" t="s">
        <v>204</v>
      </c>
    </row>
    <row r="88" spans="1:2" x14ac:dyDescent="0.25">
      <c r="A88" t="s">
        <v>205</v>
      </c>
    </row>
    <row r="89" spans="1:2" x14ac:dyDescent="0.25">
      <c r="A89" t="s">
        <v>206</v>
      </c>
    </row>
    <row r="90" spans="1:2" x14ac:dyDescent="0.25">
      <c r="A90" t="s">
        <v>207</v>
      </c>
    </row>
    <row r="93" spans="1:2" x14ac:dyDescent="0.25">
      <c r="A93" s="90" t="s">
        <v>213</v>
      </c>
    </row>
    <row r="94" spans="1:2" x14ac:dyDescent="0.25">
      <c r="A94" t="s">
        <v>214</v>
      </c>
    </row>
    <row r="96" spans="1:2" x14ac:dyDescent="0.25">
      <c r="A96" t="s">
        <v>215</v>
      </c>
    </row>
    <row r="97" spans="1:1" x14ac:dyDescent="0.25">
      <c r="A97" t="s">
        <v>216</v>
      </c>
    </row>
    <row r="98" spans="1:1" x14ac:dyDescent="0.25">
      <c r="A98" t="s">
        <v>217</v>
      </c>
    </row>
    <row r="100" spans="1:1" x14ac:dyDescent="0.25">
      <c r="A100" t="s">
        <v>218</v>
      </c>
    </row>
    <row r="101" spans="1:1" x14ac:dyDescent="0.25">
      <c r="A101" t="s">
        <v>219</v>
      </c>
    </row>
    <row r="102" spans="1:1" x14ac:dyDescent="0.25">
      <c r="A102" t="s">
        <v>220</v>
      </c>
    </row>
    <row r="103" spans="1:1" x14ac:dyDescent="0.25">
      <c r="A103" t="s">
        <v>221</v>
      </c>
    </row>
    <row r="104" spans="1:1" x14ac:dyDescent="0.25">
      <c r="A104" t="s">
        <v>222</v>
      </c>
    </row>
    <row r="105" spans="1:1" x14ac:dyDescent="0.25">
      <c r="A105" t="s">
        <v>223</v>
      </c>
    </row>
    <row r="106" spans="1:1" x14ac:dyDescent="0.25">
      <c r="A106" t="s">
        <v>224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T99"/>
  <sheetViews>
    <sheetView tabSelected="1" zoomScale="85" zoomScaleNormal="85" workbookViewId="0">
      <selection activeCell="O10" sqref="O10"/>
    </sheetView>
  </sheetViews>
  <sheetFormatPr defaultColWidth="9.7109375" defaultRowHeight="15" x14ac:dyDescent="0.25"/>
  <cols>
    <col min="1" max="10" width="9.7109375" customWidth="1"/>
    <col min="11" max="11" width="10.140625" customWidth="1"/>
    <col min="12" max="16" width="9.7109375" customWidth="1"/>
    <col min="17" max="17" width="13" customWidth="1"/>
    <col min="18" max="29" width="9.7109375" customWidth="1"/>
    <col min="46" max="46" width="11.28515625" customWidth="1"/>
    <col min="49" max="49" width="11.140625" customWidth="1"/>
    <col min="61" max="61" width="9.42578125" customWidth="1"/>
  </cols>
  <sheetData>
    <row r="1" spans="1:72" ht="18.75" x14ac:dyDescent="0.3">
      <c r="A1" s="5" t="s">
        <v>7</v>
      </c>
      <c r="H1" s="26" t="s">
        <v>8</v>
      </c>
      <c r="Q1" s="151" t="s">
        <v>307</v>
      </c>
      <c r="R1" s="151"/>
    </row>
    <row r="2" spans="1:72" ht="60" x14ac:dyDescent="0.25">
      <c r="Q2" s="132" t="s">
        <v>304</v>
      </c>
      <c r="R2" s="132" t="s">
        <v>303</v>
      </c>
    </row>
    <row r="3" spans="1:72" x14ac:dyDescent="0.25">
      <c r="B3" s="6" t="s">
        <v>136</v>
      </c>
      <c r="C3" s="164"/>
      <c r="D3" s="164"/>
      <c r="E3" s="164"/>
      <c r="F3" s="164"/>
      <c r="G3" s="164"/>
      <c r="I3" s="6" t="s">
        <v>13</v>
      </c>
      <c r="J3" s="109"/>
      <c r="K3" t="s">
        <v>14</v>
      </c>
      <c r="N3" s="6" t="s">
        <v>15</v>
      </c>
      <c r="O3" s="109"/>
      <c r="P3" s="117"/>
      <c r="Q3" s="131"/>
      <c r="R3" s="131"/>
      <c r="T3" s="6" t="s">
        <v>109</v>
      </c>
      <c r="U3" s="165"/>
      <c r="V3" s="165"/>
    </row>
    <row r="4" spans="1:72" ht="15.75" thickBot="1" x14ac:dyDescent="0.3">
      <c r="B4" s="6" t="s">
        <v>9</v>
      </c>
      <c r="C4" s="163"/>
      <c r="D4" s="163"/>
      <c r="E4" s="163"/>
      <c r="F4" s="163"/>
      <c r="G4" s="163"/>
      <c r="N4" t="s">
        <v>58</v>
      </c>
      <c r="Q4" s="105"/>
      <c r="R4" s="131"/>
      <c r="T4" s="6" t="s">
        <v>110</v>
      </c>
      <c r="U4" s="166"/>
      <c r="V4" s="166"/>
    </row>
    <row r="5" spans="1:72" x14ac:dyDescent="0.25">
      <c r="B5" s="6" t="s">
        <v>12</v>
      </c>
      <c r="C5" s="163"/>
      <c r="D5" s="163"/>
      <c r="E5" s="163"/>
      <c r="F5" s="163"/>
      <c r="G5" s="163"/>
      <c r="I5" s="6" t="s">
        <v>137</v>
      </c>
      <c r="J5" s="91" t="s">
        <v>139</v>
      </c>
      <c r="K5" s="154" t="s">
        <v>305</v>
      </c>
      <c r="L5" s="155"/>
      <c r="N5" t="s">
        <v>135</v>
      </c>
      <c r="Q5" s="131"/>
      <c r="R5" s="131"/>
      <c r="T5" s="3"/>
    </row>
    <row r="6" spans="1:72" ht="15.75" thickBot="1" x14ac:dyDescent="0.3">
      <c r="B6" s="6"/>
      <c r="I6" s="6" t="s">
        <v>138</v>
      </c>
      <c r="J6" s="92" t="s">
        <v>141</v>
      </c>
      <c r="K6" s="133" t="s">
        <v>268</v>
      </c>
      <c r="L6" s="136" t="s">
        <v>267</v>
      </c>
      <c r="M6" s="156" t="s">
        <v>306</v>
      </c>
      <c r="Q6" s="131"/>
      <c r="R6" s="131"/>
      <c r="T6" s="6" t="s">
        <v>111</v>
      </c>
      <c r="U6" s="165"/>
      <c r="V6" s="165"/>
    </row>
    <row r="7" spans="1:72" ht="15.75" customHeight="1" thickTop="1" x14ac:dyDescent="0.25">
      <c r="B7" s="6" t="s">
        <v>10</v>
      </c>
      <c r="C7" s="139"/>
      <c r="D7" s="112"/>
      <c r="E7" s="112"/>
      <c r="J7" s="85">
        <v>5</v>
      </c>
      <c r="K7" s="134"/>
      <c r="L7" s="137"/>
      <c r="M7" s="156"/>
      <c r="Q7" s="131"/>
      <c r="R7" s="131"/>
      <c r="T7" s="6" t="s">
        <v>110</v>
      </c>
      <c r="U7" s="166"/>
      <c r="V7" s="166"/>
    </row>
    <row r="8" spans="1:72" x14ac:dyDescent="0.25">
      <c r="B8" s="6" t="s">
        <v>11</v>
      </c>
      <c r="C8" s="139"/>
      <c r="D8" s="112"/>
      <c r="E8" s="112"/>
      <c r="J8" s="86">
        <v>10</v>
      </c>
      <c r="K8" s="134"/>
      <c r="L8" s="137"/>
      <c r="M8" s="156"/>
      <c r="O8" s="116"/>
      <c r="Q8" s="131"/>
      <c r="R8" s="131"/>
    </row>
    <row r="9" spans="1:72" x14ac:dyDescent="0.25">
      <c r="B9" s="6" t="s">
        <v>159</v>
      </c>
      <c r="C9" s="162"/>
      <c r="D9" s="162"/>
      <c r="E9" s="162"/>
      <c r="F9" s="162"/>
      <c r="G9" s="162"/>
      <c r="J9" s="86">
        <v>15</v>
      </c>
      <c r="K9" s="134"/>
      <c r="L9" s="137"/>
      <c r="M9" s="156"/>
      <c r="O9" s="116"/>
      <c r="Q9" s="131"/>
      <c r="R9" s="131"/>
      <c r="T9" s="6" t="s">
        <v>112</v>
      </c>
      <c r="U9" s="140">
        <v>1</v>
      </c>
      <c r="V9" s="30" t="s">
        <v>73</v>
      </c>
      <c r="W9" s="140">
        <v>1</v>
      </c>
      <c r="X9" s="75"/>
    </row>
    <row r="10" spans="1:72" ht="15.75" thickBot="1" x14ac:dyDescent="0.3">
      <c r="J10" s="84">
        <v>30</v>
      </c>
      <c r="K10" s="135"/>
      <c r="L10" s="138"/>
      <c r="M10" s="156"/>
      <c r="Q10" s="131"/>
      <c r="R10" s="131"/>
    </row>
    <row r="11" spans="1:72" ht="15.75" thickBot="1" x14ac:dyDescent="0.3">
      <c r="A11" s="7" t="s">
        <v>16</v>
      </c>
      <c r="R11" s="7" t="s">
        <v>36</v>
      </c>
      <c r="W11" t="s">
        <v>37</v>
      </c>
      <c r="AN11" s="7" t="s">
        <v>64</v>
      </c>
      <c r="AT11" s="7" t="s">
        <v>263</v>
      </c>
      <c r="AU11" s="93"/>
      <c r="AV11" s="93"/>
      <c r="BB11" s="26" t="s">
        <v>261</v>
      </c>
      <c r="BH11" s="26" t="s">
        <v>269</v>
      </c>
      <c r="BK11" s="26" t="s">
        <v>272</v>
      </c>
    </row>
    <row r="12" spans="1:72" ht="43.5" customHeight="1" x14ac:dyDescent="0.25">
      <c r="A12" s="7"/>
      <c r="B12" s="8"/>
      <c r="C12" s="87"/>
      <c r="D12" s="9"/>
      <c r="E12" s="159" t="s">
        <v>266</v>
      </c>
      <c r="F12" s="144" t="s">
        <v>142</v>
      </c>
      <c r="G12" s="145"/>
      <c r="H12" s="144" t="s">
        <v>144</v>
      </c>
      <c r="I12" s="144"/>
      <c r="J12" s="145"/>
      <c r="K12" s="9" t="s">
        <v>24</v>
      </c>
      <c r="L12" s="9" t="s">
        <v>27</v>
      </c>
      <c r="M12" s="9" t="s">
        <v>30</v>
      </c>
      <c r="N12" s="9"/>
      <c r="O12" s="9"/>
      <c r="P12" s="9"/>
      <c r="Q12" s="148" t="s">
        <v>248</v>
      </c>
      <c r="S12" s="22"/>
      <c r="T12" s="18"/>
      <c r="U12" s="18"/>
      <c r="V12" s="9"/>
      <c r="W12" s="9"/>
      <c r="X12" s="9"/>
      <c r="Y12" s="9"/>
      <c r="Z12" s="9"/>
      <c r="AA12" s="9"/>
      <c r="AB12" s="9" t="s">
        <v>45</v>
      </c>
      <c r="AC12" s="9"/>
      <c r="AD12" s="9"/>
      <c r="AE12" s="9"/>
      <c r="AF12" s="9"/>
      <c r="AG12" s="9"/>
      <c r="AH12" s="9"/>
      <c r="AI12" s="9"/>
      <c r="AJ12" s="9"/>
      <c r="AK12" s="10"/>
      <c r="AN12" s="8"/>
      <c r="AO12" s="9"/>
      <c r="AP12" s="18"/>
      <c r="AQ12" s="18"/>
      <c r="AR12" s="19"/>
      <c r="AS12" s="94"/>
      <c r="AT12" s="146" t="s">
        <v>229</v>
      </c>
      <c r="AU12" s="142" t="s">
        <v>250</v>
      </c>
      <c r="AV12" s="142" t="s">
        <v>230</v>
      </c>
      <c r="AW12" s="142" t="s">
        <v>231</v>
      </c>
      <c r="AX12" s="18"/>
      <c r="AY12" s="18"/>
      <c r="AZ12" s="19"/>
      <c r="BB12" s="22"/>
      <c r="BC12" s="142" t="s">
        <v>264</v>
      </c>
      <c r="BD12" s="18"/>
      <c r="BE12" s="18"/>
      <c r="BF12" s="19"/>
      <c r="BH12" s="22"/>
      <c r="BI12" s="19"/>
      <c r="BK12" s="22"/>
      <c r="BL12" s="18"/>
      <c r="BM12" s="18"/>
      <c r="BN12" s="18"/>
      <c r="BO12" s="18"/>
      <c r="BP12" s="18"/>
      <c r="BQ12" s="18"/>
      <c r="BR12" s="18"/>
      <c r="BS12" s="18"/>
      <c r="BT12" s="19"/>
    </row>
    <row r="13" spans="1:72" ht="15.75" customHeight="1" x14ac:dyDescent="0.25">
      <c r="A13" s="7"/>
      <c r="B13" s="11"/>
      <c r="C13" s="88"/>
      <c r="D13" s="1"/>
      <c r="E13" s="160"/>
      <c r="F13" s="1" t="s">
        <v>130</v>
      </c>
      <c r="G13" s="88"/>
      <c r="H13" s="1"/>
      <c r="I13" s="1"/>
      <c r="J13" s="88" t="s">
        <v>143</v>
      </c>
      <c r="K13" s="1" t="s">
        <v>25</v>
      </c>
      <c r="L13" s="1" t="s">
        <v>28</v>
      </c>
      <c r="M13" s="1" t="s">
        <v>28</v>
      </c>
      <c r="N13" s="1" t="s">
        <v>30</v>
      </c>
      <c r="O13" s="1" t="s">
        <v>34</v>
      </c>
      <c r="P13" s="1"/>
      <c r="Q13" s="149"/>
      <c r="S13" s="11" t="s">
        <v>17</v>
      </c>
      <c r="V13" s="1"/>
      <c r="W13" s="1"/>
      <c r="X13" s="1" t="s">
        <v>40</v>
      </c>
      <c r="Y13" s="1"/>
      <c r="Z13" s="1" t="s">
        <v>44</v>
      </c>
      <c r="AA13" s="1" t="s">
        <v>44</v>
      </c>
      <c r="AB13" s="1" t="s">
        <v>46</v>
      </c>
      <c r="AC13" s="1" t="s">
        <v>49</v>
      </c>
      <c r="AD13" s="1" t="s">
        <v>48</v>
      </c>
      <c r="AE13" s="1" t="s">
        <v>48</v>
      </c>
      <c r="AF13" s="1" t="s">
        <v>48</v>
      </c>
      <c r="AG13" s="1"/>
      <c r="AH13" s="1" t="s">
        <v>53</v>
      </c>
      <c r="AI13" s="1" t="s">
        <v>53</v>
      </c>
      <c r="AJ13" s="1" t="s">
        <v>56</v>
      </c>
      <c r="AK13" s="12"/>
      <c r="AN13" s="11"/>
      <c r="AO13" s="1"/>
      <c r="AQ13" s="1" t="s">
        <v>48</v>
      </c>
      <c r="AR13" s="12" t="s">
        <v>63</v>
      </c>
      <c r="AS13" s="94"/>
      <c r="AT13" s="147"/>
      <c r="AU13" s="143"/>
      <c r="AV13" s="143"/>
      <c r="AW13" s="143"/>
      <c r="AX13" s="1" t="s">
        <v>40</v>
      </c>
      <c r="AY13" s="1" t="s">
        <v>227</v>
      </c>
      <c r="AZ13" s="12"/>
      <c r="BB13" s="13"/>
      <c r="BC13" s="143"/>
      <c r="BF13" s="14"/>
      <c r="BH13" s="13"/>
      <c r="BI13" s="149" t="s">
        <v>271</v>
      </c>
      <c r="BK13" s="13"/>
      <c r="BT13" s="149" t="s">
        <v>298</v>
      </c>
    </row>
    <row r="14" spans="1:72" ht="18.75" customHeight="1" x14ac:dyDescent="0.35">
      <c r="A14" s="7"/>
      <c r="B14" s="11" t="s">
        <v>17</v>
      </c>
      <c r="C14" s="88"/>
      <c r="D14" s="157" t="s">
        <v>265</v>
      </c>
      <c r="E14" s="160"/>
      <c r="F14" s="1" t="s">
        <v>0</v>
      </c>
      <c r="G14" s="88" t="s">
        <v>23</v>
      </c>
      <c r="H14" s="1" t="s">
        <v>131</v>
      </c>
      <c r="I14" s="1" t="s">
        <v>23</v>
      </c>
      <c r="J14" s="88" t="s">
        <v>74</v>
      </c>
      <c r="K14" s="1" t="s">
        <v>26</v>
      </c>
      <c r="L14" s="1" t="s">
        <v>29</v>
      </c>
      <c r="M14" s="1" t="s">
        <v>31</v>
      </c>
      <c r="N14" s="1" t="s">
        <v>32</v>
      </c>
      <c r="O14" s="1" t="s">
        <v>35</v>
      </c>
      <c r="P14" s="1" t="s">
        <v>17</v>
      </c>
      <c r="Q14" s="12" t="s">
        <v>247</v>
      </c>
      <c r="S14" s="11" t="s">
        <v>20</v>
      </c>
      <c r="T14" s="1"/>
      <c r="U14" s="1" t="s">
        <v>140</v>
      </c>
      <c r="V14" s="1" t="s">
        <v>38</v>
      </c>
      <c r="W14" s="1" t="s">
        <v>35</v>
      </c>
      <c r="X14" s="1" t="s">
        <v>41</v>
      </c>
      <c r="Y14" s="1" t="s">
        <v>43</v>
      </c>
      <c r="Z14" s="1" t="s">
        <v>0</v>
      </c>
      <c r="AA14" s="1" t="s">
        <v>1</v>
      </c>
      <c r="AB14" s="1" t="s">
        <v>47</v>
      </c>
      <c r="AC14" s="1" t="s">
        <v>47</v>
      </c>
      <c r="AD14" s="1" t="s">
        <v>49</v>
      </c>
      <c r="AE14" s="1" t="s">
        <v>51</v>
      </c>
      <c r="AF14" s="1" t="s">
        <v>50</v>
      </c>
      <c r="AG14" s="1" t="s">
        <v>53</v>
      </c>
      <c r="AH14" s="1" t="s">
        <v>51</v>
      </c>
      <c r="AI14" s="1" t="s">
        <v>55</v>
      </c>
      <c r="AJ14" s="1" t="s">
        <v>50</v>
      </c>
      <c r="AK14" s="12" t="s">
        <v>57</v>
      </c>
      <c r="AN14" s="11"/>
      <c r="AO14" s="1"/>
      <c r="AQ14" s="1" t="s">
        <v>62</v>
      </c>
      <c r="AR14" s="12" t="s">
        <v>62</v>
      </c>
      <c r="AS14" s="94"/>
      <c r="AT14" s="147"/>
      <c r="AU14" s="143"/>
      <c r="AV14" s="143"/>
      <c r="AW14" s="143"/>
      <c r="AX14" s="1" t="s">
        <v>226</v>
      </c>
      <c r="AY14" s="1" t="s">
        <v>1</v>
      </c>
      <c r="AZ14" s="12" t="s">
        <v>227</v>
      </c>
      <c r="BB14" s="11" t="s">
        <v>242</v>
      </c>
      <c r="BC14" s="143"/>
      <c r="BF14" s="14"/>
      <c r="BH14" s="13"/>
      <c r="BI14" s="149"/>
      <c r="BK14" s="13"/>
      <c r="BM14" t="s">
        <v>302</v>
      </c>
      <c r="BN14" t="s">
        <v>299</v>
      </c>
      <c r="BO14" s="143" t="s">
        <v>293</v>
      </c>
      <c r="BS14" s="143" t="s">
        <v>294</v>
      </c>
      <c r="BT14" s="149"/>
    </row>
    <row r="15" spans="1:72" ht="18.75" thickBot="1" x14ac:dyDescent="0.4">
      <c r="B15" s="11" t="s">
        <v>18</v>
      </c>
      <c r="C15" s="88" t="s">
        <v>19</v>
      </c>
      <c r="D15" s="158"/>
      <c r="E15" s="161"/>
      <c r="F15" s="1" t="s">
        <v>4</v>
      </c>
      <c r="G15" s="88" t="s">
        <v>71</v>
      </c>
      <c r="H15" s="1" t="s">
        <v>22</v>
      </c>
      <c r="I15" s="1" t="s">
        <v>71</v>
      </c>
      <c r="J15" s="88" t="s">
        <v>141</v>
      </c>
      <c r="K15" s="1" t="s">
        <v>33</v>
      </c>
      <c r="L15" s="1" t="s">
        <v>33</v>
      </c>
      <c r="M15" s="1" t="s">
        <v>33</v>
      </c>
      <c r="N15" s="1" t="s">
        <v>4</v>
      </c>
      <c r="O15" s="1" t="s">
        <v>4</v>
      </c>
      <c r="P15" s="1" t="s">
        <v>3</v>
      </c>
      <c r="Q15" s="12" t="s">
        <v>4</v>
      </c>
      <c r="S15" s="15" t="s">
        <v>128</v>
      </c>
      <c r="T15" s="16" t="s">
        <v>129</v>
      </c>
      <c r="U15" s="16" t="s">
        <v>79</v>
      </c>
      <c r="V15" s="16" t="s">
        <v>39</v>
      </c>
      <c r="W15" s="16" t="s">
        <v>4</v>
      </c>
      <c r="X15" s="16" t="s">
        <v>42</v>
      </c>
      <c r="Y15" s="16" t="s">
        <v>4</v>
      </c>
      <c r="Z15" s="16" t="s">
        <v>4</v>
      </c>
      <c r="AA15" s="16" t="s">
        <v>4</v>
      </c>
      <c r="AB15" s="16" t="s">
        <v>5</v>
      </c>
      <c r="AC15" s="16" t="s">
        <v>5</v>
      </c>
      <c r="AD15" s="16" t="s">
        <v>39</v>
      </c>
      <c r="AE15" s="16" t="s">
        <v>52</v>
      </c>
      <c r="AF15" s="16" t="s">
        <v>39</v>
      </c>
      <c r="AG15" s="16" t="s">
        <v>39</v>
      </c>
      <c r="AH15" s="16" t="s">
        <v>54</v>
      </c>
      <c r="AI15" s="16" t="s">
        <v>39</v>
      </c>
      <c r="AJ15" s="16" t="s">
        <v>39</v>
      </c>
      <c r="AK15" s="17" t="s">
        <v>39</v>
      </c>
      <c r="AN15" s="15" t="s">
        <v>60</v>
      </c>
      <c r="AO15" s="16" t="s">
        <v>84</v>
      </c>
      <c r="AP15" s="16" t="s">
        <v>132</v>
      </c>
      <c r="AQ15" s="16" t="s">
        <v>61</v>
      </c>
      <c r="AR15" s="17" t="s">
        <v>61</v>
      </c>
      <c r="AS15" s="94"/>
      <c r="AT15" s="15" t="s">
        <v>232</v>
      </c>
      <c r="AU15" s="16" t="s">
        <v>233</v>
      </c>
      <c r="AV15" s="16" t="s">
        <v>234</v>
      </c>
      <c r="AW15" s="16" t="s">
        <v>38</v>
      </c>
      <c r="AX15" s="16" t="s">
        <v>4</v>
      </c>
      <c r="AY15" s="16" t="s">
        <v>4</v>
      </c>
      <c r="AZ15" s="17" t="s">
        <v>51</v>
      </c>
      <c r="BA15" s="1"/>
      <c r="BB15" s="15" t="s">
        <v>85</v>
      </c>
      <c r="BC15" s="16" t="s">
        <v>85</v>
      </c>
      <c r="BD15" s="16" t="s">
        <v>262</v>
      </c>
      <c r="BE15" s="16" t="s">
        <v>132</v>
      </c>
      <c r="BF15" s="17" t="s">
        <v>260</v>
      </c>
      <c r="BH15" s="15" t="s">
        <v>270</v>
      </c>
      <c r="BI15" s="115" t="s">
        <v>39</v>
      </c>
      <c r="BK15" s="125" t="s">
        <v>237</v>
      </c>
      <c r="BL15" s="126" t="s">
        <v>291</v>
      </c>
      <c r="BM15" s="126" t="s">
        <v>292</v>
      </c>
      <c r="BN15" s="126" t="s">
        <v>301</v>
      </c>
      <c r="BO15" s="152"/>
      <c r="BP15" s="126" t="s">
        <v>297</v>
      </c>
      <c r="BQ15" s="126" t="s">
        <v>295</v>
      </c>
      <c r="BR15" s="126" t="s">
        <v>296</v>
      </c>
      <c r="BS15" s="152"/>
      <c r="BT15" s="153"/>
    </row>
    <row r="16" spans="1:72" ht="15.75" thickTop="1" x14ac:dyDescent="0.25">
      <c r="B16" s="99"/>
      <c r="C16" s="101"/>
      <c r="D16" s="101"/>
      <c r="E16" s="101"/>
      <c r="F16" s="98"/>
      <c r="G16" s="98"/>
      <c r="H16" s="98"/>
      <c r="I16" s="98"/>
      <c r="J16" s="98"/>
      <c r="K16" s="98"/>
      <c r="L16" s="98"/>
      <c r="M16" s="98"/>
      <c r="N16" s="98"/>
      <c r="O16" s="98"/>
      <c r="P16" s="98"/>
      <c r="Q16" s="98"/>
      <c r="S16" s="13"/>
      <c r="T16" s="74"/>
      <c r="AK16" s="14"/>
      <c r="AN16" s="11"/>
      <c r="AO16" s="1"/>
      <c r="AR16" s="14"/>
      <c r="AT16" s="13"/>
      <c r="AZ16" s="14"/>
      <c r="BB16" s="13"/>
      <c r="BF16" s="14"/>
      <c r="BH16" s="13"/>
      <c r="BI16" s="14"/>
      <c r="BK16" s="13"/>
      <c r="BT16" s="14"/>
    </row>
    <row r="17" spans="1:72" x14ac:dyDescent="0.25">
      <c r="A17">
        <v>1</v>
      </c>
      <c r="B17" s="100"/>
      <c r="C17" s="102"/>
      <c r="D17" s="102"/>
      <c r="E17" s="100"/>
      <c r="F17" s="100"/>
      <c r="G17" s="100"/>
      <c r="H17" s="100"/>
      <c r="I17" s="100"/>
      <c r="J17" s="100"/>
      <c r="K17" s="100"/>
      <c r="L17" s="100"/>
      <c r="M17" s="100"/>
      <c r="N17" s="100"/>
      <c r="O17" s="100"/>
      <c r="P17" s="103"/>
      <c r="Q17" s="104"/>
      <c r="S17" s="28">
        <f>ABS(C17-C7)*F17/43560+H17</f>
        <v>0</v>
      </c>
      <c r="T17" s="95">
        <f>ABS(C17-C7)*F17/43560*G17+H17*I17</f>
        <v>0</v>
      </c>
      <c r="U17" s="21" cm="1">
        <f t="array" ref="U17">IF(D17="sag",IF(H17&gt;0,IF(J17&gt;5,TREND($L$7:$L$10,$J$7:$J$10,J17,TRUE),$L$7),$L$7),IF(H17&gt;0,IF(J17&gt;5,TREND($K$7:$K$10,$J$7:$J$10,J17,TRUE),$K$7),$K$7))</f>
        <v>0</v>
      </c>
      <c r="V17" s="21">
        <f t="shared" ref="V17:V22" si="0">T17*U17+BI17</f>
        <v>0</v>
      </c>
      <c r="W17" s="21" t="e">
        <f t="shared" ref="W17:W21" si="1">IF(D17="sag",BT17,MIN(Y17/M17,N17)+MAX(0,(Y17-(M17*N17))/L17))</f>
        <v>#DIV/0!</v>
      </c>
      <c r="X17" s="21" t="e">
        <f t="shared" ref="X17:X36" si="2">V17/K17^0.5</f>
        <v>#DIV/0!</v>
      </c>
      <c r="Y17" s="95" t="e">
        <f>IF(D17="sag",BS17,IF(M17*N17&gt;1.24*((V17*$O$3*M17)/K17^0.5)^0.375,1.24*((V17*$O$3*M17)/K17^0.5)^0.375,1.24*((V17*$O$3*BF17)/SQRT(K17))^0.375))</f>
        <v>#DIV/0!</v>
      </c>
      <c r="Z17" s="21" t="e">
        <f>VLOOKUP(P17,'Lookup Tables'!$B$8:$E$19,2,FALSE)</f>
        <v>#N/A</v>
      </c>
      <c r="AA17" s="21" t="e">
        <f>IF(P17="CTO",Q17,VLOOKUP(P17,'Lookup Tables'!$B$8:$E$19,3,))</f>
        <v>#N/A</v>
      </c>
      <c r="AB17" s="21" t="e">
        <f>VLOOKUP(P17,'Lookup Tables'!$B$8:$E$19,4)</f>
        <v>#N/A</v>
      </c>
      <c r="AC17" s="21" t="e">
        <f>V17/(AQ17+AR17)</f>
        <v>#DIV/0!</v>
      </c>
      <c r="AD17" s="21" t="e">
        <f>IF(OR(P17="CMI",P17="CTO",P17=3), 0, V17*AP17)</f>
        <v>#DIV/0!</v>
      </c>
      <c r="AE17" s="21" t="e">
        <f>MIN(1,1-0.09*(AC17-AB17))</f>
        <v>#DIV/0!</v>
      </c>
      <c r="AF17" s="21" t="e">
        <f>AD17*AE17</f>
        <v>#DIV/0!</v>
      </c>
      <c r="AG17" s="21" t="e">
        <f>V17-AD17</f>
        <v>#DIV/0!</v>
      </c>
      <c r="AH17" s="21" t="e">
        <f t="shared" ref="AH17:AH36" si="3">L17*AA17^2.3/(L17*AA17^2.3+0.15*AC17^1.8)</f>
        <v>#N/A</v>
      </c>
      <c r="AI17" s="21" t="e">
        <f>AH17*AG17</f>
        <v>#N/A</v>
      </c>
      <c r="AJ17" s="21" t="e">
        <f>IF(D17="sag",V17,IF(OR(P17=3,P17="CMI",P17="CTO"),V17*AZ17,AF17+AI17))</f>
        <v>#DIV/0!</v>
      </c>
      <c r="AK17" s="23" t="e">
        <f>IF(D17="sag","sag",V17-AJ17)</f>
        <v>#DIV/0!</v>
      </c>
      <c r="AN17" s="96" t="e">
        <f t="shared" ref="AN17:AN36" si="4">M17/L17</f>
        <v>#DIV/0!</v>
      </c>
      <c r="AO17" s="95" t="e">
        <f>W17/Z17</f>
        <v>#DIV/0!</v>
      </c>
      <c r="AP17" s="21" t="e">
        <f>IF(AO17&gt;1,1/(1+AN17/((1+AN17/(AO17-1))^2.67-1)),1)</f>
        <v>#DIV/0!</v>
      </c>
      <c r="AQ17" s="95" t="e">
        <f t="shared" ref="AQ17:AQ36" si="5">((Y17+MAX(0,Y17-(M17*Z17)))/2)*MIN(Y17/M17,Z17)</f>
        <v>#DIV/0!</v>
      </c>
      <c r="AR17" s="23" t="e">
        <f t="shared" ref="AR17:AR36" si="6">IF(P17=20,AA17*Y17,MAX(0,0.5*(W17-Z17)*(Y17-(M17*Z17))))</f>
        <v>#DIV/0!</v>
      </c>
      <c r="AS17" s="83"/>
      <c r="AT17" s="96" t="e">
        <f>IF(P17="CMI",Y17+'Lookup Tables'!$C$28,Y17)</f>
        <v>#DIV/0!</v>
      </c>
      <c r="AU17" s="21" t="e">
        <f>AY17*Y17</f>
        <v>#VALUE!</v>
      </c>
      <c r="AV17" s="21" t="e">
        <f>AT17-'Lookup Tables'!$C$32</f>
        <v>#DIV/0!</v>
      </c>
      <c r="AW17" s="21" t="e">
        <f>IF('Lookup Tables'!$C$27&lt;Computations!AT17,'Lookup Tables'!$C$24*SQRT(2*'Lookup Tables'!$C$29)*(Computations!AY17+1.8*'Lookup Tables'!$C$25)*Computations!Y17^1.5,'Lookup Tables'!$C$31*Computations!AU17*SQRT(2*'Lookup Tables'!$C$29*Computations!AV17))</f>
        <v>#DIV/0!</v>
      </c>
      <c r="AX17" s="21" t="e">
        <f t="shared" ref="AX17:AX36" si="7">0.6*V17^0.42*K17^0.3*(1/($O$3*M17))^0.6</f>
        <v>#DIV/0!</v>
      </c>
      <c r="AY17" s="21" t="str">
        <f>IF(P17="CMI",'Lookup Tables'!$D$18,IF(P17=3,'Lookup Tables'!$D$8,IF(P17="CTO",Q17,"")))</f>
        <v/>
      </c>
      <c r="AZ17" s="23" t="e">
        <f>IF(P17="CMI",IF(AW17/V17&gt;1,1,AW17/V17),IF(AY17&gt;AX17,1,1-(1-(AY17/AX17))^1.8))</f>
        <v>#DIV/0!</v>
      </c>
      <c r="BB17" s="11">
        <f>(M17-L17)*N17</f>
        <v>0</v>
      </c>
      <c r="BC17" s="1">
        <f>M17*N17</f>
        <v>0</v>
      </c>
      <c r="BD17" s="110" t="e">
        <f t="shared" ref="BD17:BD36" si="8">(((M17*N17)/1.24)^(8/3)*K17^0.5)/($O$3*M17)</f>
        <v>#DIV/0!</v>
      </c>
      <c r="BE17" s="95" t="e">
        <f t="shared" ref="BE17:BE36" si="9">IF(BD17/V17&gt;1,1,BD17/V17)</f>
        <v>#DIV/0!</v>
      </c>
      <c r="BF17" s="108" t="e">
        <f t="shared" ref="BF17:BF36" si="10">L17+BB17/N17*BE17</f>
        <v>#DIV/0!</v>
      </c>
      <c r="BH17" s="13">
        <f>B17</f>
        <v>0</v>
      </c>
      <c r="BI17" s="14">
        <f t="shared" ref="BI17:BI36" si="11">SUMIF($E$17:$E$36,BH17,$AK$17:$AK$36)+SUMIF($R$3:$R$10,BH17,$Q$3:$Q$10)</f>
        <v>0</v>
      </c>
      <c r="BK17" s="13">
        <f>IF(P17="CMI",0.29,0.37)</f>
        <v>0.37</v>
      </c>
      <c r="BL17">
        <f>IF(P17="CMI",0.08,0)</f>
        <v>0</v>
      </c>
      <c r="BM17" s="118" t="e">
        <f>AA17</f>
        <v>#N/A</v>
      </c>
      <c r="BN17" s="118" t="e">
        <f>_xlfn.XLOOKUP(P17,'Lookup Tables'!$F$25:$F$33,'Lookup Tables'!$G$25:$G$33)</f>
        <v>#N/A</v>
      </c>
      <c r="BO17" s="119">
        <f t="shared" ref="BO17:BO36" si="12">IF(OR(P17=8,P17=10,P17=15,P17="CMI",P17="CTO"),0,0.5)</f>
        <v>0.5</v>
      </c>
      <c r="BP17" s="118" t="e">
        <f>IF(P17="CMI",(V17/(BK17*SQRT(2*32.2)*((BM17*(1-BO17)+1.8*4))))^(2/3)+BL17,IF(OR(P17="CTO",P17=3),(V17/(BK17*SQRT(2*32.2)*(BM17*(1-BO17))))^(2/3),(V17/(BK17*SQRT(2*32.2)*(BN17*(1-BO17))))^(2/3)))</f>
        <v>#N/A</v>
      </c>
      <c r="BQ17" s="118" t="e">
        <f>IF(P17="CTO",Q17*0.5,IF(P17="CMI",AA17*0.3333,IF(P17=3,'Lookup Tables'!$D$8*(1-BO17)*0.3333,_xlfn.XLOOKUP(P17,'Lookup Tables'!$F$25:$F$33,'Lookup Tables'!$H$25:$H$33)*(1-BO17))))</f>
        <v>#N/A</v>
      </c>
      <c r="BR17" s="118" t="e">
        <f t="shared" ref="BR17:BR36" si="13">((V17/(0.67*BQ17))^2)/(2*32.2)</f>
        <v>#N/A</v>
      </c>
      <c r="BS17" s="118" t="str">
        <f t="shared" ref="BS17:BS36" si="14">IF(D17="sag",MAX(BP17,BR17),"")</f>
        <v/>
      </c>
      <c r="BT17" s="120" t="str">
        <f t="shared" ref="BT17:BT36" si="15">IFERROR(MIN((BS17-BL17)/M17,N17)+MAX(0,((BS17-BL17)-(M17*N17))/L17),"")</f>
        <v/>
      </c>
    </row>
    <row r="18" spans="1:72" x14ac:dyDescent="0.25">
      <c r="A18">
        <v>2</v>
      </c>
      <c r="B18" s="100"/>
      <c r="C18" s="102"/>
      <c r="D18" s="102"/>
      <c r="E18" s="100"/>
      <c r="F18" s="100"/>
      <c r="G18" s="100"/>
      <c r="H18" s="100"/>
      <c r="I18" s="100"/>
      <c r="J18" s="100"/>
      <c r="K18" s="100"/>
      <c r="L18" s="100"/>
      <c r="M18" s="100"/>
      <c r="N18" s="100"/>
      <c r="O18" s="100"/>
      <c r="P18" s="103"/>
      <c r="Q18" s="104"/>
      <c r="S18" s="28">
        <f t="shared" ref="S18:S36" si="16">ABS(C18-C17)*F18/43560+H18</f>
        <v>0</v>
      </c>
      <c r="T18" s="95">
        <f t="shared" ref="T18:T36" si="17">ABS(C18-C17)*F18/43560*G18+H18*I18</f>
        <v>0</v>
      </c>
      <c r="U18" s="21" cm="1">
        <f t="array" ref="U18">IF(D18="sag",IF(H18&gt;0,IF(J18&gt;5,TREND($L$7:$L$10,$J$7:$J$10,J18,TRUE),$L$7),$L$7),IF(H18&gt;0,IF(J18&gt;5,TREND($K$7:$K$10,$J$7:$J$10,J18,TRUE),$K$7),$K$7))</f>
        <v>0</v>
      </c>
      <c r="V18" s="21">
        <f t="shared" si="0"/>
        <v>0</v>
      </c>
      <c r="W18" s="21" t="e">
        <f t="shared" si="1"/>
        <v>#DIV/0!</v>
      </c>
      <c r="X18" s="21" t="e">
        <f t="shared" si="2"/>
        <v>#DIV/0!</v>
      </c>
      <c r="Y18" s="95" t="e">
        <f t="shared" ref="Y18:Y36" si="18">IF(D18="sag",BS18,IF(M18*N18&gt;1.24*((V18*$O$3*M18)/K18^0.5)^0.375,1.24*((V18*$O$3*M18)/K18^0.5)^0.375,1.24*((V18*$O$3*BF18)/SQRT(K18))^0.375))</f>
        <v>#DIV/0!</v>
      </c>
      <c r="Z18" s="21" t="e">
        <f>VLOOKUP(P18,'Lookup Tables'!$B$8:$E$19,2,FALSE)</f>
        <v>#N/A</v>
      </c>
      <c r="AA18" s="21" t="e">
        <f>IF(P18="CTO",Q18,VLOOKUP(P18,'Lookup Tables'!$B$8:$E$19,3,))</f>
        <v>#N/A</v>
      </c>
      <c r="AB18" s="21" t="e">
        <f>VLOOKUP(P18,'Lookup Tables'!$B$8:$E$19,4)</f>
        <v>#N/A</v>
      </c>
      <c r="AC18" s="21" t="e">
        <f t="shared" ref="AC18:AC36" si="19">V18/(AQ18+AR18)</f>
        <v>#DIV/0!</v>
      </c>
      <c r="AD18" s="21" t="e">
        <f t="shared" ref="AD18:AD36" si="20">IF(OR(P18="CMI",P18="CTO",P18=3), 0, V18*AP18)</f>
        <v>#DIV/0!</v>
      </c>
      <c r="AE18" s="21" t="e">
        <f>MIN(1,1-0.09*(AC18-AB18))</f>
        <v>#DIV/0!</v>
      </c>
      <c r="AF18" s="21" t="e">
        <f t="shared" ref="AF18:AF36" si="21">AD18*AE18</f>
        <v>#DIV/0!</v>
      </c>
      <c r="AG18" s="21" t="e">
        <f>V18-AD18</f>
        <v>#DIV/0!</v>
      </c>
      <c r="AH18" s="21" t="e">
        <f t="shared" si="3"/>
        <v>#N/A</v>
      </c>
      <c r="AI18" s="21" t="e">
        <f>AH18*AG18</f>
        <v>#N/A</v>
      </c>
      <c r="AJ18" s="21" t="e">
        <f t="shared" ref="AJ18:AJ36" si="22">IF(D18="sag",V18,IF(OR(P18=3,P18="CMI",P18="CTO"),V18*AZ18,AF18+AI18))</f>
        <v>#DIV/0!</v>
      </c>
      <c r="AK18" s="23" t="e">
        <f>IF(D18="sag","sag",V18-AJ18)</f>
        <v>#DIV/0!</v>
      </c>
      <c r="AN18" s="96" t="e">
        <f t="shared" si="4"/>
        <v>#DIV/0!</v>
      </c>
      <c r="AO18" s="95" t="e">
        <f>W18/Z18</f>
        <v>#DIV/0!</v>
      </c>
      <c r="AP18" s="21" t="e">
        <f>IF(AO18&gt;1,1/(1+AN18/((1+AN18/(AO18-1))^2.67-1)),1)</f>
        <v>#DIV/0!</v>
      </c>
      <c r="AQ18" s="95" t="e">
        <f t="shared" si="5"/>
        <v>#DIV/0!</v>
      </c>
      <c r="AR18" s="23" t="e">
        <f t="shared" si="6"/>
        <v>#DIV/0!</v>
      </c>
      <c r="AS18" s="83"/>
      <c r="AT18" s="96" t="e">
        <f>IF(P18="CMI",Y18+'Lookup Tables'!$C$28,Y18)</f>
        <v>#DIV/0!</v>
      </c>
      <c r="AU18" s="21" t="e">
        <f t="shared" ref="AU18:AU36" si="23">AY18*Y18</f>
        <v>#VALUE!</v>
      </c>
      <c r="AV18" s="21" t="e">
        <f>AT18-'Lookup Tables'!$C$32</f>
        <v>#DIV/0!</v>
      </c>
      <c r="AW18" s="21" t="e">
        <f>IF('Lookup Tables'!$C$27&lt;Computations!AT18,'Lookup Tables'!$C$24*SQRT(2*'Lookup Tables'!$C$29)*(Computations!AY18+1.8*'Lookup Tables'!$C$25)*Computations!Y18^1.5,'Lookup Tables'!$C$31*Computations!AU18*SQRT(2*'Lookup Tables'!$C$29*Computations!AV18))</f>
        <v>#DIV/0!</v>
      </c>
      <c r="AX18" s="21" t="e">
        <f t="shared" si="7"/>
        <v>#DIV/0!</v>
      </c>
      <c r="AY18" s="21" t="str">
        <f>IF(P18="CMI",'Lookup Tables'!$D$18,IF(P18=3,'Lookup Tables'!$D$8,IF(P18="CTO",Q18,"")))</f>
        <v/>
      </c>
      <c r="AZ18" s="23" t="e">
        <f t="shared" ref="AZ18:AZ36" si="24">IF(P18="CMI",IF(AW18/V18&gt;1,1,AW18/V18),IF(AY18&gt;AX18,1,1-(1-(AY18/AX18))^1.8))</f>
        <v>#DIV/0!</v>
      </c>
      <c r="BB18" s="11">
        <f t="shared" ref="BB18:BB36" si="25">(M18-L18)*N18</f>
        <v>0</v>
      </c>
      <c r="BC18" s="1">
        <f t="shared" ref="BC18:BC36" si="26">M18*N18</f>
        <v>0</v>
      </c>
      <c r="BD18" s="110" t="e">
        <f t="shared" si="8"/>
        <v>#DIV/0!</v>
      </c>
      <c r="BE18" s="95" t="e">
        <f t="shared" si="9"/>
        <v>#DIV/0!</v>
      </c>
      <c r="BF18" s="108" t="e">
        <f t="shared" si="10"/>
        <v>#DIV/0!</v>
      </c>
      <c r="BH18" s="13">
        <f t="shared" ref="BH18:BH36" si="27">B18</f>
        <v>0</v>
      </c>
      <c r="BI18" s="14">
        <f t="shared" si="11"/>
        <v>0</v>
      </c>
      <c r="BK18" s="13">
        <f t="shared" ref="BK18:BK36" si="28">IF(P18="CMI",0.29,0.37)</f>
        <v>0.37</v>
      </c>
      <c r="BL18">
        <f t="shared" ref="BL18:BL36" si="29">IF(P18="CMI",0.08,0)</f>
        <v>0</v>
      </c>
      <c r="BM18" s="118" t="e">
        <f t="shared" ref="BM18:BM36" si="30">AA18</f>
        <v>#N/A</v>
      </c>
      <c r="BN18" s="118" t="e">
        <f>_xlfn.XLOOKUP(P18,'Lookup Tables'!$F$25:$F$33,'Lookup Tables'!$G$25:$G$33)</f>
        <v>#N/A</v>
      </c>
      <c r="BO18" s="119">
        <f t="shared" si="12"/>
        <v>0.5</v>
      </c>
      <c r="BP18" s="118" t="e">
        <f t="shared" ref="BP18:BP36" si="31">IF(P18="CMI",(V18/(BK18*SQRT(2*32.2)*((BM18*(1-BO18)+1.8*4))))^(2/3)+BL18,IF(OR(P18="CTO",P18=3),(V18/(BK18*SQRT(2*32.2)*(BM18*(1-BO18))))^(2/3),(V18/(BK18*SQRT(2*32.2)*(BN18*(1-BO18))))^(2/3)))</f>
        <v>#N/A</v>
      </c>
      <c r="BQ18" s="118" t="e">
        <f>IF(P18="CTO",Q18*0.5,IF(P18="CMI",AA18*0.3333,IF(P18=3,'Lookup Tables'!$D$8*(1-BO18)*0.3333,_xlfn.XLOOKUP(P18,'Lookup Tables'!$F$25:$F$33,'Lookup Tables'!$H$25:$H$33)*(1-BO18))))</f>
        <v>#N/A</v>
      </c>
      <c r="BR18" s="118" t="e">
        <f t="shared" si="13"/>
        <v>#N/A</v>
      </c>
      <c r="BS18" s="118" t="str">
        <f t="shared" si="14"/>
        <v/>
      </c>
      <c r="BT18" s="120" t="str">
        <f t="shared" si="15"/>
        <v/>
      </c>
    </row>
    <row r="19" spans="1:72" x14ac:dyDescent="0.25">
      <c r="A19">
        <v>3</v>
      </c>
      <c r="B19" s="100"/>
      <c r="C19" s="102"/>
      <c r="D19" s="102"/>
      <c r="E19" s="100"/>
      <c r="F19" s="100"/>
      <c r="G19" s="100"/>
      <c r="H19" s="100"/>
      <c r="I19" s="100"/>
      <c r="J19" s="100"/>
      <c r="K19" s="100"/>
      <c r="L19" s="100"/>
      <c r="M19" s="100"/>
      <c r="N19" s="100"/>
      <c r="O19" s="100"/>
      <c r="P19" s="103"/>
      <c r="Q19" s="104"/>
      <c r="S19" s="28">
        <f t="shared" si="16"/>
        <v>0</v>
      </c>
      <c r="T19" s="95">
        <f t="shared" si="17"/>
        <v>0</v>
      </c>
      <c r="U19" s="21" cm="1">
        <f t="array" ref="U19">IF(D19="sag",IF(H19&gt;0,IF(J19&gt;5,TREND($L$7:$L$10,$J$7:$J$10,J19,TRUE),$L$7),$L$7),IF(H19&gt;0,IF(J19&gt;5,TREND($K$7:$K$10,$J$7:$J$10,J19,TRUE),$K$7),$K$7))</f>
        <v>0</v>
      </c>
      <c r="V19" s="21">
        <f t="shared" si="0"/>
        <v>0</v>
      </c>
      <c r="W19" s="21" t="e">
        <f t="shared" si="1"/>
        <v>#DIV/0!</v>
      </c>
      <c r="X19" s="21" t="e">
        <f t="shared" si="2"/>
        <v>#DIV/0!</v>
      </c>
      <c r="Y19" s="95" t="e">
        <f t="shared" si="18"/>
        <v>#DIV/0!</v>
      </c>
      <c r="Z19" s="21" t="e">
        <f>VLOOKUP(P19,'Lookup Tables'!$B$8:$E$19,2,FALSE)</f>
        <v>#N/A</v>
      </c>
      <c r="AA19" s="21" t="e">
        <f>IF(P19="CTO",Q19,VLOOKUP(P19,'Lookup Tables'!$B$8:$E$19,3,))</f>
        <v>#N/A</v>
      </c>
      <c r="AB19" s="21" t="e">
        <f>VLOOKUP(P19,'Lookup Tables'!$B$8:$E$19,4)</f>
        <v>#N/A</v>
      </c>
      <c r="AC19" s="21" t="e">
        <f t="shared" si="19"/>
        <v>#DIV/0!</v>
      </c>
      <c r="AD19" s="21" t="e">
        <f t="shared" si="20"/>
        <v>#DIV/0!</v>
      </c>
      <c r="AE19" s="21" t="e">
        <f t="shared" ref="AE19:AE36" si="32">MIN(1,1-0.09*(AC19-AB19))</f>
        <v>#DIV/0!</v>
      </c>
      <c r="AF19" s="21" t="e">
        <f t="shared" si="21"/>
        <v>#DIV/0!</v>
      </c>
      <c r="AG19" s="21" t="e">
        <f>V19-AD19</f>
        <v>#DIV/0!</v>
      </c>
      <c r="AH19" s="21" t="e">
        <f t="shared" si="3"/>
        <v>#N/A</v>
      </c>
      <c r="AI19" s="21" t="e">
        <f>AH19*AG19</f>
        <v>#N/A</v>
      </c>
      <c r="AJ19" s="21" t="e">
        <f t="shared" si="22"/>
        <v>#DIV/0!</v>
      </c>
      <c r="AK19" s="23" t="e">
        <f t="shared" ref="AK19:AK36" si="33">IF(D19="sag","sag",V19-AJ19)</f>
        <v>#DIV/0!</v>
      </c>
      <c r="AN19" s="96" t="e">
        <f t="shared" si="4"/>
        <v>#DIV/0!</v>
      </c>
      <c r="AO19" s="95" t="e">
        <f t="shared" ref="AO19:AO35" si="34">W19/Z19</f>
        <v>#DIV/0!</v>
      </c>
      <c r="AP19" s="21" t="e">
        <f t="shared" ref="AP19:AP36" si="35">IF(AO19&gt;1,1/(1+AN19/((1+AN19/(AO19-1))^2.67-1)),1)</f>
        <v>#DIV/0!</v>
      </c>
      <c r="AQ19" s="95" t="e">
        <f t="shared" si="5"/>
        <v>#DIV/0!</v>
      </c>
      <c r="AR19" s="23" t="e">
        <f t="shared" si="6"/>
        <v>#DIV/0!</v>
      </c>
      <c r="AT19" s="96" t="e">
        <f>IF(P19="CMI",Y19+'Lookup Tables'!$C$28,Y19)</f>
        <v>#DIV/0!</v>
      </c>
      <c r="AU19" s="21" t="e">
        <f t="shared" si="23"/>
        <v>#VALUE!</v>
      </c>
      <c r="AV19" s="21" t="e">
        <f>AT19-'Lookup Tables'!$C$32</f>
        <v>#DIV/0!</v>
      </c>
      <c r="AW19" s="21" t="e">
        <f>IF('Lookup Tables'!$C$27&lt;Computations!AT19,'Lookup Tables'!$C$24*SQRT(2*'Lookup Tables'!$C$29)*(Computations!AY19+1.8*'Lookup Tables'!$C$25)*Computations!Y19^1.5,'Lookup Tables'!$C$31*Computations!AU19*SQRT(2*'Lookup Tables'!$C$29*Computations!AV19))</f>
        <v>#DIV/0!</v>
      </c>
      <c r="AX19" s="21" t="e">
        <f t="shared" si="7"/>
        <v>#DIV/0!</v>
      </c>
      <c r="AY19" s="21" t="str">
        <f>IF(P19="CMI",'Lookup Tables'!$D$18,IF(P19=3,'Lookup Tables'!$D$8,IF(P19="CTO",Q19,"")))</f>
        <v/>
      </c>
      <c r="AZ19" s="23" t="e">
        <f t="shared" si="24"/>
        <v>#DIV/0!</v>
      </c>
      <c r="BB19" s="11">
        <f t="shared" si="25"/>
        <v>0</v>
      </c>
      <c r="BC19" s="1">
        <f t="shared" si="26"/>
        <v>0</v>
      </c>
      <c r="BD19" s="110" t="e">
        <f t="shared" si="8"/>
        <v>#DIV/0!</v>
      </c>
      <c r="BE19" s="95" t="e">
        <f t="shared" si="9"/>
        <v>#DIV/0!</v>
      </c>
      <c r="BF19" s="108" t="e">
        <f t="shared" si="10"/>
        <v>#DIV/0!</v>
      </c>
      <c r="BH19" s="13">
        <f t="shared" si="27"/>
        <v>0</v>
      </c>
      <c r="BI19" s="14">
        <f t="shared" si="11"/>
        <v>0</v>
      </c>
      <c r="BK19" s="13">
        <f t="shared" si="28"/>
        <v>0.37</v>
      </c>
      <c r="BL19">
        <f t="shared" si="29"/>
        <v>0</v>
      </c>
      <c r="BM19" s="118" t="e">
        <f t="shared" si="30"/>
        <v>#N/A</v>
      </c>
      <c r="BN19" s="118" t="e">
        <f>_xlfn.XLOOKUP(P19,'Lookup Tables'!$F$25:$F$33,'Lookup Tables'!$G$25:$G$33)</f>
        <v>#N/A</v>
      </c>
      <c r="BO19" s="119">
        <f t="shared" si="12"/>
        <v>0.5</v>
      </c>
      <c r="BP19" s="118" t="e">
        <f t="shared" si="31"/>
        <v>#N/A</v>
      </c>
      <c r="BQ19" s="118" t="e">
        <f>IF(P19="CTO",Q19*0.5,IF(P19="CMI",AA19*0.3333,IF(P19=3,'Lookup Tables'!$D$8*(1-BO19)*0.3333,_xlfn.XLOOKUP(P19,'Lookup Tables'!$F$25:$F$33,'Lookup Tables'!$H$25:$H$33)*(1-BO19))))</f>
        <v>#N/A</v>
      </c>
      <c r="BR19" s="118" t="e">
        <f t="shared" si="13"/>
        <v>#N/A</v>
      </c>
      <c r="BS19" s="118" t="str">
        <f t="shared" si="14"/>
        <v/>
      </c>
      <c r="BT19" s="120" t="str">
        <f t="shared" si="15"/>
        <v/>
      </c>
    </row>
    <row r="20" spans="1:72" x14ac:dyDescent="0.25">
      <c r="A20">
        <v>4</v>
      </c>
      <c r="B20" s="100"/>
      <c r="C20" s="102"/>
      <c r="D20" s="102"/>
      <c r="E20" s="100"/>
      <c r="F20" s="100"/>
      <c r="G20" s="100"/>
      <c r="H20" s="100"/>
      <c r="I20" s="100"/>
      <c r="J20" s="100"/>
      <c r="K20" s="100"/>
      <c r="L20" s="100"/>
      <c r="M20" s="100"/>
      <c r="N20" s="100"/>
      <c r="O20" s="100"/>
      <c r="P20" s="103"/>
      <c r="Q20" s="104"/>
      <c r="S20" s="28">
        <f t="shared" si="16"/>
        <v>0</v>
      </c>
      <c r="T20" s="95">
        <f t="shared" si="17"/>
        <v>0</v>
      </c>
      <c r="U20" s="21" cm="1">
        <f t="array" ref="U20">IF(D20="sag",IF(H20&gt;0,IF(J20&gt;5,TREND($L$7:$L$10,$J$7:$J$10,J20,TRUE),$L$7),$L$7),IF(H20&gt;0,IF(J20&gt;5,TREND($K$7:$K$10,$J$7:$J$10,J20,TRUE),$K$7),$K$7))</f>
        <v>0</v>
      </c>
      <c r="V20" s="21">
        <f t="shared" si="0"/>
        <v>0</v>
      </c>
      <c r="W20" s="21" t="e">
        <f t="shared" si="1"/>
        <v>#DIV/0!</v>
      </c>
      <c r="X20" s="21" t="e">
        <f t="shared" si="2"/>
        <v>#DIV/0!</v>
      </c>
      <c r="Y20" s="95" t="e">
        <f>IF(D20="sag",BS20,IF(M20*N20&gt;1.24*((V20*$O$3*M20)/K20^0.5)^0.375,1.24*((V20*$O$3*M20)/K20^0.5)^0.375,1.24*((V20*$O$3*BF20)/SQRT(K20))^0.375))</f>
        <v>#DIV/0!</v>
      </c>
      <c r="Z20" s="21" t="e">
        <f>VLOOKUP(P20,'Lookup Tables'!$B$8:$E$19,2,FALSE)</f>
        <v>#N/A</v>
      </c>
      <c r="AA20" s="21" t="e">
        <f>IF(P20="CTO",Q20,VLOOKUP(P20,'Lookup Tables'!$B$8:$E$19,3,))</f>
        <v>#N/A</v>
      </c>
      <c r="AB20" s="21" t="e">
        <f>VLOOKUP(P20,'Lookup Tables'!$B$8:$E$19,4)</f>
        <v>#N/A</v>
      </c>
      <c r="AC20" s="21" t="e">
        <f t="shared" si="19"/>
        <v>#DIV/0!</v>
      </c>
      <c r="AD20" s="21" t="e">
        <f t="shared" si="20"/>
        <v>#DIV/0!</v>
      </c>
      <c r="AE20" s="21" t="e">
        <f t="shared" si="32"/>
        <v>#DIV/0!</v>
      </c>
      <c r="AF20" s="21" t="e">
        <f t="shared" si="21"/>
        <v>#DIV/0!</v>
      </c>
      <c r="AG20" s="21" t="e">
        <f t="shared" ref="AG20:AG36" si="36">V20-AD20</f>
        <v>#DIV/0!</v>
      </c>
      <c r="AH20" s="21" t="e">
        <f t="shared" si="3"/>
        <v>#N/A</v>
      </c>
      <c r="AI20" s="21" t="e">
        <f t="shared" ref="AI20:AI36" si="37">AH20*AG20</f>
        <v>#N/A</v>
      </c>
      <c r="AJ20" s="21" t="e">
        <f t="shared" si="22"/>
        <v>#DIV/0!</v>
      </c>
      <c r="AK20" s="23" t="e">
        <f t="shared" si="33"/>
        <v>#DIV/0!</v>
      </c>
      <c r="AN20" s="96" t="e">
        <f t="shared" si="4"/>
        <v>#DIV/0!</v>
      </c>
      <c r="AO20" s="95" t="e">
        <f t="shared" si="34"/>
        <v>#DIV/0!</v>
      </c>
      <c r="AP20" s="21" t="e">
        <f t="shared" si="35"/>
        <v>#DIV/0!</v>
      </c>
      <c r="AQ20" s="95" t="e">
        <f t="shared" si="5"/>
        <v>#DIV/0!</v>
      </c>
      <c r="AR20" s="23" t="e">
        <f t="shared" si="6"/>
        <v>#DIV/0!</v>
      </c>
      <c r="AT20" s="96" t="e">
        <f>IF(P20="CMI",Y20+'Lookup Tables'!$C$28,Y20)</f>
        <v>#DIV/0!</v>
      </c>
      <c r="AU20" s="21" t="e">
        <f t="shared" si="23"/>
        <v>#VALUE!</v>
      </c>
      <c r="AV20" s="21" t="e">
        <f>AT20-'Lookup Tables'!$C$32</f>
        <v>#DIV/0!</v>
      </c>
      <c r="AW20" s="21" t="e">
        <f>IF('Lookup Tables'!$C$27&lt;Computations!AT20,'Lookup Tables'!$C$24*SQRT(2*'Lookup Tables'!$C$29)*(Computations!AY20+1.8*'Lookup Tables'!$C$25)*Computations!Y20^1.5,'Lookup Tables'!$C$31*Computations!AU20*SQRT(2*'Lookup Tables'!$C$29*Computations!AV20))</f>
        <v>#DIV/0!</v>
      </c>
      <c r="AX20" s="21" t="e">
        <f t="shared" si="7"/>
        <v>#DIV/0!</v>
      </c>
      <c r="AY20" s="21" t="str">
        <f>IF(P20="CMI",'Lookup Tables'!$D$18,IF(P20=3,'Lookup Tables'!$D$8,IF(P20="CTO",Q20,"")))</f>
        <v/>
      </c>
      <c r="AZ20" s="23" t="e">
        <f t="shared" si="24"/>
        <v>#DIV/0!</v>
      </c>
      <c r="BB20" s="11">
        <f t="shared" si="25"/>
        <v>0</v>
      </c>
      <c r="BC20" s="1">
        <f t="shared" si="26"/>
        <v>0</v>
      </c>
      <c r="BD20" s="110" t="e">
        <f t="shared" si="8"/>
        <v>#DIV/0!</v>
      </c>
      <c r="BE20" s="95" t="e">
        <f t="shared" si="9"/>
        <v>#DIV/0!</v>
      </c>
      <c r="BF20" s="108" t="e">
        <f t="shared" si="10"/>
        <v>#DIV/0!</v>
      </c>
      <c r="BH20" s="13">
        <f t="shared" si="27"/>
        <v>0</v>
      </c>
      <c r="BI20" s="14">
        <f t="shared" si="11"/>
        <v>0</v>
      </c>
      <c r="BK20" s="13">
        <f t="shared" si="28"/>
        <v>0.37</v>
      </c>
      <c r="BL20">
        <f t="shared" si="29"/>
        <v>0</v>
      </c>
      <c r="BM20" s="118" t="e">
        <f t="shared" si="30"/>
        <v>#N/A</v>
      </c>
      <c r="BN20" s="118" t="e">
        <f>_xlfn.XLOOKUP(P20,'Lookup Tables'!$F$25:$F$33,'Lookup Tables'!$G$25:$G$33)</f>
        <v>#N/A</v>
      </c>
      <c r="BO20" s="119">
        <f t="shared" si="12"/>
        <v>0.5</v>
      </c>
      <c r="BP20" s="118" t="e">
        <f>IF(P20="CMI",(V20/(BK20*SQRT(2*32.2)*((BM20*(1-BO20)+1.8*4))))^(2/3)+BL20,IF(OR(P20="CTO",P20=3),(V20/(BK20*SQRT(2*32.2)*(BM20*(1-BO20))))^(2/3),(V20/(BK20*SQRT(2*32.2)*(BN20*(1-BO20))))^(2/3)))</f>
        <v>#N/A</v>
      </c>
      <c r="BQ20" s="118" t="e">
        <f>IF(P20="CTO",Q20*0.5,IF(P20="CMI",AA20*0.3333,IF(P20=3,'Lookup Tables'!$D$8*(1-BO20)*0.3333,_xlfn.XLOOKUP(P20,'Lookup Tables'!$F$25:$F$33,'Lookup Tables'!$H$25:$H$33)*(1-BO20))))</f>
        <v>#N/A</v>
      </c>
      <c r="BR20" s="118" t="e">
        <f t="shared" si="13"/>
        <v>#N/A</v>
      </c>
      <c r="BS20" s="118" t="str">
        <f t="shared" si="14"/>
        <v/>
      </c>
      <c r="BT20" s="120" t="str">
        <f t="shared" si="15"/>
        <v/>
      </c>
    </row>
    <row r="21" spans="1:72" x14ac:dyDescent="0.25">
      <c r="A21">
        <v>5</v>
      </c>
      <c r="B21" s="100"/>
      <c r="C21" s="102"/>
      <c r="D21" s="102"/>
      <c r="E21" s="100"/>
      <c r="F21" s="100"/>
      <c r="G21" s="100"/>
      <c r="H21" s="100"/>
      <c r="I21" s="100"/>
      <c r="J21" s="100"/>
      <c r="K21" s="100"/>
      <c r="L21" s="100"/>
      <c r="M21" s="100"/>
      <c r="N21" s="100"/>
      <c r="O21" s="100"/>
      <c r="P21" s="103"/>
      <c r="Q21" s="104"/>
      <c r="S21" s="28">
        <f t="shared" si="16"/>
        <v>0</v>
      </c>
      <c r="T21" s="95">
        <f t="shared" si="17"/>
        <v>0</v>
      </c>
      <c r="U21" s="21" cm="1">
        <f t="array" ref="U21">IF(D21="sag",IF(H21&gt;0,IF(J21&gt;5,TREND($L$7:$L$10,$J$7:$J$10,J21,TRUE),$L$7),$L$7),IF(H21&gt;0,IF(J21&gt;5,TREND($K$7:$K$10,$J$7:$J$10,J21,TRUE),$K$7),$K$7))</f>
        <v>0</v>
      </c>
      <c r="V21" s="21">
        <f t="shared" si="0"/>
        <v>0</v>
      </c>
      <c r="W21" s="21" t="e">
        <f t="shared" si="1"/>
        <v>#DIV/0!</v>
      </c>
      <c r="X21" s="21" t="e">
        <f t="shared" si="2"/>
        <v>#DIV/0!</v>
      </c>
      <c r="Y21" s="95" t="e">
        <f t="shared" si="18"/>
        <v>#DIV/0!</v>
      </c>
      <c r="Z21" s="21" t="e">
        <f>VLOOKUP(P21,'Lookup Tables'!$B$8:$E$19,2,FALSE)</f>
        <v>#N/A</v>
      </c>
      <c r="AA21" s="21" t="e">
        <f>IF(P21="CTO",Q21,VLOOKUP(P21,'Lookup Tables'!$B$8:$E$19,3,))</f>
        <v>#N/A</v>
      </c>
      <c r="AB21" s="21" t="e">
        <f>VLOOKUP(P21,'Lookup Tables'!$B$8:$E$19,4)</f>
        <v>#N/A</v>
      </c>
      <c r="AC21" s="21" t="e">
        <f t="shared" si="19"/>
        <v>#DIV/0!</v>
      </c>
      <c r="AD21" s="21" t="e">
        <f t="shared" si="20"/>
        <v>#DIV/0!</v>
      </c>
      <c r="AE21" s="21" t="e">
        <f t="shared" si="32"/>
        <v>#DIV/0!</v>
      </c>
      <c r="AF21" s="21" t="e">
        <f t="shared" si="21"/>
        <v>#DIV/0!</v>
      </c>
      <c r="AG21" s="21" t="e">
        <f t="shared" si="36"/>
        <v>#DIV/0!</v>
      </c>
      <c r="AH21" s="21" t="e">
        <f t="shared" si="3"/>
        <v>#N/A</v>
      </c>
      <c r="AI21" s="21" t="e">
        <f t="shared" si="37"/>
        <v>#N/A</v>
      </c>
      <c r="AJ21" s="21" t="e">
        <f t="shared" si="22"/>
        <v>#DIV/0!</v>
      </c>
      <c r="AK21" s="23" t="e">
        <f t="shared" si="33"/>
        <v>#DIV/0!</v>
      </c>
      <c r="AN21" s="96" t="e">
        <f t="shared" si="4"/>
        <v>#DIV/0!</v>
      </c>
      <c r="AO21" s="95" t="e">
        <f t="shared" si="34"/>
        <v>#DIV/0!</v>
      </c>
      <c r="AP21" s="21" t="e">
        <f t="shared" si="35"/>
        <v>#DIV/0!</v>
      </c>
      <c r="AQ21" s="95" t="e">
        <f t="shared" si="5"/>
        <v>#DIV/0!</v>
      </c>
      <c r="AR21" s="23" t="e">
        <f t="shared" si="6"/>
        <v>#DIV/0!</v>
      </c>
      <c r="AT21" s="96" t="e">
        <f>IF(P21="CMI",Y21+'Lookup Tables'!$C$28,Y21)</f>
        <v>#DIV/0!</v>
      </c>
      <c r="AU21" s="21" t="e">
        <f t="shared" si="23"/>
        <v>#VALUE!</v>
      </c>
      <c r="AV21" s="21" t="e">
        <f>AT21-'Lookup Tables'!$C$32</f>
        <v>#DIV/0!</v>
      </c>
      <c r="AW21" s="21" t="e">
        <f>IF('Lookup Tables'!$C$27&lt;Computations!AT21,'Lookup Tables'!$C$24*SQRT(2*'Lookup Tables'!$C$29)*(Computations!AY21+1.8*'Lookup Tables'!$C$25)*Computations!Y21^1.5,'Lookup Tables'!$C$31*Computations!AU21*SQRT(2*'Lookup Tables'!$C$29*Computations!AV21))</f>
        <v>#DIV/0!</v>
      </c>
      <c r="AX21" s="21" t="e">
        <f t="shared" si="7"/>
        <v>#DIV/0!</v>
      </c>
      <c r="AY21" s="21" t="str">
        <f>IF(P21="CMI",'Lookup Tables'!$D$18,IF(P21=3,'Lookup Tables'!$D$8,IF(P21="CTO",Q21,"")))</f>
        <v/>
      </c>
      <c r="AZ21" s="23" t="e">
        <f t="shared" si="24"/>
        <v>#DIV/0!</v>
      </c>
      <c r="BB21" s="11">
        <f t="shared" si="25"/>
        <v>0</v>
      </c>
      <c r="BC21" s="1">
        <f t="shared" si="26"/>
        <v>0</v>
      </c>
      <c r="BD21" s="110" t="e">
        <f t="shared" si="8"/>
        <v>#DIV/0!</v>
      </c>
      <c r="BE21" s="95" t="e">
        <f t="shared" si="9"/>
        <v>#DIV/0!</v>
      </c>
      <c r="BF21" s="108" t="e">
        <f t="shared" si="10"/>
        <v>#DIV/0!</v>
      </c>
      <c r="BH21" s="13">
        <f t="shared" si="27"/>
        <v>0</v>
      </c>
      <c r="BI21" s="14">
        <f t="shared" si="11"/>
        <v>0</v>
      </c>
      <c r="BK21" s="13">
        <f t="shared" si="28"/>
        <v>0.37</v>
      </c>
      <c r="BL21">
        <f t="shared" si="29"/>
        <v>0</v>
      </c>
      <c r="BM21" s="118" t="e">
        <f t="shared" si="30"/>
        <v>#N/A</v>
      </c>
      <c r="BN21" s="118" t="e">
        <f>_xlfn.XLOOKUP(P21,'Lookup Tables'!$F$25:$F$33,'Lookup Tables'!$G$25:$G$33)</f>
        <v>#N/A</v>
      </c>
      <c r="BO21" s="119">
        <f t="shared" si="12"/>
        <v>0.5</v>
      </c>
      <c r="BP21" s="118" t="e">
        <f t="shared" si="31"/>
        <v>#N/A</v>
      </c>
      <c r="BQ21" s="118" t="e">
        <f>IF(P21="CTO",Q21*0.5,IF(P21="CMI",AA21*0.3333,IF(P21=3,'Lookup Tables'!$D$8*(1-BO21)*0.3333,_xlfn.XLOOKUP(P21,'Lookup Tables'!$F$25:$F$33,'Lookup Tables'!$H$25:$H$33)*(1-BO21))))</f>
        <v>#N/A</v>
      </c>
      <c r="BR21" s="118" t="e">
        <f t="shared" si="13"/>
        <v>#N/A</v>
      </c>
      <c r="BS21" s="118" t="str">
        <f t="shared" si="14"/>
        <v/>
      </c>
      <c r="BT21" s="120" t="str">
        <f t="shared" si="15"/>
        <v/>
      </c>
    </row>
    <row r="22" spans="1:72" x14ac:dyDescent="0.25">
      <c r="A22">
        <v>6</v>
      </c>
      <c r="B22" s="100"/>
      <c r="C22" s="102"/>
      <c r="D22" s="102"/>
      <c r="E22" s="100"/>
      <c r="F22" s="100"/>
      <c r="G22" s="100"/>
      <c r="H22" s="100"/>
      <c r="I22" s="100"/>
      <c r="J22" s="100"/>
      <c r="K22" s="100"/>
      <c r="L22" s="100"/>
      <c r="M22" s="100"/>
      <c r="N22" s="100"/>
      <c r="O22" s="100"/>
      <c r="P22" s="103"/>
      <c r="Q22" s="104"/>
      <c r="S22" s="28">
        <f t="shared" si="16"/>
        <v>0</v>
      </c>
      <c r="T22" s="95">
        <f>ABS(C22-C21)*F22/43560*G22+H22*I22</f>
        <v>0</v>
      </c>
      <c r="U22" s="21" cm="1">
        <f t="array" ref="U22">IF(D22="sag",IF(H22&gt;0,IF(J22&gt;5,TREND($L$7:$L$10,$J$7:$J$10,J22,TRUE),$L$7),$L$7),IF(H22&gt;0,IF(J22&gt;5,TREND($K$7:$K$10,$J$7:$J$10,J22,TRUE),$K$7),$K$7))</f>
        <v>0</v>
      </c>
      <c r="V22" s="21">
        <f t="shared" si="0"/>
        <v>0</v>
      </c>
      <c r="W22" s="21" t="e">
        <f>IF(D22="sag",BT22,MIN(Y22/M22,N22)+MAX(0,(Y22-(M22*N22))/L22))</f>
        <v>#DIV/0!</v>
      </c>
      <c r="X22" s="21" t="e">
        <f t="shared" si="2"/>
        <v>#DIV/0!</v>
      </c>
      <c r="Y22" s="95" t="e">
        <f t="shared" si="18"/>
        <v>#DIV/0!</v>
      </c>
      <c r="Z22" s="21" t="e">
        <f>VLOOKUP(P22,'Lookup Tables'!$B$8:$E$19,2,FALSE)</f>
        <v>#N/A</v>
      </c>
      <c r="AA22" s="21" t="e">
        <f>IF(P22="CTO",Q22,VLOOKUP(P22,'Lookup Tables'!$B$8:$E$19,3,))</f>
        <v>#N/A</v>
      </c>
      <c r="AB22" s="21" t="e">
        <f>VLOOKUP(P22,'Lookup Tables'!$B$8:$E$19,4)</f>
        <v>#N/A</v>
      </c>
      <c r="AC22" s="21" t="e">
        <f t="shared" si="19"/>
        <v>#DIV/0!</v>
      </c>
      <c r="AD22" s="21" t="e">
        <f t="shared" si="20"/>
        <v>#DIV/0!</v>
      </c>
      <c r="AE22" s="21" t="e">
        <f t="shared" si="32"/>
        <v>#DIV/0!</v>
      </c>
      <c r="AF22" s="21" t="e">
        <f t="shared" si="21"/>
        <v>#DIV/0!</v>
      </c>
      <c r="AG22" s="21" t="e">
        <f t="shared" si="36"/>
        <v>#DIV/0!</v>
      </c>
      <c r="AH22" s="21" t="e">
        <f t="shared" si="3"/>
        <v>#N/A</v>
      </c>
      <c r="AI22" s="21" t="e">
        <f t="shared" si="37"/>
        <v>#N/A</v>
      </c>
      <c r="AJ22" s="21" t="e">
        <f>IF(D22="sag",V22,IF(OR(P22=3,P22="CMI",P22="CTO"),V22*AZ22,AF22+AI22))</f>
        <v>#DIV/0!</v>
      </c>
      <c r="AK22" s="23" t="e">
        <f t="shared" si="33"/>
        <v>#DIV/0!</v>
      </c>
      <c r="AN22" s="96" t="e">
        <f t="shared" si="4"/>
        <v>#DIV/0!</v>
      </c>
      <c r="AO22" s="95" t="e">
        <f t="shared" si="34"/>
        <v>#DIV/0!</v>
      </c>
      <c r="AP22" s="21" t="e">
        <f t="shared" si="35"/>
        <v>#DIV/0!</v>
      </c>
      <c r="AQ22" s="95" t="e">
        <f t="shared" si="5"/>
        <v>#DIV/0!</v>
      </c>
      <c r="AR22" s="23" t="e">
        <f t="shared" si="6"/>
        <v>#DIV/0!</v>
      </c>
      <c r="AT22" s="96" t="e">
        <f>IF(P22="CMI",Y22+'Lookup Tables'!$C$28,Y22)</f>
        <v>#DIV/0!</v>
      </c>
      <c r="AU22" s="21" t="e">
        <f t="shared" si="23"/>
        <v>#VALUE!</v>
      </c>
      <c r="AV22" s="21" t="e">
        <f>AT22-'Lookup Tables'!$C$32</f>
        <v>#DIV/0!</v>
      </c>
      <c r="AW22" s="21" t="e">
        <f>IF('Lookup Tables'!$C$27&lt;Computations!AT22,'Lookup Tables'!$C$24*SQRT(2*'Lookup Tables'!$C$29)*(Computations!AY22+1.8*'Lookup Tables'!$C$25)*Computations!Y22^1.5,'Lookup Tables'!$C$31*Computations!AU22*SQRT(2*'Lookup Tables'!$C$29*Computations!AV22))</f>
        <v>#DIV/0!</v>
      </c>
      <c r="AX22" s="21" t="e">
        <f t="shared" si="7"/>
        <v>#DIV/0!</v>
      </c>
      <c r="AY22" s="21" t="str">
        <f>IF(P22="CMI",'Lookup Tables'!$D$18,IF(P22=3,'Lookup Tables'!$D$8,IF(P22="CTO",Q22,"")))</f>
        <v/>
      </c>
      <c r="AZ22" s="23" t="e">
        <f t="shared" si="24"/>
        <v>#DIV/0!</v>
      </c>
      <c r="BB22" s="11">
        <f t="shared" si="25"/>
        <v>0</v>
      </c>
      <c r="BC22" s="1">
        <f t="shared" si="26"/>
        <v>0</v>
      </c>
      <c r="BD22" s="110" t="e">
        <f t="shared" si="8"/>
        <v>#DIV/0!</v>
      </c>
      <c r="BE22" s="95" t="e">
        <f t="shared" si="9"/>
        <v>#DIV/0!</v>
      </c>
      <c r="BF22" s="108" t="e">
        <f t="shared" si="10"/>
        <v>#DIV/0!</v>
      </c>
      <c r="BH22" s="13">
        <f t="shared" si="27"/>
        <v>0</v>
      </c>
      <c r="BI22" s="14">
        <f t="shared" si="11"/>
        <v>0</v>
      </c>
      <c r="BK22" s="13">
        <f t="shared" si="28"/>
        <v>0.37</v>
      </c>
      <c r="BL22">
        <f t="shared" si="29"/>
        <v>0</v>
      </c>
      <c r="BM22" s="118" t="e">
        <f t="shared" si="30"/>
        <v>#N/A</v>
      </c>
      <c r="BN22" s="118" t="e">
        <f>_xlfn.XLOOKUP(P22,'Lookup Tables'!$F$25:$F$33,'Lookup Tables'!$G$25:$G$33)</f>
        <v>#N/A</v>
      </c>
      <c r="BO22" s="119">
        <f t="shared" si="12"/>
        <v>0.5</v>
      </c>
      <c r="BP22" s="118" t="e">
        <f t="shared" si="31"/>
        <v>#N/A</v>
      </c>
      <c r="BQ22" s="118" t="e">
        <f>IF(P22="CTO",Q22*0.5,IF(P22="CMI",AA22*0.3333,IF(P22=3,'Lookup Tables'!$D$8*(1-BO22)*0.3333,_xlfn.XLOOKUP(P22,'Lookup Tables'!$F$25:$F$33,'Lookup Tables'!$H$25:$H$33)*(1-BO22))))</f>
        <v>#N/A</v>
      </c>
      <c r="BR22" s="118" t="e">
        <f t="shared" si="13"/>
        <v>#N/A</v>
      </c>
      <c r="BS22" s="118" t="str">
        <f t="shared" si="14"/>
        <v/>
      </c>
      <c r="BT22" s="120" t="str">
        <f t="shared" si="15"/>
        <v/>
      </c>
    </row>
    <row r="23" spans="1:72" x14ac:dyDescent="0.25">
      <c r="A23">
        <v>7</v>
      </c>
      <c r="B23" s="100"/>
      <c r="C23" s="102"/>
      <c r="D23" s="102"/>
      <c r="E23" s="100"/>
      <c r="F23" s="100"/>
      <c r="G23" s="100"/>
      <c r="H23" s="100"/>
      <c r="I23" s="100"/>
      <c r="J23" s="100"/>
      <c r="K23" s="100"/>
      <c r="L23" s="100"/>
      <c r="M23" s="100"/>
      <c r="N23" s="100"/>
      <c r="O23" s="100"/>
      <c r="P23" s="103"/>
      <c r="Q23" s="104"/>
      <c r="S23" s="28">
        <f t="shared" si="16"/>
        <v>0</v>
      </c>
      <c r="T23" s="95">
        <f t="shared" si="17"/>
        <v>0</v>
      </c>
      <c r="U23" s="21" cm="1">
        <f t="array" ref="U23">IF(D23="sag",IF(H23&gt;0,IF(J23&gt;5,TREND($L$7:$L$10,$J$7:$J$10,J23,TRUE),$L$7),$L$7),IF(H23&gt;0,IF(J23&gt;5,TREND($K$7:$K$10,$J$7:$J$10,J23,TRUE),$K$7),$K$7))</f>
        <v>0</v>
      </c>
      <c r="V23" s="21">
        <f t="shared" ref="V23:V36" si="38">T23*U23+BI23</f>
        <v>0</v>
      </c>
      <c r="W23" s="21" t="e">
        <f>IF(D23="sag",BT23,MIN(Y23/M23,N23)+MAX(0,(Y23-(M23*N23))/L23))</f>
        <v>#DIV/0!</v>
      </c>
      <c r="X23" s="21" t="e">
        <f t="shared" si="2"/>
        <v>#DIV/0!</v>
      </c>
      <c r="Y23" s="95" t="e">
        <f t="shared" si="18"/>
        <v>#DIV/0!</v>
      </c>
      <c r="Z23" s="21" t="e">
        <f>VLOOKUP(P23,'Lookup Tables'!$B$8:$E$19,2,FALSE)</f>
        <v>#N/A</v>
      </c>
      <c r="AA23" s="21" t="e">
        <f>IF(P23="CTO",Q23,VLOOKUP(P23,'Lookup Tables'!$B$8:$E$19,3,))</f>
        <v>#N/A</v>
      </c>
      <c r="AB23" s="21" t="e">
        <f>VLOOKUP(P23,'Lookup Tables'!$B$8:$E$19,4)</f>
        <v>#N/A</v>
      </c>
      <c r="AC23" s="21" t="e">
        <f t="shared" si="19"/>
        <v>#DIV/0!</v>
      </c>
      <c r="AD23" s="21" t="e">
        <f t="shared" si="20"/>
        <v>#DIV/0!</v>
      </c>
      <c r="AE23" s="21" t="e">
        <f t="shared" si="32"/>
        <v>#DIV/0!</v>
      </c>
      <c r="AF23" s="21" t="e">
        <f t="shared" si="21"/>
        <v>#DIV/0!</v>
      </c>
      <c r="AG23" s="21" t="e">
        <f t="shared" si="36"/>
        <v>#DIV/0!</v>
      </c>
      <c r="AH23" s="21" t="e">
        <f t="shared" si="3"/>
        <v>#N/A</v>
      </c>
      <c r="AI23" s="21" t="e">
        <f t="shared" si="37"/>
        <v>#N/A</v>
      </c>
      <c r="AJ23" s="21" t="e">
        <f t="shared" si="22"/>
        <v>#DIV/0!</v>
      </c>
      <c r="AK23" s="23" t="e">
        <f t="shared" si="33"/>
        <v>#DIV/0!</v>
      </c>
      <c r="AN23" s="96" t="e">
        <f t="shared" si="4"/>
        <v>#DIV/0!</v>
      </c>
      <c r="AO23" s="95" t="e">
        <f t="shared" si="34"/>
        <v>#DIV/0!</v>
      </c>
      <c r="AP23" s="21" t="e">
        <f t="shared" si="35"/>
        <v>#DIV/0!</v>
      </c>
      <c r="AQ23" s="95" t="e">
        <f t="shared" si="5"/>
        <v>#DIV/0!</v>
      </c>
      <c r="AR23" s="23" t="e">
        <f t="shared" si="6"/>
        <v>#DIV/0!</v>
      </c>
      <c r="AT23" s="96" t="e">
        <f>IF(P23="CMI",Y23+'Lookup Tables'!$C$28,Y23)</f>
        <v>#DIV/0!</v>
      </c>
      <c r="AU23" s="21" t="e">
        <f t="shared" si="23"/>
        <v>#VALUE!</v>
      </c>
      <c r="AV23" s="21" t="e">
        <f>AT23-'Lookup Tables'!$C$32</f>
        <v>#DIV/0!</v>
      </c>
      <c r="AW23" s="21" t="e">
        <f>IF('Lookup Tables'!$C$27&lt;Computations!AT23,'Lookup Tables'!$C$24*SQRT(2*'Lookup Tables'!$C$29)*(Computations!AY23+1.8*'Lookup Tables'!$C$25)*Computations!Y23^1.5,'Lookup Tables'!$C$31*Computations!AU23*SQRT(2*'Lookup Tables'!$C$29*Computations!AV23))</f>
        <v>#DIV/0!</v>
      </c>
      <c r="AX23" s="21" t="e">
        <f t="shared" si="7"/>
        <v>#DIV/0!</v>
      </c>
      <c r="AY23" s="21" t="str">
        <f>IF(P23="CMI",'Lookup Tables'!$D$18,IF(P23=3,'Lookup Tables'!$D$8,IF(P23="CTO",Q23,"")))</f>
        <v/>
      </c>
      <c r="AZ23" s="23" t="e">
        <f t="shared" si="24"/>
        <v>#DIV/0!</v>
      </c>
      <c r="BB23" s="11">
        <f t="shared" si="25"/>
        <v>0</v>
      </c>
      <c r="BC23" s="1">
        <f t="shared" si="26"/>
        <v>0</v>
      </c>
      <c r="BD23" s="95" t="e">
        <f t="shared" si="8"/>
        <v>#DIV/0!</v>
      </c>
      <c r="BE23" s="1" t="e">
        <f t="shared" si="9"/>
        <v>#DIV/0!</v>
      </c>
      <c r="BF23" s="12" t="e">
        <f t="shared" si="10"/>
        <v>#DIV/0!</v>
      </c>
      <c r="BH23" s="13">
        <f t="shared" si="27"/>
        <v>0</v>
      </c>
      <c r="BI23" s="14">
        <f t="shared" si="11"/>
        <v>0</v>
      </c>
      <c r="BK23" s="13">
        <f t="shared" si="28"/>
        <v>0.37</v>
      </c>
      <c r="BL23">
        <f t="shared" si="29"/>
        <v>0</v>
      </c>
      <c r="BM23" s="118" t="e">
        <f t="shared" si="30"/>
        <v>#N/A</v>
      </c>
      <c r="BN23" s="118" t="e">
        <f>_xlfn.XLOOKUP(P23,'Lookup Tables'!$F$25:$F$33,'Lookup Tables'!$G$25:$G$33)</f>
        <v>#N/A</v>
      </c>
      <c r="BO23" s="119">
        <f t="shared" si="12"/>
        <v>0.5</v>
      </c>
      <c r="BP23" s="118" t="e">
        <f t="shared" si="31"/>
        <v>#N/A</v>
      </c>
      <c r="BQ23" s="118" t="e">
        <f>IF(P23="CTO",Q23*0.5,IF(P23="CMI",AA23*0.3333,IF(P23=3,'Lookup Tables'!$D$8*(1-BO23)*0.3333,_xlfn.XLOOKUP(P23,'Lookup Tables'!$F$25:$F$33,'Lookup Tables'!$H$25:$H$33)*(1-BO23))))</f>
        <v>#N/A</v>
      </c>
      <c r="BR23" s="118" t="e">
        <f t="shared" si="13"/>
        <v>#N/A</v>
      </c>
      <c r="BS23" s="118" t="str">
        <f>IF(D23="sag",MAX(BP23,BR23),"")</f>
        <v/>
      </c>
      <c r="BT23" s="120" t="str">
        <f>IFERROR(MIN((BS23-BL23)/M23,N23)+MAX(0,((BS23-BL23)-(M23*N23))/L23),"")</f>
        <v/>
      </c>
    </row>
    <row r="24" spans="1:72" x14ac:dyDescent="0.25">
      <c r="A24">
        <v>8</v>
      </c>
      <c r="B24" s="100"/>
      <c r="C24" s="102"/>
      <c r="D24" s="102"/>
      <c r="E24" s="100"/>
      <c r="F24" s="100"/>
      <c r="G24" s="100"/>
      <c r="H24" s="100"/>
      <c r="I24" s="100"/>
      <c r="J24" s="100"/>
      <c r="K24" s="100"/>
      <c r="L24" s="100"/>
      <c r="M24" s="100"/>
      <c r="N24" s="100"/>
      <c r="O24" s="100"/>
      <c r="P24" s="103"/>
      <c r="Q24" s="104"/>
      <c r="S24" s="28">
        <f t="shared" si="16"/>
        <v>0</v>
      </c>
      <c r="T24" s="95">
        <f>ABS(C24-C23)*F24/43560*G24+H24*I24</f>
        <v>0</v>
      </c>
      <c r="U24" s="21" cm="1">
        <f t="array" ref="U24">IF(D24="sag",IF(H24&gt;0,IF(J24&gt;5,TREND($L$7:$L$10,$J$7:$J$10,J24,TRUE),$L$7),$L$7),IF(H24&gt;0,IF(J24&gt;5,TREND($K$7:$K$10,$J$7:$J$10,J24,TRUE),$K$7),$K$7))</f>
        <v>0</v>
      </c>
      <c r="V24" s="21">
        <f t="shared" si="38"/>
        <v>0</v>
      </c>
      <c r="W24" s="21" t="e">
        <f t="shared" ref="W24:W36" si="39">IF(D24="sag",BT24,MIN(Y24/M24,N24)+MAX(0,(Y24-(M24*N24))/L24))</f>
        <v>#DIV/0!</v>
      </c>
      <c r="X24" s="21" t="e">
        <f t="shared" si="2"/>
        <v>#DIV/0!</v>
      </c>
      <c r="Y24" s="95" t="e">
        <f t="shared" si="18"/>
        <v>#DIV/0!</v>
      </c>
      <c r="Z24" s="21" t="e">
        <f>VLOOKUP(P24,'Lookup Tables'!$B$8:$E$19,2,FALSE)</f>
        <v>#N/A</v>
      </c>
      <c r="AA24" s="21" t="e">
        <f>IF(P24="CTO",Q24,VLOOKUP(P24,'Lookup Tables'!$B$8:$E$19,3,))</f>
        <v>#N/A</v>
      </c>
      <c r="AB24" s="21" t="e">
        <f>VLOOKUP(P24,'Lookup Tables'!$B$8:$E$19,4)</f>
        <v>#N/A</v>
      </c>
      <c r="AC24" s="21" t="e">
        <f t="shared" si="19"/>
        <v>#DIV/0!</v>
      </c>
      <c r="AD24" s="21" t="e">
        <f t="shared" si="20"/>
        <v>#DIV/0!</v>
      </c>
      <c r="AE24" s="21" t="e">
        <f t="shared" si="32"/>
        <v>#DIV/0!</v>
      </c>
      <c r="AF24" s="21" t="e">
        <f t="shared" si="21"/>
        <v>#DIV/0!</v>
      </c>
      <c r="AG24" s="21" t="e">
        <f t="shared" si="36"/>
        <v>#DIV/0!</v>
      </c>
      <c r="AH24" s="21" t="e">
        <f t="shared" si="3"/>
        <v>#N/A</v>
      </c>
      <c r="AI24" s="21" t="e">
        <f t="shared" si="37"/>
        <v>#N/A</v>
      </c>
      <c r="AJ24" s="21" t="e">
        <f>IF(D24="sag",V24,IF(OR(P24=3,P24="CMI",P24="CTO"),V24*AZ24,AF24+AI24))</f>
        <v>#DIV/0!</v>
      </c>
      <c r="AK24" s="23" t="e">
        <f t="shared" si="33"/>
        <v>#DIV/0!</v>
      </c>
      <c r="AN24" s="96" t="e">
        <f t="shared" si="4"/>
        <v>#DIV/0!</v>
      </c>
      <c r="AO24" s="95" t="e">
        <f t="shared" si="34"/>
        <v>#DIV/0!</v>
      </c>
      <c r="AP24" s="21" t="e">
        <f t="shared" si="35"/>
        <v>#DIV/0!</v>
      </c>
      <c r="AQ24" s="95" t="e">
        <f t="shared" si="5"/>
        <v>#DIV/0!</v>
      </c>
      <c r="AR24" s="23" t="e">
        <f t="shared" si="6"/>
        <v>#DIV/0!</v>
      </c>
      <c r="AT24" s="96" t="e">
        <f>IF(P24="CMI",Y24+'Lookup Tables'!$C$28,Y24)</f>
        <v>#DIV/0!</v>
      </c>
      <c r="AU24" s="21" t="e">
        <f t="shared" si="23"/>
        <v>#VALUE!</v>
      </c>
      <c r="AV24" s="21" t="e">
        <f>AT24-'Lookup Tables'!$C$32</f>
        <v>#DIV/0!</v>
      </c>
      <c r="AW24" s="21" t="e">
        <f>IF('Lookup Tables'!$C$27&lt;Computations!AT24,'Lookup Tables'!$C$24*SQRT(2*'Lookup Tables'!$C$29)*(Computations!AY24+1.8*'Lookup Tables'!$C$25)*Computations!Y24^1.5,'Lookup Tables'!$C$31*Computations!AU24*SQRT(2*'Lookup Tables'!$C$29*Computations!AV24))</f>
        <v>#DIV/0!</v>
      </c>
      <c r="AX24" s="21" t="e">
        <f>0.6*V24^0.42*K24^0.3*(1/($O$3*M24))^0.6</f>
        <v>#DIV/0!</v>
      </c>
      <c r="AY24" s="21" t="str">
        <f>IF(P24="CMI",'Lookup Tables'!$D$18,IF(P24=3,'Lookup Tables'!$D$8,IF(P24="CTO",Q24,"")))</f>
        <v/>
      </c>
      <c r="AZ24" s="23" t="e">
        <f t="shared" si="24"/>
        <v>#DIV/0!</v>
      </c>
      <c r="BB24" s="11">
        <f t="shared" si="25"/>
        <v>0</v>
      </c>
      <c r="BC24" s="1">
        <f t="shared" si="26"/>
        <v>0</v>
      </c>
      <c r="BD24" s="95" t="e">
        <f t="shared" si="8"/>
        <v>#DIV/0!</v>
      </c>
      <c r="BE24" s="1" t="e">
        <f t="shared" si="9"/>
        <v>#DIV/0!</v>
      </c>
      <c r="BF24" s="12" t="e">
        <f t="shared" si="10"/>
        <v>#DIV/0!</v>
      </c>
      <c r="BH24" s="13">
        <f t="shared" si="27"/>
        <v>0</v>
      </c>
      <c r="BI24" s="14">
        <f t="shared" si="11"/>
        <v>0</v>
      </c>
      <c r="BK24" s="13">
        <f t="shared" si="28"/>
        <v>0.37</v>
      </c>
      <c r="BL24">
        <f t="shared" si="29"/>
        <v>0</v>
      </c>
      <c r="BM24" s="118" t="e">
        <f t="shared" si="30"/>
        <v>#N/A</v>
      </c>
      <c r="BN24" s="118" t="e">
        <f>_xlfn.XLOOKUP(P24,'Lookup Tables'!$F$25:$F$33,'Lookup Tables'!$G$25:$G$33)</f>
        <v>#N/A</v>
      </c>
      <c r="BO24" s="119">
        <f t="shared" si="12"/>
        <v>0.5</v>
      </c>
      <c r="BP24" s="118" t="e">
        <f t="shared" si="31"/>
        <v>#N/A</v>
      </c>
      <c r="BQ24" s="118" t="e">
        <f>IF(P24="CTO",Q24*0.5,IF(P24="CMI",AA24*0.3333,IF(P24=3,'Lookup Tables'!$D$8*(1-BO24)*0.3333,_xlfn.XLOOKUP(P24,'Lookup Tables'!$F$25:$F$33,'Lookup Tables'!$H$25:$H$33)*(1-BO24))))</f>
        <v>#N/A</v>
      </c>
      <c r="BR24" s="118" t="e">
        <f t="shared" si="13"/>
        <v>#N/A</v>
      </c>
      <c r="BS24" s="118" t="str">
        <f t="shared" si="14"/>
        <v/>
      </c>
      <c r="BT24" s="120" t="str">
        <f t="shared" si="15"/>
        <v/>
      </c>
    </row>
    <row r="25" spans="1:72" x14ac:dyDescent="0.25">
      <c r="A25">
        <v>9</v>
      </c>
      <c r="B25" s="100"/>
      <c r="C25" s="102"/>
      <c r="D25" s="102"/>
      <c r="E25" s="100"/>
      <c r="F25" s="100"/>
      <c r="G25" s="100"/>
      <c r="H25" s="100"/>
      <c r="I25" s="100"/>
      <c r="J25" s="100"/>
      <c r="K25" s="100"/>
      <c r="L25" s="100"/>
      <c r="M25" s="100"/>
      <c r="N25" s="100"/>
      <c r="O25" s="100"/>
      <c r="P25" s="103"/>
      <c r="Q25" s="104"/>
      <c r="S25" s="28">
        <f t="shared" si="16"/>
        <v>0</v>
      </c>
      <c r="T25" s="95">
        <f t="shared" si="17"/>
        <v>0</v>
      </c>
      <c r="U25" s="21" cm="1">
        <f t="array" ref="U25">IF(D25="sag",IF(H25&gt;0,IF(J25&gt;5,TREND($L$7:$L$10,$J$7:$J$10,J25,TRUE),$L$7),$L$7),IF(H25&gt;0,IF(J25&gt;5,TREND($K$7:$K$10,$J$7:$J$10,J25,TRUE),$K$7),$K$7))</f>
        <v>0</v>
      </c>
      <c r="V25" s="21">
        <f t="shared" si="38"/>
        <v>0</v>
      </c>
      <c r="W25" s="21" t="e">
        <f t="shared" si="39"/>
        <v>#DIV/0!</v>
      </c>
      <c r="X25" s="21" t="e">
        <f t="shared" si="2"/>
        <v>#DIV/0!</v>
      </c>
      <c r="Y25" s="95" t="e">
        <f t="shared" si="18"/>
        <v>#DIV/0!</v>
      </c>
      <c r="Z25" s="21" t="e">
        <f>VLOOKUP(P25,'Lookup Tables'!$B$8:$E$19,2,FALSE)</f>
        <v>#N/A</v>
      </c>
      <c r="AA25" s="21" t="e">
        <f>IF(P25="CTO",Q25,VLOOKUP(P25,'Lookup Tables'!$B$8:$E$19,3,))</f>
        <v>#N/A</v>
      </c>
      <c r="AB25" s="21" t="e">
        <f>VLOOKUP(P25,'Lookup Tables'!$B$8:$E$19,4)</f>
        <v>#N/A</v>
      </c>
      <c r="AC25" s="21" t="e">
        <f t="shared" si="19"/>
        <v>#DIV/0!</v>
      </c>
      <c r="AD25" s="21" t="e">
        <f t="shared" si="20"/>
        <v>#DIV/0!</v>
      </c>
      <c r="AE25" s="21" t="e">
        <f t="shared" si="32"/>
        <v>#DIV/0!</v>
      </c>
      <c r="AF25" s="21" t="e">
        <f t="shared" si="21"/>
        <v>#DIV/0!</v>
      </c>
      <c r="AG25" s="21" t="e">
        <f t="shared" si="36"/>
        <v>#DIV/0!</v>
      </c>
      <c r="AH25" s="21" t="e">
        <f t="shared" si="3"/>
        <v>#N/A</v>
      </c>
      <c r="AI25" s="21" t="e">
        <f t="shared" si="37"/>
        <v>#N/A</v>
      </c>
      <c r="AJ25" s="21" t="e">
        <f t="shared" si="22"/>
        <v>#DIV/0!</v>
      </c>
      <c r="AK25" s="23" t="e">
        <f t="shared" si="33"/>
        <v>#DIV/0!</v>
      </c>
      <c r="AN25" s="96" t="e">
        <f t="shared" si="4"/>
        <v>#DIV/0!</v>
      </c>
      <c r="AO25" s="95" t="e">
        <f t="shared" si="34"/>
        <v>#DIV/0!</v>
      </c>
      <c r="AP25" s="21" t="e">
        <f t="shared" si="35"/>
        <v>#DIV/0!</v>
      </c>
      <c r="AQ25" s="95" t="e">
        <f t="shared" si="5"/>
        <v>#DIV/0!</v>
      </c>
      <c r="AR25" s="23" t="e">
        <f t="shared" si="6"/>
        <v>#DIV/0!</v>
      </c>
      <c r="AT25" s="96" t="e">
        <f>IF(P25="CMI",Y25+'Lookup Tables'!$C$28,Y25)</f>
        <v>#DIV/0!</v>
      </c>
      <c r="AU25" s="21" t="e">
        <f t="shared" si="23"/>
        <v>#VALUE!</v>
      </c>
      <c r="AV25" s="21" t="e">
        <f>AT25-'Lookup Tables'!$C$32</f>
        <v>#DIV/0!</v>
      </c>
      <c r="AW25" s="21" t="e">
        <f>IF('Lookup Tables'!$C$27&lt;Computations!AT25,'Lookup Tables'!$C$24*SQRT(2*'Lookup Tables'!$C$29)*(Computations!AY25+1.8*'Lookup Tables'!$C$25)*Computations!Y25^1.5,'Lookup Tables'!$C$31*Computations!AU25*SQRT(2*'Lookup Tables'!$C$29*Computations!AV25))</f>
        <v>#DIV/0!</v>
      </c>
      <c r="AX25" s="21" t="e">
        <f t="shared" si="7"/>
        <v>#DIV/0!</v>
      </c>
      <c r="AY25" s="21" t="str">
        <f>IF(P25="CMI",'Lookup Tables'!$D$18,IF(P25=3,'Lookup Tables'!$D$8,IF(P25="CTO",Q25,"")))</f>
        <v/>
      </c>
      <c r="AZ25" s="23" t="e">
        <f t="shared" si="24"/>
        <v>#DIV/0!</v>
      </c>
      <c r="BB25" s="11">
        <f t="shared" si="25"/>
        <v>0</v>
      </c>
      <c r="BC25" s="1">
        <f t="shared" si="26"/>
        <v>0</v>
      </c>
      <c r="BD25" s="95" t="e">
        <f t="shared" si="8"/>
        <v>#DIV/0!</v>
      </c>
      <c r="BE25" s="1" t="e">
        <f t="shared" si="9"/>
        <v>#DIV/0!</v>
      </c>
      <c r="BF25" s="12" t="e">
        <f t="shared" si="10"/>
        <v>#DIV/0!</v>
      </c>
      <c r="BH25" s="13">
        <f t="shared" si="27"/>
        <v>0</v>
      </c>
      <c r="BI25" s="14">
        <f t="shared" si="11"/>
        <v>0</v>
      </c>
      <c r="BK25" s="13">
        <f t="shared" si="28"/>
        <v>0.37</v>
      </c>
      <c r="BL25">
        <f t="shared" si="29"/>
        <v>0</v>
      </c>
      <c r="BM25" s="118" t="e">
        <f t="shared" si="30"/>
        <v>#N/A</v>
      </c>
      <c r="BN25" s="118" t="e">
        <f>_xlfn.XLOOKUP(P25,'Lookup Tables'!$F$25:$F$33,'Lookup Tables'!$G$25:$G$33)</f>
        <v>#N/A</v>
      </c>
      <c r="BO25" s="119">
        <f t="shared" si="12"/>
        <v>0.5</v>
      </c>
      <c r="BP25" s="118" t="e">
        <f t="shared" si="31"/>
        <v>#N/A</v>
      </c>
      <c r="BQ25" s="118" t="e">
        <f>IF(P25="CTO",Q25*0.5,IF(P25="CMI",AA25*0.3333,IF(P25=3,'Lookup Tables'!$D$8*(1-BO25)*0.3333,_xlfn.XLOOKUP(P25,'Lookup Tables'!$F$25:$F$33,'Lookup Tables'!$H$25:$H$33)*(1-BO25))))</f>
        <v>#N/A</v>
      </c>
      <c r="BR25" s="118" t="e">
        <f t="shared" si="13"/>
        <v>#N/A</v>
      </c>
      <c r="BS25" s="118" t="str">
        <f t="shared" si="14"/>
        <v/>
      </c>
      <c r="BT25" s="120" t="str">
        <f t="shared" si="15"/>
        <v/>
      </c>
    </row>
    <row r="26" spans="1:72" x14ac:dyDescent="0.25">
      <c r="A26">
        <v>10</v>
      </c>
      <c r="B26" s="100"/>
      <c r="C26" s="102"/>
      <c r="D26" s="102"/>
      <c r="E26" s="100"/>
      <c r="F26" s="100"/>
      <c r="G26" s="100"/>
      <c r="H26" s="100"/>
      <c r="I26" s="100"/>
      <c r="J26" s="100"/>
      <c r="K26" s="100"/>
      <c r="L26" s="100"/>
      <c r="M26" s="100"/>
      <c r="N26" s="100"/>
      <c r="O26" s="100"/>
      <c r="P26" s="103"/>
      <c r="Q26" s="104"/>
      <c r="S26" s="28">
        <f t="shared" si="16"/>
        <v>0</v>
      </c>
      <c r="T26" s="95">
        <f t="shared" si="17"/>
        <v>0</v>
      </c>
      <c r="U26" s="21" cm="1">
        <f t="array" ref="U26">IF(D26="sag",IF(H26&gt;0,IF(J26&gt;5,TREND($L$7:$L$10,$J$7:$J$10,J26,TRUE),$L$7),$L$7),IF(H26&gt;0,IF(J26&gt;5,TREND($K$7:$K$10,$J$7:$J$10,J26,TRUE),$K$7),$K$7))</f>
        <v>0</v>
      </c>
      <c r="V26" s="21">
        <f t="shared" si="38"/>
        <v>0</v>
      </c>
      <c r="W26" s="21" t="e">
        <f t="shared" si="39"/>
        <v>#DIV/0!</v>
      </c>
      <c r="X26" s="21" t="e">
        <f t="shared" si="2"/>
        <v>#DIV/0!</v>
      </c>
      <c r="Y26" s="95" t="e">
        <f t="shared" si="18"/>
        <v>#DIV/0!</v>
      </c>
      <c r="Z26" s="21" t="e">
        <f>VLOOKUP(P26,'Lookup Tables'!$B$8:$E$19,2,FALSE)</f>
        <v>#N/A</v>
      </c>
      <c r="AA26" s="21" t="e">
        <f>IF(P26="CTO",Q26,VLOOKUP(P26,'Lookup Tables'!$B$8:$E$19,3,))</f>
        <v>#N/A</v>
      </c>
      <c r="AB26" s="21" t="e">
        <f>VLOOKUP(P26,'Lookup Tables'!$B$8:$E$19,4)</f>
        <v>#N/A</v>
      </c>
      <c r="AC26" s="21" t="e">
        <f t="shared" si="19"/>
        <v>#DIV/0!</v>
      </c>
      <c r="AD26" s="21" t="e">
        <f t="shared" si="20"/>
        <v>#DIV/0!</v>
      </c>
      <c r="AE26" s="21" t="e">
        <f t="shared" si="32"/>
        <v>#DIV/0!</v>
      </c>
      <c r="AF26" s="21" t="e">
        <f t="shared" si="21"/>
        <v>#DIV/0!</v>
      </c>
      <c r="AG26" s="21" t="e">
        <f t="shared" si="36"/>
        <v>#DIV/0!</v>
      </c>
      <c r="AH26" s="21" t="e">
        <f t="shared" si="3"/>
        <v>#N/A</v>
      </c>
      <c r="AI26" s="21" t="e">
        <f t="shared" si="37"/>
        <v>#N/A</v>
      </c>
      <c r="AJ26" s="21" t="e">
        <f t="shared" si="22"/>
        <v>#DIV/0!</v>
      </c>
      <c r="AK26" s="23" t="e">
        <f t="shared" si="33"/>
        <v>#DIV/0!</v>
      </c>
      <c r="AN26" s="96" t="e">
        <f t="shared" si="4"/>
        <v>#DIV/0!</v>
      </c>
      <c r="AO26" s="95" t="e">
        <f t="shared" si="34"/>
        <v>#DIV/0!</v>
      </c>
      <c r="AP26" s="21" t="e">
        <f t="shared" si="35"/>
        <v>#DIV/0!</v>
      </c>
      <c r="AQ26" s="95" t="e">
        <f t="shared" si="5"/>
        <v>#DIV/0!</v>
      </c>
      <c r="AR26" s="23" t="e">
        <f t="shared" si="6"/>
        <v>#DIV/0!</v>
      </c>
      <c r="AT26" s="96" t="e">
        <f>IF(P26="CMI",Y26+'Lookup Tables'!$C$28,Y26)</f>
        <v>#DIV/0!</v>
      </c>
      <c r="AU26" s="21" t="e">
        <f t="shared" si="23"/>
        <v>#VALUE!</v>
      </c>
      <c r="AV26" s="21" t="e">
        <f>AT26-'Lookup Tables'!$C$32</f>
        <v>#DIV/0!</v>
      </c>
      <c r="AW26" s="21" t="e">
        <f>IF('Lookup Tables'!$C$27&lt;Computations!AT26,'Lookup Tables'!$C$24*SQRT(2*'Lookup Tables'!$C$29)*(Computations!AY26+1.8*'Lookup Tables'!$C$25)*Computations!Y26^1.5,'Lookup Tables'!$C$31*Computations!AU26*SQRT(2*'Lookup Tables'!$C$29*Computations!AV26))</f>
        <v>#DIV/0!</v>
      </c>
      <c r="AX26" s="21" t="e">
        <f t="shared" si="7"/>
        <v>#DIV/0!</v>
      </c>
      <c r="AY26" s="21" t="str">
        <f>IF(P26="CMI",'Lookup Tables'!$D$18,IF(P26=3,'Lookup Tables'!$D$8,IF(P26="CTO",Q26,"")))</f>
        <v/>
      </c>
      <c r="AZ26" s="23" t="e">
        <f t="shared" si="24"/>
        <v>#DIV/0!</v>
      </c>
      <c r="BB26" s="11">
        <f t="shared" si="25"/>
        <v>0</v>
      </c>
      <c r="BC26" s="1">
        <f t="shared" si="26"/>
        <v>0</v>
      </c>
      <c r="BD26" s="95" t="e">
        <f t="shared" si="8"/>
        <v>#DIV/0!</v>
      </c>
      <c r="BE26" s="1" t="e">
        <f t="shared" si="9"/>
        <v>#DIV/0!</v>
      </c>
      <c r="BF26" s="12" t="e">
        <f t="shared" si="10"/>
        <v>#DIV/0!</v>
      </c>
      <c r="BH26" s="13">
        <f t="shared" si="27"/>
        <v>0</v>
      </c>
      <c r="BI26" s="14">
        <f t="shared" si="11"/>
        <v>0</v>
      </c>
      <c r="BK26" s="13">
        <f t="shared" si="28"/>
        <v>0.37</v>
      </c>
      <c r="BL26">
        <f t="shared" si="29"/>
        <v>0</v>
      </c>
      <c r="BM26" s="118" t="e">
        <f t="shared" si="30"/>
        <v>#N/A</v>
      </c>
      <c r="BN26" s="118" t="e">
        <f>_xlfn.XLOOKUP(P26,'Lookup Tables'!$F$25:$F$33,'Lookup Tables'!$G$25:$G$33)</f>
        <v>#N/A</v>
      </c>
      <c r="BO26" s="119">
        <f t="shared" si="12"/>
        <v>0.5</v>
      </c>
      <c r="BP26" s="118" t="e">
        <f t="shared" si="31"/>
        <v>#N/A</v>
      </c>
      <c r="BQ26" s="118" t="e">
        <f>IF(P26="CTO",Q26*0.5,IF(P26="CMI",AA26*0.3333,IF(P26=3,'Lookup Tables'!$D$8*(1-BO26)*0.3333,_xlfn.XLOOKUP(P26,'Lookup Tables'!$F$25:$F$33,'Lookup Tables'!$H$25:$H$33)*(1-BO26))))</f>
        <v>#N/A</v>
      </c>
      <c r="BR26" s="118" t="e">
        <f t="shared" si="13"/>
        <v>#N/A</v>
      </c>
      <c r="BS26" s="118" t="str">
        <f t="shared" si="14"/>
        <v/>
      </c>
      <c r="BT26" s="120" t="str">
        <f t="shared" si="15"/>
        <v/>
      </c>
    </row>
    <row r="27" spans="1:72" x14ac:dyDescent="0.25">
      <c r="A27">
        <v>11</v>
      </c>
      <c r="B27" s="100"/>
      <c r="C27" s="102"/>
      <c r="D27" s="102"/>
      <c r="E27" s="100"/>
      <c r="F27" s="100"/>
      <c r="G27" s="100"/>
      <c r="H27" s="100"/>
      <c r="I27" s="100"/>
      <c r="J27" s="100"/>
      <c r="K27" s="100"/>
      <c r="L27" s="100"/>
      <c r="M27" s="100"/>
      <c r="N27" s="100"/>
      <c r="O27" s="100"/>
      <c r="P27" s="103"/>
      <c r="Q27" s="104"/>
      <c r="S27" s="28">
        <f t="shared" si="16"/>
        <v>0</v>
      </c>
      <c r="T27" s="95">
        <f t="shared" si="17"/>
        <v>0</v>
      </c>
      <c r="U27" s="21" cm="1">
        <f t="array" ref="U27">IF(D27="sag",IF(H27&gt;0,IF(J27&gt;5,TREND($L$7:$L$10,$J$7:$J$10,J27,TRUE),$L$7),$L$7),IF(H27&gt;0,IF(J27&gt;5,TREND($K$7:$K$10,$J$7:$J$10,J27,TRUE),$K$7),$K$7))</f>
        <v>0</v>
      </c>
      <c r="V27" s="21">
        <f t="shared" si="38"/>
        <v>0</v>
      </c>
      <c r="W27" s="21" t="e">
        <f t="shared" si="39"/>
        <v>#DIV/0!</v>
      </c>
      <c r="X27" s="21" t="e">
        <f t="shared" si="2"/>
        <v>#DIV/0!</v>
      </c>
      <c r="Y27" s="95" t="e">
        <f t="shared" si="18"/>
        <v>#DIV/0!</v>
      </c>
      <c r="Z27" s="21" t="e">
        <f>VLOOKUP(P27,'Lookup Tables'!$B$8:$E$19,2,FALSE)</f>
        <v>#N/A</v>
      </c>
      <c r="AA27" s="21" t="e">
        <f>IF(P27="CTO",Q27,VLOOKUP(P27,'Lookup Tables'!$B$8:$E$19,3,))</f>
        <v>#N/A</v>
      </c>
      <c r="AB27" s="21" t="e">
        <f>VLOOKUP(P27,'Lookup Tables'!$B$8:$E$19,4)</f>
        <v>#N/A</v>
      </c>
      <c r="AC27" s="21" t="e">
        <f t="shared" si="19"/>
        <v>#DIV/0!</v>
      </c>
      <c r="AD27" s="21" t="e">
        <f t="shared" si="20"/>
        <v>#DIV/0!</v>
      </c>
      <c r="AE27" s="21" t="e">
        <f t="shared" si="32"/>
        <v>#DIV/0!</v>
      </c>
      <c r="AF27" s="21" t="e">
        <f t="shared" si="21"/>
        <v>#DIV/0!</v>
      </c>
      <c r="AG27" s="21" t="e">
        <f t="shared" si="36"/>
        <v>#DIV/0!</v>
      </c>
      <c r="AH27" s="21" t="e">
        <f t="shared" si="3"/>
        <v>#N/A</v>
      </c>
      <c r="AI27" s="21" t="e">
        <f t="shared" si="37"/>
        <v>#N/A</v>
      </c>
      <c r="AJ27" s="21" t="e">
        <f t="shared" si="22"/>
        <v>#DIV/0!</v>
      </c>
      <c r="AK27" s="23" t="e">
        <f t="shared" si="33"/>
        <v>#DIV/0!</v>
      </c>
      <c r="AN27" s="96" t="e">
        <f t="shared" si="4"/>
        <v>#DIV/0!</v>
      </c>
      <c r="AO27" s="95" t="e">
        <f t="shared" si="34"/>
        <v>#DIV/0!</v>
      </c>
      <c r="AP27" s="21" t="e">
        <f t="shared" si="35"/>
        <v>#DIV/0!</v>
      </c>
      <c r="AQ27" s="95" t="e">
        <f t="shared" si="5"/>
        <v>#DIV/0!</v>
      </c>
      <c r="AR27" s="23" t="e">
        <f t="shared" si="6"/>
        <v>#DIV/0!</v>
      </c>
      <c r="AT27" s="96" t="e">
        <f>IF(P27="CMI",Y27+'Lookup Tables'!$C$28,Y27)</f>
        <v>#DIV/0!</v>
      </c>
      <c r="AU27" s="21" t="e">
        <f t="shared" si="23"/>
        <v>#VALUE!</v>
      </c>
      <c r="AV27" s="21" t="e">
        <f>AT27-'Lookup Tables'!$C$32</f>
        <v>#DIV/0!</v>
      </c>
      <c r="AW27" s="21" t="e">
        <f>IF('Lookup Tables'!$C$27&lt;Computations!AT27,'Lookup Tables'!$C$24*SQRT(2*'Lookup Tables'!$C$29)*(Computations!AY27+1.8*'Lookup Tables'!$C$25)*Computations!Y27^1.5,'Lookup Tables'!$C$31*Computations!AU27*SQRT(2*'Lookup Tables'!$C$29*Computations!AV27))</f>
        <v>#DIV/0!</v>
      </c>
      <c r="AX27" s="21" t="e">
        <f t="shared" si="7"/>
        <v>#DIV/0!</v>
      </c>
      <c r="AY27" s="21" t="str">
        <f>IF(P27="CMI",'Lookup Tables'!$D$18,IF(P27=3,'Lookup Tables'!$D$8,IF(P27="CTO",Q27,"")))</f>
        <v/>
      </c>
      <c r="AZ27" s="23" t="e">
        <f t="shared" si="24"/>
        <v>#DIV/0!</v>
      </c>
      <c r="BB27" s="11">
        <f t="shared" si="25"/>
        <v>0</v>
      </c>
      <c r="BC27" s="1">
        <f t="shared" si="26"/>
        <v>0</v>
      </c>
      <c r="BD27" s="95" t="e">
        <f t="shared" si="8"/>
        <v>#DIV/0!</v>
      </c>
      <c r="BE27" s="1" t="e">
        <f t="shared" si="9"/>
        <v>#DIV/0!</v>
      </c>
      <c r="BF27" s="12" t="e">
        <f t="shared" si="10"/>
        <v>#DIV/0!</v>
      </c>
      <c r="BH27" s="13">
        <f t="shared" si="27"/>
        <v>0</v>
      </c>
      <c r="BI27" s="14">
        <f t="shared" si="11"/>
        <v>0</v>
      </c>
      <c r="BK27" s="13">
        <f t="shared" si="28"/>
        <v>0.37</v>
      </c>
      <c r="BL27">
        <f t="shared" si="29"/>
        <v>0</v>
      </c>
      <c r="BM27" s="118" t="e">
        <f t="shared" si="30"/>
        <v>#N/A</v>
      </c>
      <c r="BN27" s="118" t="e">
        <f>_xlfn.XLOOKUP(P27,'Lookup Tables'!$F$25:$F$33,'Lookup Tables'!$G$25:$G$33)</f>
        <v>#N/A</v>
      </c>
      <c r="BO27" s="119">
        <f t="shared" si="12"/>
        <v>0.5</v>
      </c>
      <c r="BP27" s="118" t="e">
        <f t="shared" si="31"/>
        <v>#N/A</v>
      </c>
      <c r="BQ27" s="118" t="e">
        <f>IF(P27="CTO",Q27*0.5,IF(P27="CMI",AA27*0.3333,IF(P27=3,'Lookup Tables'!$D$8*(1-BO27)*0.3333,_xlfn.XLOOKUP(P27,'Lookup Tables'!$F$25:$F$33,'Lookup Tables'!$H$25:$H$33)*(1-BO27))))</f>
        <v>#N/A</v>
      </c>
      <c r="BR27" s="118" t="e">
        <f t="shared" si="13"/>
        <v>#N/A</v>
      </c>
      <c r="BS27" s="118" t="str">
        <f t="shared" si="14"/>
        <v/>
      </c>
      <c r="BT27" s="120" t="str">
        <f t="shared" si="15"/>
        <v/>
      </c>
    </row>
    <row r="28" spans="1:72" x14ac:dyDescent="0.25">
      <c r="A28">
        <v>12</v>
      </c>
      <c r="B28" s="100"/>
      <c r="C28" s="102"/>
      <c r="D28" s="102"/>
      <c r="E28" s="100"/>
      <c r="F28" s="100"/>
      <c r="G28" s="100"/>
      <c r="H28" s="100"/>
      <c r="I28" s="100"/>
      <c r="J28" s="100"/>
      <c r="K28" s="100"/>
      <c r="L28" s="100"/>
      <c r="M28" s="100"/>
      <c r="N28" s="100"/>
      <c r="O28" s="100"/>
      <c r="P28" s="103"/>
      <c r="Q28" s="104"/>
      <c r="S28" s="28">
        <f t="shared" si="16"/>
        <v>0</v>
      </c>
      <c r="T28" s="95">
        <f t="shared" si="17"/>
        <v>0</v>
      </c>
      <c r="U28" s="21" cm="1">
        <f t="array" ref="U28">IF(D28="sag",IF(H28&gt;0,IF(J28&gt;5,TREND($L$7:$L$10,$J$7:$J$10,J28,TRUE),$L$7),$L$7),IF(H28&gt;0,IF(J28&gt;5,TREND($K$7:$K$10,$J$7:$J$10,J28,TRUE),$K$7),$K$7))</f>
        <v>0</v>
      </c>
      <c r="V28" s="21">
        <f t="shared" si="38"/>
        <v>0</v>
      </c>
      <c r="W28" s="21" t="e">
        <f t="shared" si="39"/>
        <v>#DIV/0!</v>
      </c>
      <c r="X28" s="21" t="e">
        <f t="shared" si="2"/>
        <v>#DIV/0!</v>
      </c>
      <c r="Y28" s="95" t="e">
        <f t="shared" si="18"/>
        <v>#DIV/0!</v>
      </c>
      <c r="Z28" s="21" t="e">
        <f>VLOOKUP(P28,'Lookup Tables'!$B$8:$E$19,2,FALSE)</f>
        <v>#N/A</v>
      </c>
      <c r="AA28" s="21" t="e">
        <f>IF(P28="CTO",Q28,VLOOKUP(P28,'Lookup Tables'!$B$8:$E$19,3,))</f>
        <v>#N/A</v>
      </c>
      <c r="AB28" s="21" t="e">
        <f>VLOOKUP(P28,'Lookup Tables'!$B$8:$E$19,4)</f>
        <v>#N/A</v>
      </c>
      <c r="AC28" s="21" t="e">
        <f t="shared" si="19"/>
        <v>#DIV/0!</v>
      </c>
      <c r="AD28" s="21" t="e">
        <f t="shared" si="20"/>
        <v>#DIV/0!</v>
      </c>
      <c r="AE28" s="21" t="e">
        <f t="shared" si="32"/>
        <v>#DIV/0!</v>
      </c>
      <c r="AF28" s="21" t="e">
        <f t="shared" si="21"/>
        <v>#DIV/0!</v>
      </c>
      <c r="AG28" s="21" t="e">
        <f t="shared" si="36"/>
        <v>#DIV/0!</v>
      </c>
      <c r="AH28" s="21" t="e">
        <f t="shared" si="3"/>
        <v>#N/A</v>
      </c>
      <c r="AI28" s="21" t="e">
        <f t="shared" si="37"/>
        <v>#N/A</v>
      </c>
      <c r="AJ28" s="21" t="e">
        <f t="shared" si="22"/>
        <v>#DIV/0!</v>
      </c>
      <c r="AK28" s="23" t="e">
        <f t="shared" si="33"/>
        <v>#DIV/0!</v>
      </c>
      <c r="AN28" s="96" t="e">
        <f t="shared" si="4"/>
        <v>#DIV/0!</v>
      </c>
      <c r="AO28" s="95" t="e">
        <f t="shared" si="34"/>
        <v>#DIV/0!</v>
      </c>
      <c r="AP28" s="21" t="e">
        <f t="shared" si="35"/>
        <v>#DIV/0!</v>
      </c>
      <c r="AQ28" s="95" t="e">
        <f t="shared" si="5"/>
        <v>#DIV/0!</v>
      </c>
      <c r="AR28" s="23" t="e">
        <f t="shared" si="6"/>
        <v>#DIV/0!</v>
      </c>
      <c r="AT28" s="96" t="e">
        <f>IF(P28="CMI",Y28+'Lookup Tables'!$C$28,Y28)</f>
        <v>#DIV/0!</v>
      </c>
      <c r="AU28" s="21" t="e">
        <f t="shared" si="23"/>
        <v>#VALUE!</v>
      </c>
      <c r="AV28" s="21" t="e">
        <f>AT28-'Lookup Tables'!$C$32</f>
        <v>#DIV/0!</v>
      </c>
      <c r="AW28" s="21" t="e">
        <f>IF('Lookup Tables'!$C$27&lt;Computations!AT28,'Lookup Tables'!$C$24*SQRT(2*'Lookup Tables'!$C$29)*(Computations!AY28+1.8*'Lookup Tables'!$C$25)*Computations!Y28^1.5,'Lookup Tables'!$C$31*Computations!AU28*SQRT(2*'Lookup Tables'!$C$29*Computations!AV28))</f>
        <v>#DIV/0!</v>
      </c>
      <c r="AX28" s="21" t="e">
        <f t="shared" si="7"/>
        <v>#DIV/0!</v>
      </c>
      <c r="AY28" s="21" t="str">
        <f>IF(P28="CMI",'Lookup Tables'!$D$18,IF(P28=3,'Lookup Tables'!$D$8,IF(P28="CTO",Q28,"")))</f>
        <v/>
      </c>
      <c r="AZ28" s="23" t="e">
        <f t="shared" si="24"/>
        <v>#DIV/0!</v>
      </c>
      <c r="BB28" s="11">
        <f t="shared" si="25"/>
        <v>0</v>
      </c>
      <c r="BC28" s="1">
        <f t="shared" si="26"/>
        <v>0</v>
      </c>
      <c r="BD28" s="95" t="e">
        <f t="shared" si="8"/>
        <v>#DIV/0!</v>
      </c>
      <c r="BE28" s="1" t="e">
        <f t="shared" si="9"/>
        <v>#DIV/0!</v>
      </c>
      <c r="BF28" s="12" t="e">
        <f t="shared" si="10"/>
        <v>#DIV/0!</v>
      </c>
      <c r="BH28" s="13">
        <f t="shared" si="27"/>
        <v>0</v>
      </c>
      <c r="BI28" s="14">
        <f t="shared" si="11"/>
        <v>0</v>
      </c>
      <c r="BK28" s="13">
        <f t="shared" si="28"/>
        <v>0.37</v>
      </c>
      <c r="BL28">
        <f t="shared" si="29"/>
        <v>0</v>
      </c>
      <c r="BM28" s="118" t="e">
        <f t="shared" si="30"/>
        <v>#N/A</v>
      </c>
      <c r="BN28" s="118" t="e">
        <f>_xlfn.XLOOKUP(P28,'Lookup Tables'!$F$25:$F$33,'Lookup Tables'!$G$25:$G$33)</f>
        <v>#N/A</v>
      </c>
      <c r="BO28" s="119">
        <f t="shared" si="12"/>
        <v>0.5</v>
      </c>
      <c r="BP28" s="118" t="e">
        <f t="shared" si="31"/>
        <v>#N/A</v>
      </c>
      <c r="BQ28" s="118" t="e">
        <f>IF(P28="CTO",Q28*0.5,IF(P28="CMI",AA28*0.3333,IF(P28=3,'Lookup Tables'!$D$8*(1-BO28)*0.3333,_xlfn.XLOOKUP(P28,'Lookup Tables'!$F$25:$F$33,'Lookup Tables'!$H$25:$H$33)*(1-BO28))))</f>
        <v>#N/A</v>
      </c>
      <c r="BR28" s="118" t="e">
        <f t="shared" si="13"/>
        <v>#N/A</v>
      </c>
      <c r="BS28" s="118" t="str">
        <f t="shared" si="14"/>
        <v/>
      </c>
      <c r="BT28" s="120" t="str">
        <f t="shared" si="15"/>
        <v/>
      </c>
    </row>
    <row r="29" spans="1:72" x14ac:dyDescent="0.25">
      <c r="A29">
        <v>13</v>
      </c>
      <c r="B29" s="100"/>
      <c r="C29" s="102"/>
      <c r="D29" s="102"/>
      <c r="E29" s="100"/>
      <c r="F29" s="100"/>
      <c r="G29" s="100"/>
      <c r="H29" s="100"/>
      <c r="I29" s="100"/>
      <c r="J29" s="100"/>
      <c r="K29" s="100"/>
      <c r="L29" s="100"/>
      <c r="M29" s="100"/>
      <c r="N29" s="100"/>
      <c r="O29" s="100"/>
      <c r="P29" s="103"/>
      <c r="Q29" s="104"/>
      <c r="S29" s="28">
        <f t="shared" si="16"/>
        <v>0</v>
      </c>
      <c r="T29" s="95">
        <f t="shared" si="17"/>
        <v>0</v>
      </c>
      <c r="U29" s="21" cm="1">
        <f t="array" ref="U29">IF(D29="sag",IF(H29&gt;0,IF(J29&gt;5,TREND($L$7:$L$10,$J$7:$J$10,J29,TRUE),$L$7),$L$7),IF(H29&gt;0,IF(J29&gt;5,TREND($K$7:$K$10,$J$7:$J$10,J29,TRUE),$K$7),$K$7))</f>
        <v>0</v>
      </c>
      <c r="V29" s="21">
        <f t="shared" si="38"/>
        <v>0</v>
      </c>
      <c r="W29" s="21" t="e">
        <f t="shared" si="39"/>
        <v>#DIV/0!</v>
      </c>
      <c r="X29" s="21" t="e">
        <f t="shared" si="2"/>
        <v>#DIV/0!</v>
      </c>
      <c r="Y29" s="95" t="e">
        <f t="shared" si="18"/>
        <v>#DIV/0!</v>
      </c>
      <c r="Z29" s="21" t="e">
        <f>VLOOKUP(P29,'Lookup Tables'!$B$8:$E$19,2,FALSE)</f>
        <v>#N/A</v>
      </c>
      <c r="AA29" s="21" t="e">
        <f>IF(P29="CTO",Q29,VLOOKUP(P29,'Lookup Tables'!$B$8:$E$19,3,))</f>
        <v>#N/A</v>
      </c>
      <c r="AB29" s="21" t="e">
        <f>VLOOKUP(P29,'Lookup Tables'!$B$8:$E$19,4)</f>
        <v>#N/A</v>
      </c>
      <c r="AC29" s="21" t="e">
        <f t="shared" si="19"/>
        <v>#DIV/0!</v>
      </c>
      <c r="AD29" s="21" t="e">
        <f t="shared" si="20"/>
        <v>#DIV/0!</v>
      </c>
      <c r="AE29" s="21" t="e">
        <f t="shared" si="32"/>
        <v>#DIV/0!</v>
      </c>
      <c r="AF29" s="21" t="e">
        <f t="shared" si="21"/>
        <v>#DIV/0!</v>
      </c>
      <c r="AG29" s="21" t="e">
        <f t="shared" si="36"/>
        <v>#DIV/0!</v>
      </c>
      <c r="AH29" s="21" t="e">
        <f t="shared" si="3"/>
        <v>#N/A</v>
      </c>
      <c r="AI29" s="21" t="e">
        <f t="shared" si="37"/>
        <v>#N/A</v>
      </c>
      <c r="AJ29" s="21" t="e">
        <f t="shared" si="22"/>
        <v>#DIV/0!</v>
      </c>
      <c r="AK29" s="23" t="e">
        <f t="shared" si="33"/>
        <v>#DIV/0!</v>
      </c>
      <c r="AN29" s="96" t="e">
        <f t="shared" si="4"/>
        <v>#DIV/0!</v>
      </c>
      <c r="AO29" s="95" t="e">
        <f t="shared" si="34"/>
        <v>#DIV/0!</v>
      </c>
      <c r="AP29" s="21" t="e">
        <f t="shared" si="35"/>
        <v>#DIV/0!</v>
      </c>
      <c r="AQ29" s="95" t="e">
        <f t="shared" si="5"/>
        <v>#DIV/0!</v>
      </c>
      <c r="AR29" s="23" t="e">
        <f t="shared" si="6"/>
        <v>#DIV/0!</v>
      </c>
      <c r="AT29" s="96" t="e">
        <f>IF(P29="CMI",Y29+'Lookup Tables'!$C$28,Y29)</f>
        <v>#DIV/0!</v>
      </c>
      <c r="AU29" s="21" t="e">
        <f t="shared" si="23"/>
        <v>#VALUE!</v>
      </c>
      <c r="AV29" s="21" t="e">
        <f>AT29-'Lookup Tables'!$C$32</f>
        <v>#DIV/0!</v>
      </c>
      <c r="AW29" s="21" t="e">
        <f>IF('Lookup Tables'!$C$27&lt;Computations!AT29,'Lookup Tables'!$C$24*SQRT(2*'Lookup Tables'!$C$29)*(Computations!AY29+1.8*'Lookup Tables'!$C$25)*Computations!Y29^1.5,'Lookup Tables'!$C$31*Computations!AU29*SQRT(2*'Lookup Tables'!$C$29*Computations!AV29))</f>
        <v>#DIV/0!</v>
      </c>
      <c r="AX29" s="21" t="e">
        <f t="shared" si="7"/>
        <v>#DIV/0!</v>
      </c>
      <c r="AY29" s="21" t="str">
        <f>IF(P29="CMI",'Lookup Tables'!$D$18,IF(P29=3,'Lookup Tables'!$D$8,IF(P29="CTO",Q29,"")))</f>
        <v/>
      </c>
      <c r="AZ29" s="23" t="e">
        <f t="shared" si="24"/>
        <v>#DIV/0!</v>
      </c>
      <c r="BB29" s="11">
        <f t="shared" si="25"/>
        <v>0</v>
      </c>
      <c r="BC29" s="1">
        <f t="shared" si="26"/>
        <v>0</v>
      </c>
      <c r="BD29" s="95" t="e">
        <f t="shared" si="8"/>
        <v>#DIV/0!</v>
      </c>
      <c r="BE29" s="1" t="e">
        <f t="shared" si="9"/>
        <v>#DIV/0!</v>
      </c>
      <c r="BF29" s="12" t="e">
        <f t="shared" si="10"/>
        <v>#DIV/0!</v>
      </c>
      <c r="BH29" s="13">
        <f t="shared" si="27"/>
        <v>0</v>
      </c>
      <c r="BI29" s="14">
        <f t="shared" si="11"/>
        <v>0</v>
      </c>
      <c r="BK29" s="13">
        <f t="shared" si="28"/>
        <v>0.37</v>
      </c>
      <c r="BL29">
        <f t="shared" si="29"/>
        <v>0</v>
      </c>
      <c r="BM29" s="118" t="e">
        <f t="shared" si="30"/>
        <v>#N/A</v>
      </c>
      <c r="BN29" s="118" t="e">
        <f>_xlfn.XLOOKUP(P29,'Lookup Tables'!$F$25:$F$33,'Lookup Tables'!$G$25:$G$33)</f>
        <v>#N/A</v>
      </c>
      <c r="BO29" s="119">
        <f t="shared" si="12"/>
        <v>0.5</v>
      </c>
      <c r="BP29" s="118" t="e">
        <f t="shared" si="31"/>
        <v>#N/A</v>
      </c>
      <c r="BQ29" s="118" t="e">
        <f>IF(P29="CTO",Q29*0.5,IF(P29="CMI",AA29*0.3333,IF(P29=3,'Lookup Tables'!$D$8*(1-BO29)*0.3333,_xlfn.XLOOKUP(P29,'Lookup Tables'!$F$25:$F$33,'Lookup Tables'!$H$25:$H$33)*(1-BO29))))</f>
        <v>#N/A</v>
      </c>
      <c r="BR29" s="118" t="e">
        <f t="shared" si="13"/>
        <v>#N/A</v>
      </c>
      <c r="BS29" s="118" t="str">
        <f t="shared" si="14"/>
        <v/>
      </c>
      <c r="BT29" s="120" t="str">
        <f t="shared" si="15"/>
        <v/>
      </c>
    </row>
    <row r="30" spans="1:72" x14ac:dyDescent="0.25">
      <c r="A30">
        <v>14</v>
      </c>
      <c r="B30" s="100"/>
      <c r="C30" s="102"/>
      <c r="D30" s="102"/>
      <c r="E30" s="100"/>
      <c r="F30" s="100"/>
      <c r="G30" s="100"/>
      <c r="H30" s="100"/>
      <c r="I30" s="100"/>
      <c r="J30" s="100"/>
      <c r="K30" s="100"/>
      <c r="L30" s="100"/>
      <c r="M30" s="100"/>
      <c r="N30" s="100"/>
      <c r="O30" s="100"/>
      <c r="P30" s="103"/>
      <c r="Q30" s="104"/>
      <c r="S30" s="28">
        <f t="shared" si="16"/>
        <v>0</v>
      </c>
      <c r="T30" s="95">
        <f t="shared" si="17"/>
        <v>0</v>
      </c>
      <c r="U30" s="21" cm="1">
        <f t="array" ref="U30">IF(D30="sag",IF(H30&gt;0,IF(J30&gt;5,TREND($L$7:$L$10,$J$7:$J$10,J30,TRUE),$L$7),$L$7),IF(H30&gt;0,IF(J30&gt;5,TREND($K$7:$K$10,$J$7:$J$10,J30,TRUE),$K$7),$K$7))</f>
        <v>0</v>
      </c>
      <c r="V30" s="21">
        <f t="shared" si="38"/>
        <v>0</v>
      </c>
      <c r="W30" s="21" t="e">
        <f>IF(D30="sag",BT30,MIN(Y30/M30,N30)+MAX(0,(Y30-(M30*N30))/L30))</f>
        <v>#DIV/0!</v>
      </c>
      <c r="X30" s="21" t="e">
        <f t="shared" si="2"/>
        <v>#DIV/0!</v>
      </c>
      <c r="Y30" s="95" t="e">
        <f t="shared" si="18"/>
        <v>#DIV/0!</v>
      </c>
      <c r="Z30" s="21" t="e">
        <f>VLOOKUP(P30,'Lookup Tables'!$B$8:$E$19,2,FALSE)</f>
        <v>#N/A</v>
      </c>
      <c r="AA30" s="21" t="e">
        <f>IF(P30="CTO",Q30,VLOOKUP(P30,'Lookup Tables'!$B$8:$E$19,3,))</f>
        <v>#N/A</v>
      </c>
      <c r="AB30" s="21" t="e">
        <f>VLOOKUP(P30,'Lookup Tables'!$B$8:$E$19,4)</f>
        <v>#N/A</v>
      </c>
      <c r="AC30" s="21" t="e">
        <f t="shared" si="19"/>
        <v>#DIV/0!</v>
      </c>
      <c r="AD30" s="21" t="e">
        <f t="shared" si="20"/>
        <v>#DIV/0!</v>
      </c>
      <c r="AE30" s="21" t="e">
        <f t="shared" si="32"/>
        <v>#DIV/0!</v>
      </c>
      <c r="AF30" s="21" t="e">
        <f t="shared" si="21"/>
        <v>#DIV/0!</v>
      </c>
      <c r="AG30" s="21" t="e">
        <f t="shared" si="36"/>
        <v>#DIV/0!</v>
      </c>
      <c r="AH30" s="21" t="e">
        <f t="shared" si="3"/>
        <v>#N/A</v>
      </c>
      <c r="AI30" s="21" t="e">
        <f t="shared" si="37"/>
        <v>#N/A</v>
      </c>
      <c r="AJ30" s="21" t="e">
        <f t="shared" si="22"/>
        <v>#DIV/0!</v>
      </c>
      <c r="AK30" s="23" t="e">
        <f t="shared" si="33"/>
        <v>#DIV/0!</v>
      </c>
      <c r="AN30" s="96" t="e">
        <f t="shared" si="4"/>
        <v>#DIV/0!</v>
      </c>
      <c r="AO30" s="95" t="e">
        <f t="shared" si="34"/>
        <v>#DIV/0!</v>
      </c>
      <c r="AP30" s="21" t="e">
        <f t="shared" si="35"/>
        <v>#DIV/0!</v>
      </c>
      <c r="AQ30" s="95" t="e">
        <f t="shared" si="5"/>
        <v>#DIV/0!</v>
      </c>
      <c r="AR30" s="23" t="e">
        <f t="shared" si="6"/>
        <v>#DIV/0!</v>
      </c>
      <c r="AT30" s="96" t="e">
        <f>IF(P30="CMI",Y30+'Lookup Tables'!$C$28,Y30)</f>
        <v>#DIV/0!</v>
      </c>
      <c r="AU30" s="21" t="e">
        <f t="shared" si="23"/>
        <v>#VALUE!</v>
      </c>
      <c r="AV30" s="21" t="e">
        <f>AT30-'Lookup Tables'!$C$32</f>
        <v>#DIV/0!</v>
      </c>
      <c r="AW30" s="21" t="e">
        <f>IF('Lookup Tables'!$C$27&lt;Computations!AT30,'Lookup Tables'!$C$24*SQRT(2*'Lookup Tables'!$C$29)*(Computations!AY30+1.8*'Lookup Tables'!$C$25)*Computations!Y30^1.5,'Lookup Tables'!$C$31*Computations!AU30*SQRT(2*'Lookup Tables'!$C$29*Computations!AV30))</f>
        <v>#DIV/0!</v>
      </c>
      <c r="AX30" s="21" t="e">
        <f t="shared" si="7"/>
        <v>#DIV/0!</v>
      </c>
      <c r="AY30" s="21" t="str">
        <f>IF(P30="CMI",'Lookup Tables'!$D$18,IF(P30=3,'Lookup Tables'!$D$8,IF(P30="CTO",Q30,"")))</f>
        <v/>
      </c>
      <c r="AZ30" s="23" t="e">
        <f t="shared" si="24"/>
        <v>#DIV/0!</v>
      </c>
      <c r="BB30" s="11">
        <f t="shared" si="25"/>
        <v>0</v>
      </c>
      <c r="BC30" s="1">
        <f t="shared" si="26"/>
        <v>0</v>
      </c>
      <c r="BD30" s="95" t="e">
        <f t="shared" si="8"/>
        <v>#DIV/0!</v>
      </c>
      <c r="BE30" s="1" t="e">
        <f t="shared" si="9"/>
        <v>#DIV/0!</v>
      </c>
      <c r="BF30" s="12" t="e">
        <f t="shared" si="10"/>
        <v>#DIV/0!</v>
      </c>
      <c r="BH30" s="13">
        <f t="shared" si="27"/>
        <v>0</v>
      </c>
      <c r="BI30" s="14">
        <f t="shared" si="11"/>
        <v>0</v>
      </c>
      <c r="BK30" s="13">
        <f t="shared" si="28"/>
        <v>0.37</v>
      </c>
      <c r="BL30">
        <f t="shared" si="29"/>
        <v>0</v>
      </c>
      <c r="BM30" s="118" t="e">
        <f t="shared" si="30"/>
        <v>#N/A</v>
      </c>
      <c r="BN30" s="118" t="e">
        <f>_xlfn.XLOOKUP(P30,'Lookup Tables'!$F$25:$F$33,'Lookup Tables'!$G$25:$G$33)</f>
        <v>#N/A</v>
      </c>
      <c r="BO30" s="119">
        <f t="shared" si="12"/>
        <v>0.5</v>
      </c>
      <c r="BP30" s="118" t="e">
        <f t="shared" si="31"/>
        <v>#N/A</v>
      </c>
      <c r="BQ30" s="118" t="e">
        <f>IF(P30="CTO",Q30*0.5,IF(P30="CMI",AA30*0.3333,IF(P30=3,'Lookup Tables'!$D$8*(1-BO30)*0.3333,_xlfn.XLOOKUP(P30,'Lookup Tables'!$F$25:$F$33,'Lookup Tables'!$H$25:$H$33)*(1-BO30))))</f>
        <v>#N/A</v>
      </c>
      <c r="BR30" s="118" t="e">
        <f t="shared" si="13"/>
        <v>#N/A</v>
      </c>
      <c r="BS30" s="118" t="str">
        <f t="shared" si="14"/>
        <v/>
      </c>
      <c r="BT30" s="120" t="str">
        <f t="shared" si="15"/>
        <v/>
      </c>
    </row>
    <row r="31" spans="1:72" x14ac:dyDescent="0.25">
      <c r="A31">
        <v>15</v>
      </c>
      <c r="B31" s="100"/>
      <c r="C31" s="102"/>
      <c r="D31" s="102"/>
      <c r="E31" s="100"/>
      <c r="F31" s="100"/>
      <c r="G31" s="100"/>
      <c r="H31" s="100"/>
      <c r="I31" s="100"/>
      <c r="J31" s="100"/>
      <c r="K31" s="100"/>
      <c r="L31" s="100"/>
      <c r="M31" s="100"/>
      <c r="N31" s="100"/>
      <c r="O31" s="100"/>
      <c r="P31" s="103"/>
      <c r="Q31" s="104"/>
      <c r="S31" s="28">
        <f t="shared" si="16"/>
        <v>0</v>
      </c>
      <c r="T31" s="95">
        <f t="shared" si="17"/>
        <v>0</v>
      </c>
      <c r="U31" s="21" cm="1">
        <f t="array" ref="U31">IF(D31="sag",IF(H31&gt;0,IF(J31&gt;5,TREND($L$7:$L$10,$J$7:$J$10,J31,TRUE),$L$7),$L$7),IF(H31&gt;0,IF(J31&gt;5,TREND($K$7:$K$10,$J$7:$J$10,J31,TRUE),$K$7),$K$7))</f>
        <v>0</v>
      </c>
      <c r="V31" s="21">
        <f t="shared" si="38"/>
        <v>0</v>
      </c>
      <c r="W31" s="21" t="e">
        <f t="shared" si="39"/>
        <v>#DIV/0!</v>
      </c>
      <c r="X31" s="21" t="e">
        <f t="shared" si="2"/>
        <v>#DIV/0!</v>
      </c>
      <c r="Y31" s="95" t="e">
        <f t="shared" si="18"/>
        <v>#DIV/0!</v>
      </c>
      <c r="Z31" s="21" t="e">
        <f>VLOOKUP(P31,'Lookup Tables'!$B$8:$E$19,2,FALSE)</f>
        <v>#N/A</v>
      </c>
      <c r="AA31" s="21" t="e">
        <f>IF(P31="CTO",Q31,VLOOKUP(P31,'Lookup Tables'!$B$8:$E$19,3,))</f>
        <v>#N/A</v>
      </c>
      <c r="AB31" s="21" t="e">
        <f>VLOOKUP(P31,'Lookup Tables'!$B$8:$E$19,4)</f>
        <v>#N/A</v>
      </c>
      <c r="AC31" s="21" t="e">
        <f t="shared" si="19"/>
        <v>#DIV/0!</v>
      </c>
      <c r="AD31" s="21" t="e">
        <f t="shared" si="20"/>
        <v>#DIV/0!</v>
      </c>
      <c r="AE31" s="21" t="e">
        <f t="shared" si="32"/>
        <v>#DIV/0!</v>
      </c>
      <c r="AF31" s="21" t="e">
        <f t="shared" si="21"/>
        <v>#DIV/0!</v>
      </c>
      <c r="AG31" s="21" t="e">
        <f t="shared" si="36"/>
        <v>#DIV/0!</v>
      </c>
      <c r="AH31" s="21" t="e">
        <f t="shared" si="3"/>
        <v>#N/A</v>
      </c>
      <c r="AI31" s="21" t="e">
        <f t="shared" si="37"/>
        <v>#N/A</v>
      </c>
      <c r="AJ31" s="21" t="e">
        <f t="shared" si="22"/>
        <v>#DIV/0!</v>
      </c>
      <c r="AK31" s="23" t="e">
        <f t="shared" si="33"/>
        <v>#DIV/0!</v>
      </c>
      <c r="AN31" s="96" t="e">
        <f t="shared" si="4"/>
        <v>#DIV/0!</v>
      </c>
      <c r="AO31" s="95" t="e">
        <f t="shared" si="34"/>
        <v>#DIV/0!</v>
      </c>
      <c r="AP31" s="21" t="e">
        <f t="shared" si="35"/>
        <v>#DIV/0!</v>
      </c>
      <c r="AQ31" s="95" t="e">
        <f t="shared" si="5"/>
        <v>#DIV/0!</v>
      </c>
      <c r="AR31" s="23" t="e">
        <f t="shared" si="6"/>
        <v>#DIV/0!</v>
      </c>
      <c r="AT31" s="96" t="e">
        <f>IF(P31="CMI",Y31+'Lookup Tables'!$C$28,Y31)</f>
        <v>#DIV/0!</v>
      </c>
      <c r="AU31" s="21" t="e">
        <f t="shared" si="23"/>
        <v>#VALUE!</v>
      </c>
      <c r="AV31" s="21" t="e">
        <f>AT31-'Lookup Tables'!$C$32</f>
        <v>#DIV/0!</v>
      </c>
      <c r="AW31" s="21" t="e">
        <f>IF('Lookup Tables'!$C$27&lt;Computations!AT31,'Lookup Tables'!$C$24*SQRT(2*'Lookup Tables'!$C$29)*(Computations!AY31+1.8*'Lookup Tables'!$C$25)*Computations!Y31^1.5,'Lookup Tables'!$C$31*Computations!AU31*SQRT(2*'Lookup Tables'!$C$29*Computations!AV31))</f>
        <v>#DIV/0!</v>
      </c>
      <c r="AX31" s="21" t="e">
        <f t="shared" si="7"/>
        <v>#DIV/0!</v>
      </c>
      <c r="AY31" s="21" t="str">
        <f>IF(P31="CMI",'Lookup Tables'!$D$18,IF(P31=3,'Lookup Tables'!$D$8,IF(P31="CTO",Q31,"")))</f>
        <v/>
      </c>
      <c r="AZ31" s="23" t="e">
        <f t="shared" si="24"/>
        <v>#DIV/0!</v>
      </c>
      <c r="BB31" s="11">
        <f t="shared" si="25"/>
        <v>0</v>
      </c>
      <c r="BC31" s="1">
        <f t="shared" si="26"/>
        <v>0</v>
      </c>
      <c r="BD31" s="95" t="e">
        <f t="shared" si="8"/>
        <v>#DIV/0!</v>
      </c>
      <c r="BE31" s="1" t="e">
        <f t="shared" si="9"/>
        <v>#DIV/0!</v>
      </c>
      <c r="BF31" s="12" t="e">
        <f t="shared" si="10"/>
        <v>#DIV/0!</v>
      </c>
      <c r="BH31" s="13">
        <f t="shared" si="27"/>
        <v>0</v>
      </c>
      <c r="BI31" s="14">
        <f t="shared" si="11"/>
        <v>0</v>
      </c>
      <c r="BK31" s="13">
        <f t="shared" si="28"/>
        <v>0.37</v>
      </c>
      <c r="BL31">
        <f t="shared" si="29"/>
        <v>0</v>
      </c>
      <c r="BM31" s="118" t="e">
        <f t="shared" si="30"/>
        <v>#N/A</v>
      </c>
      <c r="BN31" s="118" t="e">
        <f>_xlfn.XLOOKUP(P31,'Lookup Tables'!$F$25:$F$33,'Lookup Tables'!$G$25:$G$33)</f>
        <v>#N/A</v>
      </c>
      <c r="BO31" s="119">
        <f t="shared" si="12"/>
        <v>0.5</v>
      </c>
      <c r="BP31" s="118" t="e">
        <f t="shared" si="31"/>
        <v>#N/A</v>
      </c>
      <c r="BQ31" s="118" t="e">
        <f>IF(P31="CTO",Q31*0.5,IF(P31="CMI",AA31*0.3333,IF(P31=3,'Lookup Tables'!$D$8*(1-BO31)*0.3333,_xlfn.XLOOKUP(P31,'Lookup Tables'!$F$25:$F$33,'Lookup Tables'!$H$25:$H$33)*(1-BO31))))</f>
        <v>#N/A</v>
      </c>
      <c r="BR31" s="118" t="e">
        <f t="shared" si="13"/>
        <v>#N/A</v>
      </c>
      <c r="BS31" s="118" t="str">
        <f t="shared" si="14"/>
        <v/>
      </c>
      <c r="BT31" s="120" t="str">
        <f t="shared" si="15"/>
        <v/>
      </c>
    </row>
    <row r="32" spans="1:72" x14ac:dyDescent="0.25">
      <c r="A32">
        <v>16</v>
      </c>
      <c r="B32" s="100"/>
      <c r="C32" s="102"/>
      <c r="D32" s="102"/>
      <c r="E32" s="100"/>
      <c r="F32" s="100"/>
      <c r="G32" s="100"/>
      <c r="H32" s="100"/>
      <c r="I32" s="100"/>
      <c r="J32" s="100"/>
      <c r="K32" s="100"/>
      <c r="L32" s="100"/>
      <c r="M32" s="100"/>
      <c r="N32" s="100"/>
      <c r="O32" s="100"/>
      <c r="P32" s="103"/>
      <c r="Q32" s="104"/>
      <c r="S32" s="28">
        <f t="shared" si="16"/>
        <v>0</v>
      </c>
      <c r="T32" s="95">
        <f t="shared" si="17"/>
        <v>0</v>
      </c>
      <c r="U32" s="21" cm="1">
        <f t="array" ref="U32">IF(D32="sag",IF(H32&gt;0,IF(J32&gt;5,TREND($L$7:$L$10,$J$7:$J$10,J32,TRUE),$L$7),$L$7),IF(H32&gt;0,IF(J32&gt;5,TREND($K$7:$K$10,$J$7:$J$10,J32,TRUE),$K$7),$K$7))</f>
        <v>0</v>
      </c>
      <c r="V32" s="21">
        <f t="shared" si="38"/>
        <v>0</v>
      </c>
      <c r="W32" s="21" t="e">
        <f t="shared" si="39"/>
        <v>#DIV/0!</v>
      </c>
      <c r="X32" s="21" t="e">
        <f t="shared" si="2"/>
        <v>#DIV/0!</v>
      </c>
      <c r="Y32" s="95" t="e">
        <f t="shared" si="18"/>
        <v>#DIV/0!</v>
      </c>
      <c r="Z32" s="21" t="e">
        <f>VLOOKUP(P32,'Lookup Tables'!$B$8:$E$19,2,FALSE)</f>
        <v>#N/A</v>
      </c>
      <c r="AA32" s="21" t="e">
        <f>IF(P32="CTO",Q32,VLOOKUP(P32,'Lookup Tables'!$B$8:$E$19,3,))</f>
        <v>#N/A</v>
      </c>
      <c r="AB32" s="21" t="e">
        <f>VLOOKUP(P32,'Lookup Tables'!$B$8:$E$19,4)</f>
        <v>#N/A</v>
      </c>
      <c r="AC32" s="21" t="e">
        <f t="shared" si="19"/>
        <v>#DIV/0!</v>
      </c>
      <c r="AD32" s="21" t="e">
        <f t="shared" si="20"/>
        <v>#DIV/0!</v>
      </c>
      <c r="AE32" s="21" t="e">
        <f t="shared" si="32"/>
        <v>#DIV/0!</v>
      </c>
      <c r="AF32" s="21" t="e">
        <f t="shared" si="21"/>
        <v>#DIV/0!</v>
      </c>
      <c r="AG32" s="21" t="e">
        <f t="shared" si="36"/>
        <v>#DIV/0!</v>
      </c>
      <c r="AH32" s="21" t="e">
        <f t="shared" si="3"/>
        <v>#N/A</v>
      </c>
      <c r="AI32" s="21" t="e">
        <f t="shared" si="37"/>
        <v>#N/A</v>
      </c>
      <c r="AJ32" s="21" t="e">
        <f t="shared" si="22"/>
        <v>#DIV/0!</v>
      </c>
      <c r="AK32" s="23" t="e">
        <f t="shared" si="33"/>
        <v>#DIV/0!</v>
      </c>
      <c r="AN32" s="96" t="e">
        <f t="shared" si="4"/>
        <v>#DIV/0!</v>
      </c>
      <c r="AO32" s="95" t="e">
        <f t="shared" si="34"/>
        <v>#DIV/0!</v>
      </c>
      <c r="AP32" s="21" t="e">
        <f t="shared" si="35"/>
        <v>#DIV/0!</v>
      </c>
      <c r="AQ32" s="95" t="e">
        <f t="shared" si="5"/>
        <v>#DIV/0!</v>
      </c>
      <c r="AR32" s="23" t="e">
        <f t="shared" si="6"/>
        <v>#DIV/0!</v>
      </c>
      <c r="AT32" s="96" t="e">
        <f>IF(P32="CMI",Y32+'Lookup Tables'!$C$28,Y32)</f>
        <v>#DIV/0!</v>
      </c>
      <c r="AU32" s="21" t="e">
        <f t="shared" si="23"/>
        <v>#VALUE!</v>
      </c>
      <c r="AV32" s="21" t="e">
        <f>AT32-'Lookup Tables'!$C$32</f>
        <v>#DIV/0!</v>
      </c>
      <c r="AW32" s="21" t="e">
        <f>IF('Lookup Tables'!$C$27&lt;Computations!AT32,'Lookup Tables'!$C$24*SQRT(2*'Lookup Tables'!$C$29)*(Computations!AY32+1.8*'Lookup Tables'!$C$25)*Computations!Y32^1.5,'Lookup Tables'!$C$31*Computations!AU32*SQRT(2*'Lookup Tables'!$C$29*Computations!AV32))</f>
        <v>#DIV/0!</v>
      </c>
      <c r="AX32" s="21" t="e">
        <f t="shared" si="7"/>
        <v>#DIV/0!</v>
      </c>
      <c r="AY32" s="21" t="str">
        <f>IF(P32="CMI",'Lookup Tables'!$D$18,IF(P32=3,'Lookup Tables'!$D$8,IF(P32="CTO",Q32,"")))</f>
        <v/>
      </c>
      <c r="AZ32" s="23" t="e">
        <f t="shared" si="24"/>
        <v>#DIV/0!</v>
      </c>
      <c r="BB32" s="11">
        <f t="shared" si="25"/>
        <v>0</v>
      </c>
      <c r="BC32" s="1">
        <f t="shared" si="26"/>
        <v>0</v>
      </c>
      <c r="BD32" s="95" t="e">
        <f t="shared" si="8"/>
        <v>#DIV/0!</v>
      </c>
      <c r="BE32" s="1" t="e">
        <f t="shared" si="9"/>
        <v>#DIV/0!</v>
      </c>
      <c r="BF32" s="12" t="e">
        <f t="shared" si="10"/>
        <v>#DIV/0!</v>
      </c>
      <c r="BH32" s="13">
        <f t="shared" si="27"/>
        <v>0</v>
      </c>
      <c r="BI32" s="14">
        <f t="shared" si="11"/>
        <v>0</v>
      </c>
      <c r="BK32" s="13">
        <f t="shared" si="28"/>
        <v>0.37</v>
      </c>
      <c r="BL32">
        <f t="shared" si="29"/>
        <v>0</v>
      </c>
      <c r="BM32" s="118" t="e">
        <f t="shared" si="30"/>
        <v>#N/A</v>
      </c>
      <c r="BN32" s="118" t="e">
        <f>_xlfn.XLOOKUP(P32,'Lookup Tables'!$F$25:$F$33,'Lookup Tables'!$G$25:$G$33)</f>
        <v>#N/A</v>
      </c>
      <c r="BO32" s="119">
        <f t="shared" si="12"/>
        <v>0.5</v>
      </c>
      <c r="BP32" s="118" t="e">
        <f t="shared" si="31"/>
        <v>#N/A</v>
      </c>
      <c r="BQ32" s="118" t="e">
        <f>IF(P32="CTO",Q32*0.5,IF(P32="CMI",AA32*0.3333,IF(P32=3,'Lookup Tables'!$D$8*(1-BO32)*0.3333,_xlfn.XLOOKUP(P32,'Lookup Tables'!$F$25:$F$33,'Lookup Tables'!$H$25:$H$33)*(1-BO32))))</f>
        <v>#N/A</v>
      </c>
      <c r="BR32" s="118" t="e">
        <f t="shared" si="13"/>
        <v>#N/A</v>
      </c>
      <c r="BS32" s="118" t="str">
        <f t="shared" si="14"/>
        <v/>
      </c>
      <c r="BT32" s="120" t="str">
        <f t="shared" si="15"/>
        <v/>
      </c>
    </row>
    <row r="33" spans="1:72" x14ac:dyDescent="0.25">
      <c r="A33">
        <v>17</v>
      </c>
      <c r="B33" s="100"/>
      <c r="C33" s="102"/>
      <c r="D33" s="102"/>
      <c r="E33" s="100"/>
      <c r="F33" s="100"/>
      <c r="G33" s="100"/>
      <c r="H33" s="100"/>
      <c r="I33" s="100"/>
      <c r="J33" s="100"/>
      <c r="K33" s="100"/>
      <c r="L33" s="100"/>
      <c r="M33" s="100"/>
      <c r="N33" s="100"/>
      <c r="O33" s="100"/>
      <c r="P33" s="103"/>
      <c r="Q33" s="104"/>
      <c r="S33" s="28">
        <f t="shared" si="16"/>
        <v>0</v>
      </c>
      <c r="T33" s="95">
        <f t="shared" si="17"/>
        <v>0</v>
      </c>
      <c r="U33" s="21" cm="1">
        <f t="array" ref="U33">IF(D33="sag",IF(H33&gt;0,IF(J33&gt;5,TREND($L$7:$L$10,$J$7:$J$10,J33,TRUE),$L$7),$L$7),IF(H33&gt;0,IF(J33&gt;5,TREND($K$7:$K$10,$J$7:$J$10,J33,TRUE),$K$7),$K$7))</f>
        <v>0</v>
      </c>
      <c r="V33" s="21">
        <f t="shared" si="38"/>
        <v>0</v>
      </c>
      <c r="W33" s="21" t="e">
        <f t="shared" si="39"/>
        <v>#DIV/0!</v>
      </c>
      <c r="X33" s="21" t="e">
        <f t="shared" si="2"/>
        <v>#DIV/0!</v>
      </c>
      <c r="Y33" s="95" t="e">
        <f t="shared" si="18"/>
        <v>#DIV/0!</v>
      </c>
      <c r="Z33" s="21" t="e">
        <f>VLOOKUP(P33,'Lookup Tables'!$B$8:$E$19,2,FALSE)</f>
        <v>#N/A</v>
      </c>
      <c r="AA33" s="21" t="e">
        <f>IF(P33="CTO",Q33,VLOOKUP(P33,'Lookup Tables'!$B$8:$E$19,3,))</f>
        <v>#N/A</v>
      </c>
      <c r="AB33" s="21" t="e">
        <f>VLOOKUP(P33,'Lookup Tables'!$B$8:$E$19,4)</f>
        <v>#N/A</v>
      </c>
      <c r="AC33" s="21" t="e">
        <f t="shared" si="19"/>
        <v>#DIV/0!</v>
      </c>
      <c r="AD33" s="21" t="e">
        <f t="shared" si="20"/>
        <v>#DIV/0!</v>
      </c>
      <c r="AE33" s="21" t="e">
        <f t="shared" si="32"/>
        <v>#DIV/0!</v>
      </c>
      <c r="AF33" s="21" t="e">
        <f t="shared" si="21"/>
        <v>#DIV/0!</v>
      </c>
      <c r="AG33" s="21" t="e">
        <f t="shared" si="36"/>
        <v>#DIV/0!</v>
      </c>
      <c r="AH33" s="21" t="e">
        <f t="shared" si="3"/>
        <v>#N/A</v>
      </c>
      <c r="AI33" s="21" t="e">
        <f t="shared" si="37"/>
        <v>#N/A</v>
      </c>
      <c r="AJ33" s="21" t="e">
        <f t="shared" si="22"/>
        <v>#DIV/0!</v>
      </c>
      <c r="AK33" s="23" t="e">
        <f t="shared" si="33"/>
        <v>#DIV/0!</v>
      </c>
      <c r="AN33" s="96" t="e">
        <f t="shared" si="4"/>
        <v>#DIV/0!</v>
      </c>
      <c r="AO33" s="95" t="e">
        <f t="shared" si="34"/>
        <v>#DIV/0!</v>
      </c>
      <c r="AP33" s="21" t="e">
        <f t="shared" si="35"/>
        <v>#DIV/0!</v>
      </c>
      <c r="AQ33" s="95" t="e">
        <f t="shared" si="5"/>
        <v>#DIV/0!</v>
      </c>
      <c r="AR33" s="23" t="e">
        <f t="shared" si="6"/>
        <v>#DIV/0!</v>
      </c>
      <c r="AT33" s="96" t="e">
        <f>IF(P33="CMI",Y33+'Lookup Tables'!$C$28,Y33)</f>
        <v>#DIV/0!</v>
      </c>
      <c r="AU33" s="21" t="e">
        <f t="shared" si="23"/>
        <v>#VALUE!</v>
      </c>
      <c r="AV33" s="21" t="e">
        <f>AT33-'Lookup Tables'!$C$32</f>
        <v>#DIV/0!</v>
      </c>
      <c r="AW33" s="21" t="e">
        <f>IF('Lookup Tables'!$C$27&lt;Computations!AT33,'Lookup Tables'!$C$24*SQRT(2*'Lookup Tables'!$C$29)*(Computations!AY33+1.8*'Lookup Tables'!$C$25)*Computations!Y33^1.5,'Lookup Tables'!$C$31*Computations!AU33*SQRT(2*'Lookup Tables'!$C$29*Computations!AV33))</f>
        <v>#DIV/0!</v>
      </c>
      <c r="AX33" s="21" t="e">
        <f t="shared" si="7"/>
        <v>#DIV/0!</v>
      </c>
      <c r="AY33" s="21" t="str">
        <f>IF(P33="CMI",'Lookup Tables'!$D$18,IF(P33=3,'Lookup Tables'!$D$8,IF(P33="CTO",Q33,"")))</f>
        <v/>
      </c>
      <c r="AZ33" s="23" t="e">
        <f t="shared" si="24"/>
        <v>#DIV/0!</v>
      </c>
      <c r="BB33" s="11">
        <f t="shared" si="25"/>
        <v>0</v>
      </c>
      <c r="BC33" s="1">
        <f t="shared" si="26"/>
        <v>0</v>
      </c>
      <c r="BD33" s="95" t="e">
        <f t="shared" si="8"/>
        <v>#DIV/0!</v>
      </c>
      <c r="BE33" s="1" t="e">
        <f t="shared" si="9"/>
        <v>#DIV/0!</v>
      </c>
      <c r="BF33" s="12" t="e">
        <f t="shared" si="10"/>
        <v>#DIV/0!</v>
      </c>
      <c r="BH33" s="13">
        <f t="shared" si="27"/>
        <v>0</v>
      </c>
      <c r="BI33" s="14">
        <f t="shared" si="11"/>
        <v>0</v>
      </c>
      <c r="BK33" s="13">
        <f t="shared" si="28"/>
        <v>0.37</v>
      </c>
      <c r="BL33">
        <f t="shared" si="29"/>
        <v>0</v>
      </c>
      <c r="BM33" s="118" t="e">
        <f t="shared" si="30"/>
        <v>#N/A</v>
      </c>
      <c r="BN33" s="118" t="e">
        <f>_xlfn.XLOOKUP(P33,'Lookup Tables'!$F$25:$F$33,'Lookup Tables'!$G$25:$G$33)</f>
        <v>#N/A</v>
      </c>
      <c r="BO33" s="119">
        <f t="shared" si="12"/>
        <v>0.5</v>
      </c>
      <c r="BP33" s="118" t="e">
        <f t="shared" si="31"/>
        <v>#N/A</v>
      </c>
      <c r="BQ33" s="118" t="e">
        <f>IF(P33="CTO",Q33*0.5,IF(P33="CMI",AA33*0.3333,IF(P33=3,'Lookup Tables'!$D$8*(1-BO33)*0.3333,_xlfn.XLOOKUP(P33,'Lookup Tables'!$F$25:$F$33,'Lookup Tables'!$H$25:$H$33)*(1-BO33))))</f>
        <v>#N/A</v>
      </c>
      <c r="BR33" s="118" t="e">
        <f t="shared" si="13"/>
        <v>#N/A</v>
      </c>
      <c r="BS33" s="118" t="str">
        <f t="shared" si="14"/>
        <v/>
      </c>
      <c r="BT33" s="120" t="str">
        <f t="shared" si="15"/>
        <v/>
      </c>
    </row>
    <row r="34" spans="1:72" x14ac:dyDescent="0.25">
      <c r="A34">
        <v>18</v>
      </c>
      <c r="B34" s="100"/>
      <c r="C34" s="102"/>
      <c r="D34" s="102"/>
      <c r="E34" s="100"/>
      <c r="F34" s="100"/>
      <c r="G34" s="100"/>
      <c r="H34" s="100"/>
      <c r="I34" s="100"/>
      <c r="J34" s="100"/>
      <c r="K34" s="100"/>
      <c r="L34" s="100"/>
      <c r="M34" s="100"/>
      <c r="N34" s="100"/>
      <c r="O34" s="100"/>
      <c r="P34" s="103"/>
      <c r="Q34" s="104"/>
      <c r="S34" s="28">
        <f t="shared" si="16"/>
        <v>0</v>
      </c>
      <c r="T34" s="95">
        <f t="shared" si="17"/>
        <v>0</v>
      </c>
      <c r="U34" s="21" cm="1">
        <f t="array" ref="U34">IF(D34="sag",IF(H34&gt;0,IF(J34&gt;5,TREND($L$7:$L$10,$J$7:$J$10,J34,TRUE),$L$7),$L$7),IF(H34&gt;0,IF(J34&gt;5,TREND($K$7:$K$10,$J$7:$J$10,J34,TRUE),$K$7),$K$7))</f>
        <v>0</v>
      </c>
      <c r="V34" s="21">
        <f t="shared" si="38"/>
        <v>0</v>
      </c>
      <c r="W34" s="21" t="e">
        <f t="shared" si="39"/>
        <v>#DIV/0!</v>
      </c>
      <c r="X34" s="21" t="e">
        <f t="shared" si="2"/>
        <v>#DIV/0!</v>
      </c>
      <c r="Y34" s="95" t="e">
        <f t="shared" si="18"/>
        <v>#DIV/0!</v>
      </c>
      <c r="Z34" s="21" t="e">
        <f>VLOOKUP(P34,'Lookup Tables'!$B$8:$E$19,2,FALSE)</f>
        <v>#N/A</v>
      </c>
      <c r="AA34" s="21" t="e">
        <f>IF(P34="CTO",Q34,VLOOKUP(P34,'Lookup Tables'!$B$8:$E$19,3,))</f>
        <v>#N/A</v>
      </c>
      <c r="AB34" s="21" t="e">
        <f>VLOOKUP(P34,'Lookup Tables'!$B$8:$E$19,4)</f>
        <v>#N/A</v>
      </c>
      <c r="AC34" s="21" t="e">
        <f t="shared" si="19"/>
        <v>#DIV/0!</v>
      </c>
      <c r="AD34" s="21" t="e">
        <f t="shared" si="20"/>
        <v>#DIV/0!</v>
      </c>
      <c r="AE34" s="21" t="e">
        <f t="shared" si="32"/>
        <v>#DIV/0!</v>
      </c>
      <c r="AF34" s="21" t="e">
        <f t="shared" si="21"/>
        <v>#DIV/0!</v>
      </c>
      <c r="AG34" s="21" t="e">
        <f t="shared" si="36"/>
        <v>#DIV/0!</v>
      </c>
      <c r="AH34" s="21" t="e">
        <f t="shared" si="3"/>
        <v>#N/A</v>
      </c>
      <c r="AI34" s="21" t="e">
        <f t="shared" si="37"/>
        <v>#N/A</v>
      </c>
      <c r="AJ34" s="21" t="e">
        <f t="shared" si="22"/>
        <v>#DIV/0!</v>
      </c>
      <c r="AK34" s="23" t="e">
        <f t="shared" si="33"/>
        <v>#DIV/0!</v>
      </c>
      <c r="AN34" s="96" t="e">
        <f t="shared" si="4"/>
        <v>#DIV/0!</v>
      </c>
      <c r="AO34" s="95" t="e">
        <f t="shared" si="34"/>
        <v>#DIV/0!</v>
      </c>
      <c r="AP34" s="21" t="e">
        <f t="shared" si="35"/>
        <v>#DIV/0!</v>
      </c>
      <c r="AQ34" s="95" t="e">
        <f t="shared" si="5"/>
        <v>#DIV/0!</v>
      </c>
      <c r="AR34" s="23" t="e">
        <f t="shared" si="6"/>
        <v>#DIV/0!</v>
      </c>
      <c r="AT34" s="96" t="e">
        <f>IF(P34="CMI",Y34+'Lookup Tables'!$C$28,Y34)</f>
        <v>#DIV/0!</v>
      </c>
      <c r="AU34" s="21" t="e">
        <f t="shared" si="23"/>
        <v>#VALUE!</v>
      </c>
      <c r="AV34" s="21" t="e">
        <f>AT34-'Lookup Tables'!$C$32</f>
        <v>#DIV/0!</v>
      </c>
      <c r="AW34" s="21" t="e">
        <f>IF('Lookup Tables'!$C$27&lt;Computations!AT34,'Lookup Tables'!$C$24*SQRT(2*'Lookup Tables'!$C$29)*(Computations!AY34+1.8*'Lookup Tables'!$C$25)*Computations!Y34^1.5,'Lookup Tables'!$C$31*Computations!AU34*SQRT(2*'Lookup Tables'!$C$29*Computations!AV34))</f>
        <v>#DIV/0!</v>
      </c>
      <c r="AX34" s="21" t="e">
        <f t="shared" si="7"/>
        <v>#DIV/0!</v>
      </c>
      <c r="AY34" s="21" t="str">
        <f>IF(P34="CMI",'Lookup Tables'!$D$18,IF(P34=3,'Lookup Tables'!$D$8,IF(P34="CTO",Q34,"")))</f>
        <v/>
      </c>
      <c r="AZ34" s="23" t="e">
        <f t="shared" si="24"/>
        <v>#DIV/0!</v>
      </c>
      <c r="BB34" s="11">
        <f t="shared" si="25"/>
        <v>0</v>
      </c>
      <c r="BC34" s="1">
        <f t="shared" si="26"/>
        <v>0</v>
      </c>
      <c r="BD34" s="95" t="e">
        <f t="shared" si="8"/>
        <v>#DIV/0!</v>
      </c>
      <c r="BE34" s="1" t="e">
        <f t="shared" si="9"/>
        <v>#DIV/0!</v>
      </c>
      <c r="BF34" s="12" t="e">
        <f t="shared" si="10"/>
        <v>#DIV/0!</v>
      </c>
      <c r="BH34" s="13">
        <f t="shared" si="27"/>
        <v>0</v>
      </c>
      <c r="BI34" s="14">
        <f t="shared" si="11"/>
        <v>0</v>
      </c>
      <c r="BK34" s="13">
        <f t="shared" si="28"/>
        <v>0.37</v>
      </c>
      <c r="BL34">
        <f t="shared" si="29"/>
        <v>0</v>
      </c>
      <c r="BM34" s="118" t="e">
        <f t="shared" si="30"/>
        <v>#N/A</v>
      </c>
      <c r="BN34" s="118" t="e">
        <f>_xlfn.XLOOKUP(P34,'Lookup Tables'!$F$25:$F$33,'Lookup Tables'!$G$25:$G$33)</f>
        <v>#N/A</v>
      </c>
      <c r="BO34" s="119">
        <f t="shared" si="12"/>
        <v>0.5</v>
      </c>
      <c r="BP34" s="118" t="e">
        <f t="shared" si="31"/>
        <v>#N/A</v>
      </c>
      <c r="BQ34" s="118" t="e">
        <f>IF(P34="CTO",Q34*0.5,IF(P34="CMI",AA34*0.3333,IF(P34=3,'Lookup Tables'!$D$8*(1-BO34)*0.3333,_xlfn.XLOOKUP(P34,'Lookup Tables'!$F$25:$F$33,'Lookup Tables'!$H$25:$H$33)*(1-BO34))))</f>
        <v>#N/A</v>
      </c>
      <c r="BR34" s="118" t="e">
        <f t="shared" si="13"/>
        <v>#N/A</v>
      </c>
      <c r="BS34" s="118" t="str">
        <f t="shared" si="14"/>
        <v/>
      </c>
      <c r="BT34" s="120" t="str">
        <f t="shared" si="15"/>
        <v/>
      </c>
    </row>
    <row r="35" spans="1:72" x14ac:dyDescent="0.25">
      <c r="A35">
        <v>19</v>
      </c>
      <c r="B35" s="105"/>
      <c r="C35" s="106"/>
      <c r="D35" s="102"/>
      <c r="E35" s="100"/>
      <c r="F35" s="105"/>
      <c r="G35" s="105"/>
      <c r="H35" s="105"/>
      <c r="I35" s="105"/>
      <c r="J35" s="105"/>
      <c r="K35" s="105"/>
      <c r="L35" s="105"/>
      <c r="M35" s="105"/>
      <c r="N35" s="105"/>
      <c r="O35" s="100"/>
      <c r="P35" s="103"/>
      <c r="Q35" s="104"/>
      <c r="S35" s="28">
        <f t="shared" si="16"/>
        <v>0</v>
      </c>
      <c r="T35" s="95">
        <f t="shared" si="17"/>
        <v>0</v>
      </c>
      <c r="U35" s="21" cm="1">
        <f t="array" ref="U35">IF(D35="sag",IF(H35&gt;0,IF(J35&gt;5,TREND($L$7:$L$10,$J$7:$J$10,J35,TRUE),$L$7),$L$7),IF(H35&gt;0,IF(J35&gt;5,TREND($K$7:$K$10,$J$7:$J$10,J35,TRUE),$K$7),$K$7))</f>
        <v>0</v>
      </c>
      <c r="V35" s="21">
        <f t="shared" si="38"/>
        <v>0</v>
      </c>
      <c r="W35" s="21" t="e">
        <f t="shared" si="39"/>
        <v>#DIV/0!</v>
      </c>
      <c r="X35" s="21" t="e">
        <f t="shared" si="2"/>
        <v>#DIV/0!</v>
      </c>
      <c r="Y35" s="95" t="e">
        <f t="shared" si="18"/>
        <v>#DIV/0!</v>
      </c>
      <c r="Z35" s="21" t="e">
        <f>VLOOKUP(P35,'Lookup Tables'!$B$8:$E$19,2,FALSE)</f>
        <v>#N/A</v>
      </c>
      <c r="AA35" s="21" t="e">
        <f>IF(P35="CTO",Q35,VLOOKUP(P35,'Lookup Tables'!$B$8:$E$19,3,))</f>
        <v>#N/A</v>
      </c>
      <c r="AB35" s="21" t="e">
        <f>VLOOKUP(P35,'Lookup Tables'!$B$8:$E$19,4)</f>
        <v>#N/A</v>
      </c>
      <c r="AC35" s="21" t="e">
        <f t="shared" si="19"/>
        <v>#DIV/0!</v>
      </c>
      <c r="AD35" s="21" t="e">
        <f t="shared" si="20"/>
        <v>#DIV/0!</v>
      </c>
      <c r="AE35" s="21" t="e">
        <f t="shared" si="32"/>
        <v>#DIV/0!</v>
      </c>
      <c r="AF35" s="21" t="e">
        <f t="shared" si="21"/>
        <v>#DIV/0!</v>
      </c>
      <c r="AG35" s="21" t="e">
        <f t="shared" si="36"/>
        <v>#DIV/0!</v>
      </c>
      <c r="AH35" s="21" t="e">
        <f t="shared" si="3"/>
        <v>#N/A</v>
      </c>
      <c r="AI35" s="21" t="e">
        <f t="shared" si="37"/>
        <v>#N/A</v>
      </c>
      <c r="AJ35" s="21" t="e">
        <f t="shared" si="22"/>
        <v>#DIV/0!</v>
      </c>
      <c r="AK35" s="23" t="e">
        <f t="shared" si="33"/>
        <v>#DIV/0!</v>
      </c>
      <c r="AN35" s="96" t="e">
        <f t="shared" si="4"/>
        <v>#DIV/0!</v>
      </c>
      <c r="AO35" s="95" t="e">
        <f t="shared" si="34"/>
        <v>#DIV/0!</v>
      </c>
      <c r="AP35" s="21" t="e">
        <f t="shared" si="35"/>
        <v>#DIV/0!</v>
      </c>
      <c r="AQ35" s="95" t="e">
        <f t="shared" si="5"/>
        <v>#DIV/0!</v>
      </c>
      <c r="AR35" s="23" t="e">
        <f t="shared" si="6"/>
        <v>#DIV/0!</v>
      </c>
      <c r="AT35" s="96" t="e">
        <f>IF(P35="CMI",Y35+'Lookup Tables'!$C$28,Y35)</f>
        <v>#DIV/0!</v>
      </c>
      <c r="AU35" s="21" t="e">
        <f t="shared" si="23"/>
        <v>#VALUE!</v>
      </c>
      <c r="AV35" s="21" t="e">
        <f>AT35-'Lookup Tables'!$C$32</f>
        <v>#DIV/0!</v>
      </c>
      <c r="AW35" s="21" t="e">
        <f>IF('Lookup Tables'!$C$27&lt;Computations!AT35,'Lookup Tables'!$C$24*SQRT(2*'Lookup Tables'!$C$29)*(Computations!AY35+1.8*'Lookup Tables'!$C$25)*Computations!Y35^1.5,'Lookup Tables'!$C$31*Computations!AU35*SQRT(2*'Lookup Tables'!$C$29*Computations!AV35))</f>
        <v>#DIV/0!</v>
      </c>
      <c r="AX35" s="21" t="e">
        <f t="shared" si="7"/>
        <v>#DIV/0!</v>
      </c>
      <c r="AY35" s="21" t="str">
        <f>IF(P35="CMI",'Lookup Tables'!$D$18,IF(P35=3,'Lookup Tables'!$D$8,IF(P35="CTO",Q35,"")))</f>
        <v/>
      </c>
      <c r="AZ35" s="23" t="e">
        <f t="shared" si="24"/>
        <v>#DIV/0!</v>
      </c>
      <c r="BB35" s="11">
        <f t="shared" si="25"/>
        <v>0</v>
      </c>
      <c r="BC35" s="1">
        <f t="shared" si="26"/>
        <v>0</v>
      </c>
      <c r="BD35" s="95" t="e">
        <f t="shared" si="8"/>
        <v>#DIV/0!</v>
      </c>
      <c r="BE35" s="1" t="e">
        <f t="shared" si="9"/>
        <v>#DIV/0!</v>
      </c>
      <c r="BF35" s="12" t="e">
        <f t="shared" si="10"/>
        <v>#DIV/0!</v>
      </c>
      <c r="BH35" s="13">
        <f t="shared" si="27"/>
        <v>0</v>
      </c>
      <c r="BI35" s="14">
        <f t="shared" si="11"/>
        <v>0</v>
      </c>
      <c r="BK35" s="13">
        <f t="shared" si="28"/>
        <v>0.37</v>
      </c>
      <c r="BL35">
        <f t="shared" si="29"/>
        <v>0</v>
      </c>
      <c r="BM35" s="118" t="e">
        <f t="shared" si="30"/>
        <v>#N/A</v>
      </c>
      <c r="BN35" s="118" t="e">
        <f>_xlfn.XLOOKUP(P35,'Lookup Tables'!$F$25:$F$33,'Lookup Tables'!$G$25:$G$33)</f>
        <v>#N/A</v>
      </c>
      <c r="BO35" s="119">
        <f t="shared" si="12"/>
        <v>0.5</v>
      </c>
      <c r="BP35" s="118" t="e">
        <f t="shared" si="31"/>
        <v>#N/A</v>
      </c>
      <c r="BQ35" s="118" t="e">
        <f>IF(P35="CTO",Q35*0.5,IF(P35="CMI",AA35*0.3333,IF(P35=3,'Lookup Tables'!$D$8*(1-BO35)*0.3333,_xlfn.XLOOKUP(P35,'Lookup Tables'!$F$25:$F$33,'Lookup Tables'!$H$25:$H$33)*(1-BO35))))</f>
        <v>#N/A</v>
      </c>
      <c r="BR35" s="118" t="e">
        <f t="shared" si="13"/>
        <v>#N/A</v>
      </c>
      <c r="BS35" s="118" t="str">
        <f t="shared" si="14"/>
        <v/>
      </c>
      <c r="BT35" s="120" t="str">
        <f t="shared" si="15"/>
        <v/>
      </c>
    </row>
    <row r="36" spans="1:72" ht="15.75" thickBot="1" x14ac:dyDescent="0.3">
      <c r="A36">
        <v>20</v>
      </c>
      <c r="B36" s="105"/>
      <c r="C36" s="106"/>
      <c r="D36" s="102"/>
      <c r="E36" s="100"/>
      <c r="F36" s="105"/>
      <c r="G36" s="105"/>
      <c r="H36" s="105"/>
      <c r="I36" s="105"/>
      <c r="J36" s="105"/>
      <c r="K36" s="105"/>
      <c r="L36" s="105"/>
      <c r="M36" s="105"/>
      <c r="N36" s="105"/>
      <c r="O36" s="100"/>
      <c r="P36" s="103"/>
      <c r="Q36" s="104"/>
      <c r="S36" s="73">
        <f t="shared" si="16"/>
        <v>0</v>
      </c>
      <c r="T36" s="20">
        <f t="shared" si="17"/>
        <v>0</v>
      </c>
      <c r="U36" s="24" cm="1">
        <f t="array" ref="U36">IF(D36="sag",IF(H36&gt;0,IF(J36&gt;5,TREND($L$7:$L$10,$J$7:$J$10,J36,TRUE),$L$7),$L$7),IF(H36&gt;0,IF(J36&gt;5,TREND($K$7:$K$10,$J$7:$J$10,J36,TRUE),$K$7),$K$7))</f>
        <v>0</v>
      </c>
      <c r="V36" s="24">
        <f t="shared" si="38"/>
        <v>0</v>
      </c>
      <c r="W36" s="24" t="e">
        <f t="shared" si="39"/>
        <v>#DIV/0!</v>
      </c>
      <c r="X36" s="24" t="e">
        <f t="shared" si="2"/>
        <v>#DIV/0!</v>
      </c>
      <c r="Y36" s="20" t="e">
        <f t="shared" si="18"/>
        <v>#DIV/0!</v>
      </c>
      <c r="Z36" s="24" t="e">
        <f>VLOOKUP(P36,'Lookup Tables'!$B$8:$E$19,2,FALSE)</f>
        <v>#N/A</v>
      </c>
      <c r="AA36" s="24" t="e">
        <f>IF(P36="CTO",Q36,VLOOKUP(P36,'Lookup Tables'!$B$8:$E$19,3,))</f>
        <v>#N/A</v>
      </c>
      <c r="AB36" s="24" t="e">
        <f>VLOOKUP(P36,'Lookup Tables'!$B$8:$E$19,4)</f>
        <v>#N/A</v>
      </c>
      <c r="AC36" s="24" t="e">
        <f t="shared" si="19"/>
        <v>#DIV/0!</v>
      </c>
      <c r="AD36" s="24" t="e">
        <f t="shared" si="20"/>
        <v>#DIV/0!</v>
      </c>
      <c r="AE36" s="24" t="e">
        <f t="shared" si="32"/>
        <v>#DIV/0!</v>
      </c>
      <c r="AF36" s="24" t="e">
        <f t="shared" si="21"/>
        <v>#DIV/0!</v>
      </c>
      <c r="AG36" s="24" t="e">
        <f t="shared" si="36"/>
        <v>#DIV/0!</v>
      </c>
      <c r="AH36" s="24" t="e">
        <f t="shared" si="3"/>
        <v>#N/A</v>
      </c>
      <c r="AI36" s="24" t="e">
        <f t="shared" si="37"/>
        <v>#N/A</v>
      </c>
      <c r="AJ36" s="24" t="e">
        <f t="shared" si="22"/>
        <v>#DIV/0!</v>
      </c>
      <c r="AK36" s="25" t="e">
        <f t="shared" si="33"/>
        <v>#DIV/0!</v>
      </c>
      <c r="AN36" s="97" t="e">
        <f t="shared" si="4"/>
        <v>#DIV/0!</v>
      </c>
      <c r="AO36" s="20" t="e">
        <f t="shared" ref="AO36" si="40">W36/Z36</f>
        <v>#DIV/0!</v>
      </c>
      <c r="AP36" s="24" t="e">
        <f t="shared" si="35"/>
        <v>#DIV/0!</v>
      </c>
      <c r="AQ36" s="20" t="e">
        <f t="shared" si="5"/>
        <v>#DIV/0!</v>
      </c>
      <c r="AR36" s="25" t="e">
        <f t="shared" si="6"/>
        <v>#DIV/0!</v>
      </c>
      <c r="AT36" s="97" t="e">
        <f>IF(P36="CMI",Y36+'Lookup Tables'!$C$28,Y36)</f>
        <v>#DIV/0!</v>
      </c>
      <c r="AU36" s="24" t="e">
        <f t="shared" si="23"/>
        <v>#VALUE!</v>
      </c>
      <c r="AV36" s="24" t="e">
        <f>AT36-'Lookup Tables'!$C$32</f>
        <v>#DIV/0!</v>
      </c>
      <c r="AW36" s="24" t="e">
        <f>IF('Lookup Tables'!$C$27&lt;Computations!AT36,'Lookup Tables'!$C$24*SQRT(2*'Lookup Tables'!$C$29)*(Computations!AY36+1.8*'Lookup Tables'!$C$25)*Computations!Y36^1.5,'Lookup Tables'!$C$31*Computations!AU36*SQRT(2*'Lookup Tables'!$C$29*Computations!AV36))</f>
        <v>#DIV/0!</v>
      </c>
      <c r="AX36" s="24" t="e">
        <f t="shared" si="7"/>
        <v>#DIV/0!</v>
      </c>
      <c r="AY36" s="24" t="str">
        <f>IF(P36="CMI",'Lookup Tables'!$D$18,IF(P36=3,'Lookup Tables'!$D$8,IF(P36="CTO",Q36,"")))</f>
        <v/>
      </c>
      <c r="AZ36" s="25" t="e">
        <f t="shared" si="24"/>
        <v>#DIV/0!</v>
      </c>
      <c r="BB36" s="15">
        <f t="shared" si="25"/>
        <v>0</v>
      </c>
      <c r="BC36" s="16">
        <f t="shared" si="26"/>
        <v>0</v>
      </c>
      <c r="BD36" s="111" t="e">
        <f t="shared" si="8"/>
        <v>#DIV/0!</v>
      </c>
      <c r="BE36" s="16" t="e">
        <f t="shared" si="9"/>
        <v>#DIV/0!</v>
      </c>
      <c r="BF36" s="17" t="e">
        <f t="shared" si="10"/>
        <v>#DIV/0!</v>
      </c>
      <c r="BH36" s="113">
        <f t="shared" si="27"/>
        <v>0</v>
      </c>
      <c r="BI36" s="114">
        <f t="shared" si="11"/>
        <v>0</v>
      </c>
      <c r="BK36" s="113">
        <f t="shared" si="28"/>
        <v>0.37</v>
      </c>
      <c r="BL36" s="121">
        <f t="shared" si="29"/>
        <v>0</v>
      </c>
      <c r="BM36" s="122" t="e">
        <f t="shared" si="30"/>
        <v>#N/A</v>
      </c>
      <c r="BN36" s="122" t="e">
        <f>_xlfn.XLOOKUP(P36,'Lookup Tables'!$F$25:$F$33,'Lookup Tables'!$G$25:$G$33)</f>
        <v>#N/A</v>
      </c>
      <c r="BO36" s="123">
        <f t="shared" si="12"/>
        <v>0.5</v>
      </c>
      <c r="BP36" s="122" t="e">
        <f t="shared" si="31"/>
        <v>#N/A</v>
      </c>
      <c r="BQ36" s="122" t="e">
        <f>IF(P36="CTO",Q36*0.5,IF(P36="CMI",AA36*0.3333,IF(P36=3,'Lookup Tables'!$D$8*(1-BO36)*0.3333,_xlfn.XLOOKUP(P36,'Lookup Tables'!$F$25:$F$33,'Lookup Tables'!$H$25:$H$33)*(1-BO36))))</f>
        <v>#N/A</v>
      </c>
      <c r="BR36" s="122" t="e">
        <f t="shared" si="13"/>
        <v>#N/A</v>
      </c>
      <c r="BS36" s="122" t="str">
        <f t="shared" si="14"/>
        <v/>
      </c>
      <c r="BT36" s="124" t="str">
        <f t="shared" si="15"/>
        <v/>
      </c>
    </row>
    <row r="38" spans="1:72" x14ac:dyDescent="0.25">
      <c r="A38" t="s">
        <v>119</v>
      </c>
      <c r="I38" s="167" t="s">
        <v>259</v>
      </c>
      <c r="J38" s="168"/>
      <c r="K38" s="169"/>
      <c r="O38" s="151" t="s">
        <v>255</v>
      </c>
      <c r="P38" s="151"/>
      <c r="Q38" s="151"/>
    </row>
    <row r="39" spans="1:72" x14ac:dyDescent="0.25">
      <c r="I39" s="150" t="s">
        <v>256</v>
      </c>
      <c r="J39" s="150"/>
      <c r="K39" s="150"/>
      <c r="M39" s="29"/>
      <c r="O39" s="98" t="s">
        <v>133</v>
      </c>
      <c r="P39" s="141" t="s">
        <v>254</v>
      </c>
      <c r="Q39" s="141"/>
    </row>
    <row r="40" spans="1:72" x14ac:dyDescent="0.25">
      <c r="A40" t="s">
        <v>267</v>
      </c>
      <c r="I40" s="150" t="s">
        <v>257</v>
      </c>
      <c r="J40" s="150"/>
      <c r="K40" s="150"/>
      <c r="O40" s="98" t="s">
        <v>134</v>
      </c>
      <c r="P40" s="141" t="s">
        <v>253</v>
      </c>
      <c r="Q40" s="141"/>
    </row>
    <row r="41" spans="1:72" x14ac:dyDescent="0.25">
      <c r="A41" t="s">
        <v>268</v>
      </c>
      <c r="I41" s="150" t="s">
        <v>258</v>
      </c>
      <c r="J41" s="150"/>
      <c r="K41" s="150"/>
      <c r="O41" s="98" t="s">
        <v>235</v>
      </c>
      <c r="P41" s="141" t="s">
        <v>252</v>
      </c>
      <c r="Q41" s="141"/>
    </row>
    <row r="42" spans="1:72" x14ac:dyDescent="0.25">
      <c r="O42" s="98" t="s">
        <v>249</v>
      </c>
      <c r="P42" s="141" t="s">
        <v>251</v>
      </c>
      <c r="Q42" s="141"/>
    </row>
    <row r="43" spans="1:72" x14ac:dyDescent="0.25">
      <c r="C43" s="72"/>
      <c r="D43" s="72"/>
      <c r="E43" s="72"/>
    </row>
    <row r="44" spans="1:72" x14ac:dyDescent="0.25">
      <c r="L44" s="3"/>
    </row>
    <row r="98" spans="3:10" ht="15" customHeight="1" x14ac:dyDescent="0.25">
      <c r="C98" s="107"/>
      <c r="D98" s="107"/>
      <c r="E98" s="107"/>
      <c r="F98" s="107"/>
      <c r="G98" s="107"/>
      <c r="H98" s="107"/>
      <c r="I98" s="107"/>
      <c r="J98" s="107"/>
    </row>
    <row r="99" spans="3:10" ht="18" x14ac:dyDescent="0.25">
      <c r="C99" s="107"/>
      <c r="D99" s="107"/>
      <c r="E99" s="107"/>
      <c r="F99" s="107"/>
      <c r="G99" s="107"/>
      <c r="H99" s="107"/>
      <c r="I99" s="107"/>
      <c r="J99" s="107"/>
    </row>
  </sheetData>
  <mergeCells count="34">
    <mergeCell ref="U3:V3"/>
    <mergeCell ref="U4:V4"/>
    <mergeCell ref="U6:V6"/>
    <mergeCell ref="U7:V7"/>
    <mergeCell ref="I38:K38"/>
    <mergeCell ref="Q1:R1"/>
    <mergeCell ref="C9:G9"/>
    <mergeCell ref="C5:G5"/>
    <mergeCell ref="C4:G4"/>
    <mergeCell ref="C3:G3"/>
    <mergeCell ref="D14:D15"/>
    <mergeCell ref="E12:E15"/>
    <mergeCell ref="BC12:BC14"/>
    <mergeCell ref="P41:Q41"/>
    <mergeCell ref="BI13:BI14"/>
    <mergeCell ref="BS14:BS15"/>
    <mergeCell ref="BO14:BO15"/>
    <mergeCell ref="BT13:BT15"/>
    <mergeCell ref="K5:L5"/>
    <mergeCell ref="M6:M10"/>
    <mergeCell ref="P42:Q42"/>
    <mergeCell ref="AW12:AW14"/>
    <mergeCell ref="F12:G12"/>
    <mergeCell ref="H12:J12"/>
    <mergeCell ref="AT12:AT14"/>
    <mergeCell ref="AU12:AU14"/>
    <mergeCell ref="AV12:AV14"/>
    <mergeCell ref="Q12:Q13"/>
    <mergeCell ref="I39:K39"/>
    <mergeCell ref="I40:K40"/>
    <mergeCell ref="I41:K41"/>
    <mergeCell ref="O38:Q38"/>
    <mergeCell ref="P39:Q39"/>
    <mergeCell ref="P40:Q40"/>
  </mergeCells>
  <conditionalFormatting sqref="Q17:Q36">
    <cfRule type="expression" dxfId="2" priority="1">
      <formula>$P17="CTO"</formula>
    </cfRule>
  </conditionalFormatting>
  <conditionalFormatting sqref="W17:W36">
    <cfRule type="expression" dxfId="1" priority="6">
      <formula>W17&gt;O17</formula>
    </cfRule>
  </conditionalFormatting>
  <conditionalFormatting sqref="AU16:BA16">
    <cfRule type="cellIs" dxfId="0" priority="3" operator="notEqual">
      <formula>""</formula>
    </cfRule>
  </conditionalFormatting>
  <dataValidations count="4">
    <dataValidation type="decimal" allowBlank="1" showInputMessage="1" showErrorMessage="1" prompt="Input a value between 0.005 and 0.08." sqref="L17:L34 M26:M27" xr:uid="{00000000-0002-0000-0100-000000000000}">
      <formula1>0.005</formula1>
      <formula2>0.08</formula2>
    </dataValidation>
    <dataValidation type="decimal" allowBlank="1" showInputMessage="1" showErrorMessage="1" prompt="Enter a value between 0.01 and 0.083" sqref="M28:M36 M17:M25" xr:uid="{00000000-0002-0000-0100-000001000000}">
      <formula1>0.01</formula1>
      <formula2>0.083</formula2>
    </dataValidation>
    <dataValidation type="list" allowBlank="1" showInputMessage="1" showErrorMessage="1" sqref="E17:E36 P9 R3:R10" xr:uid="{24C78432-E469-4D64-8342-CDF789CACBE8}">
      <formula1>$B$17:$B$36</formula1>
    </dataValidation>
    <dataValidation type="list" allowBlank="1" showInputMessage="1" showErrorMessage="1" sqref="D17:D36" xr:uid="{BC50489F-2246-4313-85FE-C4EB8E495992}">
      <formula1>$A$40:$A$41</formula1>
    </dataValidation>
  </dataValidations>
  <hyperlinks>
    <hyperlink ref="I39" r:id="rId1" xr:uid="{D65339DB-03C6-485E-B25C-4A4EB0D0F3A0}"/>
    <hyperlink ref="I40" r:id="rId2" xr:uid="{F71A4B10-8EA8-4628-9FA3-DEF9E823460D}"/>
    <hyperlink ref="I41" r:id="rId3" xr:uid="{B62BBA27-4B43-4853-8BF4-D56A04EDB8B6}"/>
  </hyperlinks>
  <pageMargins left="0.7" right="0.7" top="0.75" bottom="0.75" header="0.3" footer="0.3"/>
  <pageSetup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errorTitle="Inlet Type" error="Please select from list." promptTitle="Inlet Type" prompt="Select inlet type" xr:uid="{7A009CF7-B808-4294-ABEA-E30756F1BA3D}">
          <x14:formula1>
            <xm:f>'Lookup Tables'!$B$8:$B$19</xm:f>
          </x14:formula1>
          <xm:sqref>P17:P36</xm:sqref>
        </x14:dataValidation>
        <x14:dataValidation type="list" allowBlank="1" showInputMessage="1" showErrorMessage="1" xr:uid="{700935CC-0279-4D48-A2E6-1715CFC0E39E}">
          <x14:formula1>
            <xm:f>'Lookup Tables'!$B$8:$B$18</xm:f>
          </x14:formula1>
          <xm:sqref>P17:P36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S35"/>
  <sheetViews>
    <sheetView topLeftCell="A4" workbookViewId="0">
      <selection activeCell="L17" sqref="L17"/>
    </sheetView>
  </sheetViews>
  <sheetFormatPr defaultRowHeight="15" x14ac:dyDescent="0.25"/>
  <cols>
    <col min="1" max="1" width="5.85546875" customWidth="1"/>
    <col min="2" max="18" width="7.7109375" customWidth="1"/>
    <col min="19" max="19" width="13.7109375" customWidth="1"/>
    <col min="20" max="20" width="7.7109375" customWidth="1"/>
  </cols>
  <sheetData>
    <row r="1" spans="1:19" x14ac:dyDescent="0.25">
      <c r="A1" s="22" t="s">
        <v>115</v>
      </c>
      <c r="B1" s="18"/>
      <c r="C1" s="31">
        <f>Computations!C4</f>
        <v>0</v>
      </c>
      <c r="D1" s="31"/>
      <c r="E1" s="31"/>
      <c r="F1" s="18"/>
      <c r="G1" s="18" t="s">
        <v>116</v>
      </c>
      <c r="H1" s="18"/>
      <c r="I1" s="31">
        <f>Computations!U3</f>
        <v>0</v>
      </c>
      <c r="J1" s="31"/>
      <c r="K1" s="18"/>
      <c r="L1" s="18" t="s">
        <v>118</v>
      </c>
      <c r="M1" s="18"/>
      <c r="N1" s="31">
        <f>Computations!U6</f>
        <v>0</v>
      </c>
      <c r="O1" s="31"/>
      <c r="P1" s="18"/>
      <c r="Q1" s="18"/>
      <c r="R1" s="18"/>
      <c r="S1" s="19"/>
    </row>
    <row r="2" spans="1:19" x14ac:dyDescent="0.25">
      <c r="A2" s="13" t="s">
        <v>113</v>
      </c>
      <c r="B2" s="79">
        <f>Computations!C7</f>
        <v>0</v>
      </c>
      <c r="H2" t="s">
        <v>117</v>
      </c>
      <c r="I2" s="171">
        <f>Computations!U4</f>
        <v>0</v>
      </c>
      <c r="J2" s="171"/>
      <c r="M2" t="s">
        <v>117</v>
      </c>
      <c r="N2" s="171">
        <f>Computations!U7</f>
        <v>0</v>
      </c>
      <c r="O2" s="171"/>
      <c r="Q2" s="32" t="s">
        <v>112</v>
      </c>
      <c r="R2" s="2">
        <f>Computations!U9</f>
        <v>1</v>
      </c>
      <c r="S2" s="14"/>
    </row>
    <row r="3" spans="1:19" x14ac:dyDescent="0.25">
      <c r="A3" s="13" t="s">
        <v>114</v>
      </c>
      <c r="B3" s="79">
        <f>Computations!C8</f>
        <v>0</v>
      </c>
      <c r="Q3" s="32" t="s">
        <v>73</v>
      </c>
      <c r="R3" s="2">
        <f>Computations!W9</f>
        <v>1</v>
      </c>
      <c r="S3" s="14"/>
    </row>
    <row r="4" spans="1:19" x14ac:dyDescent="0.25">
      <c r="A4" s="33"/>
      <c r="B4" s="4"/>
      <c r="C4" s="4"/>
      <c r="D4" s="4"/>
      <c r="E4" s="4"/>
      <c r="F4" s="4"/>
      <c r="G4" s="4"/>
      <c r="H4" s="4"/>
      <c r="I4" s="4"/>
      <c r="J4" s="4"/>
      <c r="K4" s="4"/>
      <c r="L4" s="4"/>
      <c r="M4" s="4"/>
      <c r="N4" s="4"/>
      <c r="O4" s="4"/>
      <c r="P4" s="4"/>
      <c r="Q4" s="4"/>
      <c r="R4" s="4"/>
      <c r="S4" s="34"/>
    </row>
    <row r="5" spans="1:19" x14ac:dyDescent="0.25">
      <c r="A5" s="13" t="s">
        <v>103</v>
      </c>
      <c r="C5" s="36" t="s">
        <v>101</v>
      </c>
      <c r="H5" s="36" t="s">
        <v>101</v>
      </c>
      <c r="P5" s="36" t="s">
        <v>107</v>
      </c>
      <c r="S5" s="40"/>
    </row>
    <row r="6" spans="1:19" x14ac:dyDescent="0.25">
      <c r="A6" s="13"/>
      <c r="C6" s="37" t="s">
        <v>102</v>
      </c>
      <c r="F6" s="2">
        <f>Computations!J3</f>
        <v>0</v>
      </c>
      <c r="G6" t="s">
        <v>105</v>
      </c>
      <c r="H6" s="37" t="s">
        <v>104</v>
      </c>
      <c r="K6" s="62">
        <f>Computations!O17</f>
        <v>0</v>
      </c>
      <c r="L6" t="s">
        <v>106</v>
      </c>
      <c r="P6" s="37"/>
      <c r="S6" s="41"/>
    </row>
    <row r="7" spans="1:19" x14ac:dyDescent="0.25">
      <c r="A7" s="33"/>
      <c r="B7" s="4"/>
      <c r="C7" s="38"/>
      <c r="D7" s="4"/>
      <c r="E7" s="4"/>
      <c r="F7" s="4"/>
      <c r="G7" s="4"/>
      <c r="H7" s="38"/>
      <c r="I7" s="4"/>
      <c r="J7" s="4"/>
      <c r="K7" s="4"/>
      <c r="L7" s="4"/>
      <c r="M7" s="4"/>
      <c r="N7" s="4"/>
      <c r="O7" s="4"/>
      <c r="P7" s="38"/>
      <c r="Q7" s="4"/>
      <c r="R7" s="4"/>
      <c r="S7" s="42"/>
    </row>
    <row r="8" spans="1:19" x14ac:dyDescent="0.25">
      <c r="A8" s="51"/>
      <c r="B8" s="48"/>
      <c r="C8" s="48"/>
      <c r="D8" s="48" t="s">
        <v>68</v>
      </c>
      <c r="E8" s="48" t="s">
        <v>72</v>
      </c>
      <c r="F8" s="48" t="s">
        <v>77</v>
      </c>
      <c r="G8" s="48"/>
      <c r="H8" s="48"/>
      <c r="I8" s="48"/>
      <c r="J8" s="48" t="s">
        <v>81</v>
      </c>
      <c r="K8" s="48" t="s">
        <v>56</v>
      </c>
      <c r="L8" s="48"/>
      <c r="M8" s="48"/>
      <c r="N8" s="48"/>
      <c r="O8" s="48"/>
      <c r="P8" s="48"/>
      <c r="Q8" s="48"/>
      <c r="R8" s="48"/>
      <c r="S8" s="43"/>
    </row>
    <row r="9" spans="1:19" x14ac:dyDescent="0.25">
      <c r="A9" s="52"/>
      <c r="B9" s="49"/>
      <c r="C9" s="49" t="s">
        <v>66</v>
      </c>
      <c r="D9" s="49" t="s">
        <v>69</v>
      </c>
      <c r="E9" s="49" t="s">
        <v>73</v>
      </c>
      <c r="F9" s="49" t="s">
        <v>78</v>
      </c>
      <c r="G9" s="49"/>
      <c r="H9" s="49"/>
      <c r="I9" s="49" t="s">
        <v>28</v>
      </c>
      <c r="J9" s="49" t="s">
        <v>68</v>
      </c>
      <c r="K9" s="49" t="s">
        <v>83</v>
      </c>
      <c r="L9" s="49" t="s">
        <v>43</v>
      </c>
      <c r="M9" s="49" t="s">
        <v>83</v>
      </c>
      <c r="N9" s="49"/>
      <c r="O9" s="49"/>
      <c r="P9" s="49" t="s">
        <v>17</v>
      </c>
      <c r="Q9" s="49" t="s">
        <v>96</v>
      </c>
      <c r="R9" s="49" t="s">
        <v>68</v>
      </c>
      <c r="S9" s="43"/>
    </row>
    <row r="10" spans="1:19" x14ac:dyDescent="0.25">
      <c r="A10" s="52"/>
      <c r="B10" s="49"/>
      <c r="C10" s="49" t="s">
        <v>21</v>
      </c>
      <c r="D10" s="49" t="s">
        <v>70</v>
      </c>
      <c r="E10" s="49" t="s">
        <v>74</v>
      </c>
      <c r="F10" s="49" t="s">
        <v>93</v>
      </c>
      <c r="G10" s="49" t="s">
        <v>38</v>
      </c>
      <c r="H10" s="49" t="s">
        <v>80</v>
      </c>
      <c r="I10" s="49" t="s">
        <v>59</v>
      </c>
      <c r="J10" s="49" t="s">
        <v>82</v>
      </c>
      <c r="K10" s="49" t="s">
        <v>49</v>
      </c>
      <c r="L10" s="53" t="s">
        <v>95</v>
      </c>
      <c r="M10" s="49" t="s">
        <v>0</v>
      </c>
      <c r="N10" s="49" t="s">
        <v>89</v>
      </c>
      <c r="O10" s="49"/>
      <c r="P10" s="49" t="s">
        <v>3</v>
      </c>
      <c r="Q10" s="49" t="s">
        <v>97</v>
      </c>
      <c r="R10" s="49" t="s">
        <v>82</v>
      </c>
      <c r="S10" s="43" t="s">
        <v>100</v>
      </c>
    </row>
    <row r="11" spans="1:19" ht="18" x14ac:dyDescent="0.35">
      <c r="A11" s="52" t="s">
        <v>17</v>
      </c>
      <c r="B11" s="49"/>
      <c r="C11" s="53" t="s">
        <v>86</v>
      </c>
      <c r="D11" s="53" t="s">
        <v>71</v>
      </c>
      <c r="E11" s="53" t="s">
        <v>75</v>
      </c>
      <c r="F11" s="53" t="s">
        <v>94</v>
      </c>
      <c r="G11" s="53" t="s">
        <v>92</v>
      </c>
      <c r="H11" s="53" t="s">
        <v>300</v>
      </c>
      <c r="I11" s="53" t="s">
        <v>87</v>
      </c>
      <c r="J11" s="49"/>
      <c r="K11" s="49"/>
      <c r="L11" s="53" t="s">
        <v>84</v>
      </c>
      <c r="M11" s="53" t="s">
        <v>88</v>
      </c>
      <c r="N11" s="53" t="s">
        <v>90</v>
      </c>
      <c r="O11" s="53" t="s">
        <v>91</v>
      </c>
      <c r="P11" s="49"/>
      <c r="Q11" s="53" t="s">
        <v>98</v>
      </c>
      <c r="R11" s="53" t="s">
        <v>99</v>
      </c>
      <c r="S11" s="43"/>
    </row>
    <row r="12" spans="1:19" x14ac:dyDescent="0.25">
      <c r="A12" s="54" t="s">
        <v>65</v>
      </c>
      <c r="B12" s="50" t="s">
        <v>19</v>
      </c>
      <c r="C12" s="50" t="s">
        <v>67</v>
      </c>
      <c r="D12" s="50"/>
      <c r="E12" s="50" t="s">
        <v>76</v>
      </c>
      <c r="F12" s="50" t="s">
        <v>79</v>
      </c>
      <c r="G12" s="50" t="s">
        <v>39</v>
      </c>
      <c r="H12" s="50" t="s">
        <v>33</v>
      </c>
      <c r="I12" s="50" t="s">
        <v>33</v>
      </c>
      <c r="J12" s="50" t="s">
        <v>39</v>
      </c>
      <c r="K12" s="50" t="s">
        <v>39</v>
      </c>
      <c r="L12" s="50" t="s">
        <v>85</v>
      </c>
      <c r="M12" s="50" t="s">
        <v>85</v>
      </c>
      <c r="N12" s="50" t="s">
        <v>85</v>
      </c>
      <c r="O12" s="50"/>
      <c r="P12" s="50"/>
      <c r="Q12" s="50" t="s">
        <v>39</v>
      </c>
      <c r="R12" s="50" t="s">
        <v>39</v>
      </c>
      <c r="S12" s="44"/>
    </row>
    <row r="13" spans="1:19" ht="15.75" thickBot="1" x14ac:dyDescent="0.3">
      <c r="A13" s="46">
        <v>1</v>
      </c>
      <c r="B13" s="35">
        <v>2</v>
      </c>
      <c r="C13" s="39">
        <v>3</v>
      </c>
      <c r="D13" s="47">
        <v>4</v>
      </c>
      <c r="E13" s="35">
        <v>5</v>
      </c>
      <c r="F13" s="39">
        <v>6</v>
      </c>
      <c r="G13" s="47">
        <v>7</v>
      </c>
      <c r="H13" s="39">
        <v>8</v>
      </c>
      <c r="I13" s="39">
        <v>9</v>
      </c>
      <c r="J13" s="47">
        <v>10</v>
      </c>
      <c r="K13" s="35">
        <v>11</v>
      </c>
      <c r="L13" s="39">
        <v>12</v>
      </c>
      <c r="M13" s="39">
        <v>13</v>
      </c>
      <c r="N13" s="39">
        <v>14</v>
      </c>
      <c r="O13" s="47">
        <v>15</v>
      </c>
      <c r="P13" s="39">
        <v>16</v>
      </c>
      <c r="Q13" s="39">
        <v>17</v>
      </c>
      <c r="R13" s="47">
        <v>18</v>
      </c>
      <c r="S13" s="45">
        <v>19</v>
      </c>
    </row>
    <row r="14" spans="1:19" ht="15.75" thickTop="1" x14ac:dyDescent="0.25">
      <c r="A14" s="55" t="str">
        <f>IF(ISBLANK(Computations!B17)," ",Computations!B17)</f>
        <v xml:space="preserve"> </v>
      </c>
      <c r="B14" s="80" t="str">
        <f>IF(ISBLANK(Computations!C17)," ",Computations!C17)</f>
        <v xml:space="preserve"> </v>
      </c>
      <c r="C14" s="64" t="str">
        <f>IF(ISBLANK(Computations!B17)," ",Computations!S17)</f>
        <v xml:space="preserve"> </v>
      </c>
      <c r="D14" s="59" t="str">
        <f>IF(Computations!S17&lt;=0," ",Computations!T17/Computations!S17)</f>
        <v xml:space="preserve"> </v>
      </c>
      <c r="E14" s="59" t="str">
        <f>IF(ISBLANK(Computations!B17)," ",MAX(5,Computations!J17))</f>
        <v xml:space="preserve"> </v>
      </c>
      <c r="F14" s="56" t="str">
        <f>IF(ISBLANK(Computations!B17)," ",Computations!U17)</f>
        <v xml:space="preserve"> </v>
      </c>
      <c r="G14" s="59" t="str">
        <f>IF(ISBLANK(Computations!B17)," ",Computations!V17)</f>
        <v xml:space="preserve"> </v>
      </c>
      <c r="H14" s="63" t="str">
        <f>IF(ISBLANK(Computations!$B17)," ",Computations!K17)</f>
        <v xml:space="preserve"> </v>
      </c>
      <c r="I14" s="64" t="str">
        <f>IF(ISBLANK(Computations!$B17)," ",Computations!L17)</f>
        <v xml:space="preserve"> </v>
      </c>
      <c r="J14" s="127" t="str">
        <f>IFERROR(_xlfn.XLOOKUP(A14,Computations!$B$17:$B$36,Computations!$BI$17:$BI$36),"")</f>
        <v/>
      </c>
      <c r="K14" s="127" t="str">
        <f>IFERROR(_xlfn.XLOOKUP(A14,Computations!$B$17:$B$36,Computations!$AD$17:$AD$36),"")</f>
        <v/>
      </c>
      <c r="L14" s="59" t="str">
        <f>IF(ISBLANK(Computations!$B17)," ",Computations!Y17)</f>
        <v xml:space="preserve"> </v>
      </c>
      <c r="M14" s="59" t="str">
        <f>IF(ISBLANK(Computations!$B17)," ",Computations!N17)</f>
        <v xml:space="preserve"> </v>
      </c>
      <c r="N14" s="59" t="str">
        <f>IF(ISBLANK(Computations!$B17)," ",Computations!W17)</f>
        <v xml:space="preserve"> </v>
      </c>
      <c r="O14" s="64" t="str">
        <f>IF(ISBLANK(Computations!$B17)," ",M14/N14)</f>
        <v xml:space="preserve"> </v>
      </c>
      <c r="P14" s="69" t="str">
        <f>IF(ISBLANK(Computations!$B17)," ",Computations!P17)</f>
        <v xml:space="preserve"> </v>
      </c>
      <c r="Q14" s="59" t="str">
        <f>IF(ISBLANK(Computations!$B17)," ",Computations!AJ17)</f>
        <v xml:space="preserve"> </v>
      </c>
      <c r="R14" s="59" t="str">
        <f>IF(ISBLANK(Computations!$B17)," ",Computations!AK17)</f>
        <v xml:space="preserve"> </v>
      </c>
      <c r="S14" s="76"/>
    </row>
    <row r="15" spans="1:19" x14ac:dyDescent="0.25">
      <c r="A15" s="57" t="str">
        <f>IF(ISBLANK(Computations!B18)," ",Computations!B18)</f>
        <v xml:space="preserve"> </v>
      </c>
      <c r="B15" s="81" t="str">
        <f>IF(ISBLANK(Computations!C18)," ",Computations!C18)</f>
        <v xml:space="preserve"> </v>
      </c>
      <c r="C15" s="65" t="str">
        <f>IF(ISBLANK(Computations!B18)," ",Computations!S18)</f>
        <v xml:space="preserve"> </v>
      </c>
      <c r="D15" s="60" t="str">
        <f>IF(Computations!S18&lt;=0," ",Computations!T18/Computations!S18)</f>
        <v xml:space="preserve"> </v>
      </c>
      <c r="E15" s="60" t="str">
        <f>IF(ISBLANK(Computations!B18)," ",MAX(5,Computations!J18))</f>
        <v xml:space="preserve"> </v>
      </c>
      <c r="F15" s="60" t="str">
        <f>IF(ISBLANK(Computations!B18)," ",Computations!U18)</f>
        <v xml:space="preserve"> </v>
      </c>
      <c r="G15" s="60" t="str">
        <f>IF(ISBLANK(Computations!B18)," ",Computations!V18)</f>
        <v xml:space="preserve"> </v>
      </c>
      <c r="H15" s="67" t="str">
        <f>IF(ISBLANK(Computations!B18)," ",Computations!K18)</f>
        <v xml:space="preserve"> </v>
      </c>
      <c r="I15" s="128" t="str">
        <f>IF(ISBLANK(Computations!$B18)," ",Computations!L18)</f>
        <v xml:space="preserve"> </v>
      </c>
      <c r="J15" s="60" t="str">
        <f>IFERROR(_xlfn.XLOOKUP(A15,Computations!$B$17:$B$36,Computations!$BI$17:$BI$36),"")</f>
        <v/>
      </c>
      <c r="K15" s="129" t="str">
        <f>IFERROR(_xlfn.XLOOKUP(A15,Computations!$B$17:$B$36,Computations!$AD$17:$AD$36),"")</f>
        <v/>
      </c>
      <c r="L15" s="60" t="str">
        <f>IF(ISBLANK(Computations!$B18)," ",Computations!Y18)</f>
        <v xml:space="preserve"> </v>
      </c>
      <c r="M15" s="60" t="str">
        <f>IF(ISBLANK(Computations!$B18)," ",Computations!N18)</f>
        <v xml:space="preserve"> </v>
      </c>
      <c r="N15" s="60" t="str">
        <f>IF(ISBLANK(Computations!$B18)," ",Computations!W18)</f>
        <v xml:space="preserve"> </v>
      </c>
      <c r="O15" s="65" t="str">
        <f>IF(ISBLANK(Computations!$B18)," ",M15/N15)</f>
        <v xml:space="preserve"> </v>
      </c>
      <c r="P15" s="70" t="str">
        <f>IF(ISBLANK(Computations!$B18)," ",Computations!P18)</f>
        <v xml:space="preserve"> </v>
      </c>
      <c r="Q15" s="60" t="str">
        <f>IF(ISBLANK(Computations!$B18)," ",Computations!AJ18)</f>
        <v xml:space="preserve"> </v>
      </c>
      <c r="R15" s="60" t="str">
        <f>IF(ISBLANK(Computations!$B18)," ",Computations!AK18)</f>
        <v xml:space="preserve"> </v>
      </c>
      <c r="S15" s="77"/>
    </row>
    <row r="16" spans="1:19" x14ac:dyDescent="0.25">
      <c r="A16" s="57" t="str">
        <f>IF(ISBLANK(Computations!B19)," ",Computations!B19)</f>
        <v xml:space="preserve"> </v>
      </c>
      <c r="B16" s="81" t="str">
        <f>IF(ISBLANK(Computations!C19)," ",Computations!C19)</f>
        <v xml:space="preserve"> </v>
      </c>
      <c r="C16" s="65" t="str">
        <f>IF(ISBLANK(Computations!B19)," ",Computations!S19)</f>
        <v xml:space="preserve"> </v>
      </c>
      <c r="D16" s="60" t="str">
        <f>IF(Computations!S19&lt;=0," ",Computations!T19/Computations!S19)</f>
        <v xml:space="preserve"> </v>
      </c>
      <c r="E16" s="60" t="str">
        <f>IF(ISBLANK(Computations!B19)," ",MAX(5,Computations!J19))</f>
        <v xml:space="preserve"> </v>
      </c>
      <c r="F16" s="60" t="str">
        <f>IF(ISBLANK(Computations!B19)," ",Computations!U19)</f>
        <v xml:space="preserve"> </v>
      </c>
      <c r="G16" s="60" t="str">
        <f>IF(ISBLANK(Computations!B19)," ",Computations!V19)</f>
        <v xml:space="preserve"> </v>
      </c>
      <c r="H16" s="67" t="str">
        <f>IF(ISBLANK(Computations!B19)," ",Computations!K19)</f>
        <v xml:space="preserve"> </v>
      </c>
      <c r="I16" s="65" t="str">
        <f>IF(ISBLANK(Computations!$B19)," ",Computations!L19)</f>
        <v xml:space="preserve"> </v>
      </c>
      <c r="J16" s="60" t="str">
        <f>IFERROR(_xlfn.XLOOKUP(A16,Computations!$B$17:$B$36,Computations!$BI$17:$BI$36),"")</f>
        <v/>
      </c>
      <c r="K16" s="129" t="str">
        <f>IFERROR(_xlfn.XLOOKUP(A16,Computations!$B$17:$B$36,Computations!$AD$17:$AD$36),"")</f>
        <v/>
      </c>
      <c r="L16" s="60" t="str">
        <f>IF(ISBLANK(Computations!$B19)," ",Computations!Y19)</f>
        <v xml:space="preserve"> </v>
      </c>
      <c r="M16" s="60" t="str">
        <f>IF(ISBLANK(Computations!$B19)," ",Computations!N19)</f>
        <v xml:space="preserve"> </v>
      </c>
      <c r="N16" s="60" t="str">
        <f>IF(ISBLANK(Computations!$B19)," ",Computations!W19)</f>
        <v xml:space="preserve"> </v>
      </c>
      <c r="O16" s="65" t="str">
        <f>IF(ISBLANK(Computations!$B19)," ",M16/N16)</f>
        <v xml:space="preserve"> </v>
      </c>
      <c r="P16" s="70" t="str">
        <f>IF(ISBLANK(Computations!$B19)," ",Computations!P19)</f>
        <v xml:space="preserve"> </v>
      </c>
      <c r="Q16" s="60" t="str">
        <f>IF(ISBLANK(Computations!$B19)," ",Computations!AJ19)</f>
        <v xml:space="preserve"> </v>
      </c>
      <c r="R16" s="60" t="str">
        <f>IF(ISBLANK(Computations!$B19)," ",Computations!AK19)</f>
        <v xml:space="preserve"> </v>
      </c>
      <c r="S16" s="77"/>
    </row>
    <row r="17" spans="1:19" x14ac:dyDescent="0.25">
      <c r="A17" s="57" t="str">
        <f>IF(ISBLANK(Computations!B20)," ",Computations!B20)</f>
        <v xml:space="preserve"> </v>
      </c>
      <c r="B17" s="81" t="str">
        <f>IF(ISBLANK(Computations!C20)," ",Computations!C20)</f>
        <v xml:space="preserve"> </v>
      </c>
      <c r="C17" s="65" t="str">
        <f>IF(ISBLANK(Computations!B20)," ",Computations!S20)</f>
        <v xml:space="preserve"> </v>
      </c>
      <c r="D17" s="60" t="str">
        <f>IF(Computations!S20&lt;=0," ",Computations!T20/Computations!S20)</f>
        <v xml:space="preserve"> </v>
      </c>
      <c r="E17" s="60" t="str">
        <f>IF(ISBLANK(Computations!B20)," ",MAX(5,Computations!J20))</f>
        <v xml:space="preserve"> </v>
      </c>
      <c r="F17" s="60" t="str">
        <f>IF(ISBLANK(Computations!B20)," ",Computations!U20)</f>
        <v xml:space="preserve"> </v>
      </c>
      <c r="G17" s="60" t="str">
        <f>IF(ISBLANK(Computations!B20)," ",Computations!V20)</f>
        <v xml:space="preserve"> </v>
      </c>
      <c r="H17" s="67" t="str">
        <f>IF(ISBLANK(Computations!B20)," ",Computations!K20)</f>
        <v xml:space="preserve"> </v>
      </c>
      <c r="I17" s="65" t="str">
        <f>IF(ISBLANK(Computations!$B20)," ",Computations!L20)</f>
        <v xml:space="preserve"> </v>
      </c>
      <c r="J17" s="60" t="str">
        <f>IFERROR(_xlfn.XLOOKUP(A17,Computations!$B$17:$B$36,Computations!$BI$17:$BI$36),"")</f>
        <v/>
      </c>
      <c r="K17" s="129" t="str">
        <f>IFERROR(_xlfn.XLOOKUP(A17,Computations!$B$17:$B$36,Computations!$AD$17:$AD$36),"")</f>
        <v/>
      </c>
      <c r="L17" s="60" t="str">
        <f>IF(ISBLANK(Computations!$B20)," ",Computations!Y20)</f>
        <v xml:space="preserve"> </v>
      </c>
      <c r="M17" s="60" t="str">
        <f>IF(ISBLANK(Computations!$B20)," ",Computations!N20)</f>
        <v xml:space="preserve"> </v>
      </c>
      <c r="N17" s="60" t="str">
        <f>IF(ISBLANK(Computations!$B20)," ",Computations!W20)</f>
        <v xml:space="preserve"> </v>
      </c>
      <c r="O17" s="65" t="str">
        <f>IF(ISBLANK(Computations!$B20)," ",M17/N17)</f>
        <v xml:space="preserve"> </v>
      </c>
      <c r="P17" s="70" t="str">
        <f>IF(ISBLANK(Computations!$B20)," ",Computations!P20)</f>
        <v xml:space="preserve"> </v>
      </c>
      <c r="Q17" s="60" t="str">
        <f>IF(ISBLANK(Computations!$B20)," ",Computations!AJ20)</f>
        <v xml:space="preserve"> </v>
      </c>
      <c r="R17" s="60" t="str">
        <f>IF(ISBLANK(Computations!$B20)," ",Computations!AK20)</f>
        <v xml:space="preserve"> </v>
      </c>
      <c r="S17" s="77"/>
    </row>
    <row r="18" spans="1:19" x14ac:dyDescent="0.25">
      <c r="A18" s="57" t="str">
        <f>IF(ISBLANK(Computations!B21)," ",Computations!B21)</f>
        <v xml:space="preserve"> </v>
      </c>
      <c r="B18" s="81" t="str">
        <f>IF(ISBLANK(Computations!C21)," ",Computations!C21)</f>
        <v xml:space="preserve"> </v>
      </c>
      <c r="C18" s="65" t="str">
        <f>IF(ISBLANK(Computations!B21)," ",Computations!S21)</f>
        <v xml:space="preserve"> </v>
      </c>
      <c r="D18" s="60" t="str">
        <f>IF(Computations!S21&lt;=0," ",Computations!T21/Computations!S21)</f>
        <v xml:space="preserve"> </v>
      </c>
      <c r="E18" s="60" t="str">
        <f>IF(ISBLANK(Computations!B21)," ",MAX(5,Computations!J21))</f>
        <v xml:space="preserve"> </v>
      </c>
      <c r="F18" s="60" t="str">
        <f>IF(ISBLANK(Computations!B21)," ",Computations!U21)</f>
        <v xml:space="preserve"> </v>
      </c>
      <c r="G18" s="60" t="str">
        <f>IF(ISBLANK(Computations!B21)," ",Computations!V21)</f>
        <v xml:space="preserve"> </v>
      </c>
      <c r="H18" s="67" t="str">
        <f>IF(ISBLANK(Computations!B21)," ",Computations!K21)</f>
        <v xml:space="preserve"> </v>
      </c>
      <c r="I18" s="65" t="str">
        <f>IF(ISBLANK(Computations!$B21)," ",Computations!L21)</f>
        <v xml:space="preserve"> </v>
      </c>
      <c r="J18" s="60" t="str">
        <f>IFERROR(_xlfn.XLOOKUP(A18,Computations!$B$17:$B$36,Computations!$BI$17:$BI$36),"")</f>
        <v/>
      </c>
      <c r="K18" s="129" t="str">
        <f>IFERROR(_xlfn.XLOOKUP(A18,Computations!$B$17:$B$36,Computations!$AD$17:$AD$36),"")</f>
        <v/>
      </c>
      <c r="L18" s="60" t="str">
        <f>IF(ISBLANK(Computations!$B21)," ",Computations!Y21)</f>
        <v xml:space="preserve"> </v>
      </c>
      <c r="M18" s="60" t="str">
        <f>IF(ISBLANK(Computations!$B21)," ",Computations!N21)</f>
        <v xml:space="preserve"> </v>
      </c>
      <c r="N18" s="60" t="str">
        <f>IF(ISBLANK(Computations!$B21)," ",Computations!W21)</f>
        <v xml:space="preserve"> </v>
      </c>
      <c r="O18" s="65" t="str">
        <f>IF(ISBLANK(Computations!$B21)," ",M18/N18)</f>
        <v xml:space="preserve"> </v>
      </c>
      <c r="P18" s="70" t="str">
        <f>IF(ISBLANK(Computations!$B21)," ",Computations!P21)</f>
        <v xml:space="preserve"> </v>
      </c>
      <c r="Q18" s="60" t="str">
        <f>IF(ISBLANK(Computations!$B21)," ",Computations!AJ21)</f>
        <v xml:space="preserve"> </v>
      </c>
      <c r="R18" s="60" t="str">
        <f>IF(ISBLANK(Computations!$B21)," ",Computations!AK21)</f>
        <v xml:space="preserve"> </v>
      </c>
      <c r="S18" s="77"/>
    </row>
    <row r="19" spans="1:19" x14ac:dyDescent="0.25">
      <c r="A19" s="57" t="str">
        <f>IF(ISBLANK(Computations!B22)," ",Computations!B22)</f>
        <v xml:space="preserve"> </v>
      </c>
      <c r="B19" s="81" t="str">
        <f>IF(ISBLANK(Computations!C22)," ",Computations!C22)</f>
        <v xml:space="preserve"> </v>
      </c>
      <c r="C19" s="65" t="str">
        <f>IF(ISBLANK(Computations!B22)," ",Computations!S22)</f>
        <v xml:space="preserve"> </v>
      </c>
      <c r="D19" s="60" t="str">
        <f>IF(Computations!S22&lt;=0," ",Computations!T22/Computations!S22)</f>
        <v xml:space="preserve"> </v>
      </c>
      <c r="E19" s="60" t="str">
        <f>IF(ISBLANK(Computations!B22)," ",MAX(5,Computations!J22))</f>
        <v xml:space="preserve"> </v>
      </c>
      <c r="F19" s="60" t="str">
        <f>IF(ISBLANK(Computations!B22)," ",Computations!U22)</f>
        <v xml:space="preserve"> </v>
      </c>
      <c r="G19" s="60" t="str">
        <f>IF(ISBLANK(Computations!B22)," ",Computations!V22)</f>
        <v xml:space="preserve"> </v>
      </c>
      <c r="H19" s="67" t="str">
        <f>IF(ISBLANK(Computations!B22)," ",Computations!K22)</f>
        <v xml:space="preserve"> </v>
      </c>
      <c r="I19" s="65" t="str">
        <f>IF(ISBLANK(Computations!$B22)," ",Computations!L22)</f>
        <v xml:space="preserve"> </v>
      </c>
      <c r="J19" s="60" t="str">
        <f>IFERROR(_xlfn.XLOOKUP(A19,Computations!$B$17:$B$36,Computations!$BI$17:$BI$36),"")</f>
        <v/>
      </c>
      <c r="K19" s="129" t="str">
        <f>IFERROR(_xlfn.XLOOKUP(A19,Computations!$B$17:$B$36,Computations!$AD$17:$AD$36),"")</f>
        <v/>
      </c>
      <c r="L19" s="60" t="str">
        <f>IF(ISBLANK(Computations!$B22)," ",Computations!Y22)</f>
        <v xml:space="preserve"> </v>
      </c>
      <c r="M19" s="60" t="str">
        <f>IF(ISBLANK(Computations!$B22)," ",Computations!N22)</f>
        <v xml:space="preserve"> </v>
      </c>
      <c r="N19" s="60" t="str">
        <f>IF(ISBLANK(Computations!$B22)," ",Computations!W22)</f>
        <v xml:space="preserve"> </v>
      </c>
      <c r="O19" s="65" t="str">
        <f>IF(ISBLANK(Computations!$B22)," ",M19/N19)</f>
        <v xml:space="preserve"> </v>
      </c>
      <c r="P19" s="70" t="str">
        <f>IF(ISBLANK(Computations!$B22)," ",Computations!P22)</f>
        <v xml:space="preserve"> </v>
      </c>
      <c r="Q19" s="60" t="str">
        <f>IF(ISBLANK(Computations!$B22)," ",Computations!AJ22)</f>
        <v xml:space="preserve"> </v>
      </c>
      <c r="R19" s="60" t="str">
        <f>IF(ISBLANK(Computations!$B22)," ",Computations!AK22)</f>
        <v xml:space="preserve"> </v>
      </c>
      <c r="S19" s="77"/>
    </row>
    <row r="20" spans="1:19" x14ac:dyDescent="0.25">
      <c r="A20" s="57" t="str">
        <f>IF(ISBLANK(Computations!B23)," ",Computations!B23)</f>
        <v xml:space="preserve"> </v>
      </c>
      <c r="B20" s="81" t="str">
        <f>IF(ISBLANK(Computations!C23)," ",Computations!C23)</f>
        <v xml:space="preserve"> </v>
      </c>
      <c r="C20" s="65" t="str">
        <f>IF(ISBLANK(Computations!B23)," ",Computations!S23)</f>
        <v xml:space="preserve"> </v>
      </c>
      <c r="D20" s="60" t="str">
        <f>IF(Computations!S23&lt;=0," ",Computations!T23/Computations!S23)</f>
        <v xml:space="preserve"> </v>
      </c>
      <c r="E20" s="60" t="str">
        <f>IF(ISBLANK(Computations!B23)," ",MAX(5,Computations!J23))</f>
        <v xml:space="preserve"> </v>
      </c>
      <c r="F20" s="60" t="str">
        <f>IF(ISBLANK(Computations!B23)," ",Computations!U23)</f>
        <v xml:space="preserve"> </v>
      </c>
      <c r="G20" s="60" t="str">
        <f>IF(ISBLANK(Computations!B23)," ",Computations!V23)</f>
        <v xml:space="preserve"> </v>
      </c>
      <c r="H20" s="67" t="str">
        <f>IF(ISBLANK(Computations!B23)," ",Computations!K23)</f>
        <v xml:space="preserve"> </v>
      </c>
      <c r="I20" s="65" t="str">
        <f>IF(ISBLANK(Computations!$B23)," ",Computations!L23)</f>
        <v xml:space="preserve"> </v>
      </c>
      <c r="J20" s="60" t="str">
        <f>IFERROR(_xlfn.XLOOKUP(A20,Computations!$B$17:$B$36,Computations!$BI$17:$BI$36),"")</f>
        <v/>
      </c>
      <c r="K20" s="129" t="str">
        <f>IFERROR(_xlfn.XLOOKUP(A20,Computations!$B$17:$B$36,Computations!$AD$17:$AD$36),"")</f>
        <v/>
      </c>
      <c r="L20" s="60" t="str">
        <f>IF(ISBLANK(Computations!$B23)," ",Computations!Y23)</f>
        <v xml:space="preserve"> </v>
      </c>
      <c r="M20" s="60" t="str">
        <f>IF(ISBLANK(Computations!$B23)," ",Computations!N23)</f>
        <v xml:space="preserve"> </v>
      </c>
      <c r="N20" s="60" t="str">
        <f>IF(ISBLANK(Computations!$B23)," ",Computations!W23)</f>
        <v xml:space="preserve"> </v>
      </c>
      <c r="O20" s="65" t="str">
        <f>IF(ISBLANK(Computations!$B23)," ",M20/N20)</f>
        <v xml:space="preserve"> </v>
      </c>
      <c r="P20" s="70" t="str">
        <f>IF(ISBLANK(Computations!$B23)," ",Computations!P23)</f>
        <v xml:space="preserve"> </v>
      </c>
      <c r="Q20" s="60" t="str">
        <f>IF(ISBLANK(Computations!$B23)," ",Computations!AJ23)</f>
        <v xml:space="preserve"> </v>
      </c>
      <c r="R20" s="60" t="str">
        <f>IF(ISBLANK(Computations!$B23)," ",Computations!AK23)</f>
        <v xml:space="preserve"> </v>
      </c>
      <c r="S20" s="77"/>
    </row>
    <row r="21" spans="1:19" x14ac:dyDescent="0.25">
      <c r="A21" s="57" t="str">
        <f>IF(ISBLANK(Computations!B24)," ",Computations!B24)</f>
        <v xml:space="preserve"> </v>
      </c>
      <c r="B21" s="81" t="str">
        <f>IF(ISBLANK(Computations!C24)," ",Computations!C24)</f>
        <v xml:space="preserve"> </v>
      </c>
      <c r="C21" s="65" t="str">
        <f>IF(ISBLANK(Computations!B24)," ",Computations!S24)</f>
        <v xml:space="preserve"> </v>
      </c>
      <c r="D21" s="60" t="str">
        <f>IF(Computations!S24&lt;=0," ",Computations!T24/Computations!S24)</f>
        <v xml:space="preserve"> </v>
      </c>
      <c r="E21" s="60" t="str">
        <f>IF(ISBLANK(Computations!B24)," ",MAX(5,Computations!J24))</f>
        <v xml:space="preserve"> </v>
      </c>
      <c r="F21" s="60" t="str">
        <f>IF(ISBLANK(Computations!B24)," ",Computations!U24)</f>
        <v xml:space="preserve"> </v>
      </c>
      <c r="G21" s="60" t="str">
        <f>IF(ISBLANK(Computations!B24)," ",Computations!V24)</f>
        <v xml:space="preserve"> </v>
      </c>
      <c r="H21" s="67" t="str">
        <f>IF(ISBLANK(Computations!B24)," ",Computations!K24)</f>
        <v xml:space="preserve"> </v>
      </c>
      <c r="I21" s="65" t="str">
        <f>IF(ISBLANK(Computations!$B24)," ",Computations!L24)</f>
        <v xml:space="preserve"> </v>
      </c>
      <c r="J21" s="60" t="str">
        <f>IFERROR(_xlfn.XLOOKUP(A21,Computations!$B$17:$B$36,Computations!$BI$17:$BI$36),"")</f>
        <v/>
      </c>
      <c r="K21" s="129" t="str">
        <f>IFERROR(_xlfn.XLOOKUP(A21,Computations!$B$17:$B$36,Computations!$AD$17:$AD$36),"")</f>
        <v/>
      </c>
      <c r="L21" s="60" t="str">
        <f>IF(ISBLANK(Computations!$B24)," ",Computations!Y24)</f>
        <v xml:space="preserve"> </v>
      </c>
      <c r="M21" s="60" t="str">
        <f>IF(ISBLANK(Computations!$B24)," ",Computations!N24)</f>
        <v xml:space="preserve"> </v>
      </c>
      <c r="N21" s="60" t="str">
        <f>IF(ISBLANK(Computations!$B24)," ",Computations!W24)</f>
        <v xml:space="preserve"> </v>
      </c>
      <c r="O21" s="65" t="str">
        <f>IF(ISBLANK(Computations!$B24)," ",M21/N21)</f>
        <v xml:space="preserve"> </v>
      </c>
      <c r="P21" s="70" t="str">
        <f>IF(ISBLANK(Computations!$B24)," ",Computations!P24)</f>
        <v xml:space="preserve"> </v>
      </c>
      <c r="Q21" s="60" t="str">
        <f>IF(ISBLANK(Computations!$B24)," ",Computations!AJ24)</f>
        <v xml:space="preserve"> </v>
      </c>
      <c r="R21" s="60" t="str">
        <f>IF(ISBLANK(Computations!$B24)," ",Computations!AK24)</f>
        <v xml:space="preserve"> </v>
      </c>
      <c r="S21" s="77"/>
    </row>
    <row r="22" spans="1:19" x14ac:dyDescent="0.25">
      <c r="A22" s="57" t="str">
        <f>IF(ISBLANK(Computations!B25)," ",Computations!B25)</f>
        <v xml:space="preserve"> </v>
      </c>
      <c r="B22" s="81" t="str">
        <f>IF(ISBLANK(Computations!C25)," ",Computations!C25)</f>
        <v xml:space="preserve"> </v>
      </c>
      <c r="C22" s="65" t="str">
        <f>IF(ISBLANK(Computations!B25)," ",Computations!S25)</f>
        <v xml:space="preserve"> </v>
      </c>
      <c r="D22" s="60" t="str">
        <f>IF(Computations!S25&lt;=0," ",Computations!T25/Computations!S25)</f>
        <v xml:space="preserve"> </v>
      </c>
      <c r="E22" s="60" t="str">
        <f>IF(ISBLANK(Computations!B25)," ",MAX(5,Computations!J25))</f>
        <v xml:space="preserve"> </v>
      </c>
      <c r="F22" s="60" t="str">
        <f>IF(ISBLANK(Computations!B25)," ",Computations!U25)</f>
        <v xml:space="preserve"> </v>
      </c>
      <c r="G22" s="60" t="str">
        <f>IF(ISBLANK(Computations!B25)," ",Computations!V25)</f>
        <v xml:space="preserve"> </v>
      </c>
      <c r="H22" s="67" t="str">
        <f>IF(ISBLANK(Computations!B25)," ",Computations!K25)</f>
        <v xml:space="preserve"> </v>
      </c>
      <c r="I22" s="65" t="str">
        <f>IF(ISBLANK(Computations!$B25)," ",Computations!L25)</f>
        <v xml:space="preserve"> </v>
      </c>
      <c r="J22" s="60" t="str">
        <f>IFERROR(_xlfn.XLOOKUP(A22,Computations!$B$17:$B$36,Computations!$BI$17:$BI$36),"")</f>
        <v/>
      </c>
      <c r="K22" s="129" t="str">
        <f>IFERROR(_xlfn.XLOOKUP(A22,Computations!$B$17:$B$36,Computations!$AD$17:$AD$36),"")</f>
        <v/>
      </c>
      <c r="L22" s="60" t="str">
        <f>IF(ISBLANK(Computations!$B25)," ",Computations!Y25)</f>
        <v xml:space="preserve"> </v>
      </c>
      <c r="M22" s="60" t="str">
        <f>IF(ISBLANK(Computations!$B25)," ",Computations!N25)</f>
        <v xml:space="preserve"> </v>
      </c>
      <c r="N22" s="60" t="str">
        <f>IF(ISBLANK(Computations!$B25)," ",Computations!W25)</f>
        <v xml:space="preserve"> </v>
      </c>
      <c r="O22" s="65" t="str">
        <f>IF(ISBLANK(Computations!$B25)," ",M22/N22)</f>
        <v xml:space="preserve"> </v>
      </c>
      <c r="P22" s="70" t="str">
        <f>IF(ISBLANK(Computations!$B25)," ",Computations!P25)</f>
        <v xml:space="preserve"> </v>
      </c>
      <c r="Q22" s="60" t="str">
        <f>IF(ISBLANK(Computations!$B25)," ",Computations!AJ25)</f>
        <v xml:space="preserve"> </v>
      </c>
      <c r="R22" s="60" t="str">
        <f>IF(ISBLANK(Computations!$B25)," ",Computations!AK25)</f>
        <v xml:space="preserve"> </v>
      </c>
      <c r="S22" s="77"/>
    </row>
    <row r="23" spans="1:19" x14ac:dyDescent="0.25">
      <c r="A23" s="57" t="str">
        <f>IF(ISBLANK(Computations!B26)," ",Computations!B26)</f>
        <v xml:space="preserve"> </v>
      </c>
      <c r="B23" s="81" t="str">
        <f>IF(ISBLANK(Computations!C26)," ",Computations!C26)</f>
        <v xml:space="preserve"> </v>
      </c>
      <c r="C23" s="65" t="str">
        <f>IF(ISBLANK(Computations!B26)," ",Computations!S26)</f>
        <v xml:space="preserve"> </v>
      </c>
      <c r="D23" s="60" t="str">
        <f>IF(Computations!S26&lt;=0," ",Computations!T26/Computations!S26)</f>
        <v xml:space="preserve"> </v>
      </c>
      <c r="E23" s="60" t="str">
        <f>IF(ISBLANK(Computations!B26)," ",MAX(5,Computations!J26))</f>
        <v xml:space="preserve"> </v>
      </c>
      <c r="F23" s="60" t="str">
        <f>IF(ISBLANK(Computations!B26)," ",Computations!U26)</f>
        <v xml:space="preserve"> </v>
      </c>
      <c r="G23" s="60" t="str">
        <f>IF(ISBLANK(Computations!B26)," ",Computations!V26)</f>
        <v xml:space="preserve"> </v>
      </c>
      <c r="H23" s="67" t="str">
        <f>IF(ISBLANK(Computations!B26)," ",Computations!K26)</f>
        <v xml:space="preserve"> </v>
      </c>
      <c r="I23" s="65" t="str">
        <f>IF(ISBLANK(Computations!$B26)," ",Computations!L26)</f>
        <v xml:space="preserve"> </v>
      </c>
      <c r="J23" s="60" t="str">
        <f>IFERROR(_xlfn.XLOOKUP(A23,Computations!$B$17:$B$36,Computations!$BI$17:$BI$36),"")</f>
        <v/>
      </c>
      <c r="K23" s="129" t="str">
        <f>IFERROR(_xlfn.XLOOKUP(A23,Computations!$B$17:$B$36,Computations!$AD$17:$AD$36),"")</f>
        <v/>
      </c>
      <c r="L23" s="60" t="str">
        <f>IF(ISBLANK(Computations!$B26)," ",Computations!Y26)</f>
        <v xml:space="preserve"> </v>
      </c>
      <c r="M23" s="60" t="str">
        <f>IF(ISBLANK(Computations!$B26)," ",Computations!N26)</f>
        <v xml:space="preserve"> </v>
      </c>
      <c r="N23" s="60" t="str">
        <f>IF(ISBLANK(Computations!$B26)," ",Computations!W26)</f>
        <v xml:space="preserve"> </v>
      </c>
      <c r="O23" s="65" t="str">
        <f>IF(ISBLANK(Computations!$B26)," ",M23/N23)</f>
        <v xml:space="preserve"> </v>
      </c>
      <c r="P23" s="70" t="str">
        <f>IF(ISBLANK(Computations!$B26)," ",Computations!P26)</f>
        <v xml:space="preserve"> </v>
      </c>
      <c r="Q23" s="60" t="str">
        <f>IF(ISBLANK(Computations!$B26)," ",Computations!AJ26)</f>
        <v xml:space="preserve"> </v>
      </c>
      <c r="R23" s="60" t="str">
        <f>IF(ISBLANK(Computations!$B26)," ",Computations!AK26)</f>
        <v xml:space="preserve"> </v>
      </c>
      <c r="S23" s="77"/>
    </row>
    <row r="24" spans="1:19" x14ac:dyDescent="0.25">
      <c r="A24" s="57" t="str">
        <f>IF(ISBLANK(Computations!B27)," ",Computations!B27)</f>
        <v xml:space="preserve"> </v>
      </c>
      <c r="B24" s="81" t="str">
        <f>IF(ISBLANK(Computations!C27)," ",Computations!C27)</f>
        <v xml:space="preserve"> </v>
      </c>
      <c r="C24" s="65" t="str">
        <f>IF(ISBLANK(Computations!B27)," ",Computations!S27)</f>
        <v xml:space="preserve"> </v>
      </c>
      <c r="D24" s="60" t="str">
        <f>IF(Computations!S27&lt;=0," ",Computations!T27/Computations!S27)</f>
        <v xml:space="preserve"> </v>
      </c>
      <c r="E24" s="60" t="str">
        <f>IF(ISBLANK(Computations!B27)," ",MAX(5,Computations!J27))</f>
        <v xml:space="preserve"> </v>
      </c>
      <c r="F24" s="60" t="str">
        <f>IF(ISBLANK(Computations!B27)," ",Computations!U27)</f>
        <v xml:space="preserve"> </v>
      </c>
      <c r="G24" s="60" t="str">
        <f>IF(ISBLANK(Computations!B27)," ",Computations!V27)</f>
        <v xml:space="preserve"> </v>
      </c>
      <c r="H24" s="67" t="str">
        <f>IF(ISBLANK(Computations!B27)," ",Computations!K27)</f>
        <v xml:space="preserve"> </v>
      </c>
      <c r="I24" s="65" t="str">
        <f>IF(ISBLANK(Computations!$B27)," ",Computations!L27)</f>
        <v xml:space="preserve"> </v>
      </c>
      <c r="J24" s="60" t="str">
        <f>IFERROR(_xlfn.XLOOKUP(A24,Computations!$B$17:$B$36,Computations!$BI$17:$BI$36),"")</f>
        <v/>
      </c>
      <c r="K24" s="129" t="str">
        <f>IFERROR(_xlfn.XLOOKUP(A24,Computations!$B$17:$B$36,Computations!$AD$17:$AD$36),"")</f>
        <v/>
      </c>
      <c r="L24" s="60" t="str">
        <f>IF(ISBLANK(Computations!$B27)," ",Computations!Y27)</f>
        <v xml:space="preserve"> </v>
      </c>
      <c r="M24" s="60" t="str">
        <f>IF(ISBLANK(Computations!$B27)," ",Computations!N27)</f>
        <v xml:space="preserve"> </v>
      </c>
      <c r="N24" s="60" t="str">
        <f>IF(ISBLANK(Computations!$B27)," ",Computations!W27)</f>
        <v xml:space="preserve"> </v>
      </c>
      <c r="O24" s="65" t="str">
        <f>IF(ISBLANK(Computations!$B27)," ",M24/N24)</f>
        <v xml:space="preserve"> </v>
      </c>
      <c r="P24" s="70" t="str">
        <f>IF(ISBLANK(Computations!$B27)," ",Computations!P27)</f>
        <v xml:space="preserve"> </v>
      </c>
      <c r="Q24" s="60" t="str">
        <f>IF(ISBLANK(Computations!$B27)," ",Computations!AJ27)</f>
        <v xml:space="preserve"> </v>
      </c>
      <c r="R24" s="60" t="str">
        <f>IF(ISBLANK(Computations!$B27)," ",Computations!AK27)</f>
        <v xml:space="preserve"> </v>
      </c>
      <c r="S24" s="77"/>
    </row>
    <row r="25" spans="1:19" x14ac:dyDescent="0.25">
      <c r="A25" s="57" t="str">
        <f>IF(ISBLANK(Computations!B28)," ",Computations!B28)</f>
        <v xml:space="preserve"> </v>
      </c>
      <c r="B25" s="81" t="str">
        <f>IF(ISBLANK(Computations!C28)," ",Computations!C28)</f>
        <v xml:space="preserve"> </v>
      </c>
      <c r="C25" s="65" t="str">
        <f>IF(ISBLANK(Computations!B28)," ",Computations!S28)</f>
        <v xml:space="preserve"> </v>
      </c>
      <c r="D25" s="60" t="str">
        <f>IF(Computations!S28&lt;=0," ",Computations!T28/Computations!S28)</f>
        <v xml:space="preserve"> </v>
      </c>
      <c r="E25" s="60" t="str">
        <f>IF(ISBLANK(Computations!B28)," ",MAX(5,Computations!J28))</f>
        <v xml:space="preserve"> </v>
      </c>
      <c r="F25" s="60" t="str">
        <f>IF(ISBLANK(Computations!B28)," ",Computations!U28)</f>
        <v xml:space="preserve"> </v>
      </c>
      <c r="G25" s="60" t="str">
        <f>IF(ISBLANK(Computations!B28)," ",Computations!V28)</f>
        <v xml:space="preserve"> </v>
      </c>
      <c r="H25" s="67" t="str">
        <f>IF(ISBLANK(Computations!B28)," ",Computations!K28)</f>
        <v xml:space="preserve"> </v>
      </c>
      <c r="I25" s="65" t="str">
        <f>IF(ISBLANK(Computations!$B28)," ",Computations!L28)</f>
        <v xml:space="preserve"> </v>
      </c>
      <c r="J25" s="60" t="str">
        <f>IFERROR(_xlfn.XLOOKUP(A25,Computations!$B$17:$B$36,Computations!$BI$17:$BI$36),"")</f>
        <v/>
      </c>
      <c r="K25" s="129" t="str">
        <f>IFERROR(_xlfn.XLOOKUP(A25,Computations!$B$17:$B$36,Computations!$AD$17:$AD$36),"")</f>
        <v/>
      </c>
      <c r="L25" s="60" t="str">
        <f>IF(ISBLANK(Computations!$B28)," ",Computations!Y28)</f>
        <v xml:space="preserve"> </v>
      </c>
      <c r="M25" s="60" t="str">
        <f>IF(ISBLANK(Computations!$B28)," ",Computations!N28)</f>
        <v xml:space="preserve"> </v>
      </c>
      <c r="N25" s="60" t="str">
        <f>IF(ISBLANK(Computations!$B28)," ",Computations!W28)</f>
        <v xml:space="preserve"> </v>
      </c>
      <c r="O25" s="65" t="str">
        <f>IF(ISBLANK(Computations!$B28)," ",M25/N25)</f>
        <v xml:space="preserve"> </v>
      </c>
      <c r="P25" s="70" t="str">
        <f>IF(ISBLANK(Computations!$B28)," ",Computations!P28)</f>
        <v xml:space="preserve"> </v>
      </c>
      <c r="Q25" s="60" t="str">
        <f>IF(ISBLANK(Computations!$B28)," ",Computations!AJ28)</f>
        <v xml:space="preserve"> </v>
      </c>
      <c r="R25" s="60" t="str">
        <f>IF(ISBLANK(Computations!$B28)," ",Computations!AK28)</f>
        <v xml:space="preserve"> </v>
      </c>
      <c r="S25" s="77"/>
    </row>
    <row r="26" spans="1:19" x14ac:dyDescent="0.25">
      <c r="A26" s="57" t="str">
        <f>IF(ISBLANK(Computations!B29)," ",Computations!B29)</f>
        <v xml:space="preserve"> </v>
      </c>
      <c r="B26" s="81" t="str">
        <f>IF(ISBLANK(Computations!C29)," ",Computations!C29)</f>
        <v xml:space="preserve"> </v>
      </c>
      <c r="C26" s="65" t="str">
        <f>IF(ISBLANK(Computations!B29)," ",Computations!S29)</f>
        <v xml:space="preserve"> </v>
      </c>
      <c r="D26" s="60" t="str">
        <f>IF(Computations!S29&lt;=0," ",Computations!T29/Computations!S29)</f>
        <v xml:space="preserve"> </v>
      </c>
      <c r="E26" s="60" t="str">
        <f>IF(ISBLANK(Computations!B29)," ",MAX(5,Computations!J29))</f>
        <v xml:space="preserve"> </v>
      </c>
      <c r="F26" s="60" t="str">
        <f>IF(ISBLANK(Computations!B29)," ",Computations!U29)</f>
        <v xml:space="preserve"> </v>
      </c>
      <c r="G26" s="60" t="str">
        <f>IF(ISBLANK(Computations!B29)," ",Computations!V29)</f>
        <v xml:space="preserve"> </v>
      </c>
      <c r="H26" s="67" t="str">
        <f>IF(ISBLANK(Computations!B29)," ",Computations!K29)</f>
        <v xml:space="preserve"> </v>
      </c>
      <c r="I26" s="65" t="str">
        <f>IF(ISBLANK(Computations!$B29)," ",Computations!L29)</f>
        <v xml:space="preserve"> </v>
      </c>
      <c r="J26" s="60" t="str">
        <f>IFERROR(_xlfn.XLOOKUP(A26,Computations!$B$17:$B$36,Computations!$BI$17:$BI$36),"")</f>
        <v/>
      </c>
      <c r="K26" s="129" t="str">
        <f>IFERROR(_xlfn.XLOOKUP(A26,Computations!$B$17:$B$36,Computations!$AD$17:$AD$36),"")</f>
        <v/>
      </c>
      <c r="L26" s="60" t="str">
        <f>IF(ISBLANK(Computations!$B29)," ",Computations!Y29)</f>
        <v xml:space="preserve"> </v>
      </c>
      <c r="M26" s="60" t="str">
        <f>IF(ISBLANK(Computations!$B29)," ",Computations!N29)</f>
        <v xml:space="preserve"> </v>
      </c>
      <c r="N26" s="60" t="str">
        <f>IF(ISBLANK(Computations!$B29)," ",Computations!W29)</f>
        <v xml:space="preserve"> </v>
      </c>
      <c r="O26" s="65" t="str">
        <f>IF(ISBLANK(Computations!$B29)," ",M26/N26)</f>
        <v xml:space="preserve"> </v>
      </c>
      <c r="P26" s="70" t="str">
        <f>IF(ISBLANK(Computations!$B29)," ",Computations!P29)</f>
        <v xml:space="preserve"> </v>
      </c>
      <c r="Q26" s="60" t="str">
        <f>IF(ISBLANK(Computations!$B29)," ",Computations!AJ29)</f>
        <v xml:space="preserve"> </v>
      </c>
      <c r="R26" s="60" t="str">
        <f>IF(ISBLANK(Computations!$B29)," ",Computations!AK29)</f>
        <v xml:space="preserve"> </v>
      </c>
      <c r="S26" s="77"/>
    </row>
    <row r="27" spans="1:19" x14ac:dyDescent="0.25">
      <c r="A27" s="57" t="str">
        <f>IF(ISBLANK(Computations!B30)," ",Computations!B30)</f>
        <v xml:space="preserve"> </v>
      </c>
      <c r="B27" s="81" t="str">
        <f>IF(ISBLANK(Computations!C30)," ",Computations!C30)</f>
        <v xml:space="preserve"> </v>
      </c>
      <c r="C27" s="65" t="str">
        <f>IF(ISBLANK(Computations!B30)," ",Computations!S30)</f>
        <v xml:space="preserve"> </v>
      </c>
      <c r="D27" s="60" t="str">
        <f>IF(Computations!S30&lt;=0," ",Computations!T30/Computations!S30)</f>
        <v xml:space="preserve"> </v>
      </c>
      <c r="E27" s="60" t="str">
        <f>IF(ISBLANK(Computations!B30)," ",MAX(5,Computations!J30))</f>
        <v xml:space="preserve"> </v>
      </c>
      <c r="F27" s="60" t="str">
        <f>IF(ISBLANK(Computations!B30)," ",Computations!U30)</f>
        <v xml:space="preserve"> </v>
      </c>
      <c r="G27" s="60" t="str">
        <f>IF(ISBLANK(Computations!B30)," ",Computations!V30)</f>
        <v xml:space="preserve"> </v>
      </c>
      <c r="H27" s="67" t="str">
        <f>IF(ISBLANK(Computations!B30)," ",Computations!K30)</f>
        <v xml:space="preserve"> </v>
      </c>
      <c r="I27" s="65" t="str">
        <f>IF(ISBLANK(Computations!$B30)," ",Computations!L30)</f>
        <v xml:space="preserve"> </v>
      </c>
      <c r="J27" s="60" t="str">
        <f>IFERROR(_xlfn.XLOOKUP(A27,Computations!$B$17:$B$36,Computations!$BI$17:$BI$36),"")</f>
        <v/>
      </c>
      <c r="K27" s="129" t="str">
        <f>IFERROR(_xlfn.XLOOKUP(A27,Computations!$B$17:$B$36,Computations!$AD$17:$AD$36),"")</f>
        <v/>
      </c>
      <c r="L27" s="60" t="str">
        <f>IF(ISBLANK(Computations!$B30)," ",Computations!Y30)</f>
        <v xml:space="preserve"> </v>
      </c>
      <c r="M27" s="60" t="str">
        <f>IF(ISBLANK(Computations!$B30)," ",Computations!N30)</f>
        <v xml:space="preserve"> </v>
      </c>
      <c r="N27" s="60" t="str">
        <f>IF(ISBLANK(Computations!$B30)," ",Computations!W30)</f>
        <v xml:space="preserve"> </v>
      </c>
      <c r="O27" s="65" t="str">
        <f>IF(ISBLANK(Computations!$B30)," ",M27/N27)</f>
        <v xml:space="preserve"> </v>
      </c>
      <c r="P27" s="70" t="str">
        <f>IF(ISBLANK(Computations!$B30)," ",Computations!P30)</f>
        <v xml:space="preserve"> </v>
      </c>
      <c r="Q27" s="60" t="str">
        <f>IF(ISBLANK(Computations!$B30)," ",Computations!AJ30)</f>
        <v xml:space="preserve"> </v>
      </c>
      <c r="R27" s="60" t="str">
        <f>IF(ISBLANK(Computations!$B30)," ",Computations!AK30)</f>
        <v xml:space="preserve"> </v>
      </c>
      <c r="S27" s="77"/>
    </row>
    <row r="28" spans="1:19" x14ac:dyDescent="0.25">
      <c r="A28" s="57" t="str">
        <f>IF(ISBLANK(Computations!B31)," ",Computations!B31)</f>
        <v xml:space="preserve"> </v>
      </c>
      <c r="B28" s="81" t="str">
        <f>IF(ISBLANK(Computations!C31)," ",Computations!C31)</f>
        <v xml:space="preserve"> </v>
      </c>
      <c r="C28" s="65" t="str">
        <f>IF(ISBLANK(Computations!B31)," ",Computations!S31)</f>
        <v xml:space="preserve"> </v>
      </c>
      <c r="D28" s="60" t="str">
        <f>IF(Computations!S31&lt;=0," ",Computations!T31/Computations!S31)</f>
        <v xml:space="preserve"> </v>
      </c>
      <c r="E28" s="60" t="str">
        <f>IF(ISBLANK(Computations!B31)," ",MAX(5,Computations!J31))</f>
        <v xml:space="preserve"> </v>
      </c>
      <c r="F28" s="60" t="str">
        <f>IF(ISBLANK(Computations!B31)," ",Computations!U31)</f>
        <v xml:space="preserve"> </v>
      </c>
      <c r="G28" s="60" t="str">
        <f>IF(ISBLANK(Computations!B31)," ",Computations!V31)</f>
        <v xml:space="preserve"> </v>
      </c>
      <c r="H28" s="67" t="str">
        <f>IF(ISBLANK(Computations!B31)," ",Computations!K31)</f>
        <v xml:space="preserve"> </v>
      </c>
      <c r="I28" s="65" t="str">
        <f>IF(ISBLANK(Computations!$B31)," ",Computations!L31)</f>
        <v xml:space="preserve"> </v>
      </c>
      <c r="J28" s="60" t="str">
        <f>IFERROR(_xlfn.XLOOKUP(A28,Computations!$B$17:$B$36,Computations!$BI$17:$BI$36),"")</f>
        <v/>
      </c>
      <c r="K28" s="129" t="str">
        <f>IFERROR(_xlfn.XLOOKUP(A28,Computations!$B$17:$B$36,Computations!$AD$17:$AD$36),"")</f>
        <v/>
      </c>
      <c r="L28" s="60" t="str">
        <f>IF(ISBLANK(Computations!$B31)," ",Computations!Y31)</f>
        <v xml:space="preserve"> </v>
      </c>
      <c r="M28" s="60" t="str">
        <f>IF(ISBLANK(Computations!$B31)," ",Computations!N31)</f>
        <v xml:space="preserve"> </v>
      </c>
      <c r="N28" s="60" t="str">
        <f>IF(ISBLANK(Computations!$B31)," ",Computations!W31)</f>
        <v xml:space="preserve"> </v>
      </c>
      <c r="O28" s="65" t="str">
        <f>IF(ISBLANK(Computations!$B31)," ",M28/N28)</f>
        <v xml:space="preserve"> </v>
      </c>
      <c r="P28" s="70" t="str">
        <f>IF(ISBLANK(Computations!$B31)," ",Computations!P31)</f>
        <v xml:space="preserve"> </v>
      </c>
      <c r="Q28" s="60" t="str">
        <f>IF(ISBLANK(Computations!$B31)," ",Computations!AJ31)</f>
        <v xml:space="preserve"> </v>
      </c>
      <c r="R28" s="60" t="str">
        <f>IF(ISBLANK(Computations!$B31)," ",Computations!AK31)</f>
        <v xml:space="preserve"> </v>
      </c>
      <c r="S28" s="77"/>
    </row>
    <row r="29" spans="1:19" x14ac:dyDescent="0.25">
      <c r="A29" s="57" t="str">
        <f>IF(ISBLANK(Computations!B32)," ",Computations!B32)</f>
        <v xml:space="preserve"> </v>
      </c>
      <c r="B29" s="81" t="str">
        <f>IF(ISBLANK(Computations!C32)," ",Computations!C32)</f>
        <v xml:space="preserve"> </v>
      </c>
      <c r="C29" s="65" t="str">
        <f>IF(ISBLANK(Computations!B32)," ",Computations!S32)</f>
        <v xml:space="preserve"> </v>
      </c>
      <c r="D29" s="60" t="str">
        <f>IF(Computations!S32&lt;=0," ",Computations!T32/Computations!S32)</f>
        <v xml:space="preserve"> </v>
      </c>
      <c r="E29" s="60" t="str">
        <f>IF(ISBLANK(Computations!B32)," ",MAX(5,Computations!J32))</f>
        <v xml:space="preserve"> </v>
      </c>
      <c r="F29" s="60" t="str">
        <f>IF(ISBLANK(Computations!B32)," ",Computations!U32)</f>
        <v xml:space="preserve"> </v>
      </c>
      <c r="G29" s="60" t="str">
        <f>IF(ISBLANK(Computations!B32)," ",Computations!V32)</f>
        <v xml:space="preserve"> </v>
      </c>
      <c r="H29" s="67" t="str">
        <f>IF(ISBLANK(Computations!B32)," ",Computations!K32)</f>
        <v xml:space="preserve"> </v>
      </c>
      <c r="I29" s="65" t="str">
        <f>IF(ISBLANK(Computations!$B32)," ",Computations!L32)</f>
        <v xml:space="preserve"> </v>
      </c>
      <c r="J29" s="60" t="str">
        <f>IFERROR(_xlfn.XLOOKUP(A29,Computations!$B$17:$B$36,Computations!$BI$17:$BI$36),"")</f>
        <v/>
      </c>
      <c r="K29" s="129" t="str">
        <f>IFERROR(_xlfn.XLOOKUP(A29,Computations!$B$17:$B$36,Computations!$AD$17:$AD$36),"")</f>
        <v/>
      </c>
      <c r="L29" s="60" t="str">
        <f>IF(ISBLANK(Computations!$B32)," ",Computations!Y32)</f>
        <v xml:space="preserve"> </v>
      </c>
      <c r="M29" s="60" t="str">
        <f>IF(ISBLANK(Computations!$B32)," ",Computations!N32)</f>
        <v xml:space="preserve"> </v>
      </c>
      <c r="N29" s="60" t="str">
        <f>IF(ISBLANK(Computations!$B32)," ",Computations!W32)</f>
        <v xml:space="preserve"> </v>
      </c>
      <c r="O29" s="65" t="str">
        <f>IF(ISBLANK(Computations!$B32)," ",M29/N29)</f>
        <v xml:space="preserve"> </v>
      </c>
      <c r="P29" s="70" t="str">
        <f>IF(ISBLANK(Computations!$B32)," ",Computations!P32)</f>
        <v xml:space="preserve"> </v>
      </c>
      <c r="Q29" s="60" t="str">
        <f>IF(ISBLANK(Computations!$B32)," ",Computations!AJ32)</f>
        <v xml:space="preserve"> </v>
      </c>
      <c r="R29" s="60" t="str">
        <f>IF(ISBLANK(Computations!$B32)," ",Computations!AK32)</f>
        <v xml:space="preserve"> </v>
      </c>
      <c r="S29" s="77"/>
    </row>
    <row r="30" spans="1:19" x14ac:dyDescent="0.25">
      <c r="A30" s="57" t="str">
        <f>IF(ISBLANK(Computations!B33)," ",Computations!B33)</f>
        <v xml:space="preserve"> </v>
      </c>
      <c r="B30" s="81" t="str">
        <f>IF(ISBLANK(Computations!C33)," ",Computations!C33)</f>
        <v xml:space="preserve"> </v>
      </c>
      <c r="C30" s="65" t="str">
        <f>IF(ISBLANK(Computations!B33)," ",Computations!S33)</f>
        <v xml:space="preserve"> </v>
      </c>
      <c r="D30" s="60" t="str">
        <f>IF(Computations!S33&lt;=0," ",Computations!T33/Computations!S33)</f>
        <v xml:space="preserve"> </v>
      </c>
      <c r="E30" s="60" t="str">
        <f>IF(ISBLANK(Computations!B33)," ",MAX(5,Computations!J33))</f>
        <v xml:space="preserve"> </v>
      </c>
      <c r="F30" s="60" t="str">
        <f>IF(ISBLANK(Computations!B33)," ",Computations!U33)</f>
        <v xml:space="preserve"> </v>
      </c>
      <c r="G30" s="60" t="str">
        <f>IF(ISBLANK(Computations!B33)," ",Computations!V33)</f>
        <v xml:space="preserve"> </v>
      </c>
      <c r="H30" s="67" t="str">
        <f>IF(ISBLANK(Computations!B33)," ",Computations!K33)</f>
        <v xml:space="preserve"> </v>
      </c>
      <c r="I30" s="65" t="str">
        <f>IF(ISBLANK(Computations!$B33)," ",Computations!L33)</f>
        <v xml:space="preserve"> </v>
      </c>
      <c r="J30" s="60" t="str">
        <f>IFERROR(_xlfn.XLOOKUP(A30,Computations!$B$17:$B$36,Computations!$BI$17:$BI$36),"")</f>
        <v/>
      </c>
      <c r="K30" s="129" t="str">
        <f>IFERROR(_xlfn.XLOOKUP(A30,Computations!$B$17:$B$36,Computations!$AD$17:$AD$36),"")</f>
        <v/>
      </c>
      <c r="L30" s="60" t="str">
        <f>IF(ISBLANK(Computations!$B33)," ",Computations!Y33)</f>
        <v xml:space="preserve"> </v>
      </c>
      <c r="M30" s="60" t="str">
        <f>IF(ISBLANK(Computations!$B33)," ",Computations!N33)</f>
        <v xml:space="preserve"> </v>
      </c>
      <c r="N30" s="60" t="str">
        <f>IF(ISBLANK(Computations!$B33)," ",Computations!W33)</f>
        <v xml:space="preserve"> </v>
      </c>
      <c r="O30" s="65" t="str">
        <f>IF(ISBLANK(Computations!$B33)," ",M30/N30)</f>
        <v xml:space="preserve"> </v>
      </c>
      <c r="P30" s="70" t="str">
        <f>IF(ISBLANK(Computations!$B33)," ",Computations!P33)</f>
        <v xml:space="preserve"> </v>
      </c>
      <c r="Q30" s="60" t="str">
        <f>IF(ISBLANK(Computations!$B33)," ",Computations!AJ33)</f>
        <v xml:space="preserve"> </v>
      </c>
      <c r="R30" s="60" t="str">
        <f>IF(ISBLANK(Computations!$B33)," ",Computations!AK33)</f>
        <v xml:space="preserve"> </v>
      </c>
      <c r="S30" s="77"/>
    </row>
    <row r="31" spans="1:19" x14ac:dyDescent="0.25">
      <c r="A31" s="57" t="str">
        <f>IF(ISBLANK(Computations!B34)," ",Computations!B34)</f>
        <v xml:space="preserve"> </v>
      </c>
      <c r="B31" s="81" t="str">
        <f>IF(ISBLANK(Computations!C34)," ",Computations!C34)</f>
        <v xml:space="preserve"> </v>
      </c>
      <c r="C31" s="65" t="str">
        <f>IF(ISBLANK(Computations!B34)," ",Computations!S34)</f>
        <v xml:space="preserve"> </v>
      </c>
      <c r="D31" s="60" t="str">
        <f>IF(Computations!S34&lt;=0," ",Computations!T34/Computations!S34)</f>
        <v xml:space="preserve"> </v>
      </c>
      <c r="E31" s="60" t="str">
        <f>IF(ISBLANK(Computations!B34)," ",MAX(5,Computations!J34))</f>
        <v xml:space="preserve"> </v>
      </c>
      <c r="F31" s="60" t="str">
        <f>IF(ISBLANK(Computations!B34)," ",Computations!U34)</f>
        <v xml:space="preserve"> </v>
      </c>
      <c r="G31" s="60" t="str">
        <f>IF(ISBLANK(Computations!B34)," ",Computations!V34)</f>
        <v xml:space="preserve"> </v>
      </c>
      <c r="H31" s="67" t="str">
        <f>IF(ISBLANK(Computations!B34)," ",Computations!K34)</f>
        <v xml:space="preserve"> </v>
      </c>
      <c r="I31" s="65" t="str">
        <f>IF(ISBLANK(Computations!$B34)," ",Computations!L34)</f>
        <v xml:space="preserve"> </v>
      </c>
      <c r="J31" s="60" t="str">
        <f>IFERROR(_xlfn.XLOOKUP(A31,Computations!$B$17:$B$36,Computations!$BI$17:$BI$36),"")</f>
        <v/>
      </c>
      <c r="K31" s="129" t="str">
        <f>IFERROR(_xlfn.XLOOKUP(A31,Computations!$B$17:$B$36,Computations!$AD$17:$AD$36),"")</f>
        <v/>
      </c>
      <c r="L31" s="60" t="str">
        <f>IF(ISBLANK(Computations!$B34)," ",Computations!Y34)</f>
        <v xml:space="preserve"> </v>
      </c>
      <c r="M31" s="60" t="str">
        <f>IF(ISBLANK(Computations!$B34)," ",Computations!N34)</f>
        <v xml:space="preserve"> </v>
      </c>
      <c r="N31" s="60" t="str">
        <f>IF(ISBLANK(Computations!$B34)," ",Computations!W34)</f>
        <v xml:space="preserve"> </v>
      </c>
      <c r="O31" s="65" t="str">
        <f>IF(ISBLANK(Computations!$B34)," ",M31/N31)</f>
        <v xml:space="preserve"> </v>
      </c>
      <c r="P31" s="70" t="str">
        <f>IF(ISBLANK(Computations!$B34)," ",Computations!P34)</f>
        <v xml:space="preserve"> </v>
      </c>
      <c r="Q31" s="60" t="str">
        <f>IF(ISBLANK(Computations!$B34)," ",Computations!AJ34)</f>
        <v xml:space="preserve"> </v>
      </c>
      <c r="R31" s="60" t="str">
        <f>IF(ISBLANK(Computations!$B34)," ",Computations!AK34)</f>
        <v xml:space="preserve"> </v>
      </c>
      <c r="S31" s="77"/>
    </row>
    <row r="32" spans="1:19" x14ac:dyDescent="0.25">
      <c r="A32" s="57" t="str">
        <f>IF(ISBLANK(Computations!B35)," ",Computations!B35)</f>
        <v xml:space="preserve"> </v>
      </c>
      <c r="B32" s="81" t="str">
        <f>IF(ISBLANK(Computations!C35)," ",Computations!C35)</f>
        <v xml:space="preserve"> </v>
      </c>
      <c r="C32" s="65" t="str">
        <f>IF(ISBLANK(Computations!B35)," ",Computations!S35)</f>
        <v xml:space="preserve"> </v>
      </c>
      <c r="D32" s="60" t="str">
        <f>IF(Computations!S35&lt;=0," ",Computations!T35/Computations!S35)</f>
        <v xml:space="preserve"> </v>
      </c>
      <c r="E32" s="60" t="str">
        <f>IF(ISBLANK(Computations!B35)," ",MAX(5,Computations!J35))</f>
        <v xml:space="preserve"> </v>
      </c>
      <c r="F32" s="60" t="str">
        <f>IF(ISBLANK(Computations!B35)," ",Computations!U35)</f>
        <v xml:space="preserve"> </v>
      </c>
      <c r="G32" s="60" t="str">
        <f>IF(ISBLANK(Computations!B35)," ",Computations!V35)</f>
        <v xml:space="preserve"> </v>
      </c>
      <c r="H32" s="67" t="str">
        <f>IF(ISBLANK(Computations!B35)," ",Computations!K35)</f>
        <v xml:space="preserve"> </v>
      </c>
      <c r="I32" s="65" t="str">
        <f>IF(ISBLANK(Computations!$B35)," ",Computations!L35)</f>
        <v xml:space="preserve"> </v>
      </c>
      <c r="J32" s="60" t="str">
        <f>IFERROR(_xlfn.XLOOKUP(A32,Computations!$B$17:$B$36,Computations!$BI$17:$BI$36),"")</f>
        <v/>
      </c>
      <c r="K32" s="129" t="str">
        <f>IFERROR(_xlfn.XLOOKUP(A32,Computations!$B$17:$B$36,Computations!$AD$17:$AD$36),"")</f>
        <v/>
      </c>
      <c r="L32" s="60" t="str">
        <f>IF(ISBLANK(Computations!$B35)," ",Computations!Y35)</f>
        <v xml:space="preserve"> </v>
      </c>
      <c r="M32" s="60" t="str">
        <f>IF(ISBLANK(Computations!$B35)," ",Computations!N35)</f>
        <v xml:space="preserve"> </v>
      </c>
      <c r="N32" s="60" t="str">
        <f>IF(ISBLANK(Computations!$B35)," ",Computations!W35)</f>
        <v xml:space="preserve"> </v>
      </c>
      <c r="O32" s="65" t="str">
        <f>IF(ISBLANK(Computations!$B35)," ",M32/N32)</f>
        <v xml:space="preserve"> </v>
      </c>
      <c r="P32" s="70" t="str">
        <f>IF(ISBLANK(Computations!$B35)," ",Computations!P35)</f>
        <v xml:space="preserve"> </v>
      </c>
      <c r="Q32" s="60" t="str">
        <f>IF(ISBLANK(Computations!$B35)," ",Computations!AJ35)</f>
        <v xml:space="preserve"> </v>
      </c>
      <c r="R32" s="60" t="str">
        <f>IF(ISBLANK(Computations!$B35)," ",Computations!AK35)</f>
        <v xml:space="preserve"> </v>
      </c>
      <c r="S32" s="77"/>
    </row>
    <row r="33" spans="1:19" ht="15.75" thickBot="1" x14ac:dyDescent="0.3">
      <c r="A33" s="58" t="str">
        <f>IF(ISBLANK(Computations!B36)," ",Computations!B36)</f>
        <v xml:space="preserve"> </v>
      </c>
      <c r="B33" s="82" t="str">
        <f>IF(ISBLANK(Computations!C36)," ",Computations!C36)</f>
        <v xml:space="preserve"> </v>
      </c>
      <c r="C33" s="66" t="str">
        <f>IF(ISBLANK(Computations!B36)," ",Computations!S36)</f>
        <v xml:space="preserve"> </v>
      </c>
      <c r="D33" s="61" t="str">
        <f>IF(Computations!S36&lt;=0," ",Computations!T36/Computations!S36)</f>
        <v xml:space="preserve"> </v>
      </c>
      <c r="E33" s="61" t="str">
        <f>IF(ISBLANK(Computations!B36)," ",MAX(5,Computations!J36))</f>
        <v xml:space="preserve"> </v>
      </c>
      <c r="F33" s="61" t="str">
        <f>IF(ISBLANK(Computations!B36)," ",Computations!U36)</f>
        <v xml:space="preserve"> </v>
      </c>
      <c r="G33" s="61" t="str">
        <f>IF(ISBLANK(Computations!B36)," ",Computations!V36)</f>
        <v xml:space="preserve"> </v>
      </c>
      <c r="H33" s="68" t="str">
        <f>IF(ISBLANK(Computations!B36)," ",Computations!K36)</f>
        <v xml:space="preserve"> </v>
      </c>
      <c r="I33" s="66" t="str">
        <f>IF(ISBLANK(Computations!$B36)," ",Computations!L36)</f>
        <v xml:space="preserve"> </v>
      </c>
      <c r="J33" s="61" t="str">
        <f>IFERROR(_xlfn.XLOOKUP(A33,Computations!$B$17:$B$36,Computations!$BI$17:$BI$36),"")</f>
        <v/>
      </c>
      <c r="K33" s="130" t="str">
        <f>IFERROR(_xlfn.XLOOKUP(A33,Computations!$B$17:$B$36,Computations!$AD$17:$AD$36),"")</f>
        <v/>
      </c>
      <c r="L33" s="61" t="str">
        <f>IF(ISBLANK(Computations!$B36)," ",Computations!Y36)</f>
        <v xml:space="preserve"> </v>
      </c>
      <c r="M33" s="61" t="str">
        <f>IF(ISBLANK(Computations!$B36)," ",Computations!N36)</f>
        <v xml:space="preserve"> </v>
      </c>
      <c r="N33" s="61" t="str">
        <f>IF(ISBLANK(Computations!$B36)," ",Computations!W36)</f>
        <v xml:space="preserve"> </v>
      </c>
      <c r="O33" s="66" t="str">
        <f>IF(ISBLANK(Computations!$B36)," ",M33/N33)</f>
        <v xml:space="preserve"> </v>
      </c>
      <c r="P33" s="71" t="str">
        <f>IF(ISBLANK(Computations!$B36)," ",Computations!P36)</f>
        <v xml:space="preserve"> </v>
      </c>
      <c r="Q33" s="61" t="str">
        <f>IF(ISBLANK(Computations!$B36)," ",Computations!AJ36)</f>
        <v xml:space="preserve"> </v>
      </c>
      <c r="R33" s="61" t="str">
        <f>IF(ISBLANK(Computations!$B36)," ",Computations!AK36)</f>
        <v xml:space="preserve"> </v>
      </c>
      <c r="S33" s="78"/>
    </row>
    <row r="35" spans="1:19" x14ac:dyDescent="0.25">
      <c r="A35" s="170" t="s">
        <v>108</v>
      </c>
      <c r="B35" s="170"/>
      <c r="C35" s="170"/>
      <c r="D35" s="170"/>
      <c r="E35" s="170"/>
      <c r="F35" s="170"/>
      <c r="G35" s="170"/>
      <c r="H35" s="170"/>
      <c r="I35" s="170"/>
      <c r="J35" s="170"/>
      <c r="K35" s="170"/>
      <c r="L35" s="170"/>
      <c r="M35" s="170"/>
      <c r="N35" s="170"/>
      <c r="O35" s="170"/>
      <c r="P35" s="170"/>
      <c r="Q35" s="170"/>
      <c r="R35" s="170"/>
      <c r="S35" s="170"/>
    </row>
  </sheetData>
  <mergeCells count="3">
    <mergeCell ref="A35:S35"/>
    <mergeCell ref="I2:J2"/>
    <mergeCell ref="N2:O2"/>
  </mergeCells>
  <pageMargins left="0.7" right="0.7" top="0.75" bottom="0.75" header="0" footer="0"/>
  <pageSetup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3:P33"/>
  <sheetViews>
    <sheetView topLeftCell="F13" workbookViewId="0">
      <selection activeCell="F27" sqref="F27"/>
    </sheetView>
  </sheetViews>
  <sheetFormatPr defaultRowHeight="15" x14ac:dyDescent="0.25"/>
  <sheetData>
    <row r="3" spans="2:16" x14ac:dyDescent="0.25">
      <c r="B3" t="s">
        <v>225</v>
      </c>
      <c r="L3" t="s">
        <v>145</v>
      </c>
    </row>
    <row r="5" spans="2:16" x14ac:dyDescent="0.25">
      <c r="B5" s="1"/>
      <c r="C5" s="1" t="s">
        <v>0</v>
      </c>
      <c r="D5" s="1" t="s">
        <v>1</v>
      </c>
      <c r="E5" s="1" t="s">
        <v>2</v>
      </c>
      <c r="L5" s="1"/>
      <c r="M5" s="1" t="s">
        <v>0</v>
      </c>
      <c r="N5" s="1" t="s">
        <v>1</v>
      </c>
      <c r="O5" s="1" t="s">
        <v>2</v>
      </c>
    </row>
    <row r="6" spans="2:16" x14ac:dyDescent="0.25">
      <c r="B6" s="2" t="s">
        <v>3</v>
      </c>
      <c r="C6" s="2" t="s">
        <v>4</v>
      </c>
      <c r="D6" s="2" t="s">
        <v>4</v>
      </c>
      <c r="E6" s="2" t="s">
        <v>5</v>
      </c>
      <c r="F6" s="2" t="s">
        <v>146</v>
      </c>
      <c r="G6" s="4"/>
      <c r="H6" s="4"/>
      <c r="I6" s="4"/>
      <c r="L6" s="2" t="s">
        <v>3</v>
      </c>
      <c r="M6" s="2" t="s">
        <v>4</v>
      </c>
      <c r="N6" s="2" t="s">
        <v>4</v>
      </c>
      <c r="O6" s="2" t="s">
        <v>5</v>
      </c>
    </row>
    <row r="7" spans="2:16" x14ac:dyDescent="0.25">
      <c r="B7" s="89" t="s">
        <v>6</v>
      </c>
      <c r="C7" s="1" t="s">
        <v>6</v>
      </c>
      <c r="D7" s="1" t="s">
        <v>6</v>
      </c>
      <c r="E7" s="1" t="s">
        <v>6</v>
      </c>
      <c r="L7" s="3" t="s">
        <v>6</v>
      </c>
      <c r="M7" t="s">
        <v>6</v>
      </c>
      <c r="N7" t="s">
        <v>6</v>
      </c>
      <c r="O7" t="s">
        <v>6</v>
      </c>
    </row>
    <row r="8" spans="2:16" x14ac:dyDescent="0.25">
      <c r="B8" s="1">
        <v>3</v>
      </c>
      <c r="C8" s="1">
        <v>0</v>
      </c>
      <c r="D8" s="1">
        <v>2</v>
      </c>
      <c r="E8" s="1">
        <v>0.01</v>
      </c>
      <c r="F8" t="s">
        <v>228</v>
      </c>
    </row>
    <row r="9" spans="2:16" x14ac:dyDescent="0.25">
      <c r="B9" s="1">
        <v>5</v>
      </c>
      <c r="C9" s="1">
        <v>1.7</v>
      </c>
      <c r="D9" s="21">
        <f>N9/2</f>
        <v>1.895</v>
      </c>
      <c r="E9" s="1">
        <v>5.63</v>
      </c>
      <c r="F9" t="s">
        <v>149</v>
      </c>
      <c r="L9" s="1">
        <v>5</v>
      </c>
      <c r="M9" s="1">
        <v>1.7</v>
      </c>
      <c r="N9" s="21">
        <v>3.79</v>
      </c>
      <c r="O9" s="1">
        <v>8.5500000000000007</v>
      </c>
      <c r="P9" t="s">
        <v>147</v>
      </c>
    </row>
    <row r="10" spans="2:16" x14ac:dyDescent="0.25">
      <c r="B10" s="1">
        <v>6</v>
      </c>
      <c r="C10" s="1">
        <v>1.33</v>
      </c>
      <c r="D10" s="21">
        <f>N10/2</f>
        <v>1.5</v>
      </c>
      <c r="E10" s="1">
        <v>3.37</v>
      </c>
      <c r="F10" t="s">
        <v>149</v>
      </c>
      <c r="L10" s="1">
        <v>6</v>
      </c>
      <c r="M10" s="1">
        <v>1.33</v>
      </c>
      <c r="N10" s="21">
        <v>3</v>
      </c>
      <c r="O10" s="1">
        <v>5.72</v>
      </c>
      <c r="P10" t="s">
        <v>148</v>
      </c>
    </row>
    <row r="11" spans="2:16" x14ac:dyDescent="0.25">
      <c r="B11" s="1">
        <v>8</v>
      </c>
      <c r="C11" s="1">
        <v>1.1299999999999999</v>
      </c>
      <c r="D11" s="21">
        <v>1.8</v>
      </c>
      <c r="E11" s="1">
        <v>5.54</v>
      </c>
      <c r="F11" t="s">
        <v>150</v>
      </c>
      <c r="L11" s="1">
        <v>8</v>
      </c>
      <c r="M11" s="1">
        <v>1.1299999999999999</v>
      </c>
      <c r="N11" s="21">
        <v>1.8</v>
      </c>
      <c r="O11" s="1">
        <v>5.54</v>
      </c>
      <c r="P11" t="s">
        <v>147</v>
      </c>
    </row>
    <row r="12" spans="2:16" x14ac:dyDescent="0.25">
      <c r="B12" s="1">
        <v>10</v>
      </c>
      <c r="C12" s="1">
        <v>1.1299999999999999</v>
      </c>
      <c r="D12" s="1">
        <v>2.88</v>
      </c>
      <c r="E12" s="1">
        <v>7.33</v>
      </c>
      <c r="F12" t="s">
        <v>150</v>
      </c>
      <c r="L12" s="1">
        <v>10</v>
      </c>
      <c r="M12" s="1">
        <v>1.1299999999999999</v>
      </c>
      <c r="N12" s="1">
        <v>2.88</v>
      </c>
      <c r="O12" s="1">
        <v>7.33</v>
      </c>
      <c r="P12" t="s">
        <v>147</v>
      </c>
    </row>
    <row r="13" spans="2:16" x14ac:dyDescent="0.25">
      <c r="B13" s="1">
        <v>13</v>
      </c>
      <c r="C13" s="1">
        <v>1.4</v>
      </c>
      <c r="D13" s="21">
        <f>N13/2</f>
        <v>1.24</v>
      </c>
      <c r="E13" s="1">
        <v>2.87</v>
      </c>
      <c r="F13" t="s">
        <v>149</v>
      </c>
      <c r="L13" s="1">
        <v>13</v>
      </c>
      <c r="M13" s="1">
        <v>1.4</v>
      </c>
      <c r="N13" s="21">
        <v>2.48</v>
      </c>
      <c r="O13" s="1">
        <v>4.96</v>
      </c>
      <c r="P13" t="s">
        <v>148</v>
      </c>
    </row>
    <row r="14" spans="2:16" x14ac:dyDescent="0.25">
      <c r="B14" s="1">
        <v>14</v>
      </c>
      <c r="C14" s="1">
        <v>1.21</v>
      </c>
      <c r="D14" s="21">
        <f>N14/2</f>
        <v>2.46</v>
      </c>
      <c r="E14" s="1">
        <v>4.93</v>
      </c>
      <c r="F14" t="s">
        <v>149</v>
      </c>
      <c r="L14" s="1">
        <v>14</v>
      </c>
      <c r="M14" s="1">
        <v>1.21</v>
      </c>
      <c r="N14" s="21">
        <v>4.92</v>
      </c>
      <c r="O14" s="1">
        <v>8.36</v>
      </c>
      <c r="P14" t="s">
        <v>148</v>
      </c>
    </row>
    <row r="15" spans="2:16" x14ac:dyDescent="0.25">
      <c r="B15" s="1">
        <v>15</v>
      </c>
      <c r="C15" s="1">
        <v>1.7</v>
      </c>
      <c r="D15" s="1">
        <v>3.79</v>
      </c>
      <c r="E15" s="1">
        <v>8.58</v>
      </c>
      <c r="F15" t="s">
        <v>150</v>
      </c>
      <c r="L15" s="1">
        <v>15</v>
      </c>
      <c r="M15" s="1">
        <v>1.7</v>
      </c>
      <c r="N15" s="1">
        <v>3.79</v>
      </c>
      <c r="O15" s="1">
        <v>8.58</v>
      </c>
      <c r="P15" t="s">
        <v>147</v>
      </c>
    </row>
    <row r="16" spans="2:16" x14ac:dyDescent="0.25">
      <c r="B16" s="1" t="s">
        <v>133</v>
      </c>
      <c r="C16" s="21">
        <v>1.58</v>
      </c>
      <c r="D16" s="21">
        <f>N16/2</f>
        <v>0.83499999999999996</v>
      </c>
      <c r="E16" s="1">
        <v>3.44</v>
      </c>
      <c r="F16" t="s">
        <v>149</v>
      </c>
      <c r="L16" s="1" t="s">
        <v>133</v>
      </c>
      <c r="M16" s="21">
        <v>1.58</v>
      </c>
      <c r="N16" s="21">
        <v>1.67</v>
      </c>
      <c r="O16" s="1">
        <v>3.66</v>
      </c>
      <c r="P16" t="s">
        <v>148</v>
      </c>
    </row>
    <row r="17" spans="2:16" x14ac:dyDescent="0.25">
      <c r="B17" s="1" t="s">
        <v>134</v>
      </c>
      <c r="C17" s="1">
        <v>1.58</v>
      </c>
      <c r="D17" s="21">
        <f>N17/2</f>
        <v>0.79</v>
      </c>
      <c r="E17" s="1">
        <v>3.31</v>
      </c>
      <c r="F17" t="s">
        <v>149</v>
      </c>
      <c r="L17" s="1" t="s">
        <v>134</v>
      </c>
      <c r="M17" s="1">
        <v>1.58</v>
      </c>
      <c r="N17" s="21">
        <v>1.58</v>
      </c>
      <c r="O17" s="1">
        <v>3.5</v>
      </c>
      <c r="P17" t="s">
        <v>148</v>
      </c>
    </row>
    <row r="18" spans="2:16" x14ac:dyDescent="0.25">
      <c r="B18" s="1" t="s">
        <v>235</v>
      </c>
      <c r="C18" s="1">
        <v>0</v>
      </c>
      <c r="D18" s="1">
        <v>10</v>
      </c>
      <c r="E18" s="1">
        <v>0.01</v>
      </c>
      <c r="F18" t="s">
        <v>228</v>
      </c>
      <c r="L18" s="1"/>
      <c r="M18" s="1"/>
      <c r="N18" s="21"/>
    </row>
    <row r="19" spans="2:16" x14ac:dyDescent="0.25">
      <c r="B19" s="1" t="s">
        <v>249</v>
      </c>
      <c r="C19" s="1">
        <v>0</v>
      </c>
      <c r="E19" s="1">
        <v>0.01</v>
      </c>
      <c r="F19" t="s">
        <v>228</v>
      </c>
    </row>
    <row r="22" spans="2:16" x14ac:dyDescent="0.25">
      <c r="F22" t="s">
        <v>290</v>
      </c>
    </row>
    <row r="23" spans="2:16" x14ac:dyDescent="0.25">
      <c r="B23" t="s">
        <v>236</v>
      </c>
      <c r="F23" t="s">
        <v>273</v>
      </c>
      <c r="G23" t="s">
        <v>274</v>
      </c>
      <c r="H23" t="s">
        <v>21</v>
      </c>
      <c r="I23" t="s">
        <v>0</v>
      </c>
      <c r="J23" t="s">
        <v>1</v>
      </c>
    </row>
    <row r="24" spans="2:16" ht="17.25" x14ac:dyDescent="0.25">
      <c r="B24" t="s">
        <v>237</v>
      </c>
      <c r="C24">
        <v>0.28999999999999998</v>
      </c>
      <c r="F24" t="s">
        <v>275</v>
      </c>
      <c r="G24" t="s">
        <v>85</v>
      </c>
      <c r="H24" t="s">
        <v>276</v>
      </c>
      <c r="I24" t="s">
        <v>85</v>
      </c>
      <c r="J24" t="s">
        <v>85</v>
      </c>
      <c r="K24" s="1" t="s">
        <v>277</v>
      </c>
    </row>
    <row r="25" spans="2:16" x14ac:dyDescent="0.25">
      <c r="B25" t="s">
        <v>88</v>
      </c>
      <c r="C25">
        <v>4</v>
      </c>
      <c r="D25" t="s">
        <v>238</v>
      </c>
      <c r="F25" s="1">
        <v>5</v>
      </c>
      <c r="G25" s="118">
        <f>+I25*2+J25</f>
        <v>7.5</v>
      </c>
      <c r="H25">
        <v>3.2</v>
      </c>
      <c r="I25" s="118">
        <f>22.5/12</f>
        <v>1.875</v>
      </c>
      <c r="J25" s="118">
        <f>45/12</f>
        <v>3.75</v>
      </c>
      <c r="K25" s="1" t="s">
        <v>278</v>
      </c>
      <c r="L25" s="3" t="s">
        <v>279</v>
      </c>
    </row>
    <row r="26" spans="2:16" ht="18" x14ac:dyDescent="0.35">
      <c r="B26" t="s">
        <v>239</v>
      </c>
      <c r="C26">
        <v>0.06</v>
      </c>
      <c r="D26" t="s">
        <v>240</v>
      </c>
      <c r="F26" s="1">
        <v>6</v>
      </c>
      <c r="G26" s="118">
        <f t="shared" ref="G26:G33" si="0">+I26*2+J26</f>
        <v>5.6666666666666661</v>
      </c>
      <c r="H26">
        <v>2</v>
      </c>
      <c r="I26" s="118">
        <f>16/12</f>
        <v>1.3333333333333333</v>
      </c>
      <c r="J26" s="118">
        <f>36/12</f>
        <v>3</v>
      </c>
      <c r="K26" s="1" t="s">
        <v>280</v>
      </c>
      <c r="L26" t="s">
        <v>279</v>
      </c>
    </row>
    <row r="27" spans="2:16" x14ac:dyDescent="0.25">
      <c r="B27" t="s">
        <v>241</v>
      </c>
      <c r="C27">
        <f>0.42-(0.08-C26)*C25</f>
        <v>0.33999999999999997</v>
      </c>
      <c r="D27" t="s">
        <v>238</v>
      </c>
      <c r="F27" s="1">
        <v>8</v>
      </c>
      <c r="G27" s="118">
        <f t="shared" si="0"/>
        <v>4.40625</v>
      </c>
      <c r="H27">
        <v>0.7</v>
      </c>
      <c r="I27" s="118">
        <f>+(15+5/8)/12</f>
        <v>1.3020833333333333</v>
      </c>
      <c r="J27" s="118">
        <f>+(21+5/8)/12</f>
        <v>1.8020833333333333</v>
      </c>
      <c r="K27" s="1" t="s">
        <v>281</v>
      </c>
      <c r="L27" t="s">
        <v>279</v>
      </c>
    </row>
    <row r="28" spans="2:16" x14ac:dyDescent="0.25">
      <c r="B28" t="s">
        <v>242</v>
      </c>
      <c r="C28">
        <f>(C26-0.04)*C25</f>
        <v>7.9999999999999988E-2</v>
      </c>
      <c r="D28" t="s">
        <v>238</v>
      </c>
      <c r="F28" s="1">
        <v>10</v>
      </c>
      <c r="G28" s="118">
        <f t="shared" si="0"/>
        <v>5.489583333333333</v>
      </c>
      <c r="H28">
        <v>2.1</v>
      </c>
      <c r="I28" s="118">
        <f>+(15+5/8)/12</f>
        <v>1.3020833333333333</v>
      </c>
      <c r="J28" s="118">
        <f>+(34+5/8)/12</f>
        <v>2.8854166666666665</v>
      </c>
      <c r="K28" s="1" t="s">
        <v>282</v>
      </c>
      <c r="L28" t="s">
        <v>279</v>
      </c>
    </row>
    <row r="29" spans="2:16" x14ac:dyDescent="0.25">
      <c r="B29" t="s">
        <v>243</v>
      </c>
      <c r="C29">
        <v>32.200000000000003</v>
      </c>
      <c r="D29" t="s">
        <v>244</v>
      </c>
      <c r="F29" s="1">
        <v>13</v>
      </c>
      <c r="G29" s="118">
        <f t="shared" si="0"/>
        <v>5.270833333333333</v>
      </c>
      <c r="H29">
        <v>1.6</v>
      </c>
      <c r="I29" s="118">
        <f>+(16.75)/12</f>
        <v>1.3958333333333333</v>
      </c>
      <c r="J29" s="118">
        <f>29.75/12</f>
        <v>2.4791666666666665</v>
      </c>
      <c r="K29" s="1" t="s">
        <v>283</v>
      </c>
      <c r="L29" t="s">
        <v>279</v>
      </c>
    </row>
    <row r="30" spans="2:16" x14ac:dyDescent="0.25">
      <c r="F30" s="1">
        <v>14</v>
      </c>
      <c r="G30" s="118">
        <f t="shared" si="0"/>
        <v>7.3333333333333339</v>
      </c>
      <c r="H30">
        <v>2.5</v>
      </c>
      <c r="I30" s="118">
        <f>14.5/12</f>
        <v>1.2083333333333333</v>
      </c>
      <c r="J30" s="118">
        <f>59/12</f>
        <v>4.916666666666667</v>
      </c>
      <c r="K30" s="1" t="s">
        <v>284</v>
      </c>
      <c r="L30" t="s">
        <v>279</v>
      </c>
    </row>
    <row r="31" spans="2:16" x14ac:dyDescent="0.25">
      <c r="B31" t="s">
        <v>245</v>
      </c>
      <c r="C31">
        <v>0.67</v>
      </c>
      <c r="F31" s="1">
        <v>15</v>
      </c>
      <c r="G31" s="118">
        <f t="shared" si="0"/>
        <v>7.5</v>
      </c>
      <c r="H31">
        <v>3.2</v>
      </c>
      <c r="I31" s="118">
        <f>22.5/12</f>
        <v>1.875</v>
      </c>
      <c r="J31" s="118">
        <f>45/12</f>
        <v>3.75</v>
      </c>
      <c r="K31" s="1" t="s">
        <v>285</v>
      </c>
      <c r="L31" s="3" t="s">
        <v>279</v>
      </c>
    </row>
    <row r="32" spans="2:16" x14ac:dyDescent="0.25">
      <c r="B32" t="s">
        <v>246</v>
      </c>
      <c r="C32">
        <f>C27/2</f>
        <v>0.16999999999999998</v>
      </c>
      <c r="F32" s="1" t="s">
        <v>286</v>
      </c>
      <c r="G32" s="118">
        <f t="shared" si="0"/>
        <v>4.75</v>
      </c>
      <c r="H32">
        <v>1</v>
      </c>
      <c r="I32" s="118">
        <f>19/12</f>
        <v>1.5833333333333333</v>
      </c>
      <c r="J32" s="118">
        <f>19/12</f>
        <v>1.5833333333333333</v>
      </c>
      <c r="K32" s="1" t="s">
        <v>287</v>
      </c>
      <c r="L32" t="s">
        <v>279</v>
      </c>
    </row>
    <row r="33" spans="6:12" x14ac:dyDescent="0.25">
      <c r="F33" s="1" t="s">
        <v>288</v>
      </c>
      <c r="G33" s="118">
        <f t="shared" si="0"/>
        <v>4.833333333333333</v>
      </c>
      <c r="H33">
        <v>1</v>
      </c>
      <c r="I33" s="118">
        <f>19/12</f>
        <v>1.5833333333333333</v>
      </c>
      <c r="J33" s="118">
        <f>20/12</f>
        <v>1.6666666666666667</v>
      </c>
      <c r="K33" s="1" t="s">
        <v>289</v>
      </c>
      <c r="L33" t="s">
        <v>279</v>
      </c>
    </row>
  </sheetData>
  <sheetProtection selectLockedCells="1" selectUnlockedCells="1"/>
  <pageMargins left="0.7" right="0.7" top="0.75" bottom="0.75" header="0.3" footer="0.3"/>
  <pageSetup orientation="portrait" r:id="rId1"/>
  <drawing r:id="rId2"/>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Computations</vt:lpstr>
      <vt:lpstr>INDOT Table</vt:lpstr>
      <vt:lpstr>Lookup Tables</vt:lpstr>
    </vt:vector>
  </TitlesOfParts>
  <Company>R.W. Armstrong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Finley</dc:creator>
  <cp:lastModifiedBy>Schwinghamer, Alex</cp:lastModifiedBy>
  <cp:lastPrinted>2009-08-14T18:11:15Z</cp:lastPrinted>
  <dcterms:created xsi:type="dcterms:W3CDTF">2009-07-22T21:08:02Z</dcterms:created>
  <dcterms:modified xsi:type="dcterms:W3CDTF">2026-03-20T11:44:28Z</dcterms:modified>
</cp:coreProperties>
</file>