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ingov-my.sharepoint.com/personal/aschwinghamer_indot_in_gov/Documents/Desktop/Templates/Storm drains and inlets/"/>
    </mc:Choice>
  </mc:AlternateContent>
  <xr:revisionPtr revIDLastSave="172" documentId="8_{B5454629-DB15-404B-95B3-97973B383E2A}" xr6:coauthVersionLast="47" xr6:coauthVersionMax="47" xr10:uidLastSave="{07E6A65C-3C78-4248-A18E-FC1E6E9CAF54}"/>
  <bookViews>
    <workbookView xWindow="-120" yWindow="-120" windowWidth="29040" windowHeight="15720" tabRatio="855" xr2:uid="{7AA30890-E48A-4F82-A8D2-D1CE2387CDE0}"/>
  </bookViews>
  <sheets>
    <sheet name="Inputs-Results" sheetId="1" r:id="rId1"/>
    <sheet name="Summary Table" sheetId="11" r:id="rId2"/>
    <sheet name="Standard Data" sheetId="2" r:id="rId3"/>
    <sheet name="Ditch Calculations" sheetId="3" r:id="rId4"/>
    <sheet name="On-grade Calculations" sheetId="7" r:id="rId5"/>
    <sheet name="on-grade with berm calcs" sheetId="8" r:id="rId6"/>
    <sheet name="Sag Calculations" sheetId="4" r:id="rId7"/>
    <sheet name="Flow and depth summary" sheetId="9" r:id="rId8"/>
    <sheet name="Bypass" sheetId="5"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9" l="1"/>
  <c r="O6" i="9"/>
  <c r="O7" i="9"/>
  <c r="O8" i="9"/>
  <c r="O9" i="9"/>
  <c r="O10" i="9"/>
  <c r="O11" i="9"/>
  <c r="O12" i="9"/>
  <c r="O13" i="9"/>
  <c r="O14" i="9"/>
  <c r="O15" i="9"/>
  <c r="O16" i="9"/>
  <c r="O17" i="9"/>
  <c r="O18" i="9"/>
  <c r="O19" i="9"/>
  <c r="O20" i="9"/>
  <c r="O21" i="9"/>
  <c r="O22" i="9"/>
  <c r="O23" i="9"/>
  <c r="O24" i="9"/>
  <c r="O25" i="9"/>
  <c r="O26" i="9"/>
  <c r="O27" i="9"/>
  <c r="O28" i="9"/>
  <c r="O29" i="9"/>
  <c r="O30" i="9"/>
  <c r="H3" i="11" l="1"/>
  <c r="I4" i="11"/>
  <c r="I5" i="11"/>
  <c r="I6" i="11"/>
  <c r="I7" i="11"/>
  <c r="I8" i="11"/>
  <c r="I9" i="11"/>
  <c r="I10" i="11"/>
  <c r="I11" i="11"/>
  <c r="I12" i="11"/>
  <c r="I13" i="11"/>
  <c r="I14" i="11"/>
  <c r="I15" i="11"/>
  <c r="I16" i="11"/>
  <c r="I17" i="11"/>
  <c r="I18" i="11"/>
  <c r="I19" i="11"/>
  <c r="I20" i="11"/>
  <c r="I21" i="11"/>
  <c r="I22" i="11"/>
  <c r="I23" i="11"/>
  <c r="I24" i="11"/>
  <c r="I25" i="11"/>
  <c r="I26" i="11"/>
  <c r="I27" i="11"/>
  <c r="I28" i="11"/>
  <c r="I29" i="11"/>
  <c r="I3" i="11"/>
  <c r="H4" i="11"/>
  <c r="H5" i="11"/>
  <c r="H6" i="11"/>
  <c r="H7" i="11"/>
  <c r="H8" i="11"/>
  <c r="H9" i="11"/>
  <c r="H10" i="11"/>
  <c r="H11" i="11"/>
  <c r="H12" i="11"/>
  <c r="H13" i="11"/>
  <c r="H14" i="11"/>
  <c r="H15" i="11"/>
  <c r="H16" i="11"/>
  <c r="H17" i="11"/>
  <c r="H18" i="11"/>
  <c r="H19" i="11"/>
  <c r="H20" i="11"/>
  <c r="H21" i="11"/>
  <c r="H22" i="11"/>
  <c r="H23" i="11"/>
  <c r="H24" i="11"/>
  <c r="H25" i="11"/>
  <c r="H26" i="11"/>
  <c r="H27" i="11"/>
  <c r="H28" i="11"/>
  <c r="H29" i="11"/>
  <c r="A28" i="5"/>
  <c r="B28" i="5" s="1"/>
  <c r="L35" i="1" s="1"/>
  <c r="M35" i="1" s="1"/>
  <c r="B27" i="5"/>
  <c r="L34" i="1" s="1"/>
  <c r="M34" i="1" s="1"/>
  <c r="A27" i="5"/>
  <c r="A26" i="5"/>
  <c r="B26" i="5" s="1"/>
  <c r="L33" i="1" s="1"/>
  <c r="M33" i="1" s="1"/>
  <c r="A25" i="5"/>
  <c r="B25" i="5" s="1"/>
  <c r="L32" i="1" s="1"/>
  <c r="M32" i="1" s="1"/>
  <c r="A24" i="5"/>
  <c r="B24" i="5" s="1"/>
  <c r="L31" i="1" s="1"/>
  <c r="M31" i="1" s="1"/>
  <c r="A23" i="5"/>
  <c r="B23" i="5" s="1"/>
  <c r="L30" i="1" s="1"/>
  <c r="M30" i="1" s="1"/>
  <c r="A22" i="5"/>
  <c r="B22" i="5" s="1"/>
  <c r="L29" i="1" s="1"/>
  <c r="M29" i="1" s="1"/>
  <c r="A21" i="5"/>
  <c r="B21" i="5" s="1"/>
  <c r="L28" i="1" s="1"/>
  <c r="M28" i="1" s="1"/>
  <c r="A20" i="5"/>
  <c r="B20" i="5" s="1"/>
  <c r="L27" i="1" s="1"/>
  <c r="M27" i="1" s="1"/>
  <c r="A19" i="5"/>
  <c r="B19" i="5" s="1"/>
  <c r="L26" i="1" s="1"/>
  <c r="M26" i="1" s="1"/>
  <c r="A18" i="5"/>
  <c r="B18" i="5" s="1"/>
  <c r="L25" i="1" s="1"/>
  <c r="M25" i="1" s="1"/>
  <c r="A17" i="5"/>
  <c r="B17" i="5" s="1"/>
  <c r="L24" i="1" s="1"/>
  <c r="M24" i="1" s="1"/>
  <c r="A16" i="5"/>
  <c r="B16" i="5" s="1"/>
  <c r="L23" i="1" s="1"/>
  <c r="M23" i="1" s="1"/>
  <c r="A15" i="5"/>
  <c r="B15" i="5" s="1"/>
  <c r="L22" i="1" s="1"/>
  <c r="M22" i="1" s="1"/>
  <c r="A14" i="5"/>
  <c r="B14" i="5" s="1"/>
  <c r="L21" i="1" s="1"/>
  <c r="M21" i="1" s="1"/>
  <c r="A13" i="5"/>
  <c r="B13" i="5" s="1"/>
  <c r="L20" i="1" s="1"/>
  <c r="M20" i="1" s="1"/>
  <c r="A12" i="5"/>
  <c r="B12" i="5" s="1"/>
  <c r="L19" i="1" s="1"/>
  <c r="M19" i="1" s="1"/>
  <c r="A11" i="5"/>
  <c r="B11" i="5" s="1"/>
  <c r="L18" i="1" s="1"/>
  <c r="M18" i="1" s="1"/>
  <c r="A10" i="5"/>
  <c r="B10" i="5" s="1"/>
  <c r="L17" i="1" s="1"/>
  <c r="M17" i="1" s="1"/>
  <c r="A9" i="5"/>
  <c r="B9" i="5" s="1"/>
  <c r="L16" i="1" s="1"/>
  <c r="M16" i="1" s="1"/>
  <c r="A8" i="5"/>
  <c r="A7" i="5"/>
  <c r="A6" i="5"/>
  <c r="A5" i="5"/>
  <c r="A4" i="5"/>
  <c r="A3" i="5"/>
  <c r="A2" i="5"/>
  <c r="B2" i="5" s="1"/>
  <c r="L9" i="1" s="1"/>
  <c r="M9" i="1" s="1"/>
  <c r="N30" i="9"/>
  <c r="A30" i="9"/>
  <c r="N29" i="9"/>
  <c r="A29" i="9"/>
  <c r="N28" i="9"/>
  <c r="A28" i="9"/>
  <c r="N27" i="9"/>
  <c r="A27" i="9"/>
  <c r="N26" i="9"/>
  <c r="A26" i="9"/>
  <c r="N25" i="9"/>
  <c r="A25" i="9"/>
  <c r="N24" i="9"/>
  <c r="A24" i="9"/>
  <c r="N23" i="9"/>
  <c r="A23" i="9"/>
  <c r="N22" i="9"/>
  <c r="A22" i="9"/>
  <c r="N21" i="9"/>
  <c r="A21" i="9"/>
  <c r="N20" i="9"/>
  <c r="A20" i="9"/>
  <c r="N19" i="9"/>
  <c r="A19" i="9"/>
  <c r="N18" i="9"/>
  <c r="A18" i="9"/>
  <c r="N17" i="9"/>
  <c r="A17" i="9"/>
  <c r="N16" i="9"/>
  <c r="A16" i="9"/>
  <c r="N15" i="9"/>
  <c r="A15" i="9"/>
  <c r="N14" i="9"/>
  <c r="A14" i="9"/>
  <c r="N13" i="9"/>
  <c r="A13" i="9"/>
  <c r="N12" i="9"/>
  <c r="A12" i="9"/>
  <c r="N11" i="9"/>
  <c r="A11" i="9"/>
  <c r="N10" i="9"/>
  <c r="A10" i="9"/>
  <c r="N9" i="9"/>
  <c r="A9" i="9"/>
  <c r="N8" i="9"/>
  <c r="A8" i="9"/>
  <c r="N7" i="9"/>
  <c r="A7" i="9"/>
  <c r="A6" i="9"/>
  <c r="N5" i="9"/>
  <c r="A5" i="9"/>
  <c r="A4" i="9"/>
  <c r="A27" i="4"/>
  <c r="Q10" i="4"/>
  <c r="E10" i="4"/>
  <c r="F10" i="4" s="1"/>
  <c r="D10" i="4"/>
  <c r="B10" i="4"/>
  <c r="C10" i="4" s="1"/>
  <c r="K5" i="4"/>
  <c r="A60" i="8"/>
  <c r="D60" i="8" s="1"/>
  <c r="A59" i="8"/>
  <c r="D59" i="8" s="1"/>
  <c r="A58" i="8"/>
  <c r="D58" i="8" s="1"/>
  <c r="A57" i="8"/>
  <c r="D57" i="8" s="1"/>
  <c r="A56" i="8"/>
  <c r="D56" i="8" s="1"/>
  <c r="A55" i="8"/>
  <c r="D55" i="8" s="1"/>
  <c r="A54" i="8"/>
  <c r="D54" i="8" s="1"/>
  <c r="A53" i="8"/>
  <c r="D53" i="8" s="1"/>
  <c r="A52" i="8"/>
  <c r="D52" i="8" s="1"/>
  <c r="A51" i="8"/>
  <c r="A50" i="8"/>
  <c r="D50" i="8" s="1"/>
  <c r="A49" i="8"/>
  <c r="D49" i="8" s="1"/>
  <c r="A48" i="8"/>
  <c r="D48" i="8" s="1"/>
  <c r="A47" i="8"/>
  <c r="D47" i="8" s="1"/>
  <c r="A46" i="8"/>
  <c r="D46" i="8" s="1"/>
  <c r="A45" i="8"/>
  <c r="D45" i="8" s="1"/>
  <c r="A44" i="8"/>
  <c r="D44" i="8" s="1"/>
  <c r="A43" i="8"/>
  <c r="D43" i="8" s="1"/>
  <c r="A42" i="8"/>
  <c r="D42" i="8" s="1"/>
  <c r="A41" i="8"/>
  <c r="D41" i="8" s="1"/>
  <c r="A40" i="8"/>
  <c r="D40" i="8" s="1"/>
  <c r="A39" i="8"/>
  <c r="D39" i="8" s="1"/>
  <c r="A38" i="8"/>
  <c r="D38" i="8" s="1"/>
  <c r="A37" i="8"/>
  <c r="D37" i="8" s="1"/>
  <c r="A36" i="8"/>
  <c r="D36" i="8" s="1"/>
  <c r="A35" i="8"/>
  <c r="D35" i="8" s="1"/>
  <c r="A34" i="8"/>
  <c r="D34" i="8" s="1"/>
  <c r="A29" i="8"/>
  <c r="AG29" i="8" s="1"/>
  <c r="CU60" i="8" s="1"/>
  <c r="A28" i="8"/>
  <c r="D28" i="8" s="1"/>
  <c r="A27" i="8"/>
  <c r="A26" i="8"/>
  <c r="D26" i="8" s="1"/>
  <c r="A25" i="8"/>
  <c r="C25" i="8" s="1"/>
  <c r="A24" i="8"/>
  <c r="AG24" i="8" s="1"/>
  <c r="CU55" i="8" s="1"/>
  <c r="A23" i="8"/>
  <c r="L23" i="8" s="1"/>
  <c r="R23" i="8" s="1" a="1"/>
  <c r="R23" i="8" s="1"/>
  <c r="A22" i="8"/>
  <c r="L22" i="8" s="1"/>
  <c r="A21" i="8"/>
  <c r="A20" i="8"/>
  <c r="D20" i="8" s="1"/>
  <c r="A19" i="8"/>
  <c r="A18" i="8"/>
  <c r="E18" i="8" s="1"/>
  <c r="A17" i="8"/>
  <c r="E17" i="8" s="1"/>
  <c r="A16" i="8"/>
  <c r="AG16" i="8" s="1"/>
  <c r="CU47" i="8" s="1"/>
  <c r="A15" i="8"/>
  <c r="A14" i="8"/>
  <c r="A13" i="8"/>
  <c r="C13" i="8" s="1"/>
  <c r="A12" i="8"/>
  <c r="L12" i="8" s="1"/>
  <c r="AD12" i="8" s="1" a="1"/>
  <c r="AD12" i="8" s="1"/>
  <c r="A11" i="8"/>
  <c r="AG11" i="8" s="1"/>
  <c r="A10" i="8"/>
  <c r="L10" i="8" s="1"/>
  <c r="A9" i="8"/>
  <c r="L9" i="8" s="1"/>
  <c r="A8" i="8"/>
  <c r="C8" i="8" s="1"/>
  <c r="A7" i="8"/>
  <c r="L7" i="8" s="1"/>
  <c r="V7" i="8" s="1" a="1"/>
  <c r="V7" i="8" s="1"/>
  <c r="A6" i="8"/>
  <c r="A5" i="8"/>
  <c r="A4" i="8"/>
  <c r="A3" i="8"/>
  <c r="C3" i="8" s="1"/>
  <c r="A60" i="7"/>
  <c r="A59" i="7"/>
  <c r="A58" i="7"/>
  <c r="F58" i="7" s="1"/>
  <c r="A57" i="7"/>
  <c r="A56" i="7"/>
  <c r="X56" i="7" s="1"/>
  <c r="AA56" i="7" s="1"/>
  <c r="A55" i="7"/>
  <c r="F55" i="7" s="1"/>
  <c r="A54" i="7"/>
  <c r="A53" i="7"/>
  <c r="G53" i="7" s="1"/>
  <c r="A52" i="7"/>
  <c r="G52" i="7" s="1"/>
  <c r="A51" i="7"/>
  <c r="A50" i="7"/>
  <c r="Z50" i="7" s="1"/>
  <c r="A49" i="7"/>
  <c r="A48" i="7"/>
  <c r="G48" i="7" s="1"/>
  <c r="A47" i="7"/>
  <c r="A46" i="7"/>
  <c r="Z46" i="7" s="1"/>
  <c r="A45" i="7"/>
  <c r="Z45" i="7" s="1"/>
  <c r="A44" i="7"/>
  <c r="Y44" i="7" s="1"/>
  <c r="A43" i="7"/>
  <c r="G43" i="7" s="1"/>
  <c r="A42" i="7"/>
  <c r="A41" i="7"/>
  <c r="F41" i="7" s="1"/>
  <c r="A40" i="7"/>
  <c r="Z40" i="7" s="1"/>
  <c r="A39" i="7"/>
  <c r="G39" i="7" s="1"/>
  <c r="A38" i="7"/>
  <c r="X38" i="7" s="1"/>
  <c r="AA38" i="7" s="1"/>
  <c r="A37" i="7"/>
  <c r="G37" i="7" s="1"/>
  <c r="A36" i="7"/>
  <c r="G36" i="7" s="1"/>
  <c r="A35" i="7"/>
  <c r="Z35" i="7" s="1"/>
  <c r="A34" i="7"/>
  <c r="A29" i="7"/>
  <c r="A28" i="7"/>
  <c r="A27" i="7"/>
  <c r="A26" i="7"/>
  <c r="A25" i="7"/>
  <c r="A24" i="7"/>
  <c r="A23" i="7"/>
  <c r="A22" i="7"/>
  <c r="A21" i="7"/>
  <c r="A20" i="7"/>
  <c r="A19" i="7"/>
  <c r="A18" i="7"/>
  <c r="A17" i="7"/>
  <c r="A16" i="7"/>
  <c r="A15" i="7"/>
  <c r="A14" i="7"/>
  <c r="A13" i="7"/>
  <c r="A12" i="7"/>
  <c r="A11" i="7"/>
  <c r="A10" i="7"/>
  <c r="A9" i="7"/>
  <c r="A8" i="7"/>
  <c r="A7" i="7"/>
  <c r="A6" i="7"/>
  <c r="A5" i="7"/>
  <c r="A4" i="7"/>
  <c r="A3" i="7"/>
  <c r="C30" i="3"/>
  <c r="E30" i="3" s="1"/>
  <c r="C29" i="3"/>
  <c r="AY29" i="3" s="1"/>
  <c r="AZ29" i="3" s="1"/>
  <c r="C28" i="3"/>
  <c r="AA28" i="3" s="1"/>
  <c r="AB28" i="3" s="1"/>
  <c r="C27" i="3"/>
  <c r="AM27" i="3" s="1"/>
  <c r="AO27" i="3" s="1"/>
  <c r="C26" i="3"/>
  <c r="BE26" i="3" s="1"/>
  <c r="BF26" i="3" s="1"/>
  <c r="C25" i="3"/>
  <c r="I25" i="3" s="1"/>
  <c r="C24" i="3"/>
  <c r="AY24" i="3" s="1"/>
  <c r="BA24" i="3" s="1"/>
  <c r="C23" i="3"/>
  <c r="AG23" i="3" s="1"/>
  <c r="AH23" i="3" s="1"/>
  <c r="C22" i="3"/>
  <c r="AA22" i="3" s="1"/>
  <c r="AC22" i="3" s="1"/>
  <c r="C21" i="3"/>
  <c r="BE21" i="3" s="1"/>
  <c r="C20" i="3"/>
  <c r="AS20" i="3" s="1"/>
  <c r="AU20" i="3" s="1"/>
  <c r="C19" i="3"/>
  <c r="I19" i="3" s="1"/>
  <c r="K19" i="3" s="1"/>
  <c r="C18" i="3"/>
  <c r="O18" i="3" s="1"/>
  <c r="C17" i="3"/>
  <c r="BE17" i="3" s="1"/>
  <c r="C16" i="3"/>
  <c r="C15" i="3"/>
  <c r="AA15" i="3" s="1"/>
  <c r="C14" i="3"/>
  <c r="AM14" i="3" s="1"/>
  <c r="C13" i="3"/>
  <c r="C12" i="3"/>
  <c r="U12" i="3" s="1"/>
  <c r="W12" i="3" s="1"/>
  <c r="C11" i="3"/>
  <c r="AY11" i="3" s="1"/>
  <c r="C10" i="3"/>
  <c r="AG10" i="3" s="1"/>
  <c r="C9" i="3"/>
  <c r="E9" i="3" s="1"/>
  <c r="C8" i="3"/>
  <c r="BE8" i="3" s="1"/>
  <c r="C7" i="3"/>
  <c r="AA7" i="3" s="1"/>
  <c r="AC7" i="3" s="1"/>
  <c r="C6" i="3"/>
  <c r="D6" i="3" s="1"/>
  <c r="C5" i="3"/>
  <c r="D5" i="3" s="1"/>
  <c r="C4" i="3"/>
  <c r="U4" i="3" s="1"/>
  <c r="A4" i="3" a="1"/>
  <c r="A70" i="3" s="1"/>
  <c r="E13" i="2"/>
  <c r="D13" i="2"/>
  <c r="C13" i="2"/>
  <c r="F9" i="2"/>
  <c r="E9" i="2"/>
  <c r="C9" i="2"/>
  <c r="F29" i="11"/>
  <c r="E29" i="11"/>
  <c r="D29" i="11"/>
  <c r="C29" i="11"/>
  <c r="B29" i="11"/>
  <c r="A29" i="11"/>
  <c r="F28" i="11"/>
  <c r="E28" i="11"/>
  <c r="D28" i="11"/>
  <c r="C28" i="11"/>
  <c r="B28" i="11"/>
  <c r="A28" i="11"/>
  <c r="F27" i="11"/>
  <c r="E27" i="11"/>
  <c r="D27" i="11"/>
  <c r="C27" i="11"/>
  <c r="B27" i="11"/>
  <c r="A27" i="11"/>
  <c r="F26" i="11"/>
  <c r="E26" i="11"/>
  <c r="D26" i="11"/>
  <c r="C26" i="11"/>
  <c r="B26" i="11"/>
  <c r="A26" i="11"/>
  <c r="F25" i="11"/>
  <c r="E25" i="11"/>
  <c r="D25" i="11"/>
  <c r="C25" i="11"/>
  <c r="B25" i="11"/>
  <c r="A25" i="11"/>
  <c r="F24" i="11"/>
  <c r="E24" i="11"/>
  <c r="D24" i="11"/>
  <c r="C24" i="11"/>
  <c r="B24" i="11"/>
  <c r="A24" i="11"/>
  <c r="F23" i="11"/>
  <c r="E23" i="11"/>
  <c r="D23" i="11"/>
  <c r="C23" i="11"/>
  <c r="B23" i="11"/>
  <c r="A23" i="11"/>
  <c r="F22" i="11"/>
  <c r="E22" i="11"/>
  <c r="D22" i="11"/>
  <c r="C22" i="11"/>
  <c r="B22" i="11"/>
  <c r="A22" i="11"/>
  <c r="F21" i="11"/>
  <c r="E21" i="11"/>
  <c r="D21" i="11"/>
  <c r="C21" i="11"/>
  <c r="B21" i="11"/>
  <c r="A21" i="11"/>
  <c r="F20" i="11"/>
  <c r="E20" i="11"/>
  <c r="D20" i="11"/>
  <c r="C20" i="11"/>
  <c r="B20" i="11"/>
  <c r="A20" i="11"/>
  <c r="F19" i="11"/>
  <c r="E19" i="11"/>
  <c r="D19" i="11"/>
  <c r="C19" i="11"/>
  <c r="B19" i="11"/>
  <c r="A19" i="11"/>
  <c r="F18" i="11"/>
  <c r="E18" i="11"/>
  <c r="D18" i="11"/>
  <c r="C18" i="11"/>
  <c r="B18" i="11"/>
  <c r="A18" i="11"/>
  <c r="F17" i="11"/>
  <c r="E17" i="11"/>
  <c r="D17" i="11"/>
  <c r="C17" i="11"/>
  <c r="B17" i="11"/>
  <c r="A17" i="11"/>
  <c r="F16" i="11"/>
  <c r="E16" i="11"/>
  <c r="D16" i="11"/>
  <c r="C16" i="11"/>
  <c r="B16" i="11"/>
  <c r="A16" i="11"/>
  <c r="F15" i="11"/>
  <c r="E15" i="11"/>
  <c r="D15" i="11"/>
  <c r="C15" i="11"/>
  <c r="B15" i="11"/>
  <c r="A15" i="11"/>
  <c r="F14" i="11"/>
  <c r="E14" i="11"/>
  <c r="D14" i="11"/>
  <c r="C14" i="11"/>
  <c r="B14" i="11"/>
  <c r="A14" i="11"/>
  <c r="F13" i="11"/>
  <c r="E13" i="11"/>
  <c r="D13" i="11"/>
  <c r="C13" i="11"/>
  <c r="B13" i="11"/>
  <c r="A13" i="11"/>
  <c r="F12" i="11"/>
  <c r="E12" i="11"/>
  <c r="D12" i="11"/>
  <c r="C12" i="11"/>
  <c r="B12" i="11"/>
  <c r="A12" i="11"/>
  <c r="F11" i="11"/>
  <c r="E11" i="11"/>
  <c r="D11" i="11"/>
  <c r="C11" i="11"/>
  <c r="B11" i="11"/>
  <c r="A11" i="11"/>
  <c r="F10" i="11"/>
  <c r="E10" i="11"/>
  <c r="D10" i="11"/>
  <c r="C10" i="11"/>
  <c r="B10" i="11"/>
  <c r="A10" i="11"/>
  <c r="F9" i="11"/>
  <c r="E9" i="11"/>
  <c r="D9" i="11"/>
  <c r="C9" i="11"/>
  <c r="B9" i="11"/>
  <c r="A9" i="11"/>
  <c r="F8" i="11"/>
  <c r="E8" i="11"/>
  <c r="D8" i="11"/>
  <c r="C8" i="11"/>
  <c r="B8" i="11"/>
  <c r="A8" i="11"/>
  <c r="F7" i="11"/>
  <c r="E7" i="11"/>
  <c r="D7" i="11"/>
  <c r="C7" i="11"/>
  <c r="B7" i="11"/>
  <c r="A7" i="11"/>
  <c r="F6" i="11"/>
  <c r="E6" i="11"/>
  <c r="D6" i="11"/>
  <c r="C6" i="11"/>
  <c r="B6" i="11"/>
  <c r="A6" i="11"/>
  <c r="F5" i="11"/>
  <c r="E5" i="11"/>
  <c r="D5" i="11"/>
  <c r="C5" i="11"/>
  <c r="B5" i="11"/>
  <c r="A5" i="11"/>
  <c r="F4" i="11"/>
  <c r="E4" i="11"/>
  <c r="D4" i="11"/>
  <c r="C4" i="11"/>
  <c r="B4" i="11"/>
  <c r="A4" i="11"/>
  <c r="F3" i="11"/>
  <c r="E3" i="11"/>
  <c r="D3" i="11"/>
  <c r="C3" i="11"/>
  <c r="B3" i="11"/>
  <c r="A3" i="11"/>
  <c r="AO35" i="1"/>
  <c r="AK35" i="1"/>
  <c r="AF35" i="1"/>
  <c r="AO34" i="1"/>
  <c r="AK34" i="1"/>
  <c r="AF34" i="1"/>
  <c r="AO33" i="1"/>
  <c r="AK33" i="1"/>
  <c r="AF33" i="1"/>
  <c r="AO32" i="1"/>
  <c r="AK32" i="1"/>
  <c r="AF32" i="1"/>
  <c r="AO31" i="1"/>
  <c r="AK31" i="1"/>
  <c r="AF31" i="1"/>
  <c r="AO30" i="1"/>
  <c r="AK30" i="1"/>
  <c r="AF30" i="1"/>
  <c r="AO29" i="1"/>
  <c r="AK29" i="1"/>
  <c r="AF29" i="1"/>
  <c r="AO28" i="1"/>
  <c r="AK28" i="1"/>
  <c r="AF28" i="1"/>
  <c r="AO27" i="1"/>
  <c r="AK27" i="1"/>
  <c r="AF27" i="1"/>
  <c r="AO26" i="1"/>
  <c r="AK26" i="1"/>
  <c r="AF26" i="1"/>
  <c r="AO25" i="1"/>
  <c r="AK25" i="1"/>
  <c r="AF25" i="1"/>
  <c r="AO24" i="1"/>
  <c r="AK24" i="1"/>
  <c r="AF24" i="1"/>
  <c r="AO23" i="1"/>
  <c r="AK23" i="1"/>
  <c r="AF23" i="1"/>
  <c r="AO22" i="1"/>
  <c r="AK22" i="1"/>
  <c r="AF22" i="1"/>
  <c r="AO21" i="1"/>
  <c r="AK21" i="1"/>
  <c r="AF21" i="1"/>
  <c r="AO20" i="1"/>
  <c r="AK20" i="1"/>
  <c r="AF20" i="1"/>
  <c r="AO19" i="1"/>
  <c r="AK19" i="1"/>
  <c r="AF19" i="1"/>
  <c r="AO18" i="1"/>
  <c r="AK18" i="1"/>
  <c r="AF18" i="1"/>
  <c r="AO17" i="1"/>
  <c r="AK17" i="1"/>
  <c r="AF17" i="1"/>
  <c r="AO16" i="1"/>
  <c r="AK16" i="1"/>
  <c r="AF16" i="1"/>
  <c r="AO15" i="1"/>
  <c r="AK15" i="1"/>
  <c r="AF15" i="1"/>
  <c r="AO14" i="1"/>
  <c r="AK14" i="1"/>
  <c r="AF14" i="1"/>
  <c r="AO13" i="1"/>
  <c r="AK13" i="1"/>
  <c r="AF13" i="1"/>
  <c r="AO12" i="1"/>
  <c r="AK12" i="1"/>
  <c r="AF12" i="1"/>
  <c r="AO11" i="1"/>
  <c r="AK11" i="1"/>
  <c r="AF11" i="1"/>
  <c r="AO10" i="1"/>
  <c r="AK10" i="1"/>
  <c r="AF10" i="1"/>
  <c r="AO9" i="1"/>
  <c r="AK9" i="1"/>
  <c r="AF9" i="1"/>
  <c r="N12" i="8" l="1" a="1"/>
  <c r="N12" i="8" s="1"/>
  <c r="G45" i="7"/>
  <c r="AG35" i="1"/>
  <c r="AH35" i="1" s="1"/>
  <c r="G29" i="11" s="1"/>
  <c r="AN27" i="3"/>
  <c r="BE27" i="3"/>
  <c r="BG27" i="3" s="1"/>
  <c r="BE22" i="3"/>
  <c r="BF22" i="3" s="1"/>
  <c r="AG12" i="8"/>
  <c r="CU43" i="8" s="1"/>
  <c r="E3" i="8"/>
  <c r="F3" i="8" s="1"/>
  <c r="AG22" i="3"/>
  <c r="AI22" i="3" s="1"/>
  <c r="AS27" i="3"/>
  <c r="AU27" i="3" s="1"/>
  <c r="AG29" i="3"/>
  <c r="AH29" i="3" s="1"/>
  <c r="U29" i="3"/>
  <c r="BE29" i="3"/>
  <c r="BG29" i="3" s="1"/>
  <c r="D12" i="8"/>
  <c r="BE11" i="3"/>
  <c r="BG11" i="3" s="1"/>
  <c r="AA12" i="3"/>
  <c r="AC12" i="3" s="1"/>
  <c r="Z36" i="7"/>
  <c r="Y53" i="7"/>
  <c r="G10" i="4"/>
  <c r="O28" i="3"/>
  <c r="Q28" i="3" s="1"/>
  <c r="O24" i="3"/>
  <c r="Q24" i="3" s="1"/>
  <c r="U28" i="3"/>
  <c r="W28" i="3" s="1"/>
  <c r="X36" i="7"/>
  <c r="X53" i="7"/>
  <c r="AA53" i="7" s="1"/>
  <c r="Z53" i="7"/>
  <c r="E24" i="3"/>
  <c r="BE14" i="3"/>
  <c r="BG14" i="3" s="1"/>
  <c r="I24" i="3"/>
  <c r="J24" i="3" s="1"/>
  <c r="X55" i="7"/>
  <c r="AA55" i="7" s="1"/>
  <c r="AG15" i="3"/>
  <c r="AH15" i="3" s="1"/>
  <c r="U24" i="3"/>
  <c r="W24" i="3" s="1"/>
  <c r="AC28" i="3"/>
  <c r="AD28" i="3" s="1"/>
  <c r="AE28" i="3" s="1"/>
  <c r="AF28" i="3" s="1"/>
  <c r="Y55" i="7"/>
  <c r="I8" i="3"/>
  <c r="J8" i="3" s="1"/>
  <c r="AY15" i="3"/>
  <c r="AZ15" i="3" s="1"/>
  <c r="AA24" i="3"/>
  <c r="AB24" i="3" s="1"/>
  <c r="AG28" i="3"/>
  <c r="G41" i="7"/>
  <c r="Z55" i="7"/>
  <c r="D16" i="8"/>
  <c r="O8" i="3"/>
  <c r="Q8" i="3" s="1"/>
  <c r="BE15" i="3"/>
  <c r="BF15" i="3" s="1"/>
  <c r="AG24" i="3"/>
  <c r="AH24" i="3" s="1"/>
  <c r="E16" i="8"/>
  <c r="F16" i="8" s="1"/>
  <c r="H16" i="8" s="1"/>
  <c r="U8" i="3"/>
  <c r="W8" i="3" s="1"/>
  <c r="AM24" i="3"/>
  <c r="AO24" i="3" s="1"/>
  <c r="AM28" i="3"/>
  <c r="AN28" i="3" s="1"/>
  <c r="AI35" i="1"/>
  <c r="AG8" i="3"/>
  <c r="AI8" i="3" s="1"/>
  <c r="AS24" i="3"/>
  <c r="AS28" i="3"/>
  <c r="AT28" i="3" s="1"/>
  <c r="AY8" i="3"/>
  <c r="BA8" i="3" s="1"/>
  <c r="U17" i="3"/>
  <c r="V17" i="3" s="1"/>
  <c r="AY28" i="3"/>
  <c r="AZ28" i="3" s="1"/>
  <c r="G44" i="7"/>
  <c r="Y58" i="7"/>
  <c r="AA17" i="3"/>
  <c r="AC17" i="3" s="1"/>
  <c r="AZ24" i="3"/>
  <c r="BE28" i="3"/>
  <c r="X44" i="7"/>
  <c r="AA44" i="7" s="1"/>
  <c r="AG9" i="3"/>
  <c r="AI9" i="3" s="1"/>
  <c r="Z44" i="7"/>
  <c r="AM9" i="3"/>
  <c r="AO9" i="3" s="1"/>
  <c r="BE24" i="3"/>
  <c r="BG24" i="3" s="1"/>
  <c r="O29" i="3"/>
  <c r="Q29" i="3" s="1"/>
  <c r="I10" i="3"/>
  <c r="AG19" i="3"/>
  <c r="AH19" i="3" s="1"/>
  <c r="AG23" i="8"/>
  <c r="CU54" i="8" s="1"/>
  <c r="AM19" i="3"/>
  <c r="AO19" i="3" s="1"/>
  <c r="AA26" i="3"/>
  <c r="AB26" i="3" s="1"/>
  <c r="F46" i="7"/>
  <c r="BF29" i="3"/>
  <c r="X46" i="7"/>
  <c r="AA46" i="7" s="1"/>
  <c r="AY20" i="3"/>
  <c r="BA20" i="3" s="1"/>
  <c r="D27" i="3"/>
  <c r="Y46" i="7"/>
  <c r="D11" i="3"/>
  <c r="E27" i="3"/>
  <c r="I11" i="3"/>
  <c r="J11" i="3" s="1"/>
  <c r="I27" i="3"/>
  <c r="K27" i="3" s="1"/>
  <c r="A85" i="3"/>
  <c r="C85" i="3" s="1"/>
  <c r="O11" i="3"/>
  <c r="Q11" i="3" s="1"/>
  <c r="E22" i="3"/>
  <c r="O27" i="3"/>
  <c r="A103" i="3"/>
  <c r="C103" i="3" s="1"/>
  <c r="U11" i="3"/>
  <c r="W11" i="3" s="1"/>
  <c r="I22" i="3"/>
  <c r="K22" i="3" s="1"/>
  <c r="L29" i="8"/>
  <c r="R29" i="8" s="1" a="1"/>
  <c r="R29" i="8" s="1"/>
  <c r="AM11" i="3"/>
  <c r="O22" i="3"/>
  <c r="P22" i="3" s="1"/>
  <c r="G35" i="7"/>
  <c r="L11" i="8"/>
  <c r="AD11" i="8" s="1" a="1"/>
  <c r="AD11" i="8" s="1"/>
  <c r="AS11" i="3"/>
  <c r="AT11" i="3" s="1"/>
  <c r="U22" i="3"/>
  <c r="W22" i="3" s="1"/>
  <c r="U27" i="3"/>
  <c r="W27" i="3" s="1"/>
  <c r="X35" i="7"/>
  <c r="AG27" i="3"/>
  <c r="AI27" i="3" s="1"/>
  <c r="Y35" i="7"/>
  <c r="C12" i="8"/>
  <c r="C43" i="8" s="1"/>
  <c r="AG43" i="8" s="1"/>
  <c r="R9" i="8" a="1"/>
  <c r="R9" i="8" s="1"/>
  <c r="V9" i="8" a="1"/>
  <c r="V9" i="8" s="1"/>
  <c r="AD9" i="8" a="1"/>
  <c r="AD9" i="8" s="1"/>
  <c r="Z57" i="7"/>
  <c r="Y57" i="7"/>
  <c r="X57" i="7"/>
  <c r="AA57" i="7" s="1"/>
  <c r="G57" i="7"/>
  <c r="F57" i="7"/>
  <c r="AB17" i="3"/>
  <c r="F56" i="7"/>
  <c r="AL33" i="1"/>
  <c r="L14" i="8"/>
  <c r="V14" i="8" s="1" a="1"/>
  <c r="V14" i="8" s="1"/>
  <c r="AG14" i="8"/>
  <c r="CU45" i="8" s="1"/>
  <c r="E14" i="8"/>
  <c r="G14" i="8" s="1"/>
  <c r="AG27" i="8"/>
  <c r="CU58" i="8" s="1"/>
  <c r="L27" i="8"/>
  <c r="AD27" i="8" s="1" a="1"/>
  <c r="AD27" i="8" s="1"/>
  <c r="E27" i="8"/>
  <c r="G27" i="8" s="1"/>
  <c r="D27" i="8"/>
  <c r="C27" i="8"/>
  <c r="AG34" i="1"/>
  <c r="AH34" i="1" s="1"/>
  <c r="E7" i="3"/>
  <c r="AU11" i="3"/>
  <c r="AV11" i="3" s="1"/>
  <c r="AW11" i="3" s="1"/>
  <c r="AX11" i="3" s="1"/>
  <c r="J19" i="3"/>
  <c r="L19" i="3" s="1"/>
  <c r="AL34" i="1"/>
  <c r="C14" i="8"/>
  <c r="I7" i="3"/>
  <c r="K7" i="3" s="1"/>
  <c r="AZ11" i="3"/>
  <c r="BA11" i="3"/>
  <c r="D14" i="8"/>
  <c r="E15" i="8"/>
  <c r="F15" i="8" s="1"/>
  <c r="H15" i="8" s="1"/>
  <c r="D15" i="8"/>
  <c r="C15" i="8"/>
  <c r="Z49" i="7"/>
  <c r="Y49" i="7"/>
  <c r="X49" i="7"/>
  <c r="AA49" i="7" s="1"/>
  <c r="G49" i="7"/>
  <c r="F49" i="7"/>
  <c r="Z56" i="7"/>
  <c r="AG13" i="8"/>
  <c r="CU44" i="8" s="1"/>
  <c r="AS13" i="3"/>
  <c r="AU13" i="3" s="1"/>
  <c r="AA13" i="3"/>
  <c r="AC13" i="3" s="1"/>
  <c r="E25" i="3"/>
  <c r="F37" i="7"/>
  <c r="X37" i="7"/>
  <c r="AB15" i="3"/>
  <c r="AC15" i="3"/>
  <c r="F38" i="7"/>
  <c r="Y38" i="7" s="1"/>
  <c r="AG17" i="8"/>
  <c r="CU48" i="8" s="1"/>
  <c r="AS30" i="3"/>
  <c r="AT30" i="3" s="1"/>
  <c r="AY30" i="3"/>
  <c r="BA30" i="3" s="1"/>
  <c r="AG30" i="3"/>
  <c r="AH30" i="3" s="1"/>
  <c r="U30" i="3"/>
  <c r="V30" i="3" s="1"/>
  <c r="AI10" i="3"/>
  <c r="AH10" i="3"/>
  <c r="Y56" i="7"/>
  <c r="G17" i="8"/>
  <c r="BE10" i="3"/>
  <c r="BG10" i="3" s="1"/>
  <c r="AS10" i="3"/>
  <c r="AY10" i="3"/>
  <c r="BA10" i="3" s="1"/>
  <c r="AM10" i="3"/>
  <c r="AA10" i="3"/>
  <c r="U10" i="3"/>
  <c r="O10" i="3"/>
  <c r="D10" i="3"/>
  <c r="BG22" i="3"/>
  <c r="BA29" i="3"/>
  <c r="BB29" i="3" s="1"/>
  <c r="BC29" i="3" s="1"/>
  <c r="BD29" i="3" s="1"/>
  <c r="AM18" i="3"/>
  <c r="AO18" i="3" s="1"/>
  <c r="BE18" i="3"/>
  <c r="BG18" i="3" s="1"/>
  <c r="AY18" i="3"/>
  <c r="AZ18" i="3" s="1"/>
  <c r="AS18" i="3"/>
  <c r="Z37" i="7"/>
  <c r="C17" i="8"/>
  <c r="C48" i="8" s="1"/>
  <c r="AI15" i="3"/>
  <c r="AJ15" i="3" s="1"/>
  <c r="AK15" i="3" s="1"/>
  <c r="AL15" i="3" s="1"/>
  <c r="L17" i="8"/>
  <c r="Z17" i="8" s="1" a="1"/>
  <c r="Z17" i="8" s="1"/>
  <c r="E10" i="3"/>
  <c r="M10" i="4"/>
  <c r="N10" i="4" s="1"/>
  <c r="H10" i="4"/>
  <c r="I10" i="4" s="1"/>
  <c r="J10" i="4" s="1"/>
  <c r="K10" i="4" s="1"/>
  <c r="AD22" i="8" a="1"/>
  <c r="AD22" i="8" s="1"/>
  <c r="R22" i="8" a="1"/>
  <c r="R22" i="8" s="1"/>
  <c r="D30" i="3"/>
  <c r="G56" i="7"/>
  <c r="Z23" i="8" a="1"/>
  <c r="Z23" i="8" s="1"/>
  <c r="I18" i="3"/>
  <c r="O30" i="3"/>
  <c r="Q30" i="3" s="1"/>
  <c r="BE4" i="3"/>
  <c r="BG4" i="3" s="1"/>
  <c r="U18" i="3"/>
  <c r="BE7" i="3"/>
  <c r="AY7" i="3"/>
  <c r="BA7" i="3" s="1"/>
  <c r="AS7" i="3"/>
  <c r="AU7" i="3" s="1"/>
  <c r="BE25" i="3"/>
  <c r="BG25" i="3" s="1"/>
  <c r="AS25" i="3"/>
  <c r="AA25" i="3"/>
  <c r="U25" i="3"/>
  <c r="O25" i="3"/>
  <c r="Q25" i="3" s="1"/>
  <c r="C9" i="8"/>
  <c r="AY25" i="3"/>
  <c r="BA25" i="3" s="1"/>
  <c r="D17" i="8"/>
  <c r="AY17" i="3"/>
  <c r="AS17" i="3"/>
  <c r="AM17" i="3"/>
  <c r="AG17" i="3"/>
  <c r="O17" i="3"/>
  <c r="E17" i="3"/>
  <c r="I17" i="3"/>
  <c r="D17" i="3"/>
  <c r="F39" i="7"/>
  <c r="C10" i="8"/>
  <c r="C41" i="8" s="1"/>
  <c r="AG41" i="8" s="1"/>
  <c r="A49" i="3"/>
  <c r="A51" i="3" s="1"/>
  <c r="O23" i="3"/>
  <c r="X39" i="7"/>
  <c r="D29" i="3"/>
  <c r="A43" i="3"/>
  <c r="A44" i="3" s="1"/>
  <c r="Z39" i="7"/>
  <c r="AL29" i="1"/>
  <c r="I12" i="3"/>
  <c r="K12" i="3" s="1"/>
  <c r="AA27" i="3"/>
  <c r="E29" i="3"/>
  <c r="C11" i="8"/>
  <c r="C20" i="8"/>
  <c r="D8" i="3"/>
  <c r="O12" i="3"/>
  <c r="Q12" i="3" s="1"/>
  <c r="I29" i="3"/>
  <c r="A67" i="3"/>
  <c r="C67" i="3" s="1"/>
  <c r="D11" i="8"/>
  <c r="E8" i="3"/>
  <c r="D24" i="3"/>
  <c r="A73" i="3"/>
  <c r="C73" i="3" s="1"/>
  <c r="E11" i="8"/>
  <c r="F11" i="8" s="1"/>
  <c r="H11" i="8" s="1"/>
  <c r="D22" i="8"/>
  <c r="X34" i="7"/>
  <c r="F52" i="7"/>
  <c r="E22" i="8"/>
  <c r="F22" i="8" s="1"/>
  <c r="H22" i="8" s="1"/>
  <c r="E26" i="3"/>
  <c r="AT27" i="3"/>
  <c r="AV27" i="3" s="1"/>
  <c r="AW27" i="3" s="1"/>
  <c r="AX27" i="3" s="1"/>
  <c r="AA29" i="3"/>
  <c r="Y52" i="7"/>
  <c r="C28" i="8"/>
  <c r="AA8" i="3"/>
  <c r="AY14" i="3"/>
  <c r="AZ14" i="3" s="1"/>
  <c r="U26" i="3"/>
  <c r="W26" i="3" s="1"/>
  <c r="AY27" i="3"/>
  <c r="F35" i="7"/>
  <c r="F44" i="7"/>
  <c r="C16" i="8"/>
  <c r="C47" i="8" s="1"/>
  <c r="D15" i="3"/>
  <c r="AA21" i="3"/>
  <c r="AG26" i="3"/>
  <c r="AI26" i="3" s="1"/>
  <c r="AM29" i="3"/>
  <c r="AN29" i="3" s="1"/>
  <c r="C23" i="8"/>
  <c r="C54" i="8" s="1"/>
  <c r="G54" i="8" s="1"/>
  <c r="C29" i="8"/>
  <c r="C60" i="8" s="1"/>
  <c r="E60" i="8" s="1"/>
  <c r="F60" i="8" s="1"/>
  <c r="AL24" i="1"/>
  <c r="E15" i="3"/>
  <c r="F15" i="3" s="1"/>
  <c r="G15" i="3" s="1"/>
  <c r="AS26" i="3"/>
  <c r="AU26" i="3" s="1"/>
  <c r="D28" i="3"/>
  <c r="AS29" i="3"/>
  <c r="C7" i="8"/>
  <c r="C38" i="8" s="1"/>
  <c r="D23" i="8"/>
  <c r="D29" i="8"/>
  <c r="E28" i="3"/>
  <c r="E29" i="8"/>
  <c r="F29" i="8" s="1"/>
  <c r="H29" i="8" s="1"/>
  <c r="O15" i="3"/>
  <c r="AG21" i="3"/>
  <c r="AY26" i="3"/>
  <c r="BA26" i="3" s="1"/>
  <c r="L16" i="8"/>
  <c r="E23" i="8"/>
  <c r="G23" i="8" s="1"/>
  <c r="AA9" i="3"/>
  <c r="AM21" i="3"/>
  <c r="AN21" i="3" s="1"/>
  <c r="I28" i="3"/>
  <c r="F36" i="7"/>
  <c r="G55" i="7"/>
  <c r="AG18" i="1"/>
  <c r="AH18" i="1" s="1"/>
  <c r="AN18" i="1" s="1"/>
  <c r="AO11" i="3"/>
  <c r="AN11" i="3"/>
  <c r="AI18" i="1"/>
  <c r="D16" i="3"/>
  <c r="AY16" i="3"/>
  <c r="O16" i="3"/>
  <c r="I16" i="3"/>
  <c r="E16" i="3"/>
  <c r="BE16" i="3"/>
  <c r="AM16" i="3"/>
  <c r="AS16" i="3"/>
  <c r="AG16" i="3"/>
  <c r="AA16" i="3"/>
  <c r="U16" i="3"/>
  <c r="AI23" i="3"/>
  <c r="U6" i="3"/>
  <c r="A71" i="3"/>
  <c r="A72" i="3"/>
  <c r="C70" i="3"/>
  <c r="C71" i="3" s="1"/>
  <c r="C15" i="7" s="1"/>
  <c r="E15" i="7" s="1"/>
  <c r="AT20" i="3"/>
  <c r="AG29" i="1"/>
  <c r="AH29" i="1" s="1"/>
  <c r="AN29" i="1" s="1"/>
  <c r="AG25" i="1"/>
  <c r="AH25" i="1" s="1"/>
  <c r="AN25" i="1" s="1"/>
  <c r="AG21" i="1"/>
  <c r="AH21" i="1" s="1"/>
  <c r="G15" i="11" s="1"/>
  <c r="AJ17" i="1"/>
  <c r="AG17" i="1"/>
  <c r="AH17" i="1" s="1"/>
  <c r="AN17" i="1" s="1"/>
  <c r="AG32" i="1"/>
  <c r="AH32" i="1" s="1"/>
  <c r="AN32" i="1" s="1"/>
  <c r="AG28" i="1"/>
  <c r="AH28" i="1" s="1"/>
  <c r="AG24" i="1"/>
  <c r="AH24" i="1" s="1"/>
  <c r="AN24" i="1" s="1"/>
  <c r="AI20" i="1"/>
  <c r="AJ35" i="1"/>
  <c r="AJ24" i="1"/>
  <c r="AI19" i="1"/>
  <c r="AG19" i="1"/>
  <c r="AH19" i="1" s="1"/>
  <c r="G13" i="11" s="1"/>
  <c r="AI24" i="1"/>
  <c r="AJ28" i="1"/>
  <c r="AI28" i="1"/>
  <c r="AJ19" i="1"/>
  <c r="AJ32" i="1"/>
  <c r="AI32" i="1"/>
  <c r="AJ27" i="1"/>
  <c r="AG23" i="1"/>
  <c r="AH23" i="1" s="1"/>
  <c r="AN23" i="1" s="1"/>
  <c r="AJ31" i="1"/>
  <c r="AI27" i="1"/>
  <c r="AG27" i="1"/>
  <c r="AH27" i="1" s="1"/>
  <c r="G21" i="11" s="1"/>
  <c r="AJ18" i="1"/>
  <c r="AJ22" i="1"/>
  <c r="AJ25" i="1"/>
  <c r="AI25" i="1"/>
  <c r="AJ33" i="1"/>
  <c r="AI17" i="1"/>
  <c r="AI33" i="1"/>
  <c r="AG33" i="1"/>
  <c r="AH33" i="1" s="1"/>
  <c r="G27" i="11" s="1"/>
  <c r="AI22" i="1"/>
  <c r="AG22" i="1"/>
  <c r="AH22" i="1" s="1"/>
  <c r="G16" i="11" s="1"/>
  <c r="AI31" i="1"/>
  <c r="AJ20" i="1"/>
  <c r="AJ21" i="1"/>
  <c r="AJ26" i="1"/>
  <c r="AI26" i="1"/>
  <c r="AG26" i="1"/>
  <c r="AH26" i="1" s="1"/>
  <c r="G20" i="11" s="1"/>
  <c r="AI21" i="1"/>
  <c r="AG31" i="1"/>
  <c r="AH31" i="1" s="1"/>
  <c r="G25" i="11" s="1"/>
  <c r="AI30" i="1"/>
  <c r="AG20" i="1"/>
  <c r="AH20" i="1" s="1"/>
  <c r="AN20" i="1" s="1"/>
  <c r="AI34" i="1"/>
  <c r="AJ34" i="1"/>
  <c r="W29" i="3"/>
  <c r="V29" i="3"/>
  <c r="AG6" i="3"/>
  <c r="AA6" i="3"/>
  <c r="O6" i="3"/>
  <c r="BE6" i="3"/>
  <c r="I6" i="3"/>
  <c r="AY6" i="3"/>
  <c r="E6" i="3"/>
  <c r="F6" i="3" s="1"/>
  <c r="G6" i="3" s="1"/>
  <c r="H6" i="3" s="1"/>
  <c r="AS6" i="3"/>
  <c r="AM6" i="3"/>
  <c r="AI23" i="1"/>
  <c r="AJ30" i="1"/>
  <c r="E6" i="8"/>
  <c r="L6" i="8"/>
  <c r="D6" i="8"/>
  <c r="C6" i="8"/>
  <c r="C56" i="8"/>
  <c r="K25" i="8"/>
  <c r="AI29" i="1"/>
  <c r="BG21" i="3"/>
  <c r="BF21" i="3"/>
  <c r="AJ23" i="3"/>
  <c r="AK23" i="3" s="1"/>
  <c r="AL23" i="3" s="1"/>
  <c r="AG30" i="1"/>
  <c r="AH30" i="1" s="1"/>
  <c r="G24" i="11" s="1"/>
  <c r="AJ23" i="1"/>
  <c r="W4" i="3"/>
  <c r="V4" i="3"/>
  <c r="AN14" i="3"/>
  <c r="AO14" i="3"/>
  <c r="F47" i="7"/>
  <c r="Z47" i="7"/>
  <c r="Y47" i="7"/>
  <c r="AL27" i="1"/>
  <c r="G47" i="7"/>
  <c r="X47" i="7"/>
  <c r="AA47" i="7" s="1"/>
  <c r="AL22" i="1"/>
  <c r="AL17" i="1"/>
  <c r="AL30" i="1"/>
  <c r="AL25" i="1"/>
  <c r="AL26" i="1"/>
  <c r="AL21" i="1"/>
  <c r="Z12" i="8" a="1"/>
  <c r="Z12" i="8" s="1"/>
  <c r="V12" i="8" a="1"/>
  <c r="V12" i="8" s="1"/>
  <c r="R12" i="8" a="1"/>
  <c r="R12" i="8" s="1"/>
  <c r="BE5" i="3"/>
  <c r="AY5" i="3"/>
  <c r="AA5" i="3"/>
  <c r="O5" i="3"/>
  <c r="AG5" i="3"/>
  <c r="U5" i="3"/>
  <c r="I5" i="3"/>
  <c r="AS5" i="3"/>
  <c r="AM5" i="3"/>
  <c r="AJ29" i="1"/>
  <c r="E5" i="3"/>
  <c r="F5" i="3" s="1"/>
  <c r="G5" i="3" s="1"/>
  <c r="H5" i="3" s="1"/>
  <c r="V12" i="3"/>
  <c r="BF14" i="3"/>
  <c r="A105" i="3"/>
  <c r="E14" i="3"/>
  <c r="I4" i="3"/>
  <c r="D14" i="3"/>
  <c r="F51" i="7"/>
  <c r="Z51" i="7"/>
  <c r="Y51" i="7"/>
  <c r="X51" i="7"/>
  <c r="AA51" i="7" s="1"/>
  <c r="G51" i="7"/>
  <c r="E21" i="8"/>
  <c r="G21" i="8" s="1"/>
  <c r="AG21" i="8"/>
  <c r="CU52" i="8" s="1"/>
  <c r="C21" i="8"/>
  <c r="D21" i="8"/>
  <c r="L21" i="8"/>
  <c r="D9" i="8"/>
  <c r="E9" i="8"/>
  <c r="D13" i="3"/>
  <c r="BE13" i="3"/>
  <c r="AY13" i="3"/>
  <c r="I13" i="3"/>
  <c r="AM13" i="3"/>
  <c r="AG13" i="3"/>
  <c r="AA20" i="3"/>
  <c r="AG20" i="3"/>
  <c r="O20" i="3"/>
  <c r="BE20" i="3"/>
  <c r="I20" i="3"/>
  <c r="E20" i="3"/>
  <c r="D20" i="3"/>
  <c r="E13" i="3"/>
  <c r="L25" i="8"/>
  <c r="E25" i="8"/>
  <c r="G25" i="8" s="1"/>
  <c r="D25" i="8"/>
  <c r="AG25" i="8"/>
  <c r="CU56" i="8" s="1"/>
  <c r="U20" i="3"/>
  <c r="AA23" i="3"/>
  <c r="E23" i="3"/>
  <c r="BE23" i="3"/>
  <c r="AY23" i="3"/>
  <c r="I23" i="3"/>
  <c r="D23" i="3"/>
  <c r="AM23" i="3"/>
  <c r="AS23" i="3"/>
  <c r="AG4" i="3"/>
  <c r="E4" i="3"/>
  <c r="AA4" i="3"/>
  <c r="AY4" i="3"/>
  <c r="O4" i="3"/>
  <c r="AS4" i="3"/>
  <c r="AM4" i="3"/>
  <c r="AP27" i="3"/>
  <c r="AQ27" i="3" s="1"/>
  <c r="AR27" i="3" s="1"/>
  <c r="D3" i="8"/>
  <c r="C34" i="8"/>
  <c r="K3" i="8"/>
  <c r="Z7" i="8" a="1"/>
  <c r="Z7" i="8" s="1"/>
  <c r="R7" i="8" a="1"/>
  <c r="R7" i="8" s="1"/>
  <c r="N7" i="8" a="1"/>
  <c r="N7" i="8" s="1"/>
  <c r="AD7" i="8" a="1"/>
  <c r="AD7" i="8" s="1"/>
  <c r="BG8" i="3"/>
  <c r="BF8" i="3"/>
  <c r="F54" i="7"/>
  <c r="X54" i="7"/>
  <c r="AA54" i="7" s="1"/>
  <c r="G54" i="7"/>
  <c r="L3" i="8"/>
  <c r="O13" i="3"/>
  <c r="Y54" i="7"/>
  <c r="N10" i="8" a="1"/>
  <c r="N10" i="8" s="1"/>
  <c r="AD10" i="8" a="1"/>
  <c r="AD10" i="8" s="1"/>
  <c r="R10" i="8" a="1"/>
  <c r="R10" i="8" s="1"/>
  <c r="Z10" i="8" a="1"/>
  <c r="Z10" i="8" s="1"/>
  <c r="V10" i="8" a="1"/>
  <c r="V10" i="8" s="1"/>
  <c r="D4" i="3"/>
  <c r="AB7" i="3"/>
  <c r="U14" i="3"/>
  <c r="O14" i="3"/>
  <c r="AG14" i="3"/>
  <c r="AA14" i="3"/>
  <c r="AL31" i="1"/>
  <c r="AS14" i="3"/>
  <c r="AM20" i="3"/>
  <c r="U23" i="3"/>
  <c r="Z54" i="7"/>
  <c r="I14" i="3"/>
  <c r="BG26" i="3"/>
  <c r="BH26" i="3" s="1"/>
  <c r="BI26" i="3" s="1"/>
  <c r="BJ26" i="3" s="1"/>
  <c r="U13" i="3"/>
  <c r="BE19" i="3"/>
  <c r="AY19" i="3"/>
  <c r="AS19" i="3"/>
  <c r="D19" i="3"/>
  <c r="U19" i="3"/>
  <c r="O19" i="3"/>
  <c r="F40" i="7"/>
  <c r="Y40" i="7"/>
  <c r="B4" i="4"/>
  <c r="A4" i="4"/>
  <c r="AL35" i="1"/>
  <c r="AS9" i="3"/>
  <c r="E19" i="3"/>
  <c r="G40" i="7"/>
  <c r="AL18" i="1"/>
  <c r="X40" i="7"/>
  <c r="Z48" i="7"/>
  <c r="F48" i="7"/>
  <c r="Y48" i="7"/>
  <c r="X48" i="7"/>
  <c r="AA48" i="7" s="1"/>
  <c r="Q18" i="3"/>
  <c r="P18" i="3"/>
  <c r="G34" i="7"/>
  <c r="Z34" i="7"/>
  <c r="AL20" i="1"/>
  <c r="AL19" i="1"/>
  <c r="L4" i="8"/>
  <c r="D4" i="8"/>
  <c r="E4" i="8"/>
  <c r="C4" i="8"/>
  <c r="AY9" i="3"/>
  <c r="BA15" i="3"/>
  <c r="BF28" i="3"/>
  <c r="BG28" i="3"/>
  <c r="F34" i="7"/>
  <c r="D8" i="8"/>
  <c r="L8" i="8"/>
  <c r="C39" i="8"/>
  <c r="K8" i="8"/>
  <c r="C5" i="8"/>
  <c r="L5" i="8"/>
  <c r="E5" i="8"/>
  <c r="D5" i="8"/>
  <c r="U21" i="3"/>
  <c r="O21" i="3"/>
  <c r="AY21" i="3"/>
  <c r="I21" i="3"/>
  <c r="AS21" i="3"/>
  <c r="E21" i="3"/>
  <c r="Y34" i="7"/>
  <c r="X41" i="7"/>
  <c r="E8" i="8"/>
  <c r="E7" i="8"/>
  <c r="D7" i="8"/>
  <c r="D21" i="3"/>
  <c r="Y41" i="7"/>
  <c r="D9" i="3"/>
  <c r="I9" i="3"/>
  <c r="BE9" i="3"/>
  <c r="U9" i="3"/>
  <c r="O9" i="3"/>
  <c r="AL23" i="1"/>
  <c r="BE12" i="3"/>
  <c r="AY12" i="3"/>
  <c r="AS12" i="3"/>
  <c r="AG12" i="3"/>
  <c r="AM12" i="3"/>
  <c r="E12" i="3"/>
  <c r="D12" i="3"/>
  <c r="Z41" i="7"/>
  <c r="A76" i="3"/>
  <c r="A46" i="3"/>
  <c r="A100" i="3"/>
  <c r="A58" i="3"/>
  <c r="A37" i="3"/>
  <c r="A61" i="3"/>
  <c r="A82" i="3"/>
  <c r="A97" i="3"/>
  <c r="A94" i="3"/>
  <c r="A91" i="3"/>
  <c r="A40" i="3"/>
  <c r="A106" i="3"/>
  <c r="A109" i="3"/>
  <c r="A52" i="3"/>
  <c r="A88" i="3"/>
  <c r="A64" i="3"/>
  <c r="A79" i="3"/>
  <c r="A55" i="3"/>
  <c r="A112" i="3"/>
  <c r="AA19" i="3"/>
  <c r="F42" i="7"/>
  <c r="X42" i="7"/>
  <c r="AA42" i="7" s="1"/>
  <c r="Z42" i="7"/>
  <c r="Y42" i="7"/>
  <c r="AG19" i="8"/>
  <c r="CU50" i="8" s="1"/>
  <c r="L19" i="8"/>
  <c r="E19" i="8"/>
  <c r="G19" i="8" s="1"/>
  <c r="D19" i="8"/>
  <c r="C19" i="8"/>
  <c r="AL32" i="1"/>
  <c r="D51" i="8"/>
  <c r="AL28" i="1"/>
  <c r="A4" i="3"/>
  <c r="U7" i="3"/>
  <c r="O7" i="3"/>
  <c r="AM7" i="3"/>
  <c r="D7" i="3"/>
  <c r="AG7" i="3"/>
  <c r="G42" i="7"/>
  <c r="Y50" i="7"/>
  <c r="F50" i="7"/>
  <c r="X50" i="7"/>
  <c r="AA50" i="7" s="1"/>
  <c r="G50" i="7"/>
  <c r="L26" i="8"/>
  <c r="AG26" i="8"/>
  <c r="CU57" i="8" s="1"/>
  <c r="E26" i="8"/>
  <c r="F26" i="8"/>
  <c r="H26" i="8" s="1"/>
  <c r="G26" i="8"/>
  <c r="C26" i="8"/>
  <c r="BG17" i="3"/>
  <c r="BF17" i="3"/>
  <c r="J25" i="3"/>
  <c r="K25" i="3"/>
  <c r="J27" i="3"/>
  <c r="X45" i="7"/>
  <c r="AA45" i="7" s="1"/>
  <c r="F45" i="7"/>
  <c r="L13" i="8"/>
  <c r="E13" i="8"/>
  <c r="F13" i="8" s="1"/>
  <c r="H13" i="8" s="1"/>
  <c r="I13" i="8" s="1"/>
  <c r="AH13" i="8" s="1"/>
  <c r="K13" i="8"/>
  <c r="C44" i="8"/>
  <c r="B27" i="4"/>
  <c r="C27" i="4" s="1"/>
  <c r="D27" i="4"/>
  <c r="E27" i="4"/>
  <c r="F27" i="4" s="1"/>
  <c r="A11" i="4"/>
  <c r="A12" i="4" s="1"/>
  <c r="AS15" i="3"/>
  <c r="AM15" i="3"/>
  <c r="U15" i="3"/>
  <c r="I15" i="3"/>
  <c r="AM30" i="3"/>
  <c r="Z38" i="7"/>
  <c r="G38" i="7"/>
  <c r="Y45" i="7"/>
  <c r="X52" i="7"/>
  <c r="AA52" i="7" s="1"/>
  <c r="Z58" i="7"/>
  <c r="X58" i="7"/>
  <c r="AA58" i="7" s="1"/>
  <c r="D13" i="8"/>
  <c r="L15" i="8"/>
  <c r="AG15" i="8"/>
  <c r="CU46" i="8" s="1"/>
  <c r="E24" i="8"/>
  <c r="G24" i="8" s="1"/>
  <c r="C24" i="8"/>
  <c r="L24" i="8"/>
  <c r="D24" i="8"/>
  <c r="AG18" i="3"/>
  <c r="E18" i="3"/>
  <c r="AA18" i="3"/>
  <c r="D18" i="3"/>
  <c r="AB22" i="3"/>
  <c r="Z52" i="7"/>
  <c r="G58" i="7"/>
  <c r="V22" i="8" a="1"/>
  <c r="V22" i="8" s="1"/>
  <c r="Z22" i="8" a="1"/>
  <c r="Z22" i="8" s="1"/>
  <c r="AG11" i="3"/>
  <c r="E11" i="3"/>
  <c r="AA11" i="3"/>
  <c r="G46" i="7"/>
  <c r="F53" i="7"/>
  <c r="E20" i="8"/>
  <c r="G20" i="8" s="1"/>
  <c r="AG20" i="8"/>
  <c r="CU51" i="8" s="1"/>
  <c r="L20" i="8"/>
  <c r="N22" i="8" a="1"/>
  <c r="N22" i="8" s="1"/>
  <c r="AA30" i="3"/>
  <c r="BE30" i="3"/>
  <c r="I30" i="3"/>
  <c r="F59" i="7"/>
  <c r="G59" i="7"/>
  <c r="Z59" i="7"/>
  <c r="Y59" i="7"/>
  <c r="X59" i="7"/>
  <c r="AA59" i="7" s="1"/>
  <c r="AS22" i="3"/>
  <c r="AM22" i="3"/>
  <c r="O26" i="3"/>
  <c r="I26" i="3"/>
  <c r="AM26" i="3"/>
  <c r="Z60" i="7"/>
  <c r="G60" i="7"/>
  <c r="F60" i="7"/>
  <c r="Y60" i="7"/>
  <c r="X60" i="7"/>
  <c r="AA60" i="7" s="1"/>
  <c r="D22" i="3"/>
  <c r="D26" i="3"/>
  <c r="AS8" i="3"/>
  <c r="AM8" i="3"/>
  <c r="G18" i="8"/>
  <c r="D18" i="8"/>
  <c r="C18" i="8"/>
  <c r="F18" i="8"/>
  <c r="H18" i="8" s="1"/>
  <c r="AG18" i="8"/>
  <c r="CU49" i="8" s="1"/>
  <c r="AY22" i="3"/>
  <c r="N9" i="8" a="1"/>
  <c r="N9" i="8" s="1"/>
  <c r="Z9" i="8" a="1"/>
  <c r="Z9" i="8" s="1"/>
  <c r="R16" i="8" a="1"/>
  <c r="R16" i="8" s="1"/>
  <c r="V16" i="8" a="1"/>
  <c r="V16" i="8" s="1"/>
  <c r="Z16" i="8" a="1"/>
  <c r="Z16" i="8" s="1"/>
  <c r="L18" i="8"/>
  <c r="F43" i="7"/>
  <c r="Y43" i="7"/>
  <c r="X43" i="7"/>
  <c r="AA43" i="7" s="1"/>
  <c r="AM25" i="3"/>
  <c r="AG25" i="3"/>
  <c r="D25" i="3"/>
  <c r="Z43" i="7"/>
  <c r="E10" i="8"/>
  <c r="F10" i="8" s="1"/>
  <c r="D10" i="8"/>
  <c r="F17" i="8"/>
  <c r="H17" i="8" s="1"/>
  <c r="AG28" i="8"/>
  <c r="CU59" i="8" s="1"/>
  <c r="E28" i="8"/>
  <c r="E12" i="8"/>
  <c r="L28" i="8"/>
  <c r="AD23" i="8" a="1"/>
  <c r="AD23" i="8" s="1"/>
  <c r="V23" i="8" a="1"/>
  <c r="V23" i="8" s="1"/>
  <c r="N23" i="8" a="1"/>
  <c r="N23" i="8" s="1"/>
  <c r="AG22" i="8"/>
  <c r="CU53" i="8" s="1"/>
  <c r="C22" i="8"/>
  <c r="AG3" i="8"/>
  <c r="CU42" i="8"/>
  <c r="AG10" i="8"/>
  <c r="F27" i="8" l="1"/>
  <c r="H27" i="8" s="1"/>
  <c r="I27" i="8" s="1"/>
  <c r="AI27" i="8" s="1"/>
  <c r="AN35" i="1"/>
  <c r="AD17" i="3"/>
  <c r="AE17" i="3" s="1"/>
  <c r="AF17" i="3" s="1"/>
  <c r="F25" i="8"/>
  <c r="H25" i="8" s="1"/>
  <c r="I25" i="8" s="1"/>
  <c r="AH25" i="8" s="1"/>
  <c r="G3" i="8"/>
  <c r="H3" i="8" s="1"/>
  <c r="I3" i="8" s="1"/>
  <c r="BF4" i="3"/>
  <c r="BH4" i="3" s="1"/>
  <c r="BI4" i="3" s="1"/>
  <c r="BJ4" i="3" s="1"/>
  <c r="A50" i="3"/>
  <c r="J8" i="8"/>
  <c r="G15" i="8"/>
  <c r="F11" i="3"/>
  <c r="G11" i="3" s="1"/>
  <c r="H11" i="3" s="1"/>
  <c r="S54" i="8"/>
  <c r="X54" i="8" s="1"/>
  <c r="AW54" i="8" s="1"/>
  <c r="K11" i="3"/>
  <c r="L11" i="3" s="1"/>
  <c r="M11" i="3" s="1"/>
  <c r="N11" i="3" s="1"/>
  <c r="AJ54" i="8"/>
  <c r="AO54" i="8" s="1"/>
  <c r="U54" i="8"/>
  <c r="Z54" i="8" s="1"/>
  <c r="AY54" i="8" s="1"/>
  <c r="F24" i="8"/>
  <c r="H24" i="8" s="1"/>
  <c r="I24" i="8" s="1"/>
  <c r="AI24" i="8" s="1"/>
  <c r="F19" i="8"/>
  <c r="H19" i="8" s="1"/>
  <c r="I19" i="8" s="1"/>
  <c r="I16" i="8"/>
  <c r="AH16" i="8" s="1"/>
  <c r="F20" i="8"/>
  <c r="H20" i="8" s="1"/>
  <c r="I20" i="8" s="1"/>
  <c r="AA35" i="7"/>
  <c r="AI54" i="8"/>
  <c r="AN54" i="8" s="1"/>
  <c r="T54" i="8"/>
  <c r="Y54" i="8" s="1"/>
  <c r="AX54" i="8" s="1"/>
  <c r="AD54" i="8"/>
  <c r="J23" i="8"/>
  <c r="J3" i="8"/>
  <c r="J24" i="8"/>
  <c r="F29" i="3"/>
  <c r="G29" i="3" s="1"/>
  <c r="AM34" i="1" s="1"/>
  <c r="G16" i="8"/>
  <c r="F28" i="3"/>
  <c r="G28" i="3" s="1"/>
  <c r="H28" i="3" s="1"/>
  <c r="A104" i="3"/>
  <c r="D104" i="3" s="1"/>
  <c r="A75" i="3"/>
  <c r="AI29" i="3"/>
  <c r="AJ29" i="3" s="1"/>
  <c r="AK29" i="3" s="1"/>
  <c r="AL29" i="3" s="1"/>
  <c r="A74" i="3"/>
  <c r="C74" i="3" s="1"/>
  <c r="C16" i="7" s="1"/>
  <c r="AI30" i="3"/>
  <c r="AJ30" i="3" s="1"/>
  <c r="AK30" i="3" s="1"/>
  <c r="AL30" i="3" s="1"/>
  <c r="W41" i="8"/>
  <c r="AB41" i="8" s="1"/>
  <c r="BA41" i="8" s="1"/>
  <c r="BF41" i="8" s="1"/>
  <c r="BK41" i="8" s="1"/>
  <c r="BP41" i="8" s="1"/>
  <c r="G103" i="3"/>
  <c r="P11" i="3"/>
  <c r="R11" i="3" s="1"/>
  <c r="S11" i="3" s="1"/>
  <c r="T11" i="3" s="1"/>
  <c r="AH8" i="3"/>
  <c r="AJ8" i="3" s="1"/>
  <c r="AK8" i="3" s="1"/>
  <c r="AL8" i="3" s="1"/>
  <c r="AN19" i="3"/>
  <c r="AP19" i="3" s="1"/>
  <c r="AQ19" i="3" s="1"/>
  <c r="AR19" i="3" s="1"/>
  <c r="G41" i="8"/>
  <c r="P30" i="3"/>
  <c r="R30" i="3" s="1"/>
  <c r="S30" i="3" s="1"/>
  <c r="T30" i="3" s="1"/>
  <c r="AF41" i="8"/>
  <c r="K70" i="3"/>
  <c r="AJ41" i="8"/>
  <c r="AO41" i="8" s="1"/>
  <c r="T41" i="8"/>
  <c r="Y41" i="8" s="1"/>
  <c r="AX41" i="8" s="1"/>
  <c r="AC26" i="3"/>
  <c r="AD26" i="3" s="1"/>
  <c r="AE26" i="3" s="1"/>
  <c r="AF26" i="3" s="1"/>
  <c r="R14" i="8" a="1"/>
  <c r="R14" i="8" s="1"/>
  <c r="N14" i="8" a="1"/>
  <c r="N14" i="8" s="1"/>
  <c r="K23" i="8"/>
  <c r="S23" i="8" s="1"/>
  <c r="CL54" i="8" s="1"/>
  <c r="L10" i="4"/>
  <c r="G11" i="8"/>
  <c r="AH26" i="3"/>
  <c r="AJ26" i="3" s="1"/>
  <c r="AK26" i="3" s="1"/>
  <c r="AL26" i="3" s="1"/>
  <c r="BH22" i="3"/>
  <c r="BI22" i="3" s="1"/>
  <c r="BJ22" i="3" s="1"/>
  <c r="P28" i="3"/>
  <c r="J22" i="3"/>
  <c r="L22" i="3" s="1"/>
  <c r="M22" i="3" s="1"/>
  <c r="N22" i="3" s="1"/>
  <c r="F10" i="3"/>
  <c r="G10" i="3" s="1"/>
  <c r="H10" i="3" s="1"/>
  <c r="M19" i="3"/>
  <c r="N19" i="3" s="1"/>
  <c r="BF27" i="3"/>
  <c r="BH27" i="3" s="1"/>
  <c r="BI27" i="3" s="1"/>
  <c r="BJ27" i="3" s="1"/>
  <c r="AI24" i="3"/>
  <c r="AJ24" i="3" s="1"/>
  <c r="AK24" i="3" s="1"/>
  <c r="AL24" i="3" s="1"/>
  <c r="V24" i="3"/>
  <c r="X24" i="3" s="1"/>
  <c r="I29" i="8"/>
  <c r="AI29" i="8" s="1"/>
  <c r="J15" i="8"/>
  <c r="AU30" i="3"/>
  <c r="AV30" i="3" s="1"/>
  <c r="AW30" i="3" s="1"/>
  <c r="AX30" i="3" s="1"/>
  <c r="AG60" i="8"/>
  <c r="I103" i="3"/>
  <c r="V27" i="8" a="1"/>
  <c r="V27" i="8" s="1"/>
  <c r="AH41" i="8"/>
  <c r="AM41" i="8" s="1"/>
  <c r="Q22" i="3"/>
  <c r="R22" i="3" s="1"/>
  <c r="S22" i="3" s="1"/>
  <c r="T22" i="3" s="1"/>
  <c r="AZ30" i="3"/>
  <c r="BB30" i="3" s="1"/>
  <c r="BC30" i="3" s="1"/>
  <c r="BD30" i="3" s="1"/>
  <c r="J16" i="8"/>
  <c r="K8" i="3"/>
  <c r="L8" i="3" s="1"/>
  <c r="M8" i="3" s="1"/>
  <c r="N8" i="3" s="1"/>
  <c r="Z11" i="8" a="1"/>
  <c r="Z11" i="8" s="1"/>
  <c r="K16" i="8"/>
  <c r="AA16" i="8" s="1"/>
  <c r="G19" i="11"/>
  <c r="J5" i="8"/>
  <c r="AB12" i="3"/>
  <c r="G14" i="11"/>
  <c r="AL43" i="8"/>
  <c r="AQ43" i="8" s="1"/>
  <c r="AV43" i="8" s="1"/>
  <c r="J17" i="8"/>
  <c r="P25" i="3"/>
  <c r="R25" i="3" s="1"/>
  <c r="S25" i="3" s="1"/>
  <c r="T25" i="3" s="1"/>
  <c r="AH27" i="3"/>
  <c r="AJ10" i="3"/>
  <c r="AK10" i="3" s="1"/>
  <c r="AL10" i="3" s="1"/>
  <c r="K17" i="8"/>
  <c r="AA17" i="8" s="1"/>
  <c r="BF11" i="3"/>
  <c r="BH11" i="3" s="1"/>
  <c r="BI11" i="3" s="1"/>
  <c r="BJ11" i="3" s="1"/>
  <c r="P24" i="3"/>
  <c r="R24" i="3" s="1"/>
  <c r="S24" i="3" s="1"/>
  <c r="T24" i="3" s="1"/>
  <c r="E41" i="8"/>
  <c r="F41" i="8" s="1"/>
  <c r="K41" i="8" s="1"/>
  <c r="J12" i="8"/>
  <c r="AT26" i="3"/>
  <c r="AV26" i="3" s="1"/>
  <c r="AW26" i="3" s="1"/>
  <c r="AX26" i="3" s="1"/>
  <c r="S41" i="8"/>
  <c r="X41" i="8" s="1"/>
  <c r="AW41" i="8" s="1"/>
  <c r="K10" i="8"/>
  <c r="AA10" i="8" s="1"/>
  <c r="AA41" i="7"/>
  <c r="U43" i="8"/>
  <c r="Z43" i="8" s="1"/>
  <c r="AY43" i="8" s="1"/>
  <c r="A87" i="3"/>
  <c r="K24" i="3"/>
  <c r="L24" i="3" s="1"/>
  <c r="M24" i="3" s="1"/>
  <c r="N24" i="3" s="1"/>
  <c r="AF43" i="8"/>
  <c r="AI41" i="8"/>
  <c r="AN41" i="8" s="1"/>
  <c r="V27" i="3"/>
  <c r="X27" i="3" s="1"/>
  <c r="Y27" i="3" s="1"/>
  <c r="Z27" i="3" s="1"/>
  <c r="V41" i="8"/>
  <c r="AA41" i="8" s="1"/>
  <c r="AZ41" i="8" s="1"/>
  <c r="AO29" i="3"/>
  <c r="AP29" i="3" s="1"/>
  <c r="AQ29" i="3" s="1"/>
  <c r="AR29" i="3" s="1"/>
  <c r="AH22" i="3"/>
  <c r="AJ22" i="3" s="1"/>
  <c r="AK22" i="3" s="1"/>
  <c r="AL22" i="3" s="1"/>
  <c r="V43" i="8"/>
  <c r="AA43" i="8" s="1"/>
  <c r="AZ43" i="8" s="1"/>
  <c r="AC41" i="8"/>
  <c r="AO28" i="3"/>
  <c r="AP28" i="3" s="1"/>
  <c r="AQ28" i="3" s="1"/>
  <c r="AR28" i="3" s="1"/>
  <c r="AI43" i="8"/>
  <c r="AN43" i="8" s="1"/>
  <c r="H41" i="8"/>
  <c r="I41" i="8" s="1"/>
  <c r="I17" i="8"/>
  <c r="AI17" i="8" s="1"/>
  <c r="J12" i="3"/>
  <c r="AD43" i="8"/>
  <c r="J10" i="8"/>
  <c r="E43" i="8"/>
  <c r="F43" i="8" s="1"/>
  <c r="P43" i="8" s="1"/>
  <c r="G43" i="8"/>
  <c r="BB15" i="3"/>
  <c r="BC15" i="3" s="1"/>
  <c r="BD15" i="3" s="1"/>
  <c r="K7" i="8"/>
  <c r="W7" i="8" s="1"/>
  <c r="X7" i="8" s="1"/>
  <c r="H43" i="8"/>
  <c r="I43" i="8" s="1"/>
  <c r="J11" i="8"/>
  <c r="AL54" i="8"/>
  <c r="AQ54" i="8" s="1"/>
  <c r="BA28" i="3"/>
  <c r="BB28" i="3" s="1"/>
  <c r="BC28" i="3" s="1"/>
  <c r="BD28" i="3" s="1"/>
  <c r="S43" i="8"/>
  <c r="X43" i="8" s="1"/>
  <c r="AW43" i="8" s="1"/>
  <c r="K12" i="8"/>
  <c r="O12" i="8" s="1"/>
  <c r="CK43" i="8" s="1"/>
  <c r="T43" i="8"/>
  <c r="Y43" i="8" s="1"/>
  <c r="AX43" i="8" s="1"/>
  <c r="W54" i="8"/>
  <c r="AB54" i="8" s="1"/>
  <c r="BA54" i="8" s="1"/>
  <c r="J7" i="3"/>
  <c r="L7" i="3" s="1"/>
  <c r="M7" i="3" s="1"/>
  <c r="AK43" i="8"/>
  <c r="AP43" i="8" s="1"/>
  <c r="AJ43" i="8"/>
  <c r="AO43" i="8" s="1"/>
  <c r="G18" i="11"/>
  <c r="K10" i="3"/>
  <c r="J10" i="3"/>
  <c r="Q27" i="3"/>
  <c r="P27" i="3"/>
  <c r="V11" i="3"/>
  <c r="X11" i="3" s="1"/>
  <c r="Y11" i="3" s="1"/>
  <c r="Z11" i="3" s="1"/>
  <c r="W43" i="8"/>
  <c r="AB43" i="8" s="1"/>
  <c r="BA43" i="8" s="1"/>
  <c r="BF43" i="8" s="1"/>
  <c r="BK43" i="8" s="1"/>
  <c r="BP43" i="8" s="1"/>
  <c r="AB13" i="3"/>
  <c r="AD13" i="3" s="1"/>
  <c r="AE13" i="3" s="1"/>
  <c r="AF13" i="3" s="1"/>
  <c r="P29" i="3"/>
  <c r="R29" i="3" s="1"/>
  <c r="S29" i="3" s="1"/>
  <c r="T29" i="3" s="1"/>
  <c r="J103" i="3"/>
  <c r="AN9" i="3"/>
  <c r="AZ8" i="3"/>
  <c r="BB8" i="3" s="1"/>
  <c r="BC8" i="3" s="1"/>
  <c r="BD8" i="3" s="1"/>
  <c r="AC43" i="8"/>
  <c r="AK41" i="8"/>
  <c r="AP41" i="8" s="1"/>
  <c r="P8" i="3"/>
  <c r="R8" i="3" s="1"/>
  <c r="S8" i="3" s="1"/>
  <c r="T8" i="3" s="1"/>
  <c r="AD17" i="8" a="1"/>
  <c r="AD17" i="8" s="1"/>
  <c r="AU28" i="3"/>
  <c r="AV28" i="3" s="1"/>
  <c r="AW28" i="3" s="1"/>
  <c r="AX28" i="3" s="1"/>
  <c r="AE43" i="8"/>
  <c r="R17" i="8" a="1"/>
  <c r="R17" i="8" s="1"/>
  <c r="AO21" i="3"/>
  <c r="AP21" i="3" s="1"/>
  <c r="AQ21" i="3" s="1"/>
  <c r="AR21" i="3" s="1"/>
  <c r="AZ20" i="3"/>
  <c r="BB20" i="3" s="1"/>
  <c r="BC20" i="3" s="1"/>
  <c r="BD20" i="3" s="1"/>
  <c r="AH43" i="8"/>
  <c r="AM43" i="8" s="1"/>
  <c r="BF24" i="3"/>
  <c r="BH24" i="3" s="1"/>
  <c r="BI24" i="3" s="1"/>
  <c r="BJ24" i="3" s="1"/>
  <c r="N17" i="8" a="1"/>
  <c r="N17" i="8" s="1"/>
  <c r="V22" i="3"/>
  <c r="X22" i="3" s="1"/>
  <c r="Y22" i="3" s="1"/>
  <c r="Z22" i="3" s="1"/>
  <c r="F23" i="8"/>
  <c r="H23" i="8" s="1"/>
  <c r="I23" i="8" s="1"/>
  <c r="AI23" i="8" s="1"/>
  <c r="N29" i="8" a="1"/>
  <c r="N29" i="8" s="1"/>
  <c r="A86" i="3"/>
  <c r="C86" i="3" s="1"/>
  <c r="C20" i="7" s="1"/>
  <c r="E20" i="7" s="1"/>
  <c r="BF18" i="3"/>
  <c r="BH18" i="3" s="1"/>
  <c r="BI18" i="3" s="1"/>
  <c r="BJ18" i="3" s="1"/>
  <c r="AN24" i="3"/>
  <c r="AP24" i="3" s="1"/>
  <c r="AQ24" i="3" s="1"/>
  <c r="AR24" i="3" s="1"/>
  <c r="V8" i="3"/>
  <c r="X8" i="3" s="1"/>
  <c r="AI28" i="3"/>
  <c r="AH28" i="3"/>
  <c r="AI19" i="3"/>
  <c r="AJ19" i="3" s="1"/>
  <c r="AK19" i="3" s="1"/>
  <c r="AL19" i="3" s="1"/>
  <c r="R11" i="8" a="1"/>
  <c r="R11" i="8" s="1"/>
  <c r="F73" i="3"/>
  <c r="N11" i="8" a="1"/>
  <c r="N11" i="8" s="1"/>
  <c r="J14" i="8"/>
  <c r="P12" i="3"/>
  <c r="F27" i="3"/>
  <c r="G27" i="3" s="1"/>
  <c r="H27" i="3" s="1"/>
  <c r="AC24" i="3"/>
  <c r="AD24" i="3" s="1"/>
  <c r="AE24" i="3" s="1"/>
  <c r="AF24" i="3" s="1"/>
  <c r="J22" i="8"/>
  <c r="V60" i="8"/>
  <c r="AA60" i="8" s="1"/>
  <c r="AZ60" i="8" s="1"/>
  <c r="BH29" i="3"/>
  <c r="BI29" i="3" s="1"/>
  <c r="BJ29" i="3" s="1"/>
  <c r="AC60" i="8"/>
  <c r="BF10" i="3"/>
  <c r="BH10" i="3" s="1"/>
  <c r="BI10" i="3" s="1"/>
  <c r="BJ10" i="3" s="1"/>
  <c r="AN30" i="1"/>
  <c r="AD60" i="8"/>
  <c r="V28" i="3"/>
  <c r="X28" i="3" s="1"/>
  <c r="W17" i="3"/>
  <c r="X17" i="3" s="1"/>
  <c r="Y17" i="3" s="1"/>
  <c r="Z17" i="3" s="1"/>
  <c r="G60" i="8"/>
  <c r="J7" i="8"/>
  <c r="Z29" i="8" a="1"/>
  <c r="Z29" i="8" s="1"/>
  <c r="AD29" i="8" a="1"/>
  <c r="AD29" i="8" s="1"/>
  <c r="AH9" i="3"/>
  <c r="AJ9" i="3" s="1"/>
  <c r="AK9" i="3" s="1"/>
  <c r="AL9" i="3" s="1"/>
  <c r="AT24" i="3"/>
  <c r="AU24" i="3"/>
  <c r="K29" i="8"/>
  <c r="S29" i="8" s="1"/>
  <c r="CL60" i="8" s="1"/>
  <c r="U60" i="8"/>
  <c r="Z60" i="8" s="1"/>
  <c r="V11" i="8" a="1"/>
  <c r="V11" i="8" s="1"/>
  <c r="V29" i="8" a="1"/>
  <c r="V29" i="8" s="1"/>
  <c r="BG15" i="3"/>
  <c r="BH15" i="3" s="1"/>
  <c r="BI15" i="3" s="1"/>
  <c r="BJ15" i="3" s="1"/>
  <c r="G17" i="11"/>
  <c r="BB24" i="3"/>
  <c r="BC24" i="3" s="1"/>
  <c r="BD24" i="3" s="1"/>
  <c r="U41" i="8"/>
  <c r="Z41" i="8" s="1"/>
  <c r="BX41" i="8" s="1"/>
  <c r="AI60" i="8"/>
  <c r="AN60" i="8" s="1"/>
  <c r="G27" i="4"/>
  <c r="AE41" i="8"/>
  <c r="AI21" i="3"/>
  <c r="AH21" i="3"/>
  <c r="AI17" i="3"/>
  <c r="AH17" i="3"/>
  <c r="W10" i="3"/>
  <c r="V10" i="3"/>
  <c r="AZ26" i="3"/>
  <c r="BB26" i="3" s="1"/>
  <c r="BC26" i="3" s="1"/>
  <c r="BD26" i="3" s="1"/>
  <c r="F30" i="3"/>
  <c r="G30" i="3" s="1"/>
  <c r="AN34" i="1"/>
  <c r="G28" i="11"/>
  <c r="J18" i="8"/>
  <c r="P17" i="3"/>
  <c r="Q17" i="3"/>
  <c r="Q10" i="3"/>
  <c r="P10" i="3"/>
  <c r="AD15" i="3"/>
  <c r="AE15" i="3" s="1"/>
  <c r="AF15" i="3" s="1"/>
  <c r="C58" i="8"/>
  <c r="V58" i="8" s="1"/>
  <c r="AA58" i="8" s="1"/>
  <c r="K27" i="8"/>
  <c r="Q15" i="3"/>
  <c r="P15" i="3"/>
  <c r="AO17" i="3"/>
  <c r="AN17" i="3"/>
  <c r="AB10" i="3"/>
  <c r="AC10" i="3"/>
  <c r="BA27" i="3"/>
  <c r="AZ27" i="3"/>
  <c r="BV54" i="8"/>
  <c r="AB25" i="3"/>
  <c r="AC25" i="3"/>
  <c r="K60" i="8"/>
  <c r="P60" i="8"/>
  <c r="G12" i="8"/>
  <c r="F12" i="8"/>
  <c r="H12" i="8" s="1"/>
  <c r="I12" i="8" s="1"/>
  <c r="AI12" i="8" s="1"/>
  <c r="J28" i="8"/>
  <c r="F28" i="8"/>
  <c r="H28" i="8" s="1"/>
  <c r="I28" i="8" s="1"/>
  <c r="G28" i="8"/>
  <c r="I22" i="8"/>
  <c r="AU17" i="3"/>
  <c r="AT17" i="3"/>
  <c r="AO10" i="3"/>
  <c r="AN10" i="3"/>
  <c r="AP10" i="3" s="1"/>
  <c r="AQ10" i="3" s="1"/>
  <c r="AR10" i="3" s="1"/>
  <c r="J27" i="8"/>
  <c r="BA17" i="3"/>
  <c r="AZ17" i="3"/>
  <c r="AT10" i="3"/>
  <c r="AU10" i="3"/>
  <c r="F8" i="3"/>
  <c r="G8" i="3" s="1"/>
  <c r="H8" i="3" s="1"/>
  <c r="F103" i="3"/>
  <c r="J29" i="8"/>
  <c r="Z27" i="8" a="1"/>
  <c r="Z27" i="8" s="1"/>
  <c r="N27" i="8" a="1"/>
  <c r="N27" i="8" s="1"/>
  <c r="R27" i="8" a="1"/>
  <c r="R27" i="8" s="1"/>
  <c r="C42" i="8"/>
  <c r="K11" i="8"/>
  <c r="AE11" i="8" s="1"/>
  <c r="C59" i="8"/>
  <c r="K28" i="8"/>
  <c r="AN27" i="1"/>
  <c r="H60" i="8"/>
  <c r="I60" i="8" s="1"/>
  <c r="A68" i="3"/>
  <c r="AC27" i="3"/>
  <c r="AB27" i="3"/>
  <c r="A69" i="3"/>
  <c r="AT29" i="3"/>
  <c r="AU29" i="3"/>
  <c r="AC29" i="3"/>
  <c r="AB29" i="3"/>
  <c r="AK60" i="8"/>
  <c r="AP60" i="8" s="1"/>
  <c r="AZ25" i="3"/>
  <c r="BB25" i="3" s="1"/>
  <c r="BC25" i="3" s="1"/>
  <c r="BD25" i="3" s="1"/>
  <c r="D73" i="3"/>
  <c r="J29" i="3"/>
  <c r="K29" i="3"/>
  <c r="AZ10" i="3"/>
  <c r="BB10" i="3" s="1"/>
  <c r="BC10" i="3" s="1"/>
  <c r="BD10" i="3" s="1"/>
  <c r="AB8" i="3"/>
  <c r="AC8" i="3"/>
  <c r="C51" i="8"/>
  <c r="AK51" i="8" s="1"/>
  <c r="AP51" i="8" s="1"/>
  <c r="K20" i="8"/>
  <c r="AE60" i="8"/>
  <c r="AF60" i="8"/>
  <c r="F14" i="8"/>
  <c r="H14" i="8" s="1"/>
  <c r="I14" i="8" s="1"/>
  <c r="S60" i="8"/>
  <c r="X60" i="8" s="1"/>
  <c r="BV60" i="8" s="1"/>
  <c r="K9" i="8"/>
  <c r="AE9" i="8" s="1"/>
  <c r="C40" i="8"/>
  <c r="J6" i="8"/>
  <c r="AT7" i="3"/>
  <c r="BA18" i="3"/>
  <c r="BB18" i="3" s="1"/>
  <c r="BC18" i="3" s="1"/>
  <c r="BD18" i="3" s="1"/>
  <c r="W25" i="3"/>
  <c r="V25" i="3"/>
  <c r="AD14" i="8" a="1"/>
  <c r="AD14" i="8" s="1"/>
  <c r="Z14" i="8" a="1"/>
  <c r="Z14" i="8" s="1"/>
  <c r="I15" i="8"/>
  <c r="AE54" i="8"/>
  <c r="A45" i="3"/>
  <c r="M70" i="3"/>
  <c r="AK54" i="8"/>
  <c r="AP54" i="8" s="1"/>
  <c r="W18" i="3"/>
  <c r="V18" i="3"/>
  <c r="BB11" i="3"/>
  <c r="BC11" i="3" s="1"/>
  <c r="BD11" i="3" s="1"/>
  <c r="AG54" i="8"/>
  <c r="E43" i="3"/>
  <c r="AN18" i="3"/>
  <c r="AP18" i="3" s="1"/>
  <c r="J28" i="3"/>
  <c r="K28" i="3"/>
  <c r="AB21" i="3"/>
  <c r="AC21" i="3"/>
  <c r="J25" i="8"/>
  <c r="AZ7" i="3"/>
  <c r="AL41" i="8"/>
  <c r="AQ41" i="8" s="1"/>
  <c r="AV41" i="8" s="1"/>
  <c r="K15" i="8"/>
  <c r="C46" i="8"/>
  <c r="G29" i="8"/>
  <c r="AN31" i="1"/>
  <c r="I11" i="8"/>
  <c r="AU25" i="3"/>
  <c r="AT25" i="3"/>
  <c r="AV25" i="3" s="1"/>
  <c r="AW25" i="3" s="1"/>
  <c r="AX25" i="3" s="1"/>
  <c r="BF25" i="3"/>
  <c r="J67" i="3"/>
  <c r="V26" i="3"/>
  <c r="X26" i="3" s="1"/>
  <c r="Y26" i="3" s="1"/>
  <c r="Z26" i="3" s="1"/>
  <c r="AL60" i="8"/>
  <c r="AQ60" i="8" s="1"/>
  <c r="AH60" i="8"/>
  <c r="AM60" i="8" s="1"/>
  <c r="T60" i="8"/>
  <c r="Y60" i="8" s="1"/>
  <c r="AJ60" i="8"/>
  <c r="AO60" i="8" s="1"/>
  <c r="W60" i="8"/>
  <c r="AB60" i="8" s="1"/>
  <c r="Q23" i="3"/>
  <c r="P23" i="3"/>
  <c r="AU18" i="3"/>
  <c r="AT18" i="3"/>
  <c r="AH54" i="8"/>
  <c r="AM54" i="8" s="1"/>
  <c r="AF54" i="8"/>
  <c r="V54" i="8"/>
  <c r="AA54" i="8" s="1"/>
  <c r="BF7" i="3"/>
  <c r="BG7" i="3"/>
  <c r="AT13" i="3"/>
  <c r="AV13" i="3" s="1"/>
  <c r="AW13" i="3" s="1"/>
  <c r="AX13" i="3" s="1"/>
  <c r="J20" i="8"/>
  <c r="H54" i="8"/>
  <c r="I54" i="8" s="1"/>
  <c r="J54" i="8" s="1"/>
  <c r="AB9" i="3"/>
  <c r="AC9" i="3"/>
  <c r="K18" i="3"/>
  <c r="J18" i="3"/>
  <c r="K14" i="8"/>
  <c r="W14" i="8" s="1"/>
  <c r="X14" i="8" s="1"/>
  <c r="C45" i="8"/>
  <c r="G22" i="8"/>
  <c r="E54" i="8"/>
  <c r="F54" i="8" s="1"/>
  <c r="AD41" i="8"/>
  <c r="BA14" i="3"/>
  <c r="BB14" i="3" s="1"/>
  <c r="BC14" i="3" s="1"/>
  <c r="BD14" i="3" s="1"/>
  <c r="F17" i="3"/>
  <c r="G17" i="3" s="1"/>
  <c r="I18" i="8"/>
  <c r="AH18" i="8" s="1"/>
  <c r="V17" i="8" a="1"/>
  <c r="V17" i="8" s="1"/>
  <c r="J19" i="8"/>
  <c r="AC54" i="8"/>
  <c r="J4" i="8"/>
  <c r="W30" i="3"/>
  <c r="X30" i="3" s="1"/>
  <c r="Y30" i="3" s="1"/>
  <c r="Z30" i="3" s="1"/>
  <c r="AD16" i="8" a="1"/>
  <c r="AD16" i="8" s="1"/>
  <c r="N16" i="8" a="1"/>
  <c r="N16" i="8" s="1"/>
  <c r="F24" i="3"/>
  <c r="G24" i="3" s="1"/>
  <c r="K17" i="3"/>
  <c r="J17" i="3"/>
  <c r="G26" i="11"/>
  <c r="G23" i="11"/>
  <c r="G11" i="11"/>
  <c r="G12" i="11"/>
  <c r="AN22" i="1"/>
  <c r="AN33" i="1"/>
  <c r="AA40" i="7"/>
  <c r="B12" i="4"/>
  <c r="C12" i="4" s="1"/>
  <c r="E12" i="4"/>
  <c r="F12" i="4" s="1"/>
  <c r="D12" i="4"/>
  <c r="A13" i="4"/>
  <c r="H15" i="3"/>
  <c r="AM20" i="1"/>
  <c r="K23" i="3"/>
  <c r="J23" i="3"/>
  <c r="AU19" i="3"/>
  <c r="AT19" i="3"/>
  <c r="I43" i="3"/>
  <c r="BG23" i="3"/>
  <c r="BF23" i="3"/>
  <c r="V21" i="8" a="1"/>
  <c r="V21" i="8" s="1"/>
  <c r="Z21" i="8" a="1"/>
  <c r="Z21" i="8" s="1"/>
  <c r="AD21" i="8" a="1"/>
  <c r="AD21" i="8" s="1"/>
  <c r="N21" i="8" a="1"/>
  <c r="N21" i="8" s="1"/>
  <c r="R21" i="8" a="1"/>
  <c r="R21" i="8" s="1"/>
  <c r="BG6" i="3"/>
  <c r="BF6" i="3"/>
  <c r="D49" i="3"/>
  <c r="D67" i="3"/>
  <c r="BG30" i="3"/>
  <c r="BF30" i="3"/>
  <c r="AN19" i="1"/>
  <c r="F18" i="3"/>
  <c r="G18" i="3" s="1"/>
  <c r="AH7" i="3"/>
  <c r="AI7" i="3"/>
  <c r="W19" i="3"/>
  <c r="V19" i="3"/>
  <c r="M43" i="3"/>
  <c r="AT14" i="3"/>
  <c r="AU14" i="3"/>
  <c r="E103" i="3"/>
  <c r="AN7" i="3"/>
  <c r="AO7" i="3"/>
  <c r="K18" i="8"/>
  <c r="C49" i="8"/>
  <c r="Q7" i="3"/>
  <c r="P7" i="3"/>
  <c r="F21" i="3"/>
  <c r="G21" i="3" s="1"/>
  <c r="BA19" i="3"/>
  <c r="AZ19" i="3"/>
  <c r="K43" i="3"/>
  <c r="F21" i="8"/>
  <c r="H21" i="8" s="1"/>
  <c r="I21" i="8" s="1"/>
  <c r="P6" i="3"/>
  <c r="Q6" i="3"/>
  <c r="W16" i="3"/>
  <c r="V16" i="3"/>
  <c r="E67" i="3"/>
  <c r="AC16" i="3"/>
  <c r="AB16" i="3"/>
  <c r="H67" i="3"/>
  <c r="AI6" i="3"/>
  <c r="AH6" i="3"/>
  <c r="AI16" i="3"/>
  <c r="AH16" i="3"/>
  <c r="AC11" i="3"/>
  <c r="AB11" i="3"/>
  <c r="C57" i="8"/>
  <c r="K26" i="8"/>
  <c r="J26" i="8"/>
  <c r="V7" i="3"/>
  <c r="W7" i="3"/>
  <c r="BG19" i="3"/>
  <c r="BF19" i="3"/>
  <c r="AB23" i="3"/>
  <c r="AC23" i="3"/>
  <c r="AB6" i="3"/>
  <c r="AC6" i="3"/>
  <c r="W15" i="3"/>
  <c r="V15" i="3"/>
  <c r="A34" i="3"/>
  <c r="J85" i="3"/>
  <c r="G85" i="3"/>
  <c r="I49" i="3"/>
  <c r="H70" i="3"/>
  <c r="G49" i="3"/>
  <c r="F12" i="3"/>
  <c r="G12" i="3" s="1"/>
  <c r="AT21" i="3"/>
  <c r="AU21" i="3"/>
  <c r="G43" i="3"/>
  <c r="J21" i="8"/>
  <c r="AP14" i="3"/>
  <c r="AQ14" i="3" s="1"/>
  <c r="AR14" i="3" s="1"/>
  <c r="AH11" i="3"/>
  <c r="AI11" i="3"/>
  <c r="AO15" i="3"/>
  <c r="AN15" i="3"/>
  <c r="I26" i="8"/>
  <c r="AC19" i="3"/>
  <c r="AB19" i="3"/>
  <c r="J21" i="3"/>
  <c r="K21" i="3"/>
  <c r="H43" i="3"/>
  <c r="C52" i="8"/>
  <c r="K21" i="8"/>
  <c r="K5" i="3"/>
  <c r="J5" i="3"/>
  <c r="AU16" i="3"/>
  <c r="AT16" i="3"/>
  <c r="K67" i="3"/>
  <c r="AC14" i="3"/>
  <c r="AB14" i="3"/>
  <c r="Q5" i="3"/>
  <c r="P5" i="3"/>
  <c r="AH25" i="3"/>
  <c r="AI25" i="3"/>
  <c r="K30" i="3"/>
  <c r="J30" i="3"/>
  <c r="E64" i="3"/>
  <c r="A66" i="3"/>
  <c r="J64" i="3"/>
  <c r="H64" i="3"/>
  <c r="A65" i="3"/>
  <c r="G64" i="3"/>
  <c r="F64" i="3"/>
  <c r="D64" i="3"/>
  <c r="C64" i="3"/>
  <c r="M64" i="3"/>
  <c r="K64" i="3"/>
  <c r="L64" i="3"/>
  <c r="I64" i="3"/>
  <c r="BA12" i="3"/>
  <c r="AZ12" i="3"/>
  <c r="K15" i="3"/>
  <c r="J15" i="3"/>
  <c r="AO5" i="3"/>
  <c r="AN5" i="3"/>
  <c r="W20" i="3"/>
  <c r="V20" i="3"/>
  <c r="AT5" i="3"/>
  <c r="AU5" i="3"/>
  <c r="AO8" i="3"/>
  <c r="AN8" i="3"/>
  <c r="AA34" i="7"/>
  <c r="AU8" i="3"/>
  <c r="AT8" i="3"/>
  <c r="AC18" i="3"/>
  <c r="AB18" i="3"/>
  <c r="AT15" i="3"/>
  <c r="AU15" i="3"/>
  <c r="L27" i="3"/>
  <c r="M27" i="3" s="1"/>
  <c r="N27" i="3" s="1"/>
  <c r="A113" i="3"/>
  <c r="J112" i="3"/>
  <c r="G112" i="3"/>
  <c r="F112" i="3"/>
  <c r="L112" i="3"/>
  <c r="H112" i="3"/>
  <c r="I112" i="3"/>
  <c r="E112" i="3"/>
  <c r="A114" i="3"/>
  <c r="M112" i="3"/>
  <c r="K112" i="3"/>
  <c r="C112" i="3"/>
  <c r="D112" i="3"/>
  <c r="AO12" i="3"/>
  <c r="AN12" i="3"/>
  <c r="AZ21" i="3"/>
  <c r="BA21" i="3"/>
  <c r="W5" i="3"/>
  <c r="V5" i="3"/>
  <c r="AO16" i="3"/>
  <c r="AN16" i="3"/>
  <c r="M67" i="3"/>
  <c r="L70" i="3"/>
  <c r="G67" i="3"/>
  <c r="J16" i="3"/>
  <c r="K16" i="3"/>
  <c r="I67" i="3"/>
  <c r="D70" i="3"/>
  <c r="Q16" i="3"/>
  <c r="P16" i="3"/>
  <c r="E70" i="3"/>
  <c r="BA16" i="3"/>
  <c r="AZ16" i="3"/>
  <c r="L67" i="3"/>
  <c r="Q21" i="3"/>
  <c r="P21" i="3"/>
  <c r="C55" i="8"/>
  <c r="K24" i="8"/>
  <c r="K19" i="8"/>
  <c r="C50" i="8"/>
  <c r="M109" i="3"/>
  <c r="L109" i="3"/>
  <c r="K109" i="3"/>
  <c r="H109" i="3"/>
  <c r="I109" i="3"/>
  <c r="F109" i="3"/>
  <c r="J109" i="3"/>
  <c r="G109" i="3"/>
  <c r="E109" i="3"/>
  <c r="D109" i="3"/>
  <c r="C109" i="3"/>
  <c r="A110" i="3"/>
  <c r="A111" i="3"/>
  <c r="K14" i="3"/>
  <c r="J14" i="3"/>
  <c r="AD7" i="3"/>
  <c r="AE7" i="3" s="1"/>
  <c r="M73" i="3"/>
  <c r="K73" i="3"/>
  <c r="F20" i="3"/>
  <c r="G20" i="3" s="1"/>
  <c r="M103" i="3"/>
  <c r="J70" i="3"/>
  <c r="F16" i="3"/>
  <c r="G16" i="3" s="1"/>
  <c r="A93" i="3"/>
  <c r="H91" i="3"/>
  <c r="F91" i="3"/>
  <c r="M91" i="3"/>
  <c r="I91" i="3"/>
  <c r="G91" i="3"/>
  <c r="A92" i="3"/>
  <c r="L91" i="3"/>
  <c r="K91" i="3"/>
  <c r="E91" i="3"/>
  <c r="D91" i="3"/>
  <c r="C91" i="3"/>
  <c r="J91" i="3"/>
  <c r="P9" i="3"/>
  <c r="Q9" i="3"/>
  <c r="BG20" i="3"/>
  <c r="BF20" i="3"/>
  <c r="I73" i="3"/>
  <c r="D103" i="3"/>
  <c r="G70" i="3"/>
  <c r="V19" i="8" a="1"/>
  <c r="V19" i="8" s="1"/>
  <c r="N19" i="8" a="1"/>
  <c r="N19" i="8" s="1"/>
  <c r="Z19" i="8" a="1"/>
  <c r="Z19" i="8" s="1"/>
  <c r="R19" i="8" a="1"/>
  <c r="R19" i="8" s="1"/>
  <c r="AD19" i="8" a="1"/>
  <c r="AD19" i="8" s="1"/>
  <c r="A95" i="3"/>
  <c r="H94" i="3"/>
  <c r="F94" i="3"/>
  <c r="L94" i="3"/>
  <c r="K94" i="3"/>
  <c r="A96" i="3"/>
  <c r="M94" i="3"/>
  <c r="G94" i="3"/>
  <c r="J94" i="3"/>
  <c r="I94" i="3"/>
  <c r="E94" i="3"/>
  <c r="D94" i="3"/>
  <c r="C94" i="3"/>
  <c r="W9" i="3"/>
  <c r="V9" i="3"/>
  <c r="AD5" i="8" a="1"/>
  <c r="AD5" i="8" s="1"/>
  <c r="V5" i="8" a="1"/>
  <c r="V5" i="8" s="1"/>
  <c r="R5" i="8" a="1"/>
  <c r="R5" i="8" s="1"/>
  <c r="N5" i="8" a="1"/>
  <c r="N5" i="8" s="1"/>
  <c r="Z5" i="8" a="1"/>
  <c r="Z5" i="8" s="1"/>
  <c r="E85" i="3"/>
  <c r="P20" i="3"/>
  <c r="Q20" i="3"/>
  <c r="I70" i="3"/>
  <c r="H55" i="3"/>
  <c r="J55" i="3"/>
  <c r="F55" i="3"/>
  <c r="K55" i="3"/>
  <c r="G55" i="3"/>
  <c r="A56" i="3"/>
  <c r="E55" i="3"/>
  <c r="D55" i="3"/>
  <c r="M55" i="3"/>
  <c r="I55" i="3"/>
  <c r="L55" i="3"/>
  <c r="A57" i="3"/>
  <c r="AN4" i="3"/>
  <c r="AO4" i="3"/>
  <c r="AU4" i="3"/>
  <c r="AT4" i="3"/>
  <c r="X29" i="3"/>
  <c r="Y29" i="3" s="1"/>
  <c r="Z29" i="3" s="1"/>
  <c r="F88" i="3"/>
  <c r="D88" i="3"/>
  <c r="I88" i="3"/>
  <c r="G88" i="3"/>
  <c r="K88" i="3"/>
  <c r="C88" i="3"/>
  <c r="J88" i="3"/>
  <c r="H88" i="3"/>
  <c r="E88" i="3"/>
  <c r="A89" i="3"/>
  <c r="M88" i="3"/>
  <c r="L88" i="3"/>
  <c r="A90" i="3"/>
  <c r="AN28" i="1"/>
  <c r="G22" i="11"/>
  <c r="N18" i="8" a="1"/>
  <c r="N18" i="8" s="1"/>
  <c r="V18" i="8" a="1"/>
  <c r="V18" i="8" s="1"/>
  <c r="Z18" i="8" a="1"/>
  <c r="Z18" i="8" s="1"/>
  <c r="R18" i="8" a="1"/>
  <c r="R18" i="8" s="1"/>
  <c r="AD18" i="8" a="1"/>
  <c r="AD18" i="8" s="1"/>
  <c r="AO22" i="3"/>
  <c r="AN22" i="3"/>
  <c r="C36" i="8"/>
  <c r="K5" i="8"/>
  <c r="N25" i="8" a="1"/>
  <c r="N25" i="8" s="1"/>
  <c r="O25" i="8" s="1"/>
  <c r="AD25" i="8" a="1"/>
  <c r="AD25" i="8" s="1"/>
  <c r="AE25" i="8" s="1"/>
  <c r="R25" i="8" a="1"/>
  <c r="R25" i="8" s="1"/>
  <c r="S25" i="8" s="1"/>
  <c r="V25" i="8" a="1"/>
  <c r="V25" i="8" s="1"/>
  <c r="W25" i="8" s="1"/>
  <c r="Z25" i="8" a="1"/>
  <c r="Z25" i="8" s="1"/>
  <c r="AA25" i="8" s="1"/>
  <c r="H73" i="3"/>
  <c r="J82" i="3"/>
  <c r="L82" i="3"/>
  <c r="E82" i="3"/>
  <c r="H82" i="3"/>
  <c r="F82" i="3"/>
  <c r="A83" i="3"/>
  <c r="K82" i="3"/>
  <c r="A84" i="3"/>
  <c r="M82" i="3"/>
  <c r="G82" i="3"/>
  <c r="I82" i="3"/>
  <c r="D82" i="3"/>
  <c r="C82" i="3"/>
  <c r="K9" i="3"/>
  <c r="J9" i="3"/>
  <c r="L12" i="3"/>
  <c r="M12" i="3" s="1"/>
  <c r="N12" i="3" s="1"/>
  <c r="I85" i="3"/>
  <c r="AB20" i="3"/>
  <c r="AC20" i="3"/>
  <c r="BH14" i="3"/>
  <c r="BI14" i="3" s="1"/>
  <c r="BJ14" i="3" s="1"/>
  <c r="D71" i="3"/>
  <c r="M49" i="3"/>
  <c r="AI5" i="3"/>
  <c r="AH5" i="3"/>
  <c r="L25" i="3"/>
  <c r="M25" i="3" s="1"/>
  <c r="N25" i="3" s="1"/>
  <c r="B11" i="4"/>
  <c r="C11" i="4" s="1"/>
  <c r="E11" i="4"/>
  <c r="F11" i="4" s="1"/>
  <c r="D11" i="4"/>
  <c r="M106" i="3"/>
  <c r="J106" i="3"/>
  <c r="L106" i="3"/>
  <c r="G106" i="3"/>
  <c r="A107" i="3"/>
  <c r="I106" i="3"/>
  <c r="A108" i="3"/>
  <c r="K106" i="3"/>
  <c r="E106" i="3"/>
  <c r="H106" i="3"/>
  <c r="F106" i="3"/>
  <c r="D106" i="3"/>
  <c r="C106" i="3"/>
  <c r="L97" i="3"/>
  <c r="H97" i="3"/>
  <c r="I97" i="3"/>
  <c r="F97" i="3"/>
  <c r="K97" i="3"/>
  <c r="J97" i="3"/>
  <c r="D97" i="3"/>
  <c r="G97" i="3"/>
  <c r="E97" i="3"/>
  <c r="C97" i="3"/>
  <c r="A98" i="3"/>
  <c r="M97" i="3"/>
  <c r="A99" i="3"/>
  <c r="BF9" i="3"/>
  <c r="M50" i="3" s="1"/>
  <c r="BG9" i="3"/>
  <c r="BH28" i="3"/>
  <c r="BI28" i="3" s="1"/>
  <c r="BJ28" i="3" s="1"/>
  <c r="AI13" i="8"/>
  <c r="AU22" i="3"/>
  <c r="AT22" i="3"/>
  <c r="G13" i="8"/>
  <c r="G10" i="8"/>
  <c r="H10" i="8" s="1"/>
  <c r="I10" i="8" s="1"/>
  <c r="R15" i="8" a="1"/>
  <c r="R15" i="8" s="1"/>
  <c r="N15" i="8" a="1"/>
  <c r="N15" i="8" s="1"/>
  <c r="Z15" i="8" a="1"/>
  <c r="Z15" i="8" s="1"/>
  <c r="AD15" i="8" a="1"/>
  <c r="AD15" i="8" s="1"/>
  <c r="V15" i="8" a="1"/>
  <c r="V15" i="8" s="1"/>
  <c r="D61" i="3"/>
  <c r="I61" i="3"/>
  <c r="K61" i="3"/>
  <c r="H61" i="3"/>
  <c r="A63" i="3"/>
  <c r="A62" i="3"/>
  <c r="M61" i="3"/>
  <c r="J61" i="3"/>
  <c r="L61" i="3"/>
  <c r="E61" i="3"/>
  <c r="C61" i="3"/>
  <c r="G61" i="3"/>
  <c r="F61" i="3"/>
  <c r="F9" i="3"/>
  <c r="G9" i="3" s="1"/>
  <c r="BA9" i="3"/>
  <c r="AZ9" i="3"/>
  <c r="H85" i="3"/>
  <c r="AI13" i="3"/>
  <c r="AH13" i="3"/>
  <c r="F14" i="3"/>
  <c r="G14" i="3" s="1"/>
  <c r="X12" i="3"/>
  <c r="Y12" i="3" s="1"/>
  <c r="K49" i="3"/>
  <c r="V3" i="8" a="1"/>
  <c r="V3" i="8" s="1"/>
  <c r="W3" i="8" s="1"/>
  <c r="R3" i="8" a="1"/>
  <c r="R3" i="8" s="1"/>
  <c r="S3" i="8" s="1"/>
  <c r="Z3" i="8" a="1"/>
  <c r="Z3" i="8" s="1"/>
  <c r="AA3" i="8" s="1"/>
  <c r="AD3" i="8" a="1"/>
  <c r="AD3" i="8" s="1"/>
  <c r="AE3" i="8" s="1"/>
  <c r="N3" i="8" a="1"/>
  <c r="N3" i="8" s="1"/>
  <c r="O3" i="8" s="1"/>
  <c r="F25" i="3"/>
  <c r="G25" i="3" s="1"/>
  <c r="V21" i="3"/>
  <c r="W21" i="3"/>
  <c r="Q14" i="3"/>
  <c r="P14" i="3"/>
  <c r="U34" i="8"/>
  <c r="Z34" i="8" s="1"/>
  <c r="AH34" i="8"/>
  <c r="AM34" i="8" s="1"/>
  <c r="AE34" i="8"/>
  <c r="AL34" i="8"/>
  <c r="AQ34" i="8" s="1"/>
  <c r="AG34" i="8"/>
  <c r="AF34" i="8"/>
  <c r="AC34" i="8"/>
  <c r="AK34" i="8"/>
  <c r="AP34" i="8" s="1"/>
  <c r="AD34" i="8"/>
  <c r="AI34" i="8"/>
  <c r="AN34" i="8" s="1"/>
  <c r="T34" i="8"/>
  <c r="Y34" i="8" s="1"/>
  <c r="S34" i="8"/>
  <c r="X34" i="8" s="1"/>
  <c r="E34" i="8"/>
  <c r="F34" i="8" s="1"/>
  <c r="AJ34" i="8"/>
  <c r="AO34" i="8" s="1"/>
  <c r="W34" i="8"/>
  <c r="AB34" i="8" s="1"/>
  <c r="V34" i="8"/>
  <c r="AA34" i="8" s="1"/>
  <c r="H34" i="8"/>
  <c r="I34" i="8" s="1"/>
  <c r="G34" i="8"/>
  <c r="K26" i="3"/>
  <c r="J26" i="3"/>
  <c r="J13" i="8"/>
  <c r="J37" i="3"/>
  <c r="F37" i="3"/>
  <c r="D37" i="3"/>
  <c r="A39" i="3"/>
  <c r="A38" i="3"/>
  <c r="M37" i="3"/>
  <c r="L37" i="3"/>
  <c r="G37" i="3"/>
  <c r="I37" i="3"/>
  <c r="E37" i="3"/>
  <c r="K37" i="3"/>
  <c r="H37" i="3"/>
  <c r="T39" i="8"/>
  <c r="Y39" i="8" s="1"/>
  <c r="AC39" i="8"/>
  <c r="S39" i="8"/>
  <c r="X39" i="8" s="1"/>
  <c r="AF39" i="8"/>
  <c r="AE39" i="8"/>
  <c r="V39" i="8"/>
  <c r="AA39" i="8" s="1"/>
  <c r="H39" i="8"/>
  <c r="I39" i="8" s="1"/>
  <c r="AJ39" i="8"/>
  <c r="AO39" i="8" s="1"/>
  <c r="AD39" i="8"/>
  <c r="W39" i="8"/>
  <c r="AB39" i="8" s="1"/>
  <c r="U39" i="8"/>
  <c r="Z39" i="8" s="1"/>
  <c r="AL39" i="8"/>
  <c r="AQ39" i="8" s="1"/>
  <c r="AK39" i="8"/>
  <c r="AP39" i="8" s="1"/>
  <c r="AI39" i="8"/>
  <c r="AN39" i="8" s="1"/>
  <c r="AH39" i="8"/>
  <c r="AM39" i="8" s="1"/>
  <c r="AG39" i="8"/>
  <c r="E39" i="8"/>
  <c r="F39" i="8" s="1"/>
  <c r="G39" i="8"/>
  <c r="C35" i="8"/>
  <c r="K4" i="8"/>
  <c r="W13" i="3"/>
  <c r="V13" i="3"/>
  <c r="M85" i="3"/>
  <c r="D85" i="3"/>
  <c r="AN13" i="3"/>
  <c r="AO13" i="3"/>
  <c r="H56" i="8"/>
  <c r="I56" i="8" s="1"/>
  <c r="AL56" i="8"/>
  <c r="AQ56" i="8" s="1"/>
  <c r="AJ56" i="8"/>
  <c r="AO56" i="8" s="1"/>
  <c r="AE56" i="8"/>
  <c r="W56" i="8"/>
  <c r="AB56" i="8" s="1"/>
  <c r="V56" i="8"/>
  <c r="AA56" i="8" s="1"/>
  <c r="T56" i="8"/>
  <c r="Y56" i="8" s="1"/>
  <c r="S56" i="8"/>
  <c r="X56" i="8" s="1"/>
  <c r="AH56" i="8"/>
  <c r="AM56" i="8" s="1"/>
  <c r="AG56" i="8"/>
  <c r="AF56" i="8"/>
  <c r="U56" i="8"/>
  <c r="Z56" i="8" s="1"/>
  <c r="G56" i="8"/>
  <c r="E56" i="8"/>
  <c r="F56" i="8" s="1"/>
  <c r="AC56" i="8"/>
  <c r="AK56" i="8"/>
  <c r="AP56" i="8" s="1"/>
  <c r="AI56" i="8"/>
  <c r="AN56" i="8" s="1"/>
  <c r="AD56" i="8"/>
  <c r="J49" i="3"/>
  <c r="BF12" i="3"/>
  <c r="BG12" i="3"/>
  <c r="BH17" i="3"/>
  <c r="BI17" i="3" s="1"/>
  <c r="BJ17" i="3" s="1"/>
  <c r="AT9" i="3"/>
  <c r="AU9" i="3"/>
  <c r="M40" i="3"/>
  <c r="E40" i="3"/>
  <c r="G40" i="3"/>
  <c r="D40" i="3"/>
  <c r="H40" i="3"/>
  <c r="K40" i="3"/>
  <c r="J40" i="3"/>
  <c r="I40" i="3"/>
  <c r="F40" i="3"/>
  <c r="A42" i="3"/>
  <c r="A41" i="3"/>
  <c r="L40" i="3"/>
  <c r="F85" i="3"/>
  <c r="AI20" i="3"/>
  <c r="AH20" i="3"/>
  <c r="F70" i="3"/>
  <c r="AN21" i="1"/>
  <c r="C53" i="8"/>
  <c r="K22" i="8"/>
  <c r="O22" i="8" s="1"/>
  <c r="J58" i="3"/>
  <c r="M58" i="3"/>
  <c r="F58" i="3"/>
  <c r="C58" i="3"/>
  <c r="K58" i="3"/>
  <c r="H58" i="3"/>
  <c r="A60" i="3"/>
  <c r="L58" i="3"/>
  <c r="I58" i="3"/>
  <c r="D58" i="3"/>
  <c r="A59" i="3"/>
  <c r="G58" i="3"/>
  <c r="E58" i="3"/>
  <c r="BH8" i="3"/>
  <c r="BI8" i="3" s="1"/>
  <c r="BJ8" i="3" s="1"/>
  <c r="L85" i="3"/>
  <c r="K13" i="3"/>
  <c r="J13" i="3"/>
  <c r="K103" i="3"/>
  <c r="BH21" i="3"/>
  <c r="BI21" i="3" s="1"/>
  <c r="BJ21" i="3" s="1"/>
  <c r="C37" i="8"/>
  <c r="K6" i="8"/>
  <c r="D43" i="3"/>
  <c r="X4" i="3"/>
  <c r="Y4" i="3" s="1"/>
  <c r="Z4" i="3" s="1"/>
  <c r="N8" i="8" a="1"/>
  <c r="N8" i="8" s="1"/>
  <c r="O8" i="8" s="1"/>
  <c r="Z8" i="8" a="1"/>
  <c r="Z8" i="8" s="1"/>
  <c r="AA8" i="8" s="1"/>
  <c r="V8" i="8" a="1"/>
  <c r="V8" i="8" s="1"/>
  <c r="W8" i="8" s="1"/>
  <c r="R8" i="8" a="1"/>
  <c r="R8" i="8" s="1"/>
  <c r="S8" i="8" s="1"/>
  <c r="AD8" i="8" a="1"/>
  <c r="AD8" i="8" s="1"/>
  <c r="AE8" i="8" s="1"/>
  <c r="F4" i="3"/>
  <c r="G4" i="3" s="1"/>
  <c r="AI4" i="3"/>
  <c r="AH4" i="3"/>
  <c r="AI38" i="8"/>
  <c r="AN38" i="8" s="1"/>
  <c r="E38" i="8"/>
  <c r="F38" i="8" s="1"/>
  <c r="AG38" i="8"/>
  <c r="AF38" i="8"/>
  <c r="W38" i="8"/>
  <c r="AB38" i="8" s="1"/>
  <c r="AH38" i="8"/>
  <c r="AM38" i="8" s="1"/>
  <c r="V38" i="8"/>
  <c r="AA38" i="8" s="1"/>
  <c r="T38" i="8"/>
  <c r="Y38" i="8" s="1"/>
  <c r="AC38" i="8"/>
  <c r="H38" i="8"/>
  <c r="I38" i="8" s="1"/>
  <c r="AE38" i="8"/>
  <c r="AD38" i="8"/>
  <c r="S38" i="8"/>
  <c r="X38" i="8" s="1"/>
  <c r="U38" i="8"/>
  <c r="Z38" i="8" s="1"/>
  <c r="G38" i="8"/>
  <c r="AL38" i="8"/>
  <c r="AQ38" i="8" s="1"/>
  <c r="AK38" i="8"/>
  <c r="AP38" i="8" s="1"/>
  <c r="AJ38" i="8"/>
  <c r="AO38" i="8" s="1"/>
  <c r="K20" i="3"/>
  <c r="J20" i="3"/>
  <c r="AN26" i="1"/>
  <c r="R20" i="8" a="1"/>
  <c r="R20" i="8" s="1"/>
  <c r="N20" i="8" a="1"/>
  <c r="N20" i="8" s="1"/>
  <c r="Z20" i="8" a="1"/>
  <c r="Z20" i="8" s="1"/>
  <c r="AD20" i="8" a="1"/>
  <c r="AD20" i="8" s="1"/>
  <c r="V20" i="8" a="1"/>
  <c r="V20" i="8" s="1"/>
  <c r="M27" i="4"/>
  <c r="N27" i="4" s="1"/>
  <c r="H27" i="4"/>
  <c r="I27" i="4" s="1"/>
  <c r="J27" i="4" s="1"/>
  <c r="K27" i="4" s="1"/>
  <c r="J100" i="3"/>
  <c r="F100" i="3"/>
  <c r="A101" i="3"/>
  <c r="K100" i="3"/>
  <c r="H100" i="3"/>
  <c r="C100" i="3"/>
  <c r="M100" i="3"/>
  <c r="L100" i="3"/>
  <c r="I100" i="3"/>
  <c r="G100" i="3"/>
  <c r="E100" i="3"/>
  <c r="D100" i="3"/>
  <c r="A102" i="3"/>
  <c r="L73" i="3"/>
  <c r="W23" i="3"/>
  <c r="V23" i="3"/>
  <c r="P13" i="3"/>
  <c r="Q13" i="3"/>
  <c r="G73" i="3"/>
  <c r="E73" i="3"/>
  <c r="BA13" i="3"/>
  <c r="AZ13" i="3"/>
  <c r="E49" i="3"/>
  <c r="AU12" i="3"/>
  <c r="AT12" i="3"/>
  <c r="AH14" i="3"/>
  <c r="AI14" i="3"/>
  <c r="Q4" i="3"/>
  <c r="P4" i="3"/>
  <c r="M52" i="3"/>
  <c r="L52" i="3"/>
  <c r="I52" i="3"/>
  <c r="H52" i="3"/>
  <c r="F52" i="3"/>
  <c r="J52" i="3"/>
  <c r="K52" i="3"/>
  <c r="G52" i="3"/>
  <c r="E52" i="3"/>
  <c r="D52" i="3"/>
  <c r="A53" i="3"/>
  <c r="A54" i="3"/>
  <c r="V14" i="3"/>
  <c r="W14" i="3"/>
  <c r="K85" i="3"/>
  <c r="AC4" i="3"/>
  <c r="AB4" i="3"/>
  <c r="BG5" i="3"/>
  <c r="BF5" i="3"/>
  <c r="L103" i="3"/>
  <c r="AN26" i="3"/>
  <c r="AO26" i="3"/>
  <c r="P26" i="3"/>
  <c r="Q26" i="3"/>
  <c r="AC44" i="8"/>
  <c r="AF44" i="8"/>
  <c r="AJ44" i="8"/>
  <c r="AO44" i="8" s="1"/>
  <c r="AH44" i="8"/>
  <c r="AM44" i="8" s="1"/>
  <c r="W44" i="8"/>
  <c r="AB44" i="8" s="1"/>
  <c r="AL44" i="8"/>
  <c r="AQ44" i="8" s="1"/>
  <c r="AE44" i="8"/>
  <c r="AD44" i="8"/>
  <c r="AK44" i="8"/>
  <c r="AP44" i="8" s="1"/>
  <c r="T44" i="8"/>
  <c r="Y44" i="8" s="1"/>
  <c r="AG44" i="8"/>
  <c r="V44" i="8"/>
  <c r="AA44" i="8" s="1"/>
  <c r="G44" i="8"/>
  <c r="H44" i="8"/>
  <c r="I44" i="8" s="1"/>
  <c r="E44" i="8"/>
  <c r="F44" i="8" s="1"/>
  <c r="AI44" i="8"/>
  <c r="AN44" i="8" s="1"/>
  <c r="U44" i="8"/>
  <c r="Z44" i="8" s="1"/>
  <c r="S44" i="8"/>
  <c r="X44" i="8" s="1"/>
  <c r="R28" i="3"/>
  <c r="S28" i="3" s="1"/>
  <c r="T28" i="3" s="1"/>
  <c r="A48" i="3"/>
  <c r="H46" i="3"/>
  <c r="F46" i="3"/>
  <c r="M46" i="3"/>
  <c r="K46" i="3"/>
  <c r="A47" i="3"/>
  <c r="D46" i="3"/>
  <c r="I46" i="3"/>
  <c r="G46" i="3"/>
  <c r="E46" i="3"/>
  <c r="J46" i="3"/>
  <c r="L46" i="3"/>
  <c r="Z4" i="8" a="1"/>
  <c r="Z4" i="8" s="1"/>
  <c r="N4" i="8" a="1"/>
  <c r="N4" i="8" s="1"/>
  <c r="AD4" i="8" a="1"/>
  <c r="AD4" i="8" s="1"/>
  <c r="V4" i="8" a="1"/>
  <c r="V4" i="8" s="1"/>
  <c r="R4" i="8" a="1"/>
  <c r="R4" i="8" s="1"/>
  <c r="L43" i="3"/>
  <c r="AN20" i="3"/>
  <c r="AO20" i="3"/>
  <c r="BG13" i="3"/>
  <c r="BF13" i="3"/>
  <c r="AD6" i="8" a="1"/>
  <c r="AD6" i="8" s="1"/>
  <c r="N6" i="8" a="1"/>
  <c r="N6" i="8" s="1"/>
  <c r="V6" i="8" a="1"/>
  <c r="V6" i="8" s="1"/>
  <c r="Z6" i="8" a="1"/>
  <c r="Z6" i="8" s="1"/>
  <c r="R6" i="8" a="1"/>
  <c r="R6" i="8" s="1"/>
  <c r="V6" i="3"/>
  <c r="G71" i="3" s="1"/>
  <c r="W6" i="3"/>
  <c r="D50" i="3"/>
  <c r="Z28" i="8" a="1"/>
  <c r="Z28" i="8" s="1"/>
  <c r="AD28" i="8" a="1"/>
  <c r="AD28" i="8" s="1"/>
  <c r="V28" i="8" a="1"/>
  <c r="V28" i="8" s="1"/>
  <c r="R28" i="8" a="1"/>
  <c r="R28" i="8" s="1"/>
  <c r="N28" i="8" a="1"/>
  <c r="N28" i="8" s="1"/>
  <c r="BA5" i="3"/>
  <c r="AZ5" i="3"/>
  <c r="M76" i="3"/>
  <c r="J76" i="3"/>
  <c r="H76" i="3"/>
  <c r="F76" i="3"/>
  <c r="D76" i="3"/>
  <c r="A78" i="3"/>
  <c r="G76" i="3"/>
  <c r="E76" i="3"/>
  <c r="C76" i="3"/>
  <c r="I76" i="3"/>
  <c r="A77" i="3"/>
  <c r="L76" i="3"/>
  <c r="K76" i="3"/>
  <c r="AU23" i="3"/>
  <c r="AT23" i="3"/>
  <c r="F13" i="3"/>
  <c r="G13" i="3" s="1"/>
  <c r="AN6" i="3"/>
  <c r="AO6" i="3"/>
  <c r="F49" i="3"/>
  <c r="F43" i="3"/>
  <c r="AO23" i="3"/>
  <c r="AN23" i="3"/>
  <c r="K4" i="3"/>
  <c r="J4" i="3"/>
  <c r="AU6" i="3"/>
  <c r="AT6" i="3"/>
  <c r="H49" i="3"/>
  <c r="AZ22" i="3"/>
  <c r="BA22" i="3"/>
  <c r="AD22" i="3"/>
  <c r="AE22" i="3" s="1"/>
  <c r="AF22" i="3" s="1"/>
  <c r="AK48" i="8"/>
  <c r="AP48" i="8" s="1"/>
  <c r="H48" i="8"/>
  <c r="I48" i="8" s="1"/>
  <c r="AJ48" i="8"/>
  <c r="AO48" i="8" s="1"/>
  <c r="AH48" i="8"/>
  <c r="AM48" i="8" s="1"/>
  <c r="AG48" i="8"/>
  <c r="W48" i="8"/>
  <c r="AB48" i="8" s="1"/>
  <c r="AI48" i="8"/>
  <c r="AN48" i="8" s="1"/>
  <c r="V48" i="8"/>
  <c r="AA48" i="8" s="1"/>
  <c r="S48" i="8"/>
  <c r="X48" i="8" s="1"/>
  <c r="AF48" i="8"/>
  <c r="AE48" i="8"/>
  <c r="E48" i="8"/>
  <c r="F48" i="8" s="1"/>
  <c r="AL48" i="8"/>
  <c r="AQ48" i="8" s="1"/>
  <c r="AD48" i="8"/>
  <c r="AC48" i="8"/>
  <c r="U48" i="8"/>
  <c r="Z48" i="8" s="1"/>
  <c r="T48" i="8"/>
  <c r="Y48" i="8" s="1"/>
  <c r="G48" i="8"/>
  <c r="Q19" i="3"/>
  <c r="P19" i="3"/>
  <c r="J43" i="3"/>
  <c r="J73" i="3"/>
  <c r="F23" i="3"/>
  <c r="G23" i="3" s="1"/>
  <c r="J9" i="8"/>
  <c r="AV20" i="3"/>
  <c r="AW20" i="3" s="1"/>
  <c r="AX20" i="3" s="1"/>
  <c r="F67" i="3"/>
  <c r="L49" i="3"/>
  <c r="F26" i="3"/>
  <c r="G26" i="3" s="1"/>
  <c r="AI12" i="3"/>
  <c r="AH12" i="3"/>
  <c r="AI18" i="3"/>
  <c r="AH18" i="3"/>
  <c r="I79" i="3"/>
  <c r="F79" i="3"/>
  <c r="H79" i="3"/>
  <c r="E79" i="3"/>
  <c r="J79" i="3"/>
  <c r="D79" i="3"/>
  <c r="A80" i="3"/>
  <c r="M79" i="3"/>
  <c r="L79" i="3"/>
  <c r="K79" i="3"/>
  <c r="C79" i="3"/>
  <c r="A81" i="3"/>
  <c r="G79" i="3"/>
  <c r="AZ4" i="3"/>
  <c r="BA4" i="3"/>
  <c r="AD24" i="8" a="1"/>
  <c r="AD24" i="8" s="1"/>
  <c r="V24" i="8" a="1"/>
  <c r="V24" i="8" s="1"/>
  <c r="R24" i="8" a="1"/>
  <c r="R24" i="8" s="1"/>
  <c r="N24" i="8" a="1"/>
  <c r="N24" i="8" s="1"/>
  <c r="Z24" i="8" a="1"/>
  <c r="Z24" i="8" s="1"/>
  <c r="H103" i="3"/>
  <c r="U47" i="8"/>
  <c r="Z47" i="8" s="1"/>
  <c r="AH47" i="8"/>
  <c r="AM47" i="8" s="1"/>
  <c r="AD47" i="8"/>
  <c r="G47" i="8"/>
  <c r="AK47" i="8"/>
  <c r="AP47" i="8" s="1"/>
  <c r="E47" i="8"/>
  <c r="F47" i="8" s="1"/>
  <c r="AJ47" i="8"/>
  <c r="AO47" i="8" s="1"/>
  <c r="AE47" i="8"/>
  <c r="AC47" i="8"/>
  <c r="V47" i="8"/>
  <c r="AA47" i="8" s="1"/>
  <c r="AG47" i="8"/>
  <c r="S47" i="8"/>
  <c r="X47" i="8" s="1"/>
  <c r="AF47" i="8"/>
  <c r="W47" i="8"/>
  <c r="AB47" i="8" s="1"/>
  <c r="T47" i="8"/>
  <c r="Y47" i="8" s="1"/>
  <c r="AL47" i="8"/>
  <c r="AQ47" i="8" s="1"/>
  <c r="AI47" i="8"/>
  <c r="AN47" i="8" s="1"/>
  <c r="H47" i="8"/>
  <c r="I47" i="8" s="1"/>
  <c r="BA6" i="3"/>
  <c r="AZ6" i="3"/>
  <c r="AP11" i="3"/>
  <c r="AQ11" i="3" s="1"/>
  <c r="AR11" i="3" s="1"/>
  <c r="BG16" i="3"/>
  <c r="BF16" i="3"/>
  <c r="F22" i="3"/>
  <c r="G22" i="3" s="1"/>
  <c r="R26" i="8" a="1"/>
  <c r="R26" i="8" s="1"/>
  <c r="AD26" i="8" a="1"/>
  <c r="AD26" i="8" s="1"/>
  <c r="Z26" i="8" a="1"/>
  <c r="Z26" i="8" s="1"/>
  <c r="N26" i="8" a="1"/>
  <c r="N26" i="8" s="1"/>
  <c r="V26" i="8" a="1"/>
  <c r="V26" i="8" s="1"/>
  <c r="AC5" i="3"/>
  <c r="AB5" i="3"/>
  <c r="AN25" i="3"/>
  <c r="AO25" i="3"/>
  <c r="AC30" i="3"/>
  <c r="AB30" i="3"/>
  <c r="AO30" i="3"/>
  <c r="AN30" i="3"/>
  <c r="V13" i="8" a="1"/>
  <c r="V13" i="8" s="1"/>
  <c r="W13" i="8" s="1"/>
  <c r="N13" i="8" a="1"/>
  <c r="N13" i="8" s="1"/>
  <c r="O13" i="8" s="1"/>
  <c r="R13" i="8" a="1"/>
  <c r="R13" i="8" s="1"/>
  <c r="S13" i="8" s="1"/>
  <c r="AD13" i="8" a="1"/>
  <c r="AD13" i="8" s="1"/>
  <c r="AE13" i="8" s="1"/>
  <c r="Z13" i="8" a="1"/>
  <c r="Z13" i="8" s="1"/>
  <c r="AA13" i="8" s="1"/>
  <c r="F7" i="3"/>
  <c r="G7" i="3" s="1"/>
  <c r="R18" i="3"/>
  <c r="S18" i="3" s="1"/>
  <c r="T18" i="3" s="1"/>
  <c r="F19" i="3"/>
  <c r="G19" i="3" s="1"/>
  <c r="H44" i="3"/>
  <c r="D44" i="3"/>
  <c r="BA23" i="3"/>
  <c r="AZ23" i="3"/>
  <c r="AJ27" i="3"/>
  <c r="AK27" i="3" s="1"/>
  <c r="AL27" i="3" s="1"/>
  <c r="K6" i="3"/>
  <c r="J6" i="3"/>
  <c r="D15" i="7"/>
  <c r="CU34" i="8"/>
  <c r="CU41" i="8"/>
  <c r="BE41" i="8" l="1"/>
  <c r="BJ41" i="8" s="1"/>
  <c r="BO41" i="8" s="1"/>
  <c r="I50" i="3"/>
  <c r="F50" i="3"/>
  <c r="J43" i="8"/>
  <c r="X25" i="3"/>
  <c r="Y25" i="3" s="1"/>
  <c r="Z25" i="3" s="1"/>
  <c r="R10" i="3"/>
  <c r="S10" i="3" s="1"/>
  <c r="T10" i="3" s="1"/>
  <c r="AE23" i="8"/>
  <c r="CO54" i="8" s="1"/>
  <c r="AD27" i="3"/>
  <c r="AE27" i="3" s="1"/>
  <c r="AF27" i="3" s="1"/>
  <c r="R27" i="3"/>
  <c r="S27" i="3" s="1"/>
  <c r="T27" i="3" s="1"/>
  <c r="AA23" i="8"/>
  <c r="CN54" i="8" s="1"/>
  <c r="AM16" i="1"/>
  <c r="H29" i="3"/>
  <c r="AS54" i="8"/>
  <c r="AI25" i="8"/>
  <c r="AT41" i="8"/>
  <c r="BX54" i="8"/>
  <c r="CC54" i="8" s="1"/>
  <c r="F74" i="3"/>
  <c r="O29" i="8"/>
  <c r="CK60" i="8" s="1"/>
  <c r="BB54" i="8"/>
  <c r="BG54" i="8" s="1"/>
  <c r="BL54" i="8" s="1"/>
  <c r="AV17" i="3"/>
  <c r="AW17" i="3" s="1"/>
  <c r="AX17" i="3" s="1"/>
  <c r="AM33" i="1"/>
  <c r="H50" i="3"/>
  <c r="AI16" i="8"/>
  <c r="AT54" i="8"/>
  <c r="G74" i="3"/>
  <c r="K50" i="3"/>
  <c r="K104" i="3"/>
  <c r="E71" i="3"/>
  <c r="BC54" i="8"/>
  <c r="BH54" i="8" s="1"/>
  <c r="BM54" i="8" s="1"/>
  <c r="AU44" i="8"/>
  <c r="E50" i="3"/>
  <c r="I44" i="3"/>
  <c r="L50" i="3"/>
  <c r="J50" i="3"/>
  <c r="F44" i="3"/>
  <c r="AE16" i="8"/>
  <c r="CO47" i="8" s="1"/>
  <c r="BW54" i="8"/>
  <c r="CB54" i="8" s="1"/>
  <c r="AH24" i="8"/>
  <c r="J41" i="8"/>
  <c r="G50" i="3"/>
  <c r="I71" i="3"/>
  <c r="O16" i="8"/>
  <c r="P16" i="8" s="1"/>
  <c r="G44" i="3"/>
  <c r="J44" i="3"/>
  <c r="C65" i="3"/>
  <c r="C13" i="7" s="1"/>
  <c r="E13" i="7" s="1"/>
  <c r="O10" i="8"/>
  <c r="CK41" i="8" s="1"/>
  <c r="S10" i="8"/>
  <c r="CL41" i="8" s="1"/>
  <c r="D74" i="3"/>
  <c r="J104" i="3"/>
  <c r="L104" i="3"/>
  <c r="BW43" i="8"/>
  <c r="CB43" i="8" s="1"/>
  <c r="W29" i="8"/>
  <c r="CM60" i="8" s="1"/>
  <c r="H74" i="3"/>
  <c r="G104" i="3"/>
  <c r="M74" i="3"/>
  <c r="AR41" i="8"/>
  <c r="AA7" i="8"/>
  <c r="CN38" i="8" s="1"/>
  <c r="C104" i="3"/>
  <c r="C26" i="7" s="1"/>
  <c r="E26" i="7" s="1"/>
  <c r="AB16" i="8"/>
  <c r="CN47" i="8"/>
  <c r="E16" i="7"/>
  <c r="D16" i="7"/>
  <c r="W23" i="8"/>
  <c r="X23" i="8" s="1"/>
  <c r="BY43" i="8"/>
  <c r="CD43" i="8" s="1"/>
  <c r="L27" i="4"/>
  <c r="AM9" i="1" s="1"/>
  <c r="BY41" i="8"/>
  <c r="CD41" i="8" s="1"/>
  <c r="AU41" i="8"/>
  <c r="BT41" i="8" s="1"/>
  <c r="CI41" i="8" s="1"/>
  <c r="S26" i="8"/>
  <c r="T26" i="8" s="1"/>
  <c r="AJ51" i="8"/>
  <c r="AO51" i="8" s="1"/>
  <c r="AA20" i="8"/>
  <c r="CN51" i="8" s="1"/>
  <c r="O20" i="8"/>
  <c r="CK51" i="8" s="1"/>
  <c r="AD12" i="3"/>
  <c r="AE12" i="3" s="1"/>
  <c r="AF12" i="3" s="1"/>
  <c r="CM38" i="8"/>
  <c r="S20" i="8"/>
  <c r="T20" i="8" s="1"/>
  <c r="AE10" i="8"/>
  <c r="CO41" i="8" s="1"/>
  <c r="Q43" i="8"/>
  <c r="AE15" i="8"/>
  <c r="CO46" i="8" s="1"/>
  <c r="AV60" i="8"/>
  <c r="E44" i="3"/>
  <c r="AA15" i="8"/>
  <c r="CN46" i="8" s="1"/>
  <c r="S16" i="8"/>
  <c r="CL47" i="8" s="1"/>
  <c r="L41" i="8"/>
  <c r="M41" i="8" s="1"/>
  <c r="N41" i="8" s="1"/>
  <c r="O15" i="8"/>
  <c r="P15" i="8" s="1"/>
  <c r="W11" i="8"/>
  <c r="CM42" i="8" s="1"/>
  <c r="BW41" i="8"/>
  <c r="CB41" i="8" s="1"/>
  <c r="Y24" i="3"/>
  <c r="Z24" i="3" s="1"/>
  <c r="BZ41" i="8"/>
  <c r="CE41" i="8" s="1"/>
  <c r="AV48" i="8"/>
  <c r="AA29" i="8"/>
  <c r="AB29" i="8" s="1"/>
  <c r="W16" i="8"/>
  <c r="L17" i="3"/>
  <c r="M17" i="3" s="1"/>
  <c r="N17" i="3" s="1"/>
  <c r="BU43" i="8"/>
  <c r="CJ43" i="8" s="1"/>
  <c r="P41" i="8"/>
  <c r="Q41" i="8" s="1"/>
  <c r="O17" i="8"/>
  <c r="CK48" i="8" s="1"/>
  <c r="Q60" i="8"/>
  <c r="G86" i="3"/>
  <c r="E86" i="3"/>
  <c r="AT43" i="8"/>
  <c r="D86" i="3"/>
  <c r="BZ54" i="8"/>
  <c r="CE54" i="8" s="1"/>
  <c r="T23" i="8"/>
  <c r="AE17" i="8"/>
  <c r="CO48" i="8" s="1"/>
  <c r="AV54" i="8"/>
  <c r="K43" i="8"/>
  <c r="L43" i="8" s="1"/>
  <c r="M43" i="8" s="1"/>
  <c r="N43" i="8" s="1"/>
  <c r="E104" i="3"/>
  <c r="H71" i="3"/>
  <c r="H104" i="3"/>
  <c r="O26" i="8"/>
  <c r="CK57" i="8" s="1"/>
  <c r="AA26" i="8"/>
  <c r="AB26" i="8" s="1"/>
  <c r="AE29" i="8"/>
  <c r="CO60" i="8" s="1"/>
  <c r="AS43" i="8"/>
  <c r="AS38" i="8"/>
  <c r="AH29" i="8"/>
  <c r="L60" i="8"/>
  <c r="M60" i="8" s="1"/>
  <c r="N60" i="8" s="1"/>
  <c r="H86" i="3"/>
  <c r="S17" i="8"/>
  <c r="CL48" i="8" s="1"/>
  <c r="W17" i="8"/>
  <c r="BC43" i="8"/>
  <c r="BH43" i="8" s="1"/>
  <c r="BM43" i="8" s="1"/>
  <c r="O23" i="8"/>
  <c r="E74" i="3"/>
  <c r="AU43" i="8"/>
  <c r="AE12" i="8"/>
  <c r="CO43" i="8" s="1"/>
  <c r="BC41" i="8"/>
  <c r="BH41" i="8" s="1"/>
  <c r="BM41" i="8" s="1"/>
  <c r="AT60" i="8"/>
  <c r="BB43" i="8"/>
  <c r="BG43" i="8" s="1"/>
  <c r="BL43" i="8" s="1"/>
  <c r="F86" i="3"/>
  <c r="AE26" i="8"/>
  <c r="CO57" i="8" s="1"/>
  <c r="W15" i="8"/>
  <c r="CM46" i="8" s="1"/>
  <c r="BB41" i="8"/>
  <c r="BG41" i="8" s="1"/>
  <c r="BL41" i="8" s="1"/>
  <c r="AH27" i="8"/>
  <c r="AI18" i="8"/>
  <c r="AH17" i="8"/>
  <c r="AB10" i="8"/>
  <c r="CN41" i="8"/>
  <c r="AY41" i="8"/>
  <c r="BD41" i="8" s="1"/>
  <c r="BI41" i="8" s="1"/>
  <c r="BN41" i="8" s="1"/>
  <c r="F71" i="3"/>
  <c r="AP17" i="3"/>
  <c r="AQ17" i="3" s="1"/>
  <c r="AR17" i="3" s="1"/>
  <c r="W10" i="8"/>
  <c r="BV43" i="8"/>
  <c r="CA43" i="8" s="1"/>
  <c r="AM32" i="1"/>
  <c r="AS34" i="8"/>
  <c r="S7" i="8"/>
  <c r="T7" i="8" s="1"/>
  <c r="BE43" i="8"/>
  <c r="BJ43" i="8" s="1"/>
  <c r="BO43" i="8" s="1"/>
  <c r="O18" i="8"/>
  <c r="P18" i="8" s="1"/>
  <c r="AJ28" i="3"/>
  <c r="AK28" i="3" s="1"/>
  <c r="AL28" i="3" s="1"/>
  <c r="O7" i="8"/>
  <c r="P7" i="8" s="1"/>
  <c r="J60" i="8"/>
  <c r="AP9" i="3"/>
  <c r="AQ9" i="3" s="1"/>
  <c r="AR9" i="3" s="1"/>
  <c r="F104" i="3"/>
  <c r="BH25" i="3"/>
  <c r="BI25" i="3" s="1"/>
  <c r="BJ25" i="3" s="1"/>
  <c r="R12" i="3"/>
  <c r="S12" i="3" s="1"/>
  <c r="BV41" i="8"/>
  <c r="CA41" i="8" s="1"/>
  <c r="S12" i="8"/>
  <c r="L10" i="3"/>
  <c r="M10" i="3" s="1"/>
  <c r="N10" i="3" s="1"/>
  <c r="AR54" i="8"/>
  <c r="P12" i="8"/>
  <c r="AV18" i="3"/>
  <c r="AW18" i="3" s="1"/>
  <c r="AX18" i="3" s="1"/>
  <c r="S9" i="8"/>
  <c r="CL40" i="8" s="1"/>
  <c r="AJ21" i="3"/>
  <c r="AK21" i="3" s="1"/>
  <c r="AL21" i="3" s="1"/>
  <c r="BF54" i="8"/>
  <c r="BK54" i="8" s="1"/>
  <c r="BP54" i="8" s="1"/>
  <c r="AE7" i="8"/>
  <c r="CO38" i="8" s="1"/>
  <c r="BX43" i="8"/>
  <c r="CC43" i="8" s="1"/>
  <c r="AR43" i="8"/>
  <c r="BY60" i="8"/>
  <c r="CD60" i="8" s="1"/>
  <c r="AA12" i="8"/>
  <c r="CN43" i="8" s="1"/>
  <c r="W12" i="8"/>
  <c r="CM43" i="8" s="1"/>
  <c r="AH23" i="8"/>
  <c r="C110" i="3"/>
  <c r="C28" i="7" s="1"/>
  <c r="D28" i="7" s="1"/>
  <c r="AV10" i="3"/>
  <c r="AW10" i="3" s="1"/>
  <c r="AX10" i="3" s="1"/>
  <c r="R15" i="3"/>
  <c r="S15" i="3" s="1"/>
  <c r="T15" i="3" s="1"/>
  <c r="AS60" i="8"/>
  <c r="I104" i="3"/>
  <c r="Y28" i="3"/>
  <c r="Z28" i="3" s="1"/>
  <c r="AA27" i="8"/>
  <c r="CN58" i="8" s="1"/>
  <c r="AA5" i="8"/>
  <c r="AB5" i="8" s="1"/>
  <c r="AA24" i="8"/>
  <c r="CN55" i="8" s="1"/>
  <c r="O5" i="8"/>
  <c r="P5" i="8" s="1"/>
  <c r="T29" i="8"/>
  <c r="AS41" i="8"/>
  <c r="AA14" i="8"/>
  <c r="AB14" i="8" s="1"/>
  <c r="O28" i="8"/>
  <c r="CK59" i="8" s="1"/>
  <c r="AE14" i="8"/>
  <c r="AF14" i="8" s="1"/>
  <c r="D20" i="7"/>
  <c r="AR44" i="8"/>
  <c r="J86" i="3"/>
  <c r="AA11" i="8"/>
  <c r="CN42" i="8" s="1"/>
  <c r="AY60" i="8"/>
  <c r="BD60" i="8" s="1"/>
  <c r="BI60" i="8" s="1"/>
  <c r="BN60" i="8" s="1"/>
  <c r="BX60" i="8"/>
  <c r="CC60" i="8" s="1"/>
  <c r="L28" i="3"/>
  <c r="M28" i="3" s="1"/>
  <c r="N28" i="3" s="1"/>
  <c r="CA60" i="8"/>
  <c r="BZ43" i="8"/>
  <c r="CE43" i="8" s="1"/>
  <c r="O14" i="8"/>
  <c r="AR60" i="8"/>
  <c r="CM45" i="8"/>
  <c r="AR38" i="8"/>
  <c r="I86" i="3"/>
  <c r="CC41" i="8"/>
  <c r="C95" i="3"/>
  <c r="C23" i="7" s="1"/>
  <c r="E23" i="7" s="1"/>
  <c r="BD43" i="8"/>
  <c r="BI43" i="8" s="1"/>
  <c r="BN43" i="8" s="1"/>
  <c r="AT38" i="8"/>
  <c r="AV24" i="3"/>
  <c r="AW24" i="3" s="1"/>
  <c r="AX24" i="3" s="1"/>
  <c r="BE60" i="8"/>
  <c r="BJ60" i="8" s="1"/>
  <c r="BO60" i="8" s="1"/>
  <c r="S15" i="8"/>
  <c r="T15" i="8" s="1"/>
  <c r="M71" i="3"/>
  <c r="Y8" i="3"/>
  <c r="Z8" i="3" s="1"/>
  <c r="C101" i="3"/>
  <c r="C25" i="7" s="1"/>
  <c r="D25" i="7" s="1"/>
  <c r="W9" i="8"/>
  <c r="CM40" i="8" s="1"/>
  <c r="W26" i="8"/>
  <c r="CM57" i="8" s="1"/>
  <c r="BB27" i="3"/>
  <c r="BC27" i="3" s="1"/>
  <c r="BD27" i="3" s="1"/>
  <c r="L44" i="3"/>
  <c r="BB7" i="3"/>
  <c r="BC7" i="3" s="1"/>
  <c r="BH7" i="3"/>
  <c r="BI7" i="3" s="1"/>
  <c r="M44" i="3"/>
  <c r="AD21" i="3"/>
  <c r="AE21" i="3" s="1"/>
  <c r="AF21" i="3" s="1"/>
  <c r="J68" i="3"/>
  <c r="G68" i="3"/>
  <c r="C68" i="3"/>
  <c r="C14" i="7" s="1"/>
  <c r="I68" i="3"/>
  <c r="F68" i="3"/>
  <c r="E68" i="3"/>
  <c r="D68" i="3"/>
  <c r="AI22" i="8"/>
  <c r="AH22" i="8"/>
  <c r="W27" i="8"/>
  <c r="H58" i="8"/>
  <c r="I58" i="8" s="1"/>
  <c r="E58" i="8"/>
  <c r="F58" i="8" s="1"/>
  <c r="K58" i="8" s="1"/>
  <c r="U58" i="8"/>
  <c r="Z58" i="8" s="1"/>
  <c r="BX58" i="8" s="1"/>
  <c r="AL58" i="8"/>
  <c r="AQ58" i="8" s="1"/>
  <c r="AI58" i="8"/>
  <c r="AN58" i="8" s="1"/>
  <c r="AC58" i="8"/>
  <c r="W58" i="8"/>
  <c r="AB58" i="8" s="1"/>
  <c r="BA58" i="8" s="1"/>
  <c r="AJ58" i="8"/>
  <c r="AO58" i="8" s="1"/>
  <c r="AH58" i="8"/>
  <c r="AM58" i="8" s="1"/>
  <c r="AG58" i="8"/>
  <c r="AE58" i="8"/>
  <c r="AZ54" i="8"/>
  <c r="BE54" i="8" s="1"/>
  <c r="BJ54" i="8" s="1"/>
  <c r="BO54" i="8" s="1"/>
  <c r="BY54" i="8"/>
  <c r="CD54" i="8" s="1"/>
  <c r="H17" i="3"/>
  <c r="AM22" i="1"/>
  <c r="K44" i="3"/>
  <c r="AV7" i="3"/>
  <c r="AW7" i="3" s="1"/>
  <c r="AX7" i="3" s="1"/>
  <c r="AI20" i="8"/>
  <c r="AH20" i="8"/>
  <c r="K54" i="8"/>
  <c r="L54" i="8" s="1"/>
  <c r="M54" i="8" s="1"/>
  <c r="N54" i="8" s="1"/>
  <c r="O54" i="8" s="1"/>
  <c r="R54" i="8" s="1"/>
  <c r="CW54" i="8" s="1"/>
  <c r="P54" i="8"/>
  <c r="Q54" i="8" s="1"/>
  <c r="BB17" i="3"/>
  <c r="BC17" i="3" s="1"/>
  <c r="BD17" i="3" s="1"/>
  <c r="AD29" i="3"/>
  <c r="AE29" i="3" s="1"/>
  <c r="AF29" i="3" s="1"/>
  <c r="AV29" i="3"/>
  <c r="AW29" i="3" s="1"/>
  <c r="AX29" i="3" s="1"/>
  <c r="R23" i="3"/>
  <c r="S23" i="3" s="1"/>
  <c r="T23" i="3" s="1"/>
  <c r="CO40" i="8"/>
  <c r="AF9" i="8"/>
  <c r="CN48" i="8"/>
  <c r="AB17" i="8"/>
  <c r="AE27" i="8"/>
  <c r="G58" i="8"/>
  <c r="AK58" i="8"/>
  <c r="AP58" i="8" s="1"/>
  <c r="AF58" i="8"/>
  <c r="S58" i="8"/>
  <c r="X58" i="8" s="1"/>
  <c r="AW58" i="8" s="1"/>
  <c r="H68" i="3"/>
  <c r="S27" i="8"/>
  <c r="T27" i="8" s="1"/>
  <c r="H9" i="3"/>
  <c r="D51" i="3"/>
  <c r="T58" i="8"/>
  <c r="Y58" i="8" s="1"/>
  <c r="BW58" i="8" s="1"/>
  <c r="AD58" i="8"/>
  <c r="R17" i="3"/>
  <c r="S17" i="3" s="1"/>
  <c r="T17" i="3" s="1"/>
  <c r="BA60" i="8"/>
  <c r="BF60" i="8" s="1"/>
  <c r="BK60" i="8" s="1"/>
  <c r="BP60" i="8" s="1"/>
  <c r="BZ60" i="8"/>
  <c r="CE60" i="8" s="1"/>
  <c r="AX60" i="8"/>
  <c r="BC60" i="8" s="1"/>
  <c r="BH60" i="8" s="1"/>
  <c r="BM60" i="8" s="1"/>
  <c r="BW60" i="8"/>
  <c r="CB60" i="8" s="1"/>
  <c r="L18" i="3"/>
  <c r="M18" i="3" s="1"/>
  <c r="N18" i="3" s="1"/>
  <c r="AE28" i="8"/>
  <c r="CO59" i="8" s="1"/>
  <c r="H24" i="3"/>
  <c r="AM29" i="1"/>
  <c r="AA28" i="8"/>
  <c r="AB28" i="8" s="1"/>
  <c r="AE24" i="8"/>
  <c r="AF24" i="8" s="1"/>
  <c r="BD54" i="8"/>
  <c r="BI54" i="8" s="1"/>
  <c r="BN54" i="8" s="1"/>
  <c r="AV44" i="8"/>
  <c r="AR39" i="8"/>
  <c r="C62" i="3"/>
  <c r="C12" i="7" s="1"/>
  <c r="E12" i="7" s="1"/>
  <c r="AU54" i="8"/>
  <c r="AD8" i="3"/>
  <c r="AE8" i="3" s="1"/>
  <c r="AF8" i="3" s="1"/>
  <c r="AD25" i="3"/>
  <c r="AE25" i="3" s="1"/>
  <c r="AF25" i="3" s="1"/>
  <c r="I74" i="3"/>
  <c r="AH11" i="8"/>
  <c r="AI11" i="8"/>
  <c r="O27" i="8"/>
  <c r="CA54" i="8"/>
  <c r="X10" i="3"/>
  <c r="Y10" i="3" s="1"/>
  <c r="AI14" i="8"/>
  <c r="AH14" i="8"/>
  <c r="W28" i="8"/>
  <c r="X28" i="8" s="1"/>
  <c r="AV39" i="8"/>
  <c r="AQ18" i="3"/>
  <c r="AR18" i="3" s="1"/>
  <c r="S14" i="8"/>
  <c r="AJ17" i="3"/>
  <c r="AK17" i="3" s="1"/>
  <c r="AL17" i="3" s="1"/>
  <c r="J47" i="8"/>
  <c r="L74" i="3"/>
  <c r="AW60" i="8"/>
  <c r="BB60" i="8" s="1"/>
  <c r="BG60" i="8" s="1"/>
  <c r="BL60" i="8" s="1"/>
  <c r="AA9" i="8"/>
  <c r="O9" i="8"/>
  <c r="L29" i="3"/>
  <c r="M29" i="3" s="1"/>
  <c r="N29" i="3" s="1"/>
  <c r="S28" i="8"/>
  <c r="T28" i="8" s="1"/>
  <c r="T40" i="8"/>
  <c r="Y40" i="8" s="1"/>
  <c r="AJ40" i="8"/>
  <c r="AO40" i="8" s="1"/>
  <c r="AG40" i="8"/>
  <c r="AF40" i="8"/>
  <c r="AI40" i="8"/>
  <c r="AN40" i="8" s="1"/>
  <c r="AC40" i="8"/>
  <c r="AH40" i="8"/>
  <c r="AM40" i="8" s="1"/>
  <c r="S40" i="8"/>
  <c r="X40" i="8" s="1"/>
  <c r="AK40" i="8"/>
  <c r="AP40" i="8" s="1"/>
  <c r="AL40" i="8"/>
  <c r="AQ40" i="8" s="1"/>
  <c r="H40" i="8"/>
  <c r="I40" i="8" s="1"/>
  <c r="U40" i="8"/>
  <c r="Z40" i="8" s="1"/>
  <c r="W40" i="8"/>
  <c r="AB40" i="8" s="1"/>
  <c r="V40" i="8"/>
  <c r="AA40" i="8" s="1"/>
  <c r="AE40" i="8"/>
  <c r="AD40" i="8"/>
  <c r="G40" i="8"/>
  <c r="E40" i="8"/>
  <c r="F40" i="8" s="1"/>
  <c r="W59" i="8"/>
  <c r="AB59" i="8" s="1"/>
  <c r="V59" i="8"/>
  <c r="AA59" i="8" s="1"/>
  <c r="H59" i="8"/>
  <c r="I59" i="8" s="1"/>
  <c r="E59" i="8"/>
  <c r="F59" i="8" s="1"/>
  <c r="G59" i="8"/>
  <c r="AI59" i="8"/>
  <c r="AN59" i="8" s="1"/>
  <c r="AH59" i="8"/>
  <c r="AM59" i="8" s="1"/>
  <c r="AC59" i="8"/>
  <c r="T59" i="8"/>
  <c r="Y59" i="8" s="1"/>
  <c r="AJ59" i="8"/>
  <c r="AO59" i="8" s="1"/>
  <c r="AG59" i="8"/>
  <c r="AK59" i="8"/>
  <c r="AP59" i="8" s="1"/>
  <c r="AE59" i="8"/>
  <c r="U59" i="8"/>
  <c r="Z59" i="8" s="1"/>
  <c r="AD59" i="8"/>
  <c r="AF59" i="8"/>
  <c r="AL59" i="8"/>
  <c r="AQ59" i="8" s="1"/>
  <c r="S59" i="8"/>
  <c r="X59" i="8" s="1"/>
  <c r="CO42" i="8"/>
  <c r="AF11" i="8"/>
  <c r="U51" i="8"/>
  <c r="Z51" i="8" s="1"/>
  <c r="AE51" i="8"/>
  <c r="W51" i="8"/>
  <c r="AB51" i="8" s="1"/>
  <c r="G51" i="8"/>
  <c r="AF51" i="8"/>
  <c r="AU51" i="8" s="1"/>
  <c r="S51" i="8"/>
  <c r="X51" i="8" s="1"/>
  <c r="V51" i="8"/>
  <c r="AA51" i="8" s="1"/>
  <c r="AZ51" i="8" s="1"/>
  <c r="T51" i="8"/>
  <c r="Y51" i="8" s="1"/>
  <c r="E51" i="8"/>
  <c r="F51" i="8" s="1"/>
  <c r="K51" i="8" s="1"/>
  <c r="AC51" i="8"/>
  <c r="AD51" i="8"/>
  <c r="AG51" i="8"/>
  <c r="C77" i="3"/>
  <c r="C17" i="7" s="1"/>
  <c r="D17" i="7" s="1"/>
  <c r="AV47" i="8"/>
  <c r="AE21" i="8"/>
  <c r="CO52" i="8" s="1"/>
  <c r="H46" i="8"/>
  <c r="I46" i="8" s="1"/>
  <c r="AJ46" i="8"/>
  <c r="AO46" i="8" s="1"/>
  <c r="AG46" i="8"/>
  <c r="G46" i="8"/>
  <c r="AD46" i="8"/>
  <c r="AK46" i="8"/>
  <c r="AP46" i="8" s="1"/>
  <c r="AL46" i="8"/>
  <c r="AQ46" i="8" s="1"/>
  <c r="U46" i="8"/>
  <c r="Z46" i="8" s="1"/>
  <c r="W46" i="8"/>
  <c r="AB46" i="8" s="1"/>
  <c r="V46" i="8"/>
  <c r="AA46" i="8" s="1"/>
  <c r="S46" i="8"/>
  <c r="X46" i="8" s="1"/>
  <c r="AI46" i="8"/>
  <c r="AN46" i="8" s="1"/>
  <c r="AH46" i="8"/>
  <c r="AM46" i="8" s="1"/>
  <c r="E46" i="8"/>
  <c r="F46" i="8" s="1"/>
  <c r="AF46" i="8"/>
  <c r="AC46" i="8"/>
  <c r="AE46" i="8"/>
  <c r="T46" i="8"/>
  <c r="Y46" i="8" s="1"/>
  <c r="AC45" i="8"/>
  <c r="W45" i="8"/>
  <c r="AB45" i="8" s="1"/>
  <c r="V45" i="8"/>
  <c r="AA45" i="8" s="1"/>
  <c r="H45" i="8"/>
  <c r="I45" i="8" s="1"/>
  <c r="G45" i="8"/>
  <c r="AH45" i="8"/>
  <c r="AM45" i="8" s="1"/>
  <c r="AF45" i="8"/>
  <c r="S45" i="8"/>
  <c r="X45" i="8" s="1"/>
  <c r="AK45" i="8"/>
  <c r="AP45" i="8" s="1"/>
  <c r="U45" i="8"/>
  <c r="Z45" i="8" s="1"/>
  <c r="AG45" i="8"/>
  <c r="AE45" i="8"/>
  <c r="T45" i="8"/>
  <c r="Y45" i="8" s="1"/>
  <c r="AL45" i="8"/>
  <c r="AQ45" i="8" s="1"/>
  <c r="AJ45" i="8"/>
  <c r="AO45" i="8" s="1"/>
  <c r="AI45" i="8"/>
  <c r="AN45" i="8" s="1"/>
  <c r="AD45" i="8"/>
  <c r="E45" i="8"/>
  <c r="F45" i="8" s="1"/>
  <c r="H30" i="3"/>
  <c r="AM35" i="1"/>
  <c r="S24" i="8"/>
  <c r="T24" i="8" s="1"/>
  <c r="AA4" i="8"/>
  <c r="CN35" i="8" s="1"/>
  <c r="AL51" i="8"/>
  <c r="AQ51" i="8" s="1"/>
  <c r="AE42" i="8"/>
  <c r="AK42" i="8"/>
  <c r="AP42" i="8" s="1"/>
  <c r="AI42" i="8"/>
  <c r="AN42" i="8" s="1"/>
  <c r="AH42" i="8"/>
  <c r="AM42" i="8" s="1"/>
  <c r="AG42" i="8"/>
  <c r="AF42" i="8"/>
  <c r="AC42" i="8"/>
  <c r="V42" i="8"/>
  <c r="AA42" i="8" s="1"/>
  <c r="U42" i="8"/>
  <c r="Z42" i="8" s="1"/>
  <c r="T42" i="8"/>
  <c r="Y42" i="8" s="1"/>
  <c r="G42" i="8"/>
  <c r="H42" i="8"/>
  <c r="I42" i="8" s="1"/>
  <c r="E42" i="8"/>
  <c r="F42" i="8" s="1"/>
  <c r="AD42" i="8"/>
  <c r="S42" i="8"/>
  <c r="X42" i="8" s="1"/>
  <c r="AL42" i="8"/>
  <c r="AQ42" i="8" s="1"/>
  <c r="AJ42" i="8"/>
  <c r="AO42" i="8" s="1"/>
  <c r="W42" i="8"/>
  <c r="AB42" i="8" s="1"/>
  <c r="C83" i="3"/>
  <c r="C19" i="7" s="1"/>
  <c r="E19" i="7" s="1"/>
  <c r="J48" i="8"/>
  <c r="O11" i="8"/>
  <c r="AD10" i="3"/>
  <c r="AE10" i="3" s="1"/>
  <c r="AH12" i="8"/>
  <c r="AI51" i="8"/>
  <c r="AN51" i="8" s="1"/>
  <c r="W20" i="8"/>
  <c r="X20" i="8" s="1"/>
  <c r="H51" i="8"/>
  <c r="I51" i="8" s="1"/>
  <c r="O19" i="8"/>
  <c r="P19" i="8" s="1"/>
  <c r="C89" i="3"/>
  <c r="C21" i="7" s="1"/>
  <c r="E21" i="7" s="1"/>
  <c r="AI28" i="8"/>
  <c r="AH28" i="8"/>
  <c r="O24" i="8"/>
  <c r="CK55" i="8" s="1"/>
  <c r="X18" i="3"/>
  <c r="Y18" i="3" s="1"/>
  <c r="Z18" i="3" s="1"/>
  <c r="S11" i="8"/>
  <c r="AR56" i="8"/>
  <c r="AD9" i="3"/>
  <c r="AE9" i="3" s="1"/>
  <c r="AU39" i="8"/>
  <c r="AT44" i="8"/>
  <c r="AT34" i="8"/>
  <c r="AI15" i="8"/>
  <c r="AH15" i="8"/>
  <c r="AA19" i="8"/>
  <c r="CN50" i="8" s="1"/>
  <c r="AH51" i="8"/>
  <c r="AM51" i="8" s="1"/>
  <c r="AE20" i="8"/>
  <c r="AF20" i="8" s="1"/>
  <c r="W19" i="8"/>
  <c r="CM50" i="8" s="1"/>
  <c r="AU60" i="8"/>
  <c r="H16" i="3"/>
  <c r="AM21" i="1"/>
  <c r="H22" i="3"/>
  <c r="AM27" i="1"/>
  <c r="N7" i="3"/>
  <c r="AF7" i="3"/>
  <c r="H18" i="3"/>
  <c r="AM23" i="1"/>
  <c r="H19" i="3"/>
  <c r="AM24" i="1"/>
  <c r="Z12" i="3"/>
  <c r="H14" i="3"/>
  <c r="AM19" i="1"/>
  <c r="H13" i="3"/>
  <c r="AM18" i="1"/>
  <c r="H7" i="3"/>
  <c r="D45" i="3"/>
  <c r="H12" i="3"/>
  <c r="AM17" i="1"/>
  <c r="D72" i="3"/>
  <c r="D75" i="3"/>
  <c r="D69" i="3"/>
  <c r="D87" i="3"/>
  <c r="D105" i="3"/>
  <c r="AX44" i="8"/>
  <c r="BC44" i="8" s="1"/>
  <c r="BH44" i="8" s="1"/>
  <c r="BM44" i="8" s="1"/>
  <c r="BW44" i="8"/>
  <c r="CB44" i="8" s="1"/>
  <c r="L30" i="3"/>
  <c r="M30" i="3" s="1"/>
  <c r="N30" i="3" s="1"/>
  <c r="AB25" i="8"/>
  <c r="CN56" i="8"/>
  <c r="AH21" i="8"/>
  <c r="AI21" i="8"/>
  <c r="K77" i="3"/>
  <c r="H77" i="3"/>
  <c r="E77" i="3"/>
  <c r="D77" i="3"/>
  <c r="G77" i="3"/>
  <c r="F77" i="3"/>
  <c r="M77" i="3"/>
  <c r="L77" i="3"/>
  <c r="J77" i="3"/>
  <c r="I77" i="3"/>
  <c r="X23" i="3"/>
  <c r="Y23" i="3" s="1"/>
  <c r="Z23" i="3" s="1"/>
  <c r="BA38" i="8"/>
  <c r="BF38" i="8" s="1"/>
  <c r="BK38" i="8" s="1"/>
  <c r="BP38" i="8" s="1"/>
  <c r="BZ38" i="8"/>
  <c r="CE38" i="8" s="1"/>
  <c r="X25" i="8"/>
  <c r="CM56" i="8"/>
  <c r="BH6" i="3"/>
  <c r="BI6" i="3" s="1"/>
  <c r="AD30" i="3"/>
  <c r="AE30" i="3" s="1"/>
  <c r="AF30" i="3" s="1"/>
  <c r="W24" i="8"/>
  <c r="K48" i="8"/>
  <c r="L48" i="8" s="1"/>
  <c r="M48" i="8" s="1"/>
  <c r="N48" i="8" s="1"/>
  <c r="P48" i="8"/>
  <c r="Q48" i="8" s="1"/>
  <c r="AZ58" i="8"/>
  <c r="BY58" i="8"/>
  <c r="G11" i="4"/>
  <c r="CL56" i="8"/>
  <c r="T25" i="8"/>
  <c r="M89" i="3"/>
  <c r="H89" i="3"/>
  <c r="F89" i="3"/>
  <c r="J89" i="3"/>
  <c r="I89" i="3"/>
  <c r="G89" i="3"/>
  <c r="E89" i="3"/>
  <c r="D89" i="3"/>
  <c r="K89" i="3"/>
  <c r="L89" i="3"/>
  <c r="R16" i="3"/>
  <c r="S16" i="3" s="1"/>
  <c r="T16" i="3" s="1"/>
  <c r="AJ25" i="3"/>
  <c r="AK25" i="3" s="1"/>
  <c r="AL25" i="3" s="1"/>
  <c r="S36" i="8"/>
  <c r="X36" i="8" s="1"/>
  <c r="AG36" i="8"/>
  <c r="AD36" i="8"/>
  <c r="W36" i="8"/>
  <c r="AB36" i="8" s="1"/>
  <c r="H36" i="8"/>
  <c r="I36" i="8" s="1"/>
  <c r="G36" i="8"/>
  <c r="AK36" i="8"/>
  <c r="AP36" i="8" s="1"/>
  <c r="AJ36" i="8"/>
  <c r="AO36" i="8" s="1"/>
  <c r="AH36" i="8"/>
  <c r="AM36" i="8" s="1"/>
  <c r="AE36" i="8"/>
  <c r="AI36" i="8"/>
  <c r="AN36" i="8" s="1"/>
  <c r="AF36" i="8"/>
  <c r="AC36" i="8"/>
  <c r="V36" i="8"/>
  <c r="AA36" i="8" s="1"/>
  <c r="U36" i="8"/>
  <c r="Z36" i="8" s="1"/>
  <c r="T36" i="8"/>
  <c r="Y36" i="8" s="1"/>
  <c r="E36" i="8"/>
  <c r="F36" i="8" s="1"/>
  <c r="AL36" i="8"/>
  <c r="AQ36" i="8" s="1"/>
  <c r="AV15" i="3"/>
  <c r="AW15" i="3" s="1"/>
  <c r="AX15" i="3" s="1"/>
  <c r="L15" i="3"/>
  <c r="M15" i="3" s="1"/>
  <c r="N15" i="3" s="1"/>
  <c r="AD14" i="3"/>
  <c r="AE14" i="3" s="1"/>
  <c r="AF14" i="3" s="1"/>
  <c r="AD19" i="3"/>
  <c r="AE19" i="3" s="1"/>
  <c r="AF19" i="3" s="1"/>
  <c r="AP25" i="3"/>
  <c r="AQ25" i="3" s="1"/>
  <c r="AR25" i="3" s="1"/>
  <c r="X6" i="3"/>
  <c r="Y6" i="3" s="1"/>
  <c r="J34" i="8"/>
  <c r="AP22" i="3"/>
  <c r="AQ22" i="3" s="1"/>
  <c r="AR22" i="3" s="1"/>
  <c r="AE5" i="8"/>
  <c r="AD18" i="3"/>
  <c r="AE18" i="3" s="1"/>
  <c r="AF18" i="3" s="1"/>
  <c r="X15" i="3"/>
  <c r="Y15" i="3" s="1"/>
  <c r="Z15" i="3" s="1"/>
  <c r="C59" i="3"/>
  <c r="C11" i="7" s="1"/>
  <c r="D90" i="3"/>
  <c r="BB4" i="3"/>
  <c r="BC4" i="3" s="1"/>
  <c r="BD4" i="3" s="1"/>
  <c r="R5" i="3"/>
  <c r="S5" i="3" s="1"/>
  <c r="F93" i="3" s="1"/>
  <c r="D81" i="3"/>
  <c r="AS48" i="8"/>
  <c r="BA56" i="8"/>
  <c r="BF56" i="8" s="1"/>
  <c r="BK56" i="8" s="1"/>
  <c r="BP56" i="8" s="1"/>
  <c r="BZ56" i="8"/>
  <c r="CE56" i="8" s="1"/>
  <c r="W5" i="8"/>
  <c r="C92" i="3"/>
  <c r="C22" i="7" s="1"/>
  <c r="C80" i="3"/>
  <c r="C18" i="7" s="1"/>
  <c r="BA48" i="8"/>
  <c r="BF48" i="8" s="1"/>
  <c r="BK48" i="8" s="1"/>
  <c r="BP48" i="8" s="1"/>
  <c r="BZ48" i="8"/>
  <c r="CE48" i="8" s="1"/>
  <c r="AV23" i="3"/>
  <c r="AW23" i="3" s="1"/>
  <c r="AX23" i="3" s="1"/>
  <c r="AD5" i="3"/>
  <c r="AE5" i="3" s="1"/>
  <c r="H63" i="3" s="1"/>
  <c r="AS47" i="8"/>
  <c r="S6" i="8"/>
  <c r="L47" i="3"/>
  <c r="G47" i="3"/>
  <c r="D47" i="3"/>
  <c r="M47" i="3"/>
  <c r="K47" i="3"/>
  <c r="I47" i="3"/>
  <c r="H47" i="3"/>
  <c r="F47" i="3"/>
  <c r="E47" i="3"/>
  <c r="J47" i="3"/>
  <c r="AD4" i="3"/>
  <c r="AE4" i="3" s="1"/>
  <c r="AF4" i="3" s="1"/>
  <c r="AT56" i="8"/>
  <c r="AS39" i="8"/>
  <c r="AZ34" i="8"/>
  <c r="BE34" i="8" s="1"/>
  <c r="BJ34" i="8" s="1"/>
  <c r="BO34" i="8" s="1"/>
  <c r="BY34" i="8"/>
  <c r="CD34" i="8" s="1"/>
  <c r="AJ5" i="3"/>
  <c r="AK5" i="3" s="1"/>
  <c r="AL5" i="3" s="1"/>
  <c r="AJ50" i="8"/>
  <c r="AO50" i="8" s="1"/>
  <c r="AE50" i="8"/>
  <c r="AC50" i="8"/>
  <c r="V50" i="8"/>
  <c r="AA50" i="8" s="1"/>
  <c r="T50" i="8"/>
  <c r="Y50" i="8" s="1"/>
  <c r="AF50" i="8"/>
  <c r="E50" i="8"/>
  <c r="F50" i="8" s="1"/>
  <c r="S50" i="8"/>
  <c r="X50" i="8" s="1"/>
  <c r="G50" i="8"/>
  <c r="H50" i="8"/>
  <c r="I50" i="8" s="1"/>
  <c r="J50" i="8" s="1"/>
  <c r="AI50" i="8"/>
  <c r="AN50" i="8" s="1"/>
  <c r="U50" i="8"/>
  <c r="Z50" i="8" s="1"/>
  <c r="AL50" i="8"/>
  <c r="AQ50" i="8" s="1"/>
  <c r="AK50" i="8"/>
  <c r="AP50" i="8" s="1"/>
  <c r="AH50" i="8"/>
  <c r="AM50" i="8" s="1"/>
  <c r="AG50" i="8"/>
  <c r="AD50" i="8"/>
  <c r="W50" i="8"/>
  <c r="AB50" i="8" s="1"/>
  <c r="L16" i="3"/>
  <c r="M16" i="3" s="1"/>
  <c r="N16" i="3" s="1"/>
  <c r="AJ16" i="3"/>
  <c r="AK16" i="3" s="1"/>
  <c r="AL16" i="3" s="1"/>
  <c r="S21" i="8"/>
  <c r="CO56" i="8"/>
  <c r="AF25" i="8"/>
  <c r="AW56" i="8"/>
  <c r="BB56" i="8" s="1"/>
  <c r="BG56" i="8" s="1"/>
  <c r="BL56" i="8" s="1"/>
  <c r="BV56" i="8"/>
  <c r="CA56" i="8" s="1"/>
  <c r="AP5" i="3"/>
  <c r="AQ5" i="3" s="1"/>
  <c r="AR5" i="3" s="1"/>
  <c r="AZ48" i="8"/>
  <c r="BE48" i="8" s="1"/>
  <c r="BJ48" i="8" s="1"/>
  <c r="BO48" i="8" s="1"/>
  <c r="BY48" i="8"/>
  <c r="CD48" i="8" s="1"/>
  <c r="D78" i="3"/>
  <c r="AI37" i="8"/>
  <c r="AN37" i="8" s="1"/>
  <c r="AG37" i="8"/>
  <c r="AL37" i="8"/>
  <c r="AQ37" i="8" s="1"/>
  <c r="AH37" i="8"/>
  <c r="AM37" i="8" s="1"/>
  <c r="AK37" i="8"/>
  <c r="AP37" i="8" s="1"/>
  <c r="AJ37" i="8"/>
  <c r="AO37" i="8" s="1"/>
  <c r="G37" i="8"/>
  <c r="AF37" i="8"/>
  <c r="AD37" i="8"/>
  <c r="V37" i="8"/>
  <c r="AA37" i="8" s="1"/>
  <c r="E37" i="8"/>
  <c r="F37" i="8" s="1"/>
  <c r="S37" i="8"/>
  <c r="X37" i="8" s="1"/>
  <c r="W37" i="8"/>
  <c r="AB37" i="8" s="1"/>
  <c r="T37" i="8"/>
  <c r="Y37" i="8" s="1"/>
  <c r="AC37" i="8"/>
  <c r="U37" i="8"/>
  <c r="Z37" i="8" s="1"/>
  <c r="H37" i="8"/>
  <c r="I37" i="8" s="1"/>
  <c r="AE37" i="8"/>
  <c r="AZ56" i="8"/>
  <c r="BE56" i="8" s="1"/>
  <c r="BJ56" i="8" s="1"/>
  <c r="BO56" i="8" s="1"/>
  <c r="BY56" i="8"/>
  <c r="CD56" i="8" s="1"/>
  <c r="K39" i="8"/>
  <c r="L39" i="8" s="1"/>
  <c r="M39" i="8" s="1"/>
  <c r="N39" i="8" s="1"/>
  <c r="P39" i="8"/>
  <c r="Q39" i="8" s="1"/>
  <c r="D39" i="3"/>
  <c r="S5" i="8"/>
  <c r="X5" i="3"/>
  <c r="Y5" i="3" s="1"/>
  <c r="G96" i="3" s="1"/>
  <c r="F34" i="3"/>
  <c r="E34" i="3"/>
  <c r="A36" i="3"/>
  <c r="L34" i="3"/>
  <c r="A35" i="3"/>
  <c r="M34" i="3"/>
  <c r="K34" i="3"/>
  <c r="J34" i="3"/>
  <c r="I34" i="3"/>
  <c r="H34" i="3"/>
  <c r="G34" i="3"/>
  <c r="D34" i="3"/>
  <c r="L6" i="3"/>
  <c r="M6" i="3" s="1"/>
  <c r="BH5" i="3"/>
  <c r="BI5" i="3" s="1"/>
  <c r="M48" i="3" s="1"/>
  <c r="AJ14" i="3"/>
  <c r="AK14" i="3" s="1"/>
  <c r="AL14" i="3" s="1"/>
  <c r="D102" i="3"/>
  <c r="AJ4" i="3"/>
  <c r="AK4" i="3" s="1"/>
  <c r="AL4" i="3" s="1"/>
  <c r="CK53" i="8"/>
  <c r="P22" i="8"/>
  <c r="BB9" i="3"/>
  <c r="BC9" i="3" s="1"/>
  <c r="CN44" i="8"/>
  <c r="AB13" i="8"/>
  <c r="H23" i="3"/>
  <c r="AM28" i="1"/>
  <c r="AR48" i="8"/>
  <c r="AA6" i="8"/>
  <c r="H4" i="3"/>
  <c r="L13" i="3"/>
  <c r="M13" i="3" s="1"/>
  <c r="N13" i="3" s="1"/>
  <c r="AV56" i="8"/>
  <c r="BA34" i="8"/>
  <c r="BF34" i="8" s="1"/>
  <c r="BK34" i="8" s="1"/>
  <c r="BP34" i="8" s="1"/>
  <c r="BZ34" i="8"/>
  <c r="CE34" i="8" s="1"/>
  <c r="AE18" i="8"/>
  <c r="X9" i="3"/>
  <c r="Y9" i="3" s="1"/>
  <c r="AV8" i="3"/>
  <c r="AW8" i="3" s="1"/>
  <c r="AI26" i="8"/>
  <c r="AH26" i="8"/>
  <c r="O21" i="8"/>
  <c r="BB12" i="3"/>
  <c r="BC12" i="3" s="1"/>
  <c r="M104" i="3"/>
  <c r="AV14" i="3"/>
  <c r="AW14" i="3" s="1"/>
  <c r="AX14" i="3" s="1"/>
  <c r="AA21" i="8"/>
  <c r="AZ38" i="8"/>
  <c r="BE38" i="8" s="1"/>
  <c r="BJ38" i="8" s="1"/>
  <c r="BO38" i="8" s="1"/>
  <c r="BY38" i="8"/>
  <c r="CD38" i="8" s="1"/>
  <c r="AP6" i="3"/>
  <c r="AQ6" i="3" s="1"/>
  <c r="AR6" i="3" s="1"/>
  <c r="AD20" i="3"/>
  <c r="AE20" i="3" s="1"/>
  <c r="AF20" i="3" s="1"/>
  <c r="E56" i="3"/>
  <c r="F56" i="3"/>
  <c r="M56" i="3"/>
  <c r="K56" i="3"/>
  <c r="L56" i="3"/>
  <c r="J56" i="3"/>
  <c r="I56" i="3"/>
  <c r="H56" i="3"/>
  <c r="G56" i="3"/>
  <c r="D56" i="3"/>
  <c r="H113" i="3"/>
  <c r="K113" i="3"/>
  <c r="I113" i="3"/>
  <c r="D113" i="3"/>
  <c r="F113" i="3"/>
  <c r="M113" i="3"/>
  <c r="L113" i="3"/>
  <c r="J113" i="3"/>
  <c r="G113" i="3"/>
  <c r="E113" i="3"/>
  <c r="AD11" i="3"/>
  <c r="AE11" i="3" s="1"/>
  <c r="AF11" i="3" s="1"/>
  <c r="S18" i="8"/>
  <c r="AV12" i="3"/>
  <c r="AW12" i="3" s="1"/>
  <c r="M92" i="3"/>
  <c r="I92" i="3"/>
  <c r="J92" i="3"/>
  <c r="L92" i="3"/>
  <c r="H92" i="3"/>
  <c r="G92" i="3"/>
  <c r="F92" i="3"/>
  <c r="E92" i="3"/>
  <c r="D92" i="3"/>
  <c r="K92" i="3"/>
  <c r="AK55" i="8"/>
  <c r="AP55" i="8" s="1"/>
  <c r="H55" i="8"/>
  <c r="I55" i="8" s="1"/>
  <c r="U55" i="8"/>
  <c r="Z55" i="8" s="1"/>
  <c r="T55" i="8"/>
  <c r="Y55" i="8" s="1"/>
  <c r="E55" i="8"/>
  <c r="F55" i="8" s="1"/>
  <c r="W55" i="8"/>
  <c r="AB55" i="8" s="1"/>
  <c r="G55" i="8"/>
  <c r="AG55" i="8"/>
  <c r="AC55" i="8"/>
  <c r="V55" i="8"/>
  <c r="AA55" i="8" s="1"/>
  <c r="AL55" i="8"/>
  <c r="AQ55" i="8" s="1"/>
  <c r="AJ55" i="8"/>
  <c r="AO55" i="8" s="1"/>
  <c r="AI55" i="8"/>
  <c r="AN55" i="8" s="1"/>
  <c r="AH55" i="8"/>
  <c r="AM55" i="8" s="1"/>
  <c r="AD55" i="8"/>
  <c r="AF55" i="8"/>
  <c r="AE55" i="8"/>
  <c r="S55" i="8"/>
  <c r="X55" i="8" s="1"/>
  <c r="P13" i="8"/>
  <c r="CK44" i="8"/>
  <c r="AU48" i="8"/>
  <c r="AE6" i="8"/>
  <c r="R26" i="3"/>
  <c r="S26" i="3" s="1"/>
  <c r="T26" i="3" s="1"/>
  <c r="X14" i="3"/>
  <c r="Y14" i="3" s="1"/>
  <c r="Z14" i="3" s="1"/>
  <c r="CM39" i="8"/>
  <c r="X8" i="8"/>
  <c r="AV9" i="3"/>
  <c r="AW9" i="3" s="1"/>
  <c r="AP13" i="3"/>
  <c r="AQ13" i="3" s="1"/>
  <c r="AR13" i="3" s="1"/>
  <c r="BA39" i="8"/>
  <c r="BF39" i="8" s="1"/>
  <c r="BK39" i="8" s="1"/>
  <c r="BP39" i="8" s="1"/>
  <c r="BZ39" i="8"/>
  <c r="CE39" i="8" s="1"/>
  <c r="AW34" i="8"/>
  <c r="BB34" i="8" s="1"/>
  <c r="BG34" i="8" s="1"/>
  <c r="BL34" i="8" s="1"/>
  <c r="BV34" i="8"/>
  <c r="CA34" i="8" s="1"/>
  <c r="CO34" i="8"/>
  <c r="AF3" i="8"/>
  <c r="W18" i="8"/>
  <c r="W21" i="8"/>
  <c r="BH20" i="3"/>
  <c r="BI20" i="3" s="1"/>
  <c r="BJ20" i="3" s="1"/>
  <c r="R21" i="3"/>
  <c r="S21" i="3" s="1"/>
  <c r="T21" i="3" s="1"/>
  <c r="AJ11" i="3"/>
  <c r="AK11" i="3" s="1"/>
  <c r="X19" i="3"/>
  <c r="Y19" i="3" s="1"/>
  <c r="Z19" i="3" s="1"/>
  <c r="BH23" i="3"/>
  <c r="BI23" i="3" s="1"/>
  <c r="BJ23" i="3" s="1"/>
  <c r="L4" i="3"/>
  <c r="M4" i="3" s="1"/>
  <c r="N4" i="3" s="1"/>
  <c r="D42" i="3"/>
  <c r="H11" i="4"/>
  <c r="I11" i="4" s="1"/>
  <c r="J11" i="4" s="1"/>
  <c r="K11" i="4" s="1"/>
  <c r="M11" i="4"/>
  <c r="N11" i="4" s="1"/>
  <c r="AV22" i="3"/>
  <c r="AW22" i="3" s="1"/>
  <c r="AX22" i="3" s="1"/>
  <c r="AT48" i="8"/>
  <c r="AP15" i="3"/>
  <c r="AQ15" i="3" s="1"/>
  <c r="AR15" i="3" s="1"/>
  <c r="CL39" i="8"/>
  <c r="T8" i="8"/>
  <c r="K34" i="8"/>
  <c r="L34" i="8" s="1"/>
  <c r="M34" i="8" s="1"/>
  <c r="N34" i="8" s="1"/>
  <c r="P34" i="8"/>
  <c r="Q34" i="8" s="1"/>
  <c r="D48" i="3"/>
  <c r="AB8" i="8"/>
  <c r="CN39" i="8"/>
  <c r="AP30" i="3"/>
  <c r="AQ30" i="3" s="1"/>
  <c r="AR30" i="3" s="1"/>
  <c r="CK39" i="8"/>
  <c r="P8" i="8"/>
  <c r="AE22" i="8"/>
  <c r="S22" i="8"/>
  <c r="AT39" i="8"/>
  <c r="CL34" i="8"/>
  <c r="T3" i="8"/>
  <c r="BH9" i="3"/>
  <c r="BI9" i="3" s="1"/>
  <c r="H20" i="3"/>
  <c r="AM25" i="1"/>
  <c r="AV16" i="3"/>
  <c r="AW16" i="3" s="1"/>
  <c r="AX16" i="3" s="1"/>
  <c r="AD6" i="3"/>
  <c r="AE6" i="3" s="1"/>
  <c r="AD16" i="3"/>
  <c r="AE16" i="3" s="1"/>
  <c r="AF16" i="3" s="1"/>
  <c r="AZ47" i="8"/>
  <c r="BE47" i="8" s="1"/>
  <c r="BJ47" i="8" s="1"/>
  <c r="BO47" i="8" s="1"/>
  <c r="BY47" i="8"/>
  <c r="CD47" i="8" s="1"/>
  <c r="BB5" i="3"/>
  <c r="BC5" i="3" s="1"/>
  <c r="AA22" i="8"/>
  <c r="AG53" i="8"/>
  <c r="V53" i="8"/>
  <c r="AA53" i="8" s="1"/>
  <c r="U53" i="8"/>
  <c r="Z53" i="8" s="1"/>
  <c r="G53" i="8"/>
  <c r="W53" i="8"/>
  <c r="AB53" i="8" s="1"/>
  <c r="T53" i="8"/>
  <c r="Y53" i="8" s="1"/>
  <c r="E53" i="8"/>
  <c r="F53" i="8" s="1"/>
  <c r="AI53" i="8"/>
  <c r="AN53" i="8" s="1"/>
  <c r="AE53" i="8"/>
  <c r="AD53" i="8"/>
  <c r="H53" i="8"/>
  <c r="I53" i="8" s="1"/>
  <c r="AK53" i="8"/>
  <c r="AP53" i="8" s="1"/>
  <c r="AH53" i="8"/>
  <c r="AM53" i="8" s="1"/>
  <c r="S53" i="8"/>
  <c r="X53" i="8" s="1"/>
  <c r="AL53" i="8"/>
  <c r="AQ53" i="8" s="1"/>
  <c r="AJ53" i="8"/>
  <c r="AO53" i="8" s="1"/>
  <c r="AF53" i="8"/>
  <c r="AC53" i="8"/>
  <c r="J39" i="8"/>
  <c r="CM34" i="8"/>
  <c r="X3" i="8"/>
  <c r="D99" i="3"/>
  <c r="C107" i="3"/>
  <c r="C27" i="7" s="1"/>
  <c r="K71" i="3"/>
  <c r="M68" i="3"/>
  <c r="BB21" i="3"/>
  <c r="BC21" i="3" s="1"/>
  <c r="BD21" i="3" s="1"/>
  <c r="BB19" i="3"/>
  <c r="BC19" i="3" s="1"/>
  <c r="BD19" i="3" s="1"/>
  <c r="AZ39" i="8"/>
  <c r="BE39" i="8" s="1"/>
  <c r="BJ39" i="8" s="1"/>
  <c r="BO39" i="8" s="1"/>
  <c r="BY39" i="8"/>
  <c r="CD39" i="8" s="1"/>
  <c r="AU34" i="8"/>
  <c r="L71" i="3"/>
  <c r="BB16" i="3"/>
  <c r="BC16" i="3" s="1"/>
  <c r="BD16" i="3" s="1"/>
  <c r="AP12" i="3"/>
  <c r="AQ12" i="3" s="1"/>
  <c r="AJ13" i="3"/>
  <c r="AK13" i="3" s="1"/>
  <c r="AL13" i="3" s="1"/>
  <c r="BU41" i="8"/>
  <c r="CJ41" i="8" s="1"/>
  <c r="BZ44" i="8"/>
  <c r="CE44" i="8" s="1"/>
  <c r="BA44" i="8"/>
  <c r="BF44" i="8" s="1"/>
  <c r="BK44" i="8" s="1"/>
  <c r="BP44" i="8" s="1"/>
  <c r="AP7" i="3"/>
  <c r="AQ7" i="3" s="1"/>
  <c r="AW48" i="8"/>
  <c r="BB48" i="8" s="1"/>
  <c r="BG48" i="8" s="1"/>
  <c r="BL48" i="8" s="1"/>
  <c r="BV48" i="8"/>
  <c r="CA48" i="8" s="1"/>
  <c r="CO44" i="8"/>
  <c r="AF13" i="8"/>
  <c r="L20" i="3"/>
  <c r="M20" i="3" s="1"/>
  <c r="N20" i="3" s="1"/>
  <c r="AW47" i="8"/>
  <c r="BB47" i="8" s="1"/>
  <c r="BG47" i="8" s="1"/>
  <c r="BL47" i="8" s="1"/>
  <c r="BV47" i="8"/>
  <c r="CA47" i="8" s="1"/>
  <c r="E98" i="3"/>
  <c r="I98" i="3"/>
  <c r="F98" i="3"/>
  <c r="M98" i="3"/>
  <c r="H98" i="3"/>
  <c r="G98" i="3"/>
  <c r="L98" i="3"/>
  <c r="K98" i="3"/>
  <c r="D98" i="3"/>
  <c r="J98" i="3"/>
  <c r="D84" i="3"/>
  <c r="AV4" i="3"/>
  <c r="AW4" i="3" s="1"/>
  <c r="AX4" i="3" s="1"/>
  <c r="D93" i="3"/>
  <c r="AP8" i="3"/>
  <c r="AQ8" i="3" s="1"/>
  <c r="AD23" i="3"/>
  <c r="AE23" i="3" s="1"/>
  <c r="AF23" i="3" s="1"/>
  <c r="AJ7" i="3"/>
  <c r="AK7" i="3" s="1"/>
  <c r="AV19" i="3"/>
  <c r="AW19" i="3" s="1"/>
  <c r="AX19" i="3" s="1"/>
  <c r="R13" i="3"/>
  <c r="S13" i="3" s="1"/>
  <c r="T13" i="3" s="1"/>
  <c r="X20" i="3"/>
  <c r="Y20" i="3" s="1"/>
  <c r="Z20" i="3" s="1"/>
  <c r="R4" i="3"/>
  <c r="S4" i="3" s="1"/>
  <c r="T4" i="3" s="1"/>
  <c r="CK56" i="8"/>
  <c r="P25" i="8"/>
  <c r="AX56" i="8"/>
  <c r="BC56" i="8" s="1"/>
  <c r="BH56" i="8" s="1"/>
  <c r="BM56" i="8" s="1"/>
  <c r="BW56" i="8"/>
  <c r="CB56" i="8" s="1"/>
  <c r="M80" i="3"/>
  <c r="E80" i="3"/>
  <c r="D80" i="3"/>
  <c r="H80" i="3"/>
  <c r="G80" i="3"/>
  <c r="F80" i="3"/>
  <c r="K80" i="3"/>
  <c r="J80" i="3"/>
  <c r="L80" i="3"/>
  <c r="I80" i="3"/>
  <c r="AA18" i="8"/>
  <c r="AB3" i="8"/>
  <c r="CN34" i="8"/>
  <c r="AJ18" i="3"/>
  <c r="AK18" i="3" s="1"/>
  <c r="AL18" i="3" s="1"/>
  <c r="BB22" i="3"/>
  <c r="BC22" i="3" s="1"/>
  <c r="BD22" i="3" s="1"/>
  <c r="AP20" i="3"/>
  <c r="AQ20" i="3" s="1"/>
  <c r="AR20" i="3" s="1"/>
  <c r="C98" i="3"/>
  <c r="C24" i="7" s="1"/>
  <c r="D96" i="3"/>
  <c r="X21" i="3"/>
  <c r="Y21" i="3" s="1"/>
  <c r="Z21" i="3" s="1"/>
  <c r="AF57" i="8"/>
  <c r="AG57" i="8"/>
  <c r="W57" i="8"/>
  <c r="AB57" i="8" s="1"/>
  <c r="G57" i="8"/>
  <c r="AK57" i="8"/>
  <c r="AP57" i="8" s="1"/>
  <c r="AI57" i="8"/>
  <c r="AN57" i="8" s="1"/>
  <c r="AH57" i="8"/>
  <c r="AM57" i="8" s="1"/>
  <c r="AC57" i="8"/>
  <c r="AJ57" i="8"/>
  <c r="AO57" i="8" s="1"/>
  <c r="AD57" i="8"/>
  <c r="V57" i="8"/>
  <c r="AA57" i="8" s="1"/>
  <c r="T57" i="8"/>
  <c r="Y57" i="8" s="1"/>
  <c r="S57" i="8"/>
  <c r="X57" i="8" s="1"/>
  <c r="U57" i="8"/>
  <c r="Z57" i="8" s="1"/>
  <c r="AE57" i="8"/>
  <c r="H57" i="8"/>
  <c r="I57" i="8" s="1"/>
  <c r="E57" i="8"/>
  <c r="F57" i="8" s="1"/>
  <c r="AL57" i="8"/>
  <c r="AQ57" i="8" s="1"/>
  <c r="K38" i="8"/>
  <c r="L38" i="8" s="1"/>
  <c r="M38" i="8" s="1"/>
  <c r="N38" i="8" s="1"/>
  <c r="P38" i="8"/>
  <c r="Q38" i="8" s="1"/>
  <c r="R9" i="3"/>
  <c r="S9" i="3" s="1"/>
  <c r="BW47" i="8"/>
  <c r="CB47" i="8" s="1"/>
  <c r="AX47" i="8"/>
  <c r="BC47" i="8" s="1"/>
  <c r="BH47" i="8" s="1"/>
  <c r="BM47" i="8" s="1"/>
  <c r="H25" i="3"/>
  <c r="AM30" i="1"/>
  <c r="BA47" i="8"/>
  <c r="BF47" i="8" s="1"/>
  <c r="BK47" i="8" s="1"/>
  <c r="BP47" i="8" s="1"/>
  <c r="BZ47" i="8"/>
  <c r="CE47" i="8" s="1"/>
  <c r="AH19" i="8"/>
  <c r="AI19" i="8"/>
  <c r="AV38" i="8"/>
  <c r="BH12" i="3"/>
  <c r="BI12" i="3" s="1"/>
  <c r="K47" i="8"/>
  <c r="L47" i="8" s="1"/>
  <c r="M47" i="8" s="1"/>
  <c r="N47" i="8" s="1"/>
  <c r="P47" i="8"/>
  <c r="Q47" i="8" s="1"/>
  <c r="AY38" i="8"/>
  <c r="BD38" i="8" s="1"/>
  <c r="BI38" i="8" s="1"/>
  <c r="BN38" i="8" s="1"/>
  <c r="BX38" i="8"/>
  <c r="CC38" i="8" s="1"/>
  <c r="L59" i="3"/>
  <c r="F59" i="3"/>
  <c r="M59" i="3"/>
  <c r="K59" i="3"/>
  <c r="I59" i="3"/>
  <c r="H59" i="3"/>
  <c r="D59" i="3"/>
  <c r="G59" i="3"/>
  <c r="J59" i="3"/>
  <c r="E59" i="3"/>
  <c r="W22" i="8"/>
  <c r="AW39" i="8"/>
  <c r="BB39" i="8" s="1"/>
  <c r="BG39" i="8" s="1"/>
  <c r="BL39" i="8" s="1"/>
  <c r="BV39" i="8"/>
  <c r="CA39" i="8" s="1"/>
  <c r="D63" i="3"/>
  <c r="G83" i="3"/>
  <c r="M83" i="3"/>
  <c r="L83" i="3"/>
  <c r="K83" i="3"/>
  <c r="J83" i="3"/>
  <c r="H83" i="3"/>
  <c r="F83" i="3"/>
  <c r="D83" i="3"/>
  <c r="I83" i="3"/>
  <c r="E83" i="3"/>
  <c r="C113" i="3"/>
  <c r="C29" i="7" s="1"/>
  <c r="X16" i="3"/>
  <c r="Y16" i="3" s="1"/>
  <c r="Z16" i="3" s="1"/>
  <c r="H21" i="3"/>
  <c r="AM26" i="1"/>
  <c r="S49" i="8"/>
  <c r="X49" i="8" s="1"/>
  <c r="AH49" i="8"/>
  <c r="AM49" i="8" s="1"/>
  <c r="AF49" i="8"/>
  <c r="AE49" i="8"/>
  <c r="V49" i="8"/>
  <c r="AA49" i="8" s="1"/>
  <c r="AJ49" i="8"/>
  <c r="AO49" i="8" s="1"/>
  <c r="H49" i="8"/>
  <c r="I49" i="8" s="1"/>
  <c r="G49" i="8"/>
  <c r="E49" i="8"/>
  <c r="F49" i="8" s="1"/>
  <c r="AL49" i="8"/>
  <c r="AQ49" i="8" s="1"/>
  <c r="AI49" i="8"/>
  <c r="AN49" i="8" s="1"/>
  <c r="AC49" i="8"/>
  <c r="T49" i="8"/>
  <c r="Y49" i="8" s="1"/>
  <c r="AK49" i="8"/>
  <c r="AP49" i="8" s="1"/>
  <c r="U49" i="8"/>
  <c r="Z49" i="8" s="1"/>
  <c r="AD49" i="8"/>
  <c r="W49" i="8"/>
  <c r="AB49" i="8" s="1"/>
  <c r="AG49" i="8"/>
  <c r="X7" i="3"/>
  <c r="Y7" i="3" s="1"/>
  <c r="BX44" i="8"/>
  <c r="CC44" i="8" s="1"/>
  <c r="AY44" i="8"/>
  <c r="BD44" i="8" s="1"/>
  <c r="BI44" i="8" s="1"/>
  <c r="BN44" i="8" s="1"/>
  <c r="AP26" i="3"/>
  <c r="AQ26" i="3" s="1"/>
  <c r="AR26" i="3" s="1"/>
  <c r="AU47" i="8"/>
  <c r="AS44" i="8"/>
  <c r="AW38" i="8"/>
  <c r="BB38" i="8" s="1"/>
  <c r="BG38" i="8" s="1"/>
  <c r="BL38" i="8" s="1"/>
  <c r="BV38" i="8"/>
  <c r="CA38" i="8" s="1"/>
  <c r="AJ20" i="3"/>
  <c r="AK20" i="3" s="1"/>
  <c r="AL20" i="3" s="1"/>
  <c r="AV34" i="8"/>
  <c r="J74" i="3"/>
  <c r="L14" i="3"/>
  <c r="M14" i="3" s="1"/>
  <c r="N14" i="3" s="1"/>
  <c r="B13" i="4"/>
  <c r="C13" i="4" s="1"/>
  <c r="E13" i="4"/>
  <c r="F13" i="4" s="1"/>
  <c r="D13" i="4"/>
  <c r="A14" i="4"/>
  <c r="D54" i="3"/>
  <c r="L101" i="3"/>
  <c r="F101" i="3"/>
  <c r="M101" i="3"/>
  <c r="K101" i="3"/>
  <c r="D101" i="3"/>
  <c r="J101" i="3"/>
  <c r="I101" i="3"/>
  <c r="H101" i="3"/>
  <c r="G101" i="3"/>
  <c r="E101" i="3"/>
  <c r="AU38" i="8"/>
  <c r="BH16" i="3"/>
  <c r="BI16" i="3" s="1"/>
  <c r="BJ16" i="3" s="1"/>
  <c r="J53" i="3"/>
  <c r="H53" i="3"/>
  <c r="K53" i="3"/>
  <c r="G53" i="3"/>
  <c r="D53" i="3"/>
  <c r="I53" i="3"/>
  <c r="M53" i="3"/>
  <c r="L53" i="3"/>
  <c r="F53" i="3"/>
  <c r="E53" i="3"/>
  <c r="AT47" i="8"/>
  <c r="BV44" i="8"/>
  <c r="CA44" i="8" s="1"/>
  <c r="AW44" i="8"/>
  <c r="BB44" i="8" s="1"/>
  <c r="BG44" i="8" s="1"/>
  <c r="BL44" i="8" s="1"/>
  <c r="M62" i="3"/>
  <c r="G62" i="3"/>
  <c r="K62" i="3"/>
  <c r="L62" i="3"/>
  <c r="J62" i="3"/>
  <c r="I62" i="3"/>
  <c r="H62" i="3"/>
  <c r="F62" i="3"/>
  <c r="E62" i="3"/>
  <c r="D62" i="3"/>
  <c r="K44" i="8"/>
  <c r="L44" i="8" s="1"/>
  <c r="M44" i="8" s="1"/>
  <c r="N44" i="8" s="1"/>
  <c r="P44" i="8"/>
  <c r="Q44" i="8" s="1"/>
  <c r="L86" i="3"/>
  <c r="AX39" i="8"/>
  <c r="BC39" i="8" s="1"/>
  <c r="BH39" i="8" s="1"/>
  <c r="BM39" i="8" s="1"/>
  <c r="BW39" i="8"/>
  <c r="CB39" i="8" s="1"/>
  <c r="D108" i="3"/>
  <c r="J71" i="3"/>
  <c r="K74" i="3"/>
  <c r="L68" i="3"/>
  <c r="G65" i="3"/>
  <c r="I65" i="3"/>
  <c r="D65" i="3"/>
  <c r="M65" i="3"/>
  <c r="L65" i="3"/>
  <c r="K65" i="3"/>
  <c r="J65" i="3"/>
  <c r="H65" i="3"/>
  <c r="F65" i="3"/>
  <c r="E65" i="3"/>
  <c r="L5" i="3"/>
  <c r="M5" i="3" s="1"/>
  <c r="R7" i="3"/>
  <c r="S7" i="3" s="1"/>
  <c r="S4" i="8"/>
  <c r="J44" i="8"/>
  <c r="BB13" i="3"/>
  <c r="BC13" i="3" s="1"/>
  <c r="BD13" i="3" s="1"/>
  <c r="AS56" i="8"/>
  <c r="M86" i="3"/>
  <c r="AR34" i="8"/>
  <c r="AP4" i="3"/>
  <c r="AQ4" i="3" s="1"/>
  <c r="AR4" i="3" s="1"/>
  <c r="K68" i="3"/>
  <c r="D114" i="3"/>
  <c r="BH19" i="3"/>
  <c r="BI19" i="3" s="1"/>
  <c r="BJ19" i="3" s="1"/>
  <c r="R6" i="3"/>
  <c r="S6" i="3" s="1"/>
  <c r="T6" i="3" s="1"/>
  <c r="G12" i="4"/>
  <c r="AP23" i="3"/>
  <c r="AQ23" i="3" s="1"/>
  <c r="AR23" i="3" s="1"/>
  <c r="BB6" i="3"/>
  <c r="BC6" i="3" s="1"/>
  <c r="CK34" i="8"/>
  <c r="P3" i="8"/>
  <c r="BB23" i="3"/>
  <c r="BC23" i="3" s="1"/>
  <c r="BD23" i="3" s="1"/>
  <c r="CM44" i="8"/>
  <c r="X13" i="8"/>
  <c r="R19" i="3"/>
  <c r="S19" i="3" s="1"/>
  <c r="T19" i="3" s="1"/>
  <c r="BH13" i="3"/>
  <c r="BI13" i="3" s="1"/>
  <c r="BJ13" i="3" s="1"/>
  <c r="BH30" i="3"/>
  <c r="BI30" i="3" s="1"/>
  <c r="BJ30" i="3" s="1"/>
  <c r="H12" i="4"/>
  <c r="I12" i="4" s="1"/>
  <c r="J12" i="4" s="1"/>
  <c r="K12" i="4" s="1"/>
  <c r="M12" i="4"/>
  <c r="N12" i="4" s="1"/>
  <c r="AF8" i="8"/>
  <c r="CO39" i="8"/>
  <c r="J56" i="8"/>
  <c r="O6" i="8"/>
  <c r="AR47" i="8"/>
  <c r="W4" i="8"/>
  <c r="J38" i="8"/>
  <c r="D60" i="3"/>
  <c r="AU56" i="8"/>
  <c r="K86" i="3"/>
  <c r="L26" i="3"/>
  <c r="M26" i="3" s="1"/>
  <c r="N26" i="3" s="1"/>
  <c r="AY34" i="8"/>
  <c r="BD34" i="8" s="1"/>
  <c r="BI34" i="8" s="1"/>
  <c r="BN34" i="8" s="1"/>
  <c r="BX34" i="8"/>
  <c r="CC34" i="8" s="1"/>
  <c r="K107" i="3"/>
  <c r="H107" i="3"/>
  <c r="G107" i="3"/>
  <c r="J107" i="3"/>
  <c r="D107" i="3"/>
  <c r="M107" i="3"/>
  <c r="L107" i="3"/>
  <c r="I107" i="3"/>
  <c r="F107" i="3"/>
  <c r="E107" i="3"/>
  <c r="K95" i="3"/>
  <c r="G95" i="3"/>
  <c r="L95" i="3"/>
  <c r="H95" i="3"/>
  <c r="F95" i="3"/>
  <c r="J95" i="3"/>
  <c r="I95" i="3"/>
  <c r="M95" i="3"/>
  <c r="E95" i="3"/>
  <c r="D95" i="3"/>
  <c r="D111" i="3"/>
  <c r="BX47" i="8"/>
  <c r="CC47" i="8" s="1"/>
  <c r="AY47" i="8"/>
  <c r="BD47" i="8" s="1"/>
  <c r="BI47" i="8" s="1"/>
  <c r="BN47" i="8" s="1"/>
  <c r="AJ12" i="3"/>
  <c r="AK12" i="3" s="1"/>
  <c r="AX48" i="8"/>
  <c r="BC48" i="8" s="1"/>
  <c r="BH48" i="8" s="1"/>
  <c r="BM48" i="8" s="1"/>
  <c r="BW48" i="8"/>
  <c r="CB48" i="8" s="1"/>
  <c r="AV6" i="3"/>
  <c r="AW6" i="3" s="1"/>
  <c r="AX6" i="3" s="1"/>
  <c r="AE4" i="8"/>
  <c r="AZ44" i="8"/>
  <c r="BE44" i="8" s="1"/>
  <c r="BJ44" i="8" s="1"/>
  <c r="BO44" i="8" s="1"/>
  <c r="BY44" i="8"/>
  <c r="CD44" i="8" s="1"/>
  <c r="R14" i="3"/>
  <c r="S14" i="3" s="1"/>
  <c r="T14" i="3" s="1"/>
  <c r="D57" i="3"/>
  <c r="AE19" i="8"/>
  <c r="I110" i="3"/>
  <c r="E110" i="3"/>
  <c r="J110" i="3"/>
  <c r="H110" i="3"/>
  <c r="F110" i="3"/>
  <c r="M110" i="3"/>
  <c r="K110" i="3"/>
  <c r="D110" i="3"/>
  <c r="G110" i="3"/>
  <c r="L110" i="3"/>
  <c r="AV5" i="3"/>
  <c r="AW5" i="3" s="1"/>
  <c r="AX5" i="3" s="1"/>
  <c r="D66" i="3"/>
  <c r="S52" i="8"/>
  <c r="X52" i="8" s="1"/>
  <c r="AF52" i="8"/>
  <c r="AD52" i="8"/>
  <c r="AI52" i="8"/>
  <c r="AN52" i="8" s="1"/>
  <c r="AE52" i="8"/>
  <c r="V52" i="8"/>
  <c r="AA52" i="8" s="1"/>
  <c r="AC52" i="8"/>
  <c r="T52" i="8"/>
  <c r="Y52" i="8" s="1"/>
  <c r="E52" i="8"/>
  <c r="F52" i="8" s="1"/>
  <c r="H52" i="8"/>
  <c r="I52" i="8" s="1"/>
  <c r="AK52" i="8"/>
  <c r="AP52" i="8" s="1"/>
  <c r="AJ52" i="8"/>
  <c r="AO52" i="8" s="1"/>
  <c r="AH52" i="8"/>
  <c r="AM52" i="8" s="1"/>
  <c r="AG52" i="8"/>
  <c r="U52" i="8"/>
  <c r="Z52" i="8" s="1"/>
  <c r="AL52" i="8"/>
  <c r="AQ52" i="8" s="1"/>
  <c r="W52" i="8"/>
  <c r="AB52" i="8" s="1"/>
  <c r="G52" i="8"/>
  <c r="H26" i="3"/>
  <c r="AM31" i="1"/>
  <c r="X13" i="3"/>
  <c r="Y13" i="3" s="1"/>
  <c r="Z13" i="3" s="1"/>
  <c r="AY56" i="8"/>
  <c r="BD56" i="8" s="1"/>
  <c r="BI56" i="8" s="1"/>
  <c r="BN56" i="8" s="1"/>
  <c r="BX56" i="8"/>
  <c r="CC56" i="8" s="1"/>
  <c r="AE35" i="8"/>
  <c r="AC35" i="8"/>
  <c r="AF35" i="8"/>
  <c r="E35" i="8"/>
  <c r="F35" i="8" s="1"/>
  <c r="AL35" i="8"/>
  <c r="AQ35" i="8" s="1"/>
  <c r="AJ35" i="8"/>
  <c r="AO35" i="8" s="1"/>
  <c r="W35" i="8"/>
  <c r="AB35" i="8" s="1"/>
  <c r="T35" i="8"/>
  <c r="Y35" i="8" s="1"/>
  <c r="S35" i="8"/>
  <c r="X35" i="8" s="1"/>
  <c r="AD35" i="8"/>
  <c r="V35" i="8"/>
  <c r="AA35" i="8" s="1"/>
  <c r="U35" i="8"/>
  <c r="Z35" i="8" s="1"/>
  <c r="AI35" i="8"/>
  <c r="AN35" i="8" s="1"/>
  <c r="AG35" i="8"/>
  <c r="H35" i="8"/>
  <c r="I35" i="8" s="1"/>
  <c r="AK35" i="8"/>
  <c r="AP35" i="8" s="1"/>
  <c r="AH35" i="8"/>
  <c r="AM35" i="8" s="1"/>
  <c r="G35" i="8"/>
  <c r="L21" i="3"/>
  <c r="M21" i="3" s="1"/>
  <c r="N21" i="3" s="1"/>
  <c r="G38" i="3"/>
  <c r="M38" i="3"/>
  <c r="L38" i="3"/>
  <c r="K38" i="3"/>
  <c r="J38" i="3"/>
  <c r="F38" i="3"/>
  <c r="I38" i="3"/>
  <c r="H38" i="3"/>
  <c r="E38" i="3"/>
  <c r="D38" i="3"/>
  <c r="W6" i="8"/>
  <c r="L9" i="3"/>
  <c r="M9" i="3" s="1"/>
  <c r="AJ6" i="3"/>
  <c r="AK6" i="3" s="1"/>
  <c r="CL44" i="8"/>
  <c r="T13" i="8"/>
  <c r="AY39" i="8"/>
  <c r="BD39" i="8" s="1"/>
  <c r="BI39" i="8" s="1"/>
  <c r="BN39" i="8" s="1"/>
  <c r="BX39" i="8"/>
  <c r="CC39" i="8" s="1"/>
  <c r="AX34" i="8"/>
  <c r="BC34" i="8" s="1"/>
  <c r="BH34" i="8" s="1"/>
  <c r="BM34" i="8" s="1"/>
  <c r="BW34" i="8"/>
  <c r="CB34" i="8" s="1"/>
  <c r="AY48" i="8"/>
  <c r="BD48" i="8" s="1"/>
  <c r="BI48" i="8" s="1"/>
  <c r="BN48" i="8" s="1"/>
  <c r="BX48" i="8"/>
  <c r="CC48" i="8" s="1"/>
  <c r="O4" i="8"/>
  <c r="AX38" i="8"/>
  <c r="BC38" i="8" s="1"/>
  <c r="BH38" i="8" s="1"/>
  <c r="BM38" i="8" s="1"/>
  <c r="BW38" i="8"/>
  <c r="CB38" i="8" s="1"/>
  <c r="M41" i="3"/>
  <c r="J41" i="3"/>
  <c r="L41" i="3"/>
  <c r="F41" i="3"/>
  <c r="E41" i="3"/>
  <c r="K41" i="3"/>
  <c r="G41" i="3"/>
  <c r="I41" i="3"/>
  <c r="H41" i="3"/>
  <c r="D41" i="3"/>
  <c r="K56" i="8"/>
  <c r="L56" i="8" s="1"/>
  <c r="M56" i="8" s="1"/>
  <c r="N56" i="8" s="1"/>
  <c r="P56" i="8"/>
  <c r="Q56" i="8" s="1"/>
  <c r="R20" i="3"/>
  <c r="S20" i="3" s="1"/>
  <c r="T20" i="3" s="1"/>
  <c r="S19" i="8"/>
  <c r="AP16" i="3"/>
  <c r="AQ16" i="3" s="1"/>
  <c r="AR16" i="3" s="1"/>
  <c r="AV21" i="3"/>
  <c r="AW21" i="3" s="1"/>
  <c r="AX21" i="3" s="1"/>
  <c r="L23" i="3"/>
  <c r="M23" i="3" s="1"/>
  <c r="N23" i="3" s="1"/>
  <c r="AH3" i="8"/>
  <c r="AI3" i="8"/>
  <c r="H4" i="9" s="1"/>
  <c r="BR54" i="8" l="1"/>
  <c r="CG54" i="8" s="1"/>
  <c r="CQ54" i="8" s="1"/>
  <c r="O43" i="8"/>
  <c r="R43" i="8" s="1"/>
  <c r="CV43" i="8" s="1"/>
  <c r="BS41" i="8"/>
  <c r="AF23" i="8"/>
  <c r="AB23" i="8"/>
  <c r="M54" i="3"/>
  <c r="M57" i="3"/>
  <c r="L54" i="3"/>
  <c r="G105" i="3"/>
  <c r="G87" i="3"/>
  <c r="P29" i="8"/>
  <c r="G57" i="3"/>
  <c r="CO45" i="8"/>
  <c r="H66" i="3"/>
  <c r="H108" i="3"/>
  <c r="H114" i="3"/>
  <c r="H84" i="3"/>
  <c r="H45" i="3"/>
  <c r="I51" i="3"/>
  <c r="E99" i="3"/>
  <c r="H69" i="3"/>
  <c r="H75" i="3"/>
  <c r="H90" i="3"/>
  <c r="H93" i="3"/>
  <c r="J42" i="8"/>
  <c r="AU45" i="8"/>
  <c r="BQ54" i="8"/>
  <c r="CF54" i="8" s="1"/>
  <c r="AV52" i="8"/>
  <c r="E96" i="3"/>
  <c r="H105" i="3"/>
  <c r="BS54" i="8"/>
  <c r="CH54" i="8" s="1"/>
  <c r="P10" i="8"/>
  <c r="CT41" i="8"/>
  <c r="O41" i="8"/>
  <c r="R41" i="8" s="1"/>
  <c r="BT44" i="8"/>
  <c r="CI44" i="8" s="1"/>
  <c r="CS44" i="8" s="1"/>
  <c r="J54" i="3"/>
  <c r="J57" i="3"/>
  <c r="CS41" i="8"/>
  <c r="BU48" i="8"/>
  <c r="CJ48" i="8" s="1"/>
  <c r="CT48" i="8" s="1"/>
  <c r="T10" i="8"/>
  <c r="G66" i="3"/>
  <c r="E75" i="3"/>
  <c r="E66" i="3"/>
  <c r="CK47" i="8"/>
  <c r="H72" i="3"/>
  <c r="CL38" i="8"/>
  <c r="G75" i="3"/>
  <c r="G69" i="3"/>
  <c r="I54" i="3"/>
  <c r="G93" i="3"/>
  <c r="AB12" i="8"/>
  <c r="X29" i="8"/>
  <c r="G84" i="3"/>
  <c r="E60" i="3"/>
  <c r="E69" i="3"/>
  <c r="F84" i="3"/>
  <c r="G108" i="3"/>
  <c r="E114" i="3"/>
  <c r="G114" i="3"/>
  <c r="L48" i="3"/>
  <c r="E81" i="3"/>
  <c r="F99" i="3"/>
  <c r="E57" i="3"/>
  <c r="E90" i="3"/>
  <c r="K57" i="3"/>
  <c r="AB15" i="8"/>
  <c r="E87" i="3"/>
  <c r="L57" i="3"/>
  <c r="G90" i="3"/>
  <c r="G99" i="3"/>
  <c r="AF16" i="8"/>
  <c r="E102" i="3"/>
  <c r="AB20" i="8"/>
  <c r="K99" i="3"/>
  <c r="G102" i="3"/>
  <c r="D26" i="7"/>
  <c r="E63" i="3"/>
  <c r="G63" i="3"/>
  <c r="G72" i="3"/>
  <c r="E93" i="3"/>
  <c r="E111" i="3"/>
  <c r="G78" i="3"/>
  <c r="G111" i="3"/>
  <c r="G60" i="3"/>
  <c r="E78" i="3"/>
  <c r="E45" i="3"/>
  <c r="E108" i="3"/>
  <c r="E84" i="3"/>
  <c r="E48" i="3"/>
  <c r="F48" i="3"/>
  <c r="E105" i="3"/>
  <c r="AB7" i="8"/>
  <c r="I48" i="3"/>
  <c r="G81" i="3"/>
  <c r="BR38" i="8"/>
  <c r="CG38" i="8" s="1"/>
  <c r="F57" i="3"/>
  <c r="D13" i="7"/>
  <c r="E72" i="3"/>
  <c r="O60" i="8"/>
  <c r="R60" i="8" s="1"/>
  <c r="CW60" i="8" s="1"/>
  <c r="CT43" i="8"/>
  <c r="AT45" i="8"/>
  <c r="CL57" i="8"/>
  <c r="AV45" i="8"/>
  <c r="BU47" i="8"/>
  <c r="CJ47" i="8" s="1"/>
  <c r="CT47" i="8" s="1"/>
  <c r="CK49" i="8"/>
  <c r="AT53" i="8"/>
  <c r="AV37" i="8"/>
  <c r="AT51" i="8"/>
  <c r="CN60" i="8"/>
  <c r="T17" i="8"/>
  <c r="BU39" i="8"/>
  <c r="CJ39" i="8" s="1"/>
  <c r="CT39" i="8" s="1"/>
  <c r="AS52" i="8"/>
  <c r="BQ41" i="8"/>
  <c r="CF41" i="8" s="1"/>
  <c r="CP41" i="8" s="1"/>
  <c r="BU54" i="8"/>
  <c r="CJ54" i="8" s="1"/>
  <c r="CT54" i="8" s="1"/>
  <c r="AF12" i="8"/>
  <c r="AV46" i="8"/>
  <c r="AF28" i="8"/>
  <c r="CK46" i="8"/>
  <c r="F105" i="3"/>
  <c r="H87" i="3"/>
  <c r="F111" i="3"/>
  <c r="P20" i="8"/>
  <c r="F102" i="3"/>
  <c r="H81" i="3"/>
  <c r="BS44" i="8"/>
  <c r="CH44" i="8" s="1"/>
  <c r="CR44" i="8" s="1"/>
  <c r="H102" i="3"/>
  <c r="F63" i="3"/>
  <c r="AF10" i="8"/>
  <c r="AH10" i="8" s="1"/>
  <c r="F87" i="3"/>
  <c r="CL51" i="8"/>
  <c r="H78" i="3"/>
  <c r="H111" i="3"/>
  <c r="F81" i="3"/>
  <c r="H60" i="3"/>
  <c r="X11" i="8"/>
  <c r="CO55" i="8"/>
  <c r="X26" i="8"/>
  <c r="BR41" i="8"/>
  <c r="CG41" i="8" s="1"/>
  <c r="CQ41" i="8" s="1"/>
  <c r="BS38" i="8"/>
  <c r="CH38" i="8" s="1"/>
  <c r="CR38" i="8" s="1"/>
  <c r="BE51" i="8"/>
  <c r="BJ51" i="8" s="1"/>
  <c r="BO51" i="8" s="1"/>
  <c r="BT51" i="8" s="1"/>
  <c r="CI51" i="8" s="1"/>
  <c r="CS51" i="8" s="1"/>
  <c r="CM54" i="8"/>
  <c r="F69" i="3"/>
  <c r="P17" i="8"/>
  <c r="AF15" i="8"/>
  <c r="H96" i="3"/>
  <c r="H99" i="3"/>
  <c r="F60" i="3"/>
  <c r="CM47" i="8"/>
  <c r="X16" i="8"/>
  <c r="BR34" i="8"/>
  <c r="CG34" i="8" s="1"/>
  <c r="CQ34" i="8" s="1"/>
  <c r="BU60" i="8"/>
  <c r="CJ60" i="8" s="1"/>
  <c r="CT60" i="8" s="1"/>
  <c r="T16" i="8"/>
  <c r="F75" i="3"/>
  <c r="CN36" i="8"/>
  <c r="CN57" i="8"/>
  <c r="T12" i="3"/>
  <c r="F66" i="3"/>
  <c r="BS60" i="8"/>
  <c r="CH60" i="8" s="1"/>
  <c r="CR60" i="8" s="1"/>
  <c r="P23" i="8"/>
  <c r="CK54" i="8"/>
  <c r="BR43" i="8"/>
  <c r="CG43" i="8" s="1"/>
  <c r="X12" i="8"/>
  <c r="CS43" i="8"/>
  <c r="X17" i="8"/>
  <c r="CM48" i="8"/>
  <c r="E54" i="3"/>
  <c r="AB24" i="8"/>
  <c r="CK38" i="8"/>
  <c r="F108" i="3"/>
  <c r="F114" i="3"/>
  <c r="AF7" i="8"/>
  <c r="AF26" i="8"/>
  <c r="BS43" i="8"/>
  <c r="CH43" i="8" s="1"/>
  <c r="CR43" i="8" s="1"/>
  <c r="F78" i="3"/>
  <c r="AB4" i="8"/>
  <c r="CM59" i="8"/>
  <c r="X15" i="8"/>
  <c r="T9" i="8"/>
  <c r="O38" i="8"/>
  <c r="F96" i="3"/>
  <c r="AF29" i="8"/>
  <c r="F72" i="3"/>
  <c r="P26" i="8"/>
  <c r="F90" i="3"/>
  <c r="BT43" i="8"/>
  <c r="CI43" i="8" s="1"/>
  <c r="J58" i="8"/>
  <c r="F54" i="3"/>
  <c r="BQ43" i="8"/>
  <c r="CF43" i="8" s="1"/>
  <c r="CP43" i="8" s="1"/>
  <c r="L51" i="8"/>
  <c r="M51" i="8" s="1"/>
  <c r="N51" i="8" s="1"/>
  <c r="AF17" i="8"/>
  <c r="BY51" i="8"/>
  <c r="CD51" i="8" s="1"/>
  <c r="T12" i="8"/>
  <c r="CL43" i="8"/>
  <c r="J51" i="3"/>
  <c r="AB11" i="8"/>
  <c r="BS34" i="8"/>
  <c r="CH34" i="8" s="1"/>
  <c r="CR34" i="8" s="1"/>
  <c r="CD58" i="8"/>
  <c r="AS51" i="8"/>
  <c r="CN45" i="8"/>
  <c r="X10" i="8"/>
  <c r="CM41" i="8"/>
  <c r="E25" i="7"/>
  <c r="BT60" i="8"/>
  <c r="CI60" i="8" s="1"/>
  <c r="AV59" i="8"/>
  <c r="AR40" i="8"/>
  <c r="AB27" i="8"/>
  <c r="L12" i="4"/>
  <c r="AS40" i="8"/>
  <c r="AR51" i="8"/>
  <c r="AU46" i="8"/>
  <c r="AT40" i="8"/>
  <c r="G48" i="3"/>
  <c r="AT42" i="8"/>
  <c r="CN59" i="8"/>
  <c r="AT46" i="8"/>
  <c r="BR60" i="8"/>
  <c r="CG60" i="8" s="1"/>
  <c r="CQ60" i="8" s="1"/>
  <c r="BQ56" i="8"/>
  <c r="CF56" i="8" s="1"/>
  <c r="CP56" i="8" s="1"/>
  <c r="E28" i="7"/>
  <c r="D21" i="7"/>
  <c r="CV54" i="8"/>
  <c r="CW43" i="8"/>
  <c r="E17" i="7"/>
  <c r="AF5" i="3"/>
  <c r="H39" i="3"/>
  <c r="CB58" i="8"/>
  <c r="AT50" i="8"/>
  <c r="CL46" i="8"/>
  <c r="D23" i="7"/>
  <c r="P51" i="8"/>
  <c r="Q51" i="8" s="1"/>
  <c r="AV42" i="8"/>
  <c r="BE58" i="8"/>
  <c r="BJ58" i="8" s="1"/>
  <c r="BO58" i="8" s="1"/>
  <c r="BQ38" i="8"/>
  <c r="CF38" i="8" s="1"/>
  <c r="BR44" i="8"/>
  <c r="CG44" i="8" s="1"/>
  <c r="CQ44" i="8" s="1"/>
  <c r="AU52" i="8"/>
  <c r="CL59" i="8"/>
  <c r="O34" i="8"/>
  <c r="R34" i="8" s="1"/>
  <c r="BQ60" i="8"/>
  <c r="CF60" i="8" s="1"/>
  <c r="CP60" i="8" s="1"/>
  <c r="BQ39" i="8"/>
  <c r="CF39" i="8" s="1"/>
  <c r="CP39" i="8" s="1"/>
  <c r="X9" i="8"/>
  <c r="P14" i="8"/>
  <c r="CK45" i="8"/>
  <c r="J45" i="8"/>
  <c r="AV53" i="8"/>
  <c r="CK36" i="8"/>
  <c r="BT39" i="8"/>
  <c r="CI39" i="8" s="1"/>
  <c r="CS39" i="8" s="1"/>
  <c r="AU50" i="8"/>
  <c r="BQ44" i="8"/>
  <c r="CF44" i="8" s="1"/>
  <c r="CP44" i="8" s="1"/>
  <c r="AT58" i="8"/>
  <c r="CH41" i="8"/>
  <c r="BB58" i="8"/>
  <c r="BG58" i="8" s="1"/>
  <c r="BL58" i="8" s="1"/>
  <c r="CL55" i="8"/>
  <c r="O48" i="8"/>
  <c r="R48" i="8" s="1"/>
  <c r="CW48" i="8" s="1"/>
  <c r="P28" i="8"/>
  <c r="BF58" i="8"/>
  <c r="BK58" i="8" s="1"/>
  <c r="BP58" i="8" s="1"/>
  <c r="AT35" i="8"/>
  <c r="AS58" i="8"/>
  <c r="CM51" i="8"/>
  <c r="P24" i="8"/>
  <c r="AV51" i="8"/>
  <c r="AV58" i="8"/>
  <c r="K54" i="3"/>
  <c r="K39" i="3"/>
  <c r="J51" i="8"/>
  <c r="AR46" i="8"/>
  <c r="CC58" i="8"/>
  <c r="AF10" i="3"/>
  <c r="H54" i="3"/>
  <c r="Z6" i="3"/>
  <c r="G42" i="3"/>
  <c r="Z10" i="3"/>
  <c r="G54" i="3"/>
  <c r="BD7" i="3"/>
  <c r="L45" i="3"/>
  <c r="L58" i="8"/>
  <c r="M58" i="8" s="1"/>
  <c r="N58" i="8" s="1"/>
  <c r="J102" i="3"/>
  <c r="J78" i="3"/>
  <c r="J60" i="3"/>
  <c r="J90" i="3"/>
  <c r="J84" i="3"/>
  <c r="J108" i="3"/>
  <c r="J99" i="3"/>
  <c r="J114" i="3"/>
  <c r="J96" i="3"/>
  <c r="J66" i="3"/>
  <c r="J93" i="3"/>
  <c r="J111" i="3"/>
  <c r="J81" i="3"/>
  <c r="J63" i="3"/>
  <c r="AY46" i="8"/>
  <c r="BD46" i="8" s="1"/>
  <c r="BI46" i="8" s="1"/>
  <c r="BN46" i="8" s="1"/>
  <c r="BX46" i="8"/>
  <c r="CC46" i="8" s="1"/>
  <c r="AS45" i="8"/>
  <c r="BA42" i="8"/>
  <c r="BF42" i="8" s="1"/>
  <c r="BK42" i="8" s="1"/>
  <c r="BP42" i="8" s="1"/>
  <c r="BZ42" i="8"/>
  <c r="CE42" i="8" s="1"/>
  <c r="AY58" i="8"/>
  <c r="BD58" i="8" s="1"/>
  <c r="BI58" i="8" s="1"/>
  <c r="BN58" i="8" s="1"/>
  <c r="BV42" i="8"/>
  <c r="CA42" i="8" s="1"/>
  <c r="AW42" i="8"/>
  <c r="BB42" i="8" s="1"/>
  <c r="BG42" i="8" s="1"/>
  <c r="BL42" i="8" s="1"/>
  <c r="J46" i="8"/>
  <c r="CM58" i="8"/>
  <c r="X27" i="8"/>
  <c r="AY45" i="8"/>
  <c r="BD45" i="8" s="1"/>
  <c r="BI45" i="8" s="1"/>
  <c r="BN45" i="8" s="1"/>
  <c r="BX45" i="8"/>
  <c r="CC45" i="8" s="1"/>
  <c r="CL58" i="8"/>
  <c r="AS37" i="8"/>
  <c r="K42" i="8"/>
  <c r="L42" i="8" s="1"/>
  <c r="M42" i="8" s="1"/>
  <c r="N42" i="8" s="1"/>
  <c r="P42" i="8"/>
  <c r="Q42" i="8" s="1"/>
  <c r="AR59" i="8"/>
  <c r="P9" i="8"/>
  <c r="CK40" i="8"/>
  <c r="BZ58" i="8"/>
  <c r="CE58" i="8" s="1"/>
  <c r="AW45" i="8"/>
  <c r="BB45" i="8" s="1"/>
  <c r="BG45" i="8" s="1"/>
  <c r="BL45" i="8" s="1"/>
  <c r="BV45" i="8"/>
  <c r="CA45" i="8" s="1"/>
  <c r="AS59" i="8"/>
  <c r="CN40" i="8"/>
  <c r="AB9" i="8"/>
  <c r="AR55" i="8"/>
  <c r="AF21" i="8"/>
  <c r="K45" i="3"/>
  <c r="AS55" i="8"/>
  <c r="X19" i="8"/>
  <c r="AF9" i="3"/>
  <c r="H51" i="3"/>
  <c r="AX42" i="8"/>
  <c r="BC42" i="8" s="1"/>
  <c r="BH42" i="8" s="1"/>
  <c r="BM42" i="8" s="1"/>
  <c r="BW42" i="8"/>
  <c r="CB42" i="8" s="1"/>
  <c r="AR45" i="8"/>
  <c r="K59" i="8"/>
  <c r="L59" i="8" s="1"/>
  <c r="M59" i="8" s="1"/>
  <c r="N59" i="8" s="1"/>
  <c r="P59" i="8"/>
  <c r="Q59" i="8" s="1"/>
  <c r="AU58" i="8"/>
  <c r="H57" i="3"/>
  <c r="AR50" i="8"/>
  <c r="AY42" i="8"/>
  <c r="BD42" i="8" s="1"/>
  <c r="BI42" i="8" s="1"/>
  <c r="BN42" i="8" s="1"/>
  <c r="BX42" i="8"/>
  <c r="CC42" i="8" s="1"/>
  <c r="J59" i="8"/>
  <c r="K45" i="8"/>
  <c r="L45" i="8" s="1"/>
  <c r="M45" i="8" s="1"/>
  <c r="N45" i="8" s="1"/>
  <c r="P45" i="8"/>
  <c r="Q45" i="8" s="1"/>
  <c r="AY59" i="8"/>
  <c r="BD59" i="8" s="1"/>
  <c r="BI59" i="8" s="1"/>
  <c r="BN59" i="8" s="1"/>
  <c r="BX59" i="8"/>
  <c r="CC59" i="8" s="1"/>
  <c r="AX45" i="8"/>
  <c r="BC45" i="8" s="1"/>
  <c r="BH45" i="8" s="1"/>
  <c r="BM45" i="8" s="1"/>
  <c r="BW45" i="8"/>
  <c r="CB45" i="8" s="1"/>
  <c r="J52" i="8"/>
  <c r="CL42" i="8"/>
  <c r="T11" i="8"/>
  <c r="AZ59" i="8"/>
  <c r="BE59" i="8" s="1"/>
  <c r="BJ59" i="8" s="1"/>
  <c r="BO59" i="8" s="1"/>
  <c r="BY59" i="8"/>
  <c r="CD59" i="8" s="1"/>
  <c r="AZ45" i="8"/>
  <c r="BE45" i="8" s="1"/>
  <c r="BJ45" i="8" s="1"/>
  <c r="BO45" i="8" s="1"/>
  <c r="BY45" i="8"/>
  <c r="CD45" i="8" s="1"/>
  <c r="BA59" i="8"/>
  <c r="BF59" i="8" s="1"/>
  <c r="BK59" i="8" s="1"/>
  <c r="BP59" i="8" s="1"/>
  <c r="BZ59" i="8"/>
  <c r="CE59" i="8" s="1"/>
  <c r="AB19" i="8"/>
  <c r="AX51" i="8"/>
  <c r="BC51" i="8" s="1"/>
  <c r="BH51" i="8" s="1"/>
  <c r="BM51" i="8" s="1"/>
  <c r="BW51" i="8"/>
  <c r="CB51" i="8" s="1"/>
  <c r="AF27" i="8"/>
  <c r="CO58" i="8"/>
  <c r="AX58" i="8"/>
  <c r="BC58" i="8" s="1"/>
  <c r="BH58" i="8" s="1"/>
  <c r="BM58" i="8" s="1"/>
  <c r="AR42" i="8"/>
  <c r="AX46" i="8"/>
  <c r="BC46" i="8" s="1"/>
  <c r="BH46" i="8" s="1"/>
  <c r="BM46" i="8" s="1"/>
  <c r="BW46" i="8"/>
  <c r="CB46" i="8" s="1"/>
  <c r="AW51" i="8"/>
  <c r="BB51" i="8" s="1"/>
  <c r="BG51" i="8" s="1"/>
  <c r="BL51" i="8" s="1"/>
  <c r="BV51" i="8"/>
  <c r="CA51" i="8" s="1"/>
  <c r="CL45" i="8"/>
  <c r="T14" i="8"/>
  <c r="K84" i="3"/>
  <c r="AV36" i="8"/>
  <c r="CK50" i="8"/>
  <c r="AS42" i="8"/>
  <c r="J57" i="8"/>
  <c r="BV58" i="8"/>
  <c r="CA58" i="8" s="1"/>
  <c r="AU42" i="8"/>
  <c r="AZ40" i="8"/>
  <c r="BE40" i="8" s="1"/>
  <c r="BJ40" i="8" s="1"/>
  <c r="BO40" i="8" s="1"/>
  <c r="BY40" i="8"/>
  <c r="CD40" i="8" s="1"/>
  <c r="K46" i="8"/>
  <c r="L46" i="8" s="1"/>
  <c r="M46" i="8" s="1"/>
  <c r="N46" i="8" s="1"/>
  <c r="P46" i="8"/>
  <c r="Q46" i="8" s="1"/>
  <c r="AY40" i="8"/>
  <c r="BD40" i="8" s="1"/>
  <c r="BI40" i="8" s="1"/>
  <c r="BN40" i="8" s="1"/>
  <c r="BX40" i="8"/>
  <c r="CC40" i="8" s="1"/>
  <c r="O44" i="8"/>
  <c r="R44" i="8" s="1"/>
  <c r="CW44" i="8" s="1"/>
  <c r="BU44" i="8"/>
  <c r="CJ44" i="8" s="1"/>
  <c r="CT44" i="8" s="1"/>
  <c r="D12" i="7"/>
  <c r="AY51" i="8"/>
  <c r="BD51" i="8" s="1"/>
  <c r="BI51" i="8" s="1"/>
  <c r="BN51" i="8" s="1"/>
  <c r="BX51" i="8"/>
  <c r="CC51" i="8" s="1"/>
  <c r="J40" i="8"/>
  <c r="CK58" i="8"/>
  <c r="P27" i="8"/>
  <c r="P58" i="8"/>
  <c r="Q58" i="8" s="1"/>
  <c r="BT54" i="8"/>
  <c r="CI54" i="8" s="1"/>
  <c r="CS54" i="8" s="1"/>
  <c r="J35" i="8"/>
  <c r="D14" i="7"/>
  <c r="E14" i="7"/>
  <c r="CO51" i="8"/>
  <c r="AV40" i="8"/>
  <c r="AX40" i="8"/>
  <c r="BC40" i="8" s="1"/>
  <c r="BH40" i="8" s="1"/>
  <c r="BM40" i="8" s="1"/>
  <c r="BW40" i="8"/>
  <c r="CB40" i="8" s="1"/>
  <c r="L11" i="4"/>
  <c r="O47" i="8"/>
  <c r="R47" i="8" s="1"/>
  <c r="CW47" i="8" s="1"/>
  <c r="J37" i="8"/>
  <c r="BA51" i="8"/>
  <c r="BF51" i="8" s="1"/>
  <c r="BK51" i="8" s="1"/>
  <c r="BP51" i="8" s="1"/>
  <c r="BZ51" i="8"/>
  <c r="CE51" i="8" s="1"/>
  <c r="AV49" i="8"/>
  <c r="AS46" i="8"/>
  <c r="H48" i="3"/>
  <c r="BQ48" i="8"/>
  <c r="CF48" i="8" s="1"/>
  <c r="CP48" i="8" s="1"/>
  <c r="D19" i="7"/>
  <c r="AW46" i="8"/>
  <c r="BB46" i="8" s="1"/>
  <c r="BG46" i="8" s="1"/>
  <c r="BL46" i="8" s="1"/>
  <c r="BV46" i="8"/>
  <c r="CA46" i="8" s="1"/>
  <c r="AU40" i="8"/>
  <c r="BA46" i="8"/>
  <c r="BF46" i="8" s="1"/>
  <c r="BK46" i="8" s="1"/>
  <c r="BP46" i="8" s="1"/>
  <c r="BZ46" i="8"/>
  <c r="CE46" i="8" s="1"/>
  <c r="CK42" i="8"/>
  <c r="P11" i="8"/>
  <c r="AU59" i="8"/>
  <c r="AT59" i="8"/>
  <c r="AX59" i="8"/>
  <c r="BC59" i="8" s="1"/>
  <c r="BH59" i="8" s="1"/>
  <c r="BM59" i="8" s="1"/>
  <c r="BW59" i="8"/>
  <c r="CB59" i="8" s="1"/>
  <c r="AZ42" i="8"/>
  <c r="BE42" i="8" s="1"/>
  <c r="BJ42" i="8" s="1"/>
  <c r="BO42" i="8" s="1"/>
  <c r="BY42" i="8"/>
  <c r="CD42" i="8" s="1"/>
  <c r="O56" i="8"/>
  <c r="R56" i="8" s="1"/>
  <c r="CW56" i="8" s="1"/>
  <c r="BA45" i="8"/>
  <c r="BF45" i="8" s="1"/>
  <c r="BK45" i="8" s="1"/>
  <c r="BP45" i="8" s="1"/>
  <c r="BU45" i="8" s="1"/>
  <c r="CJ45" i="8" s="1"/>
  <c r="BZ45" i="8"/>
  <c r="CE45" i="8" s="1"/>
  <c r="K40" i="8"/>
  <c r="L40" i="8" s="1"/>
  <c r="M40" i="8" s="1"/>
  <c r="N40" i="8" s="1"/>
  <c r="P40" i="8"/>
  <c r="Q40" i="8" s="1"/>
  <c r="BT38" i="8"/>
  <c r="CI38" i="8" s="1"/>
  <c r="CS38" i="8" s="1"/>
  <c r="BA40" i="8"/>
  <c r="BF40" i="8" s="1"/>
  <c r="BK40" i="8" s="1"/>
  <c r="BP40" i="8" s="1"/>
  <c r="BZ40" i="8"/>
  <c r="CE40" i="8" s="1"/>
  <c r="BJ7" i="3"/>
  <c r="M45" i="3"/>
  <c r="AS36" i="8"/>
  <c r="AZ46" i="8"/>
  <c r="BE46" i="8" s="1"/>
  <c r="BJ46" i="8" s="1"/>
  <c r="BO46" i="8" s="1"/>
  <c r="BY46" i="8"/>
  <c r="CD46" i="8" s="1"/>
  <c r="AW59" i="8"/>
  <c r="BB59" i="8" s="1"/>
  <c r="BG59" i="8" s="1"/>
  <c r="BL59" i="8" s="1"/>
  <c r="BV59" i="8"/>
  <c r="CA59" i="8" s="1"/>
  <c r="AW40" i="8"/>
  <c r="BB40" i="8" s="1"/>
  <c r="BG40" i="8" s="1"/>
  <c r="BL40" i="8" s="1"/>
  <c r="BV40" i="8"/>
  <c r="CA40" i="8" s="1"/>
  <c r="AR58" i="8"/>
  <c r="AL11" i="3"/>
  <c r="I57" i="3"/>
  <c r="AF6" i="3"/>
  <c r="H42" i="3"/>
  <c r="Z5" i="3"/>
  <c r="G39" i="3"/>
  <c r="BD6" i="3"/>
  <c r="L42" i="3"/>
  <c r="AR8" i="3"/>
  <c r="J48" i="3"/>
  <c r="BJ6" i="3"/>
  <c r="M42" i="3"/>
  <c r="BJ5" i="3"/>
  <c r="M39" i="3"/>
  <c r="Z7" i="3"/>
  <c r="G45" i="3"/>
  <c r="T5" i="3"/>
  <c r="F39" i="3"/>
  <c r="AL6" i="3"/>
  <c r="I42" i="3"/>
  <c r="AX8" i="3"/>
  <c r="K48" i="3"/>
  <c r="N5" i="3"/>
  <c r="E39" i="3"/>
  <c r="BJ12" i="3"/>
  <c r="M69" i="3"/>
  <c r="M87" i="3"/>
  <c r="M75" i="3"/>
  <c r="M105" i="3"/>
  <c r="M72" i="3"/>
  <c r="M111" i="3"/>
  <c r="M90" i="3"/>
  <c r="M63" i="3"/>
  <c r="M108" i="3"/>
  <c r="M114" i="3"/>
  <c r="M96" i="3"/>
  <c r="M102" i="3"/>
  <c r="M60" i="3"/>
  <c r="M99" i="3"/>
  <c r="M84" i="3"/>
  <c r="M66" i="3"/>
  <c r="M78" i="3"/>
  <c r="M81" i="3"/>
  <c r="M93" i="3"/>
  <c r="Z9" i="3"/>
  <c r="G51" i="3"/>
  <c r="T9" i="3"/>
  <c r="F51" i="3"/>
  <c r="N9" i="3"/>
  <c r="E51" i="3"/>
  <c r="AX9" i="3"/>
  <c r="K51" i="3"/>
  <c r="BD9" i="3"/>
  <c r="L51" i="3"/>
  <c r="AL12" i="3"/>
  <c r="I75" i="3"/>
  <c r="I87" i="3"/>
  <c r="I105" i="3"/>
  <c r="I72" i="3"/>
  <c r="I69" i="3"/>
  <c r="I90" i="3"/>
  <c r="I78" i="3"/>
  <c r="I60" i="3"/>
  <c r="I66" i="3"/>
  <c r="I99" i="3"/>
  <c r="I93" i="3"/>
  <c r="I96" i="3"/>
  <c r="I81" i="3"/>
  <c r="I114" i="3"/>
  <c r="I84" i="3"/>
  <c r="I63" i="3"/>
  <c r="I111" i="3"/>
  <c r="I102" i="3"/>
  <c r="I108" i="3"/>
  <c r="N6" i="3"/>
  <c r="E42" i="3"/>
  <c r="AR7" i="3"/>
  <c r="J45" i="3"/>
  <c r="BD5" i="3"/>
  <c r="L39" i="3"/>
  <c r="BU34" i="8"/>
  <c r="CJ34" i="8" s="1"/>
  <c r="CT34" i="8" s="1"/>
  <c r="BA57" i="8"/>
  <c r="BF57" i="8" s="1"/>
  <c r="BK57" i="8" s="1"/>
  <c r="BP57" i="8" s="1"/>
  <c r="BZ57" i="8"/>
  <c r="CE57" i="8" s="1"/>
  <c r="BD12" i="3"/>
  <c r="L69" i="3"/>
  <c r="L87" i="3"/>
  <c r="L105" i="3"/>
  <c r="L72" i="3"/>
  <c r="L75" i="3"/>
  <c r="X5" i="8"/>
  <c r="CM36" i="8"/>
  <c r="CO37" i="8"/>
  <c r="AF6" i="8"/>
  <c r="AY49" i="8"/>
  <c r="BD49" i="8" s="1"/>
  <c r="BI49" i="8" s="1"/>
  <c r="BN49" i="8" s="1"/>
  <c r="BX49" i="8"/>
  <c r="CC49" i="8" s="1"/>
  <c r="X21" i="8"/>
  <c r="CM52" i="8"/>
  <c r="BT48" i="8"/>
  <c r="CI48" i="8" s="1"/>
  <c r="CS48" i="8" s="1"/>
  <c r="AS35" i="8"/>
  <c r="K52" i="8"/>
  <c r="L52" i="8" s="1"/>
  <c r="M52" i="8" s="1"/>
  <c r="N52" i="8" s="1"/>
  <c r="P52" i="8"/>
  <c r="Q52" i="8" s="1"/>
  <c r="K108" i="3"/>
  <c r="AU49" i="8"/>
  <c r="CK52" i="8"/>
  <c r="P21" i="8"/>
  <c r="L102" i="3"/>
  <c r="L78" i="3"/>
  <c r="BR39" i="8"/>
  <c r="CG39" i="8" s="1"/>
  <c r="CQ39" i="8" s="1"/>
  <c r="K90" i="3"/>
  <c r="AY35" i="8"/>
  <c r="BD35" i="8" s="1"/>
  <c r="BI35" i="8" s="1"/>
  <c r="BN35" i="8" s="1"/>
  <c r="BX35" i="8"/>
  <c r="CC35" i="8" s="1"/>
  <c r="AX52" i="8"/>
  <c r="BC52" i="8" s="1"/>
  <c r="BH52" i="8" s="1"/>
  <c r="BM52" i="8" s="1"/>
  <c r="BW52" i="8"/>
  <c r="CB52" i="8" s="1"/>
  <c r="T4" i="8"/>
  <c r="CL35" i="8"/>
  <c r="L108" i="3"/>
  <c r="AX49" i="8"/>
  <c r="BC49" i="8" s="1"/>
  <c r="BH49" i="8" s="1"/>
  <c r="BM49" i="8" s="1"/>
  <c r="BW49" i="8"/>
  <c r="CB49" i="8" s="1"/>
  <c r="F42" i="3"/>
  <c r="CN37" i="8"/>
  <c r="AB6" i="8"/>
  <c r="K78" i="3"/>
  <c r="BS56" i="8"/>
  <c r="CH56" i="8" s="1"/>
  <c r="CR56" i="8" s="1"/>
  <c r="K49" i="8"/>
  <c r="L49" i="8" s="1"/>
  <c r="M49" i="8" s="1"/>
  <c r="N49" i="8" s="1"/>
  <c r="P49" i="8"/>
  <c r="Q49" i="8" s="1"/>
  <c r="AV35" i="8"/>
  <c r="AW52" i="8"/>
  <c r="BB52" i="8" s="1"/>
  <c r="BG52" i="8" s="1"/>
  <c r="BL52" i="8" s="1"/>
  <c r="BV52" i="8"/>
  <c r="CA52" i="8" s="1"/>
  <c r="K114" i="3"/>
  <c r="AT49" i="8"/>
  <c r="CN49" i="8"/>
  <c r="AB18" i="8"/>
  <c r="AU53" i="8"/>
  <c r="J42" i="3"/>
  <c r="AX37" i="8"/>
  <c r="BC37" i="8" s="1"/>
  <c r="BH37" i="8" s="1"/>
  <c r="BM37" i="8" s="1"/>
  <c r="BW37" i="8"/>
  <c r="CB37" i="8" s="1"/>
  <c r="AY50" i="8"/>
  <c r="BD50" i="8" s="1"/>
  <c r="BI50" i="8" s="1"/>
  <c r="BN50" i="8" s="1"/>
  <c r="BX50" i="8"/>
  <c r="CC50" i="8" s="1"/>
  <c r="K36" i="8"/>
  <c r="L36" i="8" s="1"/>
  <c r="M36" i="8" s="1"/>
  <c r="N36" i="8" s="1"/>
  <c r="P36" i="8"/>
  <c r="Q36" i="8" s="1"/>
  <c r="K35" i="8"/>
  <c r="L35" i="8" s="1"/>
  <c r="M35" i="8" s="1"/>
  <c r="N35" i="8" s="1"/>
  <c r="P35" i="8"/>
  <c r="Q35" i="8" s="1"/>
  <c r="AZ49" i="8"/>
  <c r="BE49" i="8" s="1"/>
  <c r="BJ49" i="8" s="1"/>
  <c r="BO49" i="8" s="1"/>
  <c r="BY49" i="8"/>
  <c r="CD49" i="8" s="1"/>
  <c r="O39" i="8"/>
  <c r="J53" i="8"/>
  <c r="BA37" i="8"/>
  <c r="BF37" i="8" s="1"/>
  <c r="BK37" i="8" s="1"/>
  <c r="BP37" i="8" s="1"/>
  <c r="BZ37" i="8"/>
  <c r="CE37" i="8" s="1"/>
  <c r="AS50" i="8"/>
  <c r="AX36" i="8"/>
  <c r="BC36" i="8" s="1"/>
  <c r="BH36" i="8" s="1"/>
  <c r="BM36" i="8" s="1"/>
  <c r="BW36" i="8"/>
  <c r="CB36" i="8" s="1"/>
  <c r="BA50" i="8"/>
  <c r="BF50" i="8" s="1"/>
  <c r="BK50" i="8" s="1"/>
  <c r="BP50" i="8" s="1"/>
  <c r="BZ50" i="8"/>
  <c r="CE50" i="8" s="1"/>
  <c r="CO50" i="8"/>
  <c r="AF19" i="8"/>
  <c r="AW53" i="8"/>
  <c r="BB53" i="8" s="1"/>
  <c r="BG53" i="8" s="1"/>
  <c r="BL53" i="8" s="1"/>
  <c r="BV53" i="8"/>
  <c r="CA53" i="8" s="1"/>
  <c r="L81" i="3"/>
  <c r="L66" i="3"/>
  <c r="L111" i="3"/>
  <c r="L114" i="3"/>
  <c r="AW49" i="8"/>
  <c r="BB49" i="8" s="1"/>
  <c r="BG49" i="8" s="1"/>
  <c r="BL49" i="8" s="1"/>
  <c r="BV49" i="8"/>
  <c r="CA49" i="8" s="1"/>
  <c r="L63" i="3"/>
  <c r="K53" i="8"/>
  <c r="L53" i="8" s="1"/>
  <c r="M53" i="8" s="1"/>
  <c r="N53" i="8" s="1"/>
  <c r="P53" i="8"/>
  <c r="Q53" i="8" s="1"/>
  <c r="CL53" i="8"/>
  <c r="T22" i="8"/>
  <c r="AV55" i="8"/>
  <c r="K50" i="8"/>
  <c r="L50" i="8" s="1"/>
  <c r="M50" i="8" s="1"/>
  <c r="N50" i="8" s="1"/>
  <c r="O50" i="8" s="1"/>
  <c r="R50" i="8" s="1"/>
  <c r="P50" i="8"/>
  <c r="Q50" i="8" s="1"/>
  <c r="AF5" i="8"/>
  <c r="CO36" i="8"/>
  <c r="L35" i="3"/>
  <c r="D35" i="3"/>
  <c r="I35" i="3"/>
  <c r="H35" i="3"/>
  <c r="M35" i="3"/>
  <c r="K35" i="3"/>
  <c r="J35" i="3"/>
  <c r="F35" i="3"/>
  <c r="E35" i="3"/>
  <c r="G35" i="3"/>
  <c r="L90" i="3"/>
  <c r="AW55" i="8"/>
  <c r="BB55" i="8" s="1"/>
  <c r="BG55" i="8" s="1"/>
  <c r="BL55" i="8" s="1"/>
  <c r="BV55" i="8"/>
  <c r="CA55" i="8" s="1"/>
  <c r="BY37" i="8"/>
  <c r="CD37" i="8" s="1"/>
  <c r="AZ37" i="8"/>
  <c r="BE37" i="8" s="1"/>
  <c r="BJ37" i="8" s="1"/>
  <c r="BO37" i="8" s="1"/>
  <c r="D27" i="7"/>
  <c r="E27" i="7"/>
  <c r="AX50" i="8"/>
  <c r="BC50" i="8" s="1"/>
  <c r="BH50" i="8" s="1"/>
  <c r="BM50" i="8" s="1"/>
  <c r="BW50" i="8"/>
  <c r="CB50" i="8" s="1"/>
  <c r="BA35" i="8"/>
  <c r="BF35" i="8" s="1"/>
  <c r="BK35" i="8" s="1"/>
  <c r="BP35" i="8" s="1"/>
  <c r="BZ35" i="8"/>
  <c r="CE35" i="8" s="1"/>
  <c r="K42" i="3"/>
  <c r="AZ36" i="8"/>
  <c r="BE36" i="8" s="1"/>
  <c r="BJ36" i="8" s="1"/>
  <c r="BO36" i="8" s="1"/>
  <c r="BY36" i="8"/>
  <c r="CD36" i="8" s="1"/>
  <c r="AZ55" i="8"/>
  <c r="BE55" i="8" s="1"/>
  <c r="BJ55" i="8" s="1"/>
  <c r="BO55" i="8" s="1"/>
  <c r="BY55" i="8"/>
  <c r="CD55" i="8" s="1"/>
  <c r="BX57" i="8"/>
  <c r="CC57" i="8" s="1"/>
  <c r="AY57" i="8"/>
  <c r="BD57" i="8" s="1"/>
  <c r="BI57" i="8" s="1"/>
  <c r="BN57" i="8" s="1"/>
  <c r="CL49" i="8"/>
  <c r="T18" i="8"/>
  <c r="AT37" i="8"/>
  <c r="AZ50" i="8"/>
  <c r="BE50" i="8" s="1"/>
  <c r="BJ50" i="8" s="1"/>
  <c r="BO50" i="8" s="1"/>
  <c r="BY50" i="8"/>
  <c r="CD50" i="8" s="1"/>
  <c r="BR47" i="8"/>
  <c r="CG47" i="8" s="1"/>
  <c r="CQ47" i="8" s="1"/>
  <c r="AR36" i="8"/>
  <c r="L60" i="3"/>
  <c r="BW57" i="8"/>
  <c r="CB57" i="8" s="1"/>
  <c r="AX57" i="8"/>
  <c r="BC57" i="8" s="1"/>
  <c r="BH57" i="8" s="1"/>
  <c r="BM57" i="8" s="1"/>
  <c r="AY53" i="8"/>
  <c r="BD53" i="8" s="1"/>
  <c r="BI53" i="8" s="1"/>
  <c r="BN53" i="8" s="1"/>
  <c r="BX53" i="8"/>
  <c r="CC53" i="8" s="1"/>
  <c r="AU37" i="8"/>
  <c r="AT36" i="8"/>
  <c r="K66" i="3"/>
  <c r="AT55" i="8"/>
  <c r="K96" i="3"/>
  <c r="K63" i="3"/>
  <c r="L96" i="3"/>
  <c r="G13" i="4"/>
  <c r="BY57" i="8"/>
  <c r="CD57" i="8" s="1"/>
  <c r="AZ57" i="8"/>
  <c r="BE57" i="8" s="1"/>
  <c r="BJ57" i="8" s="1"/>
  <c r="BO57" i="8" s="1"/>
  <c r="AZ53" i="8"/>
  <c r="BE53" i="8" s="1"/>
  <c r="BJ53" i="8" s="1"/>
  <c r="BO53" i="8" s="1"/>
  <c r="BY53" i="8"/>
  <c r="CD53" i="8" s="1"/>
  <c r="BA55" i="8"/>
  <c r="BF55" i="8" s="1"/>
  <c r="BK55" i="8" s="1"/>
  <c r="BP55" i="8" s="1"/>
  <c r="BZ55" i="8"/>
  <c r="CE55" i="8" s="1"/>
  <c r="BU56" i="8"/>
  <c r="CJ56" i="8" s="1"/>
  <c r="CT56" i="8" s="1"/>
  <c r="AR37" i="8"/>
  <c r="AU36" i="8"/>
  <c r="BT34" i="8"/>
  <c r="CI34" i="8" s="1"/>
  <c r="CS34" i="8" s="1"/>
  <c r="K81" i="3"/>
  <c r="K57" i="8"/>
  <c r="L57" i="8" s="1"/>
  <c r="M57" i="8" s="1"/>
  <c r="N57" i="8" s="1"/>
  <c r="P57" i="8"/>
  <c r="Q57" i="8" s="1"/>
  <c r="M13" i="4"/>
  <c r="N13" i="4" s="1"/>
  <c r="H13" i="4"/>
  <c r="I13" i="4" s="1"/>
  <c r="J13" i="4" s="1"/>
  <c r="K13" i="4" s="1"/>
  <c r="BU38" i="8"/>
  <c r="CJ38" i="8" s="1"/>
  <c r="CT38" i="8" s="1"/>
  <c r="K55" i="8"/>
  <c r="L55" i="8" s="1"/>
  <c r="M55" i="8" s="1"/>
  <c r="N55" i="8" s="1"/>
  <c r="P55" i="8"/>
  <c r="Q55" i="8" s="1"/>
  <c r="K102" i="3"/>
  <c r="I39" i="3"/>
  <c r="AZ52" i="8"/>
  <c r="BE52" i="8" s="1"/>
  <c r="BJ52" i="8" s="1"/>
  <c r="BO52" i="8" s="1"/>
  <c r="BY52" i="8"/>
  <c r="CD52" i="8" s="1"/>
  <c r="AS49" i="8"/>
  <c r="BA52" i="8"/>
  <c r="BF52" i="8" s="1"/>
  <c r="BK52" i="8" s="1"/>
  <c r="BP52" i="8" s="1"/>
  <c r="BZ52" i="8"/>
  <c r="CE52" i="8" s="1"/>
  <c r="AT57" i="8"/>
  <c r="BS48" i="8"/>
  <c r="CH48" i="8" s="1"/>
  <c r="AX55" i="8"/>
  <c r="BC55" i="8" s="1"/>
  <c r="BH55" i="8" s="1"/>
  <c r="BM55" i="8" s="1"/>
  <c r="BW55" i="8"/>
  <c r="CB55" i="8" s="1"/>
  <c r="J36" i="8"/>
  <c r="CL50" i="8"/>
  <c r="T19" i="8"/>
  <c r="AR53" i="8"/>
  <c r="L84" i="3"/>
  <c r="BV37" i="8"/>
  <c r="CA37" i="8" s="1"/>
  <c r="AW37" i="8"/>
  <c r="BB37" i="8" s="1"/>
  <c r="BG37" i="8" s="1"/>
  <c r="BL37" i="8" s="1"/>
  <c r="BS39" i="8"/>
  <c r="CH39" i="8" s="1"/>
  <c r="CR39" i="8" s="1"/>
  <c r="CL36" i="8"/>
  <c r="T5" i="8"/>
  <c r="CL37" i="8"/>
  <c r="T6" i="8"/>
  <c r="AY55" i="8"/>
  <c r="BD55" i="8" s="1"/>
  <c r="BI55" i="8" s="1"/>
  <c r="BN55" i="8" s="1"/>
  <c r="BX55" i="8"/>
  <c r="CC55" i="8" s="1"/>
  <c r="CN52" i="8"/>
  <c r="AB21" i="8"/>
  <c r="BA36" i="8"/>
  <c r="BF36" i="8" s="1"/>
  <c r="BK36" i="8" s="1"/>
  <c r="BP36" i="8" s="1"/>
  <c r="BZ36" i="8"/>
  <c r="CE36" i="8" s="1"/>
  <c r="AZ35" i="8"/>
  <c r="BE35" i="8" s="1"/>
  <c r="BJ35" i="8" s="1"/>
  <c r="BO35" i="8" s="1"/>
  <c r="BY35" i="8"/>
  <c r="CD35" i="8" s="1"/>
  <c r="X18" i="8"/>
  <c r="CM49" i="8"/>
  <c r="H36" i="3"/>
  <c r="E36" i="3"/>
  <c r="M36" i="3"/>
  <c r="K36" i="3"/>
  <c r="I36" i="3"/>
  <c r="G36" i="3"/>
  <c r="F36" i="3"/>
  <c r="D36" i="3"/>
  <c r="L36" i="3"/>
  <c r="J36" i="3"/>
  <c r="AY36" i="8"/>
  <c r="BD36" i="8" s="1"/>
  <c r="BI36" i="8" s="1"/>
  <c r="BN36" i="8" s="1"/>
  <c r="BX36" i="8"/>
  <c r="CC36" i="8" s="1"/>
  <c r="AR49" i="8"/>
  <c r="AS53" i="8"/>
  <c r="AL7" i="3"/>
  <c r="I45" i="3"/>
  <c r="BV57" i="8"/>
  <c r="CA57" i="8" s="1"/>
  <c r="AW57" i="8"/>
  <c r="BB57" i="8" s="1"/>
  <c r="BG57" i="8" s="1"/>
  <c r="BL57" i="8" s="1"/>
  <c r="E24" i="7"/>
  <c r="D24" i="7"/>
  <c r="AB22" i="8"/>
  <c r="CN53" i="8"/>
  <c r="BX52" i="8"/>
  <c r="CC52" i="8" s="1"/>
  <c r="AY52" i="8"/>
  <c r="BD52" i="8" s="1"/>
  <c r="BI52" i="8" s="1"/>
  <c r="BN52" i="8" s="1"/>
  <c r="BR56" i="8"/>
  <c r="CG56" i="8" s="1"/>
  <c r="CQ56" i="8" s="1"/>
  <c r="X22" i="8"/>
  <c r="CM53" i="8"/>
  <c r="AR57" i="8"/>
  <c r="L99" i="3"/>
  <c r="J55" i="8"/>
  <c r="J39" i="3"/>
  <c r="AX35" i="8"/>
  <c r="BC35" i="8" s="1"/>
  <c r="BH35" i="8" s="1"/>
  <c r="BM35" i="8" s="1"/>
  <c r="BW35" i="8"/>
  <c r="CB35" i="8" s="1"/>
  <c r="E11" i="7"/>
  <c r="D11" i="7"/>
  <c r="K111" i="3"/>
  <c r="AV57" i="8"/>
  <c r="K37" i="8"/>
  <c r="L37" i="8" s="1"/>
  <c r="M37" i="8" s="1"/>
  <c r="N37" i="8" s="1"/>
  <c r="P37" i="8"/>
  <c r="Q37" i="8" s="1"/>
  <c r="AW50" i="8"/>
  <c r="BB50" i="8" s="1"/>
  <c r="BG50" i="8" s="1"/>
  <c r="BL50" i="8" s="1"/>
  <c r="BV50" i="8"/>
  <c r="CA50" i="8" s="1"/>
  <c r="P6" i="8"/>
  <c r="CK37" i="8"/>
  <c r="AX53" i="8"/>
  <c r="BC53" i="8" s="1"/>
  <c r="BH53" i="8" s="1"/>
  <c r="BM53" i="8" s="1"/>
  <c r="BW53" i="8"/>
  <c r="CB53" i="8" s="1"/>
  <c r="CO53" i="8"/>
  <c r="AF22" i="8"/>
  <c r="BQ34" i="8"/>
  <c r="CF34" i="8" s="1"/>
  <c r="CP34" i="8" s="1"/>
  <c r="CK35" i="8"/>
  <c r="P4" i="8"/>
  <c r="AS57" i="8"/>
  <c r="K93" i="3"/>
  <c r="AU55" i="8"/>
  <c r="T21" i="8"/>
  <c r="CL52" i="8"/>
  <c r="X4" i="8"/>
  <c r="CM35" i="8"/>
  <c r="BS47" i="8"/>
  <c r="CH47" i="8" s="1"/>
  <c r="BX37" i="8"/>
  <c r="CC37" i="8" s="1"/>
  <c r="AY37" i="8"/>
  <c r="BD37" i="8" s="1"/>
  <c r="BI37" i="8" s="1"/>
  <c r="BN37" i="8" s="1"/>
  <c r="BQ47" i="8"/>
  <c r="CF47" i="8" s="1"/>
  <c r="BT47" i="8"/>
  <c r="CI47" i="8" s="1"/>
  <c r="CS47" i="8" s="1"/>
  <c r="BJ9" i="3"/>
  <c r="M51" i="3"/>
  <c r="AV50" i="8"/>
  <c r="BA53" i="8"/>
  <c r="BF53" i="8" s="1"/>
  <c r="BK53" i="8" s="1"/>
  <c r="BP53" i="8" s="1"/>
  <c r="BZ53" i="8"/>
  <c r="CE53" i="8" s="1"/>
  <c r="BT56" i="8"/>
  <c r="CI56" i="8" s="1"/>
  <c r="CS56" i="8" s="1"/>
  <c r="D14" i="4"/>
  <c r="B14" i="4"/>
  <c r="C14" i="4" s="1"/>
  <c r="E14" i="4"/>
  <c r="F14" i="4" s="1"/>
  <c r="G14" i="4" s="1"/>
  <c r="A15" i="4"/>
  <c r="AR35" i="8"/>
  <c r="AR52" i="8"/>
  <c r="D29" i="7"/>
  <c r="E29" i="7"/>
  <c r="AU57" i="8"/>
  <c r="D18" i="7"/>
  <c r="E18" i="7"/>
  <c r="AW36" i="8"/>
  <c r="BB36" i="8" s="1"/>
  <c r="BG36" i="8" s="1"/>
  <c r="BL36" i="8" s="1"/>
  <c r="BV36" i="8"/>
  <c r="CA36" i="8" s="1"/>
  <c r="BR48" i="8"/>
  <c r="CG48" i="8" s="1"/>
  <c r="CQ48" i="8" s="1"/>
  <c r="AW35" i="8"/>
  <c r="BB35" i="8" s="1"/>
  <c r="BG35" i="8" s="1"/>
  <c r="BL35" i="8" s="1"/>
  <c r="BV35" i="8"/>
  <c r="CA35" i="8" s="1"/>
  <c r="T7" i="3"/>
  <c r="F45" i="3"/>
  <c r="AX12" i="3"/>
  <c r="K75" i="3"/>
  <c r="K72" i="3"/>
  <c r="K87" i="3"/>
  <c r="K105" i="3"/>
  <c r="K69" i="3"/>
  <c r="J49" i="8"/>
  <c r="X6" i="8"/>
  <c r="CM37" i="8"/>
  <c r="CO49" i="8"/>
  <c r="AF18" i="8"/>
  <c r="AU35" i="8"/>
  <c r="AT52" i="8"/>
  <c r="CO35" i="8"/>
  <c r="AF4" i="8"/>
  <c r="K60" i="3"/>
  <c r="BA49" i="8"/>
  <c r="BF49" i="8" s="1"/>
  <c r="BK49" i="8" s="1"/>
  <c r="BP49" i="8" s="1"/>
  <c r="BZ49" i="8"/>
  <c r="CE49" i="8" s="1"/>
  <c r="L93" i="3"/>
  <c r="AR12" i="3"/>
  <c r="J105" i="3"/>
  <c r="J87" i="3"/>
  <c r="J69" i="3"/>
  <c r="J75" i="3"/>
  <c r="J72" i="3"/>
  <c r="E22" i="7"/>
  <c r="D22" i="7"/>
  <c r="CM55" i="8"/>
  <c r="X24" i="8"/>
  <c r="J4" i="9"/>
  <c r="I4" i="9"/>
  <c r="BT45" i="8" l="1"/>
  <c r="CI45" i="8" s="1"/>
  <c r="CS45" i="8" s="1"/>
  <c r="O42" i="8"/>
  <c r="R42" i="8" s="1"/>
  <c r="CW42" i="8" s="1"/>
  <c r="CP54" i="8"/>
  <c r="CT45" i="8"/>
  <c r="BU52" i="8"/>
  <c r="CJ52" i="8" s="1"/>
  <c r="CT52" i="8" s="1"/>
  <c r="BU58" i="8"/>
  <c r="CJ58" i="8" s="1"/>
  <c r="CT58" i="8" s="1"/>
  <c r="CR54" i="8"/>
  <c r="BS53" i="8"/>
  <c r="CH53" i="8" s="1"/>
  <c r="CR53" i="8" s="1"/>
  <c r="BU37" i="8"/>
  <c r="CJ37" i="8" s="1"/>
  <c r="CT37" i="8" s="1"/>
  <c r="CP47" i="8"/>
  <c r="CS60" i="8"/>
  <c r="CQ38" i="8"/>
  <c r="BS51" i="8"/>
  <c r="CH51" i="8" s="1"/>
  <c r="CR51" i="8" s="1"/>
  <c r="BS50" i="8"/>
  <c r="CH50" i="8" s="1"/>
  <c r="CR50" i="8" s="1"/>
  <c r="CV60" i="8"/>
  <c r="BS45" i="8"/>
  <c r="CH45" i="8" s="1"/>
  <c r="CR45" i="8" s="1"/>
  <c r="BR52" i="8"/>
  <c r="CG52" i="8" s="1"/>
  <c r="CQ52" i="8" s="1"/>
  <c r="BU59" i="8"/>
  <c r="CJ59" i="8" s="1"/>
  <c r="CT59" i="8" s="1"/>
  <c r="BU46" i="8"/>
  <c r="CJ46" i="8" s="1"/>
  <c r="CT46" i="8" s="1"/>
  <c r="BQ58" i="8"/>
  <c r="CF58" i="8" s="1"/>
  <c r="CP58" i="8" s="1"/>
  <c r="CR47" i="8"/>
  <c r="BT52" i="8"/>
  <c r="CI52" i="8" s="1"/>
  <c r="CS52" i="8" s="1"/>
  <c r="BQ40" i="8"/>
  <c r="CF40" i="8" s="1"/>
  <c r="CP40" i="8" s="1"/>
  <c r="CR48" i="8"/>
  <c r="BU49" i="8"/>
  <c r="CJ49" i="8" s="1"/>
  <c r="CT49" i="8" s="1"/>
  <c r="O35" i="8"/>
  <c r="AI10" i="8"/>
  <c r="BR37" i="8"/>
  <c r="CG37" i="8" s="1"/>
  <c r="CQ37" i="8" s="1"/>
  <c r="BR36" i="8"/>
  <c r="CG36" i="8" s="1"/>
  <c r="CQ36" i="8" s="1"/>
  <c r="CQ43" i="8"/>
  <c r="BR40" i="8"/>
  <c r="CG40" i="8" s="1"/>
  <c r="CQ40" i="8" s="1"/>
  <c r="BT42" i="8"/>
  <c r="CI42" i="8" s="1"/>
  <c r="CS42" i="8" s="1"/>
  <c r="O52" i="8"/>
  <c r="R52" i="8" s="1"/>
  <c r="CW52" i="8" s="1"/>
  <c r="BS46" i="8"/>
  <c r="CH46" i="8" s="1"/>
  <c r="CR46" i="8" s="1"/>
  <c r="CP38" i="8"/>
  <c r="BT46" i="8"/>
  <c r="CI46" i="8" s="1"/>
  <c r="CS46" i="8" s="1"/>
  <c r="BS42" i="8"/>
  <c r="CH42" i="8" s="1"/>
  <c r="CR42" i="8" s="1"/>
  <c r="CR41" i="8"/>
  <c r="CV41" i="8" s="1"/>
  <c r="CW41" i="8" s="1"/>
  <c r="O58" i="8"/>
  <c r="R58" i="8" s="1"/>
  <c r="CW58" i="8" s="1"/>
  <c r="BS58" i="8"/>
  <c r="CH58" i="8" s="1"/>
  <c r="CR58" i="8" s="1"/>
  <c r="O51" i="8"/>
  <c r="R51" i="8" s="1"/>
  <c r="CV51" i="8" s="1"/>
  <c r="CV48" i="8"/>
  <c r="O36" i="8"/>
  <c r="BQ51" i="8"/>
  <c r="CF51" i="8" s="1"/>
  <c r="CP51" i="8" s="1"/>
  <c r="BU53" i="8"/>
  <c r="CJ53" i="8" s="1"/>
  <c r="CT53" i="8" s="1"/>
  <c r="BR58" i="8"/>
  <c r="CG58" i="8" s="1"/>
  <c r="CQ58" i="8" s="1"/>
  <c r="BU42" i="8"/>
  <c r="CJ42" i="8" s="1"/>
  <c r="CT42" i="8" s="1"/>
  <c r="BQ55" i="8"/>
  <c r="CF55" i="8" s="1"/>
  <c r="CP55" i="8" s="1"/>
  <c r="BR51" i="8"/>
  <c r="CG51" i="8" s="1"/>
  <c r="CQ51" i="8" s="1"/>
  <c r="BU51" i="8"/>
  <c r="CJ51" i="8" s="1"/>
  <c r="CT51" i="8" s="1"/>
  <c r="BS40" i="8"/>
  <c r="CH40" i="8" s="1"/>
  <c r="CR40" i="8" s="1"/>
  <c r="CV34" i="8"/>
  <c r="M4" i="9" s="1"/>
  <c r="BU40" i="8"/>
  <c r="CJ40" i="8" s="1"/>
  <c r="CT40" i="8" s="1"/>
  <c r="BT50" i="8"/>
  <c r="CI50" i="8" s="1"/>
  <c r="CS50" i="8" s="1"/>
  <c r="BS35" i="8"/>
  <c r="CH35" i="8" s="1"/>
  <c r="CR35" i="8" s="1"/>
  <c r="O53" i="8"/>
  <c r="R53" i="8" s="1"/>
  <c r="CW53" i="8" s="1"/>
  <c r="BQ46" i="8"/>
  <c r="CF46" i="8" s="1"/>
  <c r="CP46" i="8" s="1"/>
  <c r="BQ42" i="8"/>
  <c r="CF42" i="8" s="1"/>
  <c r="CP42" i="8" s="1"/>
  <c r="BR55" i="8"/>
  <c r="CG55" i="8" s="1"/>
  <c r="CQ55" i="8" s="1"/>
  <c r="O45" i="8"/>
  <c r="R45" i="8" s="1"/>
  <c r="CW45" i="8" s="1"/>
  <c r="CV44" i="8"/>
  <c r="BQ59" i="8"/>
  <c r="CF59" i="8" s="1"/>
  <c r="CP59" i="8" s="1"/>
  <c r="BS59" i="8"/>
  <c r="CH59" i="8" s="1"/>
  <c r="CR59" i="8" s="1"/>
  <c r="C55" i="3"/>
  <c r="O40" i="8"/>
  <c r="BT58" i="8"/>
  <c r="CI58" i="8" s="1"/>
  <c r="CS58" i="8" s="1"/>
  <c r="O57" i="8"/>
  <c r="R57" i="8" s="1"/>
  <c r="CW57" i="8" s="1"/>
  <c r="BQ52" i="8"/>
  <c r="CF52" i="8" s="1"/>
  <c r="CP52" i="8" s="1"/>
  <c r="O59" i="8"/>
  <c r="R59" i="8" s="1"/>
  <c r="CV59" i="8" s="1"/>
  <c r="BR42" i="8"/>
  <c r="CG42" i="8" s="1"/>
  <c r="CQ42" i="8" s="1"/>
  <c r="BR35" i="8"/>
  <c r="CG35" i="8" s="1"/>
  <c r="CQ35" i="8" s="1"/>
  <c r="BR46" i="8"/>
  <c r="CG46" i="8" s="1"/>
  <c r="CQ46" i="8" s="1"/>
  <c r="O46" i="8"/>
  <c r="R46" i="8" s="1"/>
  <c r="BU36" i="8"/>
  <c r="CJ36" i="8" s="1"/>
  <c r="CT36" i="8" s="1"/>
  <c r="BQ45" i="8"/>
  <c r="CF45" i="8" s="1"/>
  <c r="CP45" i="8" s="1"/>
  <c r="BQ37" i="8"/>
  <c r="CF37" i="8" s="1"/>
  <c r="CP37" i="8" s="1"/>
  <c r="O49" i="8"/>
  <c r="R49" i="8" s="1"/>
  <c r="CW49" i="8" s="1"/>
  <c r="BR45" i="8"/>
  <c r="CG45" i="8" s="1"/>
  <c r="CQ45" i="8" s="1"/>
  <c r="L13" i="4"/>
  <c r="BT40" i="8"/>
  <c r="CI40" i="8" s="1"/>
  <c r="CS40" i="8" s="1"/>
  <c r="BQ50" i="8"/>
  <c r="CF50" i="8" s="1"/>
  <c r="CP50" i="8" s="1"/>
  <c r="CV47" i="8"/>
  <c r="CV56" i="8"/>
  <c r="BT59" i="8"/>
  <c r="CI59" i="8" s="1"/>
  <c r="CS59" i="8" s="1"/>
  <c r="O37" i="8"/>
  <c r="BT49" i="8"/>
  <c r="CI49" i="8" s="1"/>
  <c r="CS49" i="8" s="1"/>
  <c r="BR59" i="8"/>
  <c r="CG59" i="8" s="1"/>
  <c r="CQ59" i="8" s="1"/>
  <c r="BU57" i="8"/>
  <c r="CJ57" i="8" s="1"/>
  <c r="CT57" i="8" s="1"/>
  <c r="BS57" i="8"/>
  <c r="CH57" i="8" s="1"/>
  <c r="CR57" i="8" s="1"/>
  <c r="BR49" i="8"/>
  <c r="CG49" i="8" s="1"/>
  <c r="CQ49" i="8" s="1"/>
  <c r="B15" i="4"/>
  <c r="C15" i="4" s="1"/>
  <c r="D15" i="4"/>
  <c r="E15" i="4"/>
  <c r="F15" i="4" s="1"/>
  <c r="A16" i="4"/>
  <c r="BQ36" i="8"/>
  <c r="CF36" i="8" s="1"/>
  <c r="CP36" i="8" s="1"/>
  <c r="BQ57" i="8"/>
  <c r="CF57" i="8" s="1"/>
  <c r="CP57" i="8" s="1"/>
  <c r="BS36" i="8"/>
  <c r="CH36" i="8" s="1"/>
  <c r="CR36" i="8" s="1"/>
  <c r="BT57" i="8"/>
  <c r="CI57" i="8" s="1"/>
  <c r="CS57" i="8" s="1"/>
  <c r="BR50" i="8"/>
  <c r="CG50" i="8" s="1"/>
  <c r="CQ50" i="8" s="1"/>
  <c r="BQ53" i="8"/>
  <c r="CF53" i="8" s="1"/>
  <c r="CP53" i="8" s="1"/>
  <c r="BS49" i="8"/>
  <c r="CH49" i="8" s="1"/>
  <c r="CR49" i="8" s="1"/>
  <c r="BU50" i="8"/>
  <c r="CJ50" i="8" s="1"/>
  <c r="CT50" i="8" s="1"/>
  <c r="BU55" i="8"/>
  <c r="CJ55" i="8" s="1"/>
  <c r="CT55" i="8" s="1"/>
  <c r="BQ35" i="8"/>
  <c r="CF35" i="8" s="1"/>
  <c r="CP35" i="8" s="1"/>
  <c r="BS37" i="8"/>
  <c r="CH37" i="8" s="1"/>
  <c r="CR37" i="8" s="1"/>
  <c r="M14" i="4"/>
  <c r="N14" i="4" s="1"/>
  <c r="H14" i="4"/>
  <c r="I14" i="4" s="1"/>
  <c r="J14" i="4" s="1"/>
  <c r="K14" i="4" s="1"/>
  <c r="L14" i="4" s="1"/>
  <c r="BS55" i="8"/>
  <c r="CH55" i="8" s="1"/>
  <c r="CR55" i="8" s="1"/>
  <c r="BT35" i="8"/>
  <c r="CI35" i="8" s="1"/>
  <c r="CS35" i="8" s="1"/>
  <c r="BT55" i="8"/>
  <c r="CI55" i="8" s="1"/>
  <c r="CS55" i="8" s="1"/>
  <c r="BT37" i="8"/>
  <c r="CI37" i="8" s="1"/>
  <c r="CS37" i="8" s="1"/>
  <c r="BR53" i="8"/>
  <c r="CG53" i="8" s="1"/>
  <c r="CQ53" i="8" s="1"/>
  <c r="BU35" i="8"/>
  <c r="CJ35" i="8" s="1"/>
  <c r="CT35" i="8" s="1"/>
  <c r="O55" i="8"/>
  <c r="R55" i="8" s="1"/>
  <c r="BT53" i="8"/>
  <c r="CI53" i="8" s="1"/>
  <c r="CS53" i="8" s="1"/>
  <c r="BQ49" i="8"/>
  <c r="CF49" i="8" s="1"/>
  <c r="CP49" i="8" s="1"/>
  <c r="BT36" i="8"/>
  <c r="CI36" i="8" s="1"/>
  <c r="CS36" i="8" s="1"/>
  <c r="C34" i="3"/>
  <c r="BS52" i="8"/>
  <c r="CH52" i="8" s="1"/>
  <c r="CR52" i="8" s="1"/>
  <c r="CV50" i="8"/>
  <c r="CW50" i="8"/>
  <c r="BR57" i="8"/>
  <c r="CG57" i="8" s="1"/>
  <c r="CQ57" i="8" s="1"/>
  <c r="CV42" i="8" l="1"/>
  <c r="CV52" i="8"/>
  <c r="CV58" i="8"/>
  <c r="CW59" i="8"/>
  <c r="CW51" i="8"/>
  <c r="CW34" i="8"/>
  <c r="K4" i="9" s="1"/>
  <c r="L4" i="9"/>
  <c r="G15" i="4"/>
  <c r="CV53" i="8"/>
  <c r="C56" i="3"/>
  <c r="C10" i="7" s="1"/>
  <c r="D10" i="7" s="1"/>
  <c r="CV57" i="8"/>
  <c r="CV49" i="8"/>
  <c r="CV45" i="8"/>
  <c r="CW46" i="8"/>
  <c r="CV46" i="8"/>
  <c r="CV55" i="8"/>
  <c r="CW55" i="8"/>
  <c r="B16" i="4"/>
  <c r="C16" i="4" s="1"/>
  <c r="D16" i="4"/>
  <c r="E16" i="4"/>
  <c r="F16" i="4" s="1"/>
  <c r="A17" i="4"/>
  <c r="H15" i="4"/>
  <c r="I15" i="4" s="1"/>
  <c r="J15" i="4" s="1"/>
  <c r="K15" i="4" s="1"/>
  <c r="M15" i="4"/>
  <c r="N15" i="4" s="1"/>
  <c r="C35" i="3"/>
  <c r="C3" i="7" s="1"/>
  <c r="C34" i="7"/>
  <c r="B3" i="7"/>
  <c r="B34" i="8"/>
  <c r="B3" i="8"/>
  <c r="C37" i="3" l="1"/>
  <c r="B4" i="8" s="1"/>
  <c r="AG4" i="8"/>
  <c r="CU35" i="8" s="1"/>
  <c r="G4" i="8"/>
  <c r="F4" i="8"/>
  <c r="L15" i="4"/>
  <c r="E10" i="7"/>
  <c r="G16" i="4"/>
  <c r="M16" i="4"/>
  <c r="N16" i="4" s="1"/>
  <c r="H16" i="4"/>
  <c r="I16" i="4" s="1"/>
  <c r="J16" i="4" s="1"/>
  <c r="K16" i="4" s="1"/>
  <c r="B17" i="4"/>
  <c r="C17" i="4" s="1"/>
  <c r="D17" i="4"/>
  <c r="E17" i="4"/>
  <c r="F17" i="4" s="1"/>
  <c r="A18" i="4"/>
  <c r="K34" i="7"/>
  <c r="E34" i="7"/>
  <c r="D34" i="7" s="1"/>
  <c r="B4" i="9"/>
  <c r="E4" i="9"/>
  <c r="AM34" i="7"/>
  <c r="D3" i="7"/>
  <c r="E3" i="7"/>
  <c r="H4" i="8" l="1"/>
  <c r="I4" i="8" s="1"/>
  <c r="AI4" i="8" s="1"/>
  <c r="H5" i="9" s="1"/>
  <c r="B35" i="8"/>
  <c r="B4" i="7"/>
  <c r="E5" i="9" s="1"/>
  <c r="AG10" i="1" s="1"/>
  <c r="AH10" i="1" s="1"/>
  <c r="C38" i="3"/>
  <c r="C35" i="7"/>
  <c r="K35" i="7" s="1"/>
  <c r="L16" i="4"/>
  <c r="M34" i="7"/>
  <c r="N27" i="7"/>
  <c r="Q34" i="7"/>
  <c r="G17" i="4"/>
  <c r="D18" i="4"/>
  <c r="B18" i="4"/>
  <c r="C18" i="4" s="1"/>
  <c r="E18" i="4"/>
  <c r="F18" i="4" s="1"/>
  <c r="A19" i="4"/>
  <c r="M17" i="4"/>
  <c r="N17" i="4" s="1"/>
  <c r="H17" i="4"/>
  <c r="I17" i="4" s="1"/>
  <c r="J17" i="4" s="1"/>
  <c r="K17" i="4" s="1"/>
  <c r="B34" i="7"/>
  <c r="L34" i="7" s="1"/>
  <c r="I34" i="7"/>
  <c r="R35" i="8"/>
  <c r="G18" i="4" l="1"/>
  <c r="L17" i="4"/>
  <c r="AH4" i="8"/>
  <c r="J5" i="9" s="1"/>
  <c r="E35" i="7"/>
  <c r="D35" i="7" s="1"/>
  <c r="Q35" i="7" s="1"/>
  <c r="B5" i="9"/>
  <c r="B19" i="4"/>
  <c r="C19" i="4" s="1"/>
  <c r="D19" i="4"/>
  <c r="E19" i="4"/>
  <c r="F19" i="4" s="1"/>
  <c r="A20" i="4"/>
  <c r="H34" i="7"/>
  <c r="J34" i="7" s="1"/>
  <c r="P34" i="7"/>
  <c r="T34" i="7" s="1"/>
  <c r="U34" i="7" s="1"/>
  <c r="N26" i="7"/>
  <c r="H18" i="4"/>
  <c r="I18" i="4" s="1"/>
  <c r="J18" i="4" s="1"/>
  <c r="K18" i="4" s="1"/>
  <c r="M18" i="4"/>
  <c r="N18" i="4" s="1"/>
  <c r="CV35" i="8"/>
  <c r="CW35" i="8"/>
  <c r="K5" i="9" s="1"/>
  <c r="I35" i="7"/>
  <c r="H35" i="7" s="1"/>
  <c r="G4" i="11"/>
  <c r="AN10" i="1"/>
  <c r="L18" i="4" l="1"/>
  <c r="I5" i="9"/>
  <c r="B35" i="7"/>
  <c r="P35" i="7" s="1"/>
  <c r="T35" i="7" s="1"/>
  <c r="M35" i="7"/>
  <c r="G19" i="4"/>
  <c r="N34" i="7"/>
  <c r="O34" i="7"/>
  <c r="S34" i="7"/>
  <c r="AQ34" i="7"/>
  <c r="AL9" i="1" s="1"/>
  <c r="O26" i="7"/>
  <c r="H3" i="7"/>
  <c r="F3" i="7"/>
  <c r="G3" i="7" s="1"/>
  <c r="B20" i="4"/>
  <c r="C20" i="4" s="1"/>
  <c r="E20" i="4"/>
  <c r="F20" i="4" s="1"/>
  <c r="D20" i="4"/>
  <c r="A21" i="4"/>
  <c r="H19" i="4"/>
  <c r="I19" i="4" s="1"/>
  <c r="J19" i="4" s="1"/>
  <c r="K19" i="4" s="1"/>
  <c r="M19" i="4"/>
  <c r="N19" i="4" s="1"/>
  <c r="R34" i="7"/>
  <c r="O27" i="7"/>
  <c r="AN34" i="7"/>
  <c r="AL34" i="7"/>
  <c r="J35" i="7"/>
  <c r="O35" i="7" s="1"/>
  <c r="M5" i="9"/>
  <c r="L5" i="9"/>
  <c r="R35" i="7"/>
  <c r="N35" i="7"/>
  <c r="U35" i="7" l="1"/>
  <c r="AD35" i="7" s="1"/>
  <c r="L35" i="7"/>
  <c r="L19" i="4"/>
  <c r="V34" i="7"/>
  <c r="AC34" i="7" s="1"/>
  <c r="AF34" i="7" s="1"/>
  <c r="S35" i="7"/>
  <c r="H4" i="7"/>
  <c r="AQ35" i="7"/>
  <c r="AL10" i="1" s="1"/>
  <c r="G20" i="4"/>
  <c r="N28" i="7"/>
  <c r="F4" i="7"/>
  <c r="M20" i="4"/>
  <c r="N20" i="4" s="1"/>
  <c r="H20" i="4"/>
  <c r="I20" i="4" s="1"/>
  <c r="J20" i="4" s="1"/>
  <c r="K20" i="4" s="1"/>
  <c r="I3" i="7"/>
  <c r="J3" i="7" s="1"/>
  <c r="B21" i="4"/>
  <c r="C21" i="4" s="1"/>
  <c r="E21" i="4"/>
  <c r="F21" i="4" s="1"/>
  <c r="D21" i="4"/>
  <c r="A22" i="4"/>
  <c r="AC35" i="7"/>
  <c r="AF35" i="7" s="1"/>
  <c r="V35" i="7" l="1"/>
  <c r="W35" i="7" s="1"/>
  <c r="AE35" i="7" s="1"/>
  <c r="AH35" i="7" s="1"/>
  <c r="AK35" i="7" s="1"/>
  <c r="W34" i="7"/>
  <c r="AE34" i="7" s="1"/>
  <c r="AI34" i="7" s="1"/>
  <c r="L20" i="4"/>
  <c r="C4" i="9"/>
  <c r="K3" i="7"/>
  <c r="D4" i="9" s="1"/>
  <c r="D22" i="4"/>
  <c r="B22" i="4"/>
  <c r="C22" i="4" s="1"/>
  <c r="A23" i="4"/>
  <c r="E22" i="4"/>
  <c r="F22" i="4" s="1"/>
  <c r="G21" i="4"/>
  <c r="M21" i="4"/>
  <c r="N21" i="4" s="1"/>
  <c r="H21" i="4"/>
  <c r="I21" i="4" s="1"/>
  <c r="J21" i="4" s="1"/>
  <c r="K21" i="4" s="1"/>
  <c r="AG35" i="7"/>
  <c r="L21" i="4" l="1"/>
  <c r="AJ35" i="7"/>
  <c r="AD34" i="7"/>
  <c r="AG34" i="7" s="1"/>
  <c r="AJ34" i="7" s="1"/>
  <c r="AI35" i="7"/>
  <c r="B23" i="4"/>
  <c r="C23" i="4" s="1"/>
  <c r="E23" i="4"/>
  <c r="F23" i="4" s="1"/>
  <c r="D23" i="4"/>
  <c r="A24" i="4"/>
  <c r="G22" i="4"/>
  <c r="M22" i="4"/>
  <c r="N22" i="4" s="1"/>
  <c r="H22" i="4"/>
  <c r="I22" i="4" s="1"/>
  <c r="J22" i="4" s="1"/>
  <c r="K22" i="4" s="1"/>
  <c r="AH34" i="7" l="1"/>
  <c r="AK34" i="7" s="1"/>
  <c r="AO34" i="7" s="1"/>
  <c r="F4" i="9" s="1"/>
  <c r="G23" i="4"/>
  <c r="L22" i="4"/>
  <c r="H23" i="4"/>
  <c r="I23" i="4" s="1"/>
  <c r="J23" i="4" s="1"/>
  <c r="K23" i="4" s="1"/>
  <c r="M23" i="4"/>
  <c r="N23" i="4" s="1"/>
  <c r="E24" i="4"/>
  <c r="F24" i="4" s="1"/>
  <c r="B24" i="4"/>
  <c r="C24" i="4" s="1"/>
  <c r="D24" i="4"/>
  <c r="A25" i="4"/>
  <c r="AP34" i="7" l="1"/>
  <c r="G4" i="9" s="1"/>
  <c r="L23" i="4"/>
  <c r="G24" i="4"/>
  <c r="M24" i="4"/>
  <c r="N24" i="4" s="1"/>
  <c r="H24" i="4"/>
  <c r="I24" i="4" s="1"/>
  <c r="J24" i="4" s="1"/>
  <c r="K24" i="4" s="1"/>
  <c r="B25" i="4"/>
  <c r="C25" i="4" s="1"/>
  <c r="D25" i="4"/>
  <c r="E25" i="4"/>
  <c r="F25" i="4" s="1"/>
  <c r="A26" i="4"/>
  <c r="G25" i="4" l="1"/>
  <c r="L24" i="4"/>
  <c r="E26" i="4"/>
  <c r="F26" i="4" s="1"/>
  <c r="D26" i="4"/>
  <c r="B26" i="4"/>
  <c r="C26" i="4" s="1"/>
  <c r="M25" i="4"/>
  <c r="N25" i="4" s="1"/>
  <c r="H25" i="4"/>
  <c r="I25" i="4" s="1"/>
  <c r="J25" i="4" s="1"/>
  <c r="K25" i="4" s="1"/>
  <c r="L25" i="4" s="1"/>
  <c r="M26" i="4" l="1"/>
  <c r="N26" i="4" s="1"/>
  <c r="H26" i="4"/>
  <c r="I26" i="4" s="1"/>
  <c r="J26" i="4" s="1"/>
  <c r="K26" i="4" s="1"/>
  <c r="G26" i="4"/>
  <c r="L26" i="4" l="1"/>
  <c r="B24" i="8" l="1"/>
  <c r="B55" i="8"/>
  <c r="C42" i="7"/>
  <c r="B16" i="7"/>
  <c r="B48" i="8"/>
  <c r="B18" i="7"/>
  <c r="B49" i="8"/>
  <c r="B20" i="8"/>
  <c r="B57" i="8"/>
  <c r="C45" i="7"/>
  <c r="B28" i="7"/>
  <c r="C52" i="7"/>
  <c r="B29" i="7"/>
  <c r="C50" i="7"/>
  <c r="B13" i="8"/>
  <c r="B45" i="8"/>
  <c r="B27" i="8"/>
  <c r="C58" i="7"/>
  <c r="B53" i="8"/>
  <c r="B21" i="8"/>
  <c r="B17" i="8"/>
  <c r="B12" i="7"/>
  <c r="C55" i="7"/>
  <c r="B11" i="8"/>
  <c r="B23" i="7"/>
  <c r="B20" i="7"/>
  <c r="B27" i="7"/>
  <c r="B54" i="8"/>
  <c r="B56" i="8"/>
  <c r="B28" i="8"/>
  <c r="B21" i="7"/>
  <c r="C51" i="7"/>
  <c r="B51" i="8"/>
  <c r="B25" i="8"/>
  <c r="B23" i="8"/>
  <c r="C53" i="7"/>
  <c r="B26" i="7"/>
  <c r="B17" i="7"/>
  <c r="C44" i="7"/>
  <c r="B43" i="8"/>
  <c r="B15" i="8"/>
  <c r="B22" i="8"/>
  <c r="B22" i="7"/>
  <c r="B46" i="8"/>
  <c r="C49" i="7"/>
  <c r="B58" i="8"/>
  <c r="B25" i="7"/>
  <c r="B16" i="8"/>
  <c r="B19" i="8"/>
  <c r="B15" i="7"/>
  <c r="B59" i="8"/>
  <c r="B11" i="7"/>
  <c r="B47" i="8"/>
  <c r="C43" i="7"/>
  <c r="B52" i="8"/>
  <c r="C54" i="7"/>
  <c r="B12" i="8"/>
  <c r="B60" i="8"/>
  <c r="C47" i="7"/>
  <c r="B24" i="7"/>
  <c r="C46" i="7"/>
  <c r="B14" i="8"/>
  <c r="B14" i="7"/>
  <c r="B44" i="8"/>
  <c r="C56" i="7"/>
  <c r="B50" i="8"/>
  <c r="B19" i="7"/>
  <c r="B18" i="8"/>
  <c r="C59" i="7"/>
  <c r="C48" i="7"/>
  <c r="C60" i="7"/>
  <c r="B26" i="8"/>
  <c r="B29" i="8"/>
  <c r="C57" i="7"/>
  <c r="B13" i="7"/>
  <c r="B42" i="8"/>
  <c r="B10" i="7"/>
  <c r="C41" i="7"/>
  <c r="B41" i="8"/>
  <c r="B10" i="8"/>
  <c r="F25" i="7" l="1"/>
  <c r="G25" i="7" s="1"/>
  <c r="F13" i="7"/>
  <c r="G13" i="7" s="1"/>
  <c r="F22" i="7"/>
  <c r="G22" i="7" s="1"/>
  <c r="F29" i="7"/>
  <c r="G29" i="7" s="1"/>
  <c r="F27" i="7"/>
  <c r="G27" i="7" s="1"/>
  <c r="I11" i="9"/>
  <c r="I13" i="9"/>
  <c r="I25" i="9"/>
  <c r="F15" i="7"/>
  <c r="G15" i="7" s="1"/>
  <c r="I12" i="9"/>
  <c r="F11" i="7"/>
  <c r="G11" i="7" s="1"/>
  <c r="F12" i="7"/>
  <c r="G12" i="7" s="1"/>
  <c r="I18" i="9"/>
  <c r="K52" i="7"/>
  <c r="E52" i="7"/>
  <c r="D52" i="7" s="1"/>
  <c r="E54" i="7"/>
  <c r="B54" i="7" s="1"/>
  <c r="AC54" i="7" s="1"/>
  <c r="AF54" i="7" s="1"/>
  <c r="K54" i="7"/>
  <c r="K60" i="7"/>
  <c r="E60" i="7"/>
  <c r="B60" i="7" s="1"/>
  <c r="K43" i="7"/>
  <c r="E43" i="7"/>
  <c r="B43" i="7" s="1"/>
  <c r="F20" i="7"/>
  <c r="G20" i="7" s="1"/>
  <c r="F23" i="7"/>
  <c r="G23" i="7" s="1"/>
  <c r="K55" i="7"/>
  <c r="E55" i="7"/>
  <c r="D55" i="7" s="1"/>
  <c r="E11" i="9"/>
  <c r="I30" i="9"/>
  <c r="I19" i="9"/>
  <c r="I24" i="9"/>
  <c r="K57" i="7"/>
  <c r="E57" i="7"/>
  <c r="D57" i="7" s="1"/>
  <c r="K58" i="7"/>
  <c r="E58" i="7"/>
  <c r="D58" i="7" s="1"/>
  <c r="I27" i="9"/>
  <c r="H20" i="9"/>
  <c r="H17" i="9"/>
  <c r="H16" i="9"/>
  <c r="H15" i="9"/>
  <c r="H30" i="9"/>
  <c r="H28" i="9"/>
  <c r="H29" i="9"/>
  <c r="H22" i="9"/>
  <c r="H14" i="9"/>
  <c r="H21" i="9"/>
  <c r="H24" i="9"/>
  <c r="H27" i="9"/>
  <c r="H25" i="9"/>
  <c r="H18" i="9"/>
  <c r="H19" i="9"/>
  <c r="H23" i="9"/>
  <c r="H26" i="9"/>
  <c r="H12" i="9"/>
  <c r="H13" i="9"/>
  <c r="H11" i="9"/>
  <c r="K49" i="7"/>
  <c r="E49" i="7"/>
  <c r="B49" i="7" s="1"/>
  <c r="I17" i="9"/>
  <c r="I16" i="9"/>
  <c r="E50" i="7"/>
  <c r="D50" i="7" s="1"/>
  <c r="K50" i="7"/>
  <c r="I29" i="9"/>
  <c r="F19" i="7"/>
  <c r="G19" i="7" s="1"/>
  <c r="K44" i="7"/>
  <c r="E44" i="7"/>
  <c r="D44" i="7" s="1"/>
  <c r="F28" i="7"/>
  <c r="G28" i="7" s="1"/>
  <c r="I28" i="9"/>
  <c r="K45" i="7"/>
  <c r="E45" i="7"/>
  <c r="D45" i="7" s="1"/>
  <c r="I15" i="9"/>
  <c r="E59" i="7"/>
  <c r="D59" i="7" s="1"/>
  <c r="K59" i="7"/>
  <c r="I26" i="9"/>
  <c r="K48" i="7"/>
  <c r="E48" i="7"/>
  <c r="D48" i="7" s="1"/>
  <c r="F26" i="7"/>
  <c r="G26" i="7" s="1"/>
  <c r="E53" i="7"/>
  <c r="B53" i="7" s="1"/>
  <c r="K53" i="7"/>
  <c r="I20" i="9"/>
  <c r="F14" i="7"/>
  <c r="G14" i="7" s="1"/>
  <c r="J15" i="9"/>
  <c r="J17" i="9"/>
  <c r="J30" i="9"/>
  <c r="J13" i="9"/>
  <c r="J19" i="9"/>
  <c r="J25" i="9"/>
  <c r="J22" i="9"/>
  <c r="J21" i="9"/>
  <c r="J12" i="9"/>
  <c r="J26" i="9"/>
  <c r="J24" i="9"/>
  <c r="J20" i="9"/>
  <c r="J28" i="9"/>
  <c r="J14" i="9"/>
  <c r="J29" i="9"/>
  <c r="J18" i="9"/>
  <c r="J16" i="9"/>
  <c r="J27" i="9"/>
  <c r="J23" i="9"/>
  <c r="J11" i="9"/>
  <c r="K56" i="7"/>
  <c r="E56" i="7"/>
  <c r="D56" i="7" s="1"/>
  <c r="F18" i="7"/>
  <c r="G18" i="7" s="1"/>
  <c r="I22" i="9"/>
  <c r="F17" i="7"/>
  <c r="G17" i="7" s="1"/>
  <c r="I23" i="9"/>
  <c r="B24" i="9"/>
  <c r="E18" i="9"/>
  <c r="B14" i="9"/>
  <c r="B12" i="9"/>
  <c r="E13" i="9"/>
  <c r="E24" i="9"/>
  <c r="B22" i="9"/>
  <c r="E14" i="9"/>
  <c r="B29" i="9"/>
  <c r="B15" i="9"/>
  <c r="E25" i="9"/>
  <c r="E17" i="9"/>
  <c r="B20" i="9"/>
  <c r="E26" i="9"/>
  <c r="E20" i="9"/>
  <c r="E15" i="9"/>
  <c r="E27" i="9"/>
  <c r="B18" i="9"/>
  <c r="E21" i="9"/>
  <c r="E19" i="9"/>
  <c r="E16" i="9"/>
  <c r="B28" i="9"/>
  <c r="E12" i="9"/>
  <c r="B23" i="9"/>
  <c r="B13" i="9"/>
  <c r="E23" i="9"/>
  <c r="E30" i="9"/>
  <c r="B30" i="9"/>
  <c r="B25" i="9"/>
  <c r="E22" i="9"/>
  <c r="E28" i="9"/>
  <c r="B27" i="9"/>
  <c r="B19" i="9"/>
  <c r="B16" i="9"/>
  <c r="E29" i="9"/>
  <c r="B26" i="9"/>
  <c r="B21" i="9"/>
  <c r="B17" i="9"/>
  <c r="B11" i="9"/>
  <c r="K46" i="7"/>
  <c r="E46" i="7"/>
  <c r="B46" i="7" s="1"/>
  <c r="AC46" i="7" s="1"/>
  <c r="AF46" i="7" s="1"/>
  <c r="K51" i="7"/>
  <c r="E51" i="7"/>
  <c r="D51" i="7" s="1"/>
  <c r="F16" i="7"/>
  <c r="G16" i="7" s="1"/>
  <c r="I14" i="9"/>
  <c r="E41" i="7"/>
  <c r="D41" i="7" s="1"/>
  <c r="M41" i="7" s="1"/>
  <c r="K41" i="7"/>
  <c r="F24" i="7"/>
  <c r="G24" i="7" s="1"/>
  <c r="E47" i="7"/>
  <c r="D47" i="7" s="1"/>
  <c r="K47" i="7"/>
  <c r="F21" i="7"/>
  <c r="G21" i="7" s="1"/>
  <c r="E42" i="7"/>
  <c r="B42" i="7" s="1"/>
  <c r="K42" i="7"/>
  <c r="B56" i="7" l="1"/>
  <c r="AC56" i="7" s="1"/>
  <c r="AF56" i="7" s="1"/>
  <c r="M47" i="7"/>
  <c r="B41" i="7"/>
  <c r="P41" i="7" s="1"/>
  <c r="B52" i="7"/>
  <c r="AC52" i="7" s="1"/>
  <c r="AF52" i="7" s="1"/>
  <c r="B45" i="7"/>
  <c r="AC45" i="7" s="1"/>
  <c r="AF45" i="7" s="1"/>
  <c r="M50" i="7"/>
  <c r="B55" i="7"/>
  <c r="P55" i="7" s="1"/>
  <c r="T55" i="7" s="1"/>
  <c r="D53" i="7"/>
  <c r="Q53" i="7" s="1"/>
  <c r="M52" i="7"/>
  <c r="B59" i="7"/>
  <c r="L59" i="7" s="1"/>
  <c r="M57" i="7"/>
  <c r="B47" i="7"/>
  <c r="L47" i="7" s="1"/>
  <c r="B44" i="7"/>
  <c r="L44" i="7" s="1"/>
  <c r="B57" i="7"/>
  <c r="L57" i="7" s="1"/>
  <c r="B51" i="7"/>
  <c r="P51" i="7" s="1"/>
  <c r="T51" i="7" s="1"/>
  <c r="L25" i="9"/>
  <c r="D49" i="7"/>
  <c r="L49" i="7" s="1"/>
  <c r="M56" i="7"/>
  <c r="B50" i="7"/>
  <c r="AC50" i="7" s="1"/>
  <c r="AF50" i="7" s="1"/>
  <c r="L24" i="9"/>
  <c r="I56" i="7"/>
  <c r="J56" i="7" s="1"/>
  <c r="I54" i="7"/>
  <c r="J54" i="7" s="1"/>
  <c r="AC53" i="7"/>
  <c r="AF53" i="7" s="1"/>
  <c r="L20" i="9"/>
  <c r="L18" i="9"/>
  <c r="M51" i="7"/>
  <c r="I49" i="7"/>
  <c r="J49" i="7" s="1"/>
  <c r="I59" i="7"/>
  <c r="J59" i="7" s="1"/>
  <c r="D43" i="7"/>
  <c r="M43" i="7" s="1"/>
  <c r="L19" i="9"/>
  <c r="L30" i="9"/>
  <c r="Q51" i="7"/>
  <c r="AD51" i="7"/>
  <c r="AC49" i="7"/>
  <c r="AF49" i="7" s="1"/>
  <c r="AC43" i="7"/>
  <c r="AF43" i="7" s="1"/>
  <c r="Q58" i="7"/>
  <c r="AD58" i="7"/>
  <c r="D60" i="7"/>
  <c r="L60" i="7" s="1"/>
  <c r="I46" i="7"/>
  <c r="J46" i="7" s="1"/>
  <c r="AD57" i="7"/>
  <c r="Q57" i="7"/>
  <c r="I42" i="7"/>
  <c r="AD56" i="7"/>
  <c r="Q56" i="7"/>
  <c r="I45" i="7"/>
  <c r="J45" i="7" s="1"/>
  <c r="I57" i="7"/>
  <c r="J57" i="7" s="1"/>
  <c r="D54" i="7"/>
  <c r="Q59" i="7"/>
  <c r="AD59" i="7"/>
  <c r="I51" i="7"/>
  <c r="H51" i="7" s="1"/>
  <c r="I60" i="7"/>
  <c r="H60" i="7" s="1"/>
  <c r="I53" i="7"/>
  <c r="J53" i="7" s="1"/>
  <c r="M44" i="7"/>
  <c r="L11" i="9"/>
  <c r="AI16" i="1" s="1"/>
  <c r="AD47" i="7"/>
  <c r="Q47" i="7"/>
  <c r="I44" i="7"/>
  <c r="J44" i="7" s="1"/>
  <c r="M59" i="7"/>
  <c r="B58" i="7"/>
  <c r="P58" i="7" s="1"/>
  <c r="T58" i="7" s="1"/>
  <c r="I47" i="7"/>
  <c r="H47" i="7" s="1"/>
  <c r="AD44" i="7"/>
  <c r="Q44" i="7"/>
  <c r="M11" i="9"/>
  <c r="AJ16" i="1" s="1"/>
  <c r="B8" i="5" s="1"/>
  <c r="L15" i="1" s="1"/>
  <c r="M15" i="1" s="1"/>
  <c r="M23" i="9"/>
  <c r="M17" i="9"/>
  <c r="M22" i="9"/>
  <c r="M16" i="9"/>
  <c r="M14" i="9"/>
  <c r="M15" i="9"/>
  <c r="M30" i="9"/>
  <c r="M29" i="9"/>
  <c r="M19" i="9"/>
  <c r="M28" i="9"/>
  <c r="M25" i="9"/>
  <c r="M18" i="9"/>
  <c r="M24" i="9"/>
  <c r="M12" i="9"/>
  <c r="M26" i="9"/>
  <c r="M21" i="9"/>
  <c r="M13" i="9"/>
  <c r="M20" i="9"/>
  <c r="M27" i="9"/>
  <c r="I58" i="7"/>
  <c r="AC42" i="7"/>
  <c r="AF42" i="7" s="1"/>
  <c r="L28" i="9"/>
  <c r="L16" i="9"/>
  <c r="M55" i="7"/>
  <c r="I43" i="7"/>
  <c r="J43" i="7" s="1"/>
  <c r="L26" i="9"/>
  <c r="L12" i="9"/>
  <c r="M45" i="7"/>
  <c r="D42" i="7"/>
  <c r="L42" i="7" s="1"/>
  <c r="I41" i="7"/>
  <c r="H41" i="7" s="1"/>
  <c r="Q55" i="7"/>
  <c r="AD55" i="7"/>
  <c r="AC60" i="7"/>
  <c r="AF60" i="7" s="1"/>
  <c r="Q45" i="7"/>
  <c r="AD45" i="7"/>
  <c r="L17" i="9"/>
  <c r="Q41" i="7"/>
  <c r="M48" i="7"/>
  <c r="I50" i="7"/>
  <c r="M58" i="7"/>
  <c r="L27" i="9"/>
  <c r="L29" i="9"/>
  <c r="L14" i="9"/>
  <c r="B48" i="7"/>
  <c r="Q50" i="7"/>
  <c r="AD50" i="7"/>
  <c r="L21" i="9"/>
  <c r="I55" i="7"/>
  <c r="J55" i="7" s="1"/>
  <c r="L15" i="9"/>
  <c r="Q48" i="7"/>
  <c r="AD48" i="7"/>
  <c r="AD52" i="7"/>
  <c r="Q52" i="7"/>
  <c r="L13" i="9"/>
  <c r="D46" i="7"/>
  <c r="L22" i="9"/>
  <c r="I48" i="7"/>
  <c r="H48" i="7" s="1"/>
  <c r="I52" i="7"/>
  <c r="J52" i="7" s="1"/>
  <c r="L55" i="7" l="1"/>
  <c r="AC55" i="7"/>
  <c r="AF55" i="7" s="1"/>
  <c r="P52" i="7"/>
  <c r="T52" i="7" s="1"/>
  <c r="P56" i="7"/>
  <c r="T56" i="7" s="1"/>
  <c r="U56" i="7" s="1"/>
  <c r="L56" i="7"/>
  <c r="L53" i="7"/>
  <c r="P59" i="7"/>
  <c r="T59" i="7" s="1"/>
  <c r="U59" i="7" s="1"/>
  <c r="L52" i="7"/>
  <c r="L45" i="7"/>
  <c r="P45" i="7"/>
  <c r="T45" i="7" s="1"/>
  <c r="U45" i="7" s="1"/>
  <c r="H46" i="7"/>
  <c r="O46" i="7" s="1"/>
  <c r="M53" i="7"/>
  <c r="P47" i="7"/>
  <c r="T47" i="7" s="1"/>
  <c r="U47" i="7" s="1"/>
  <c r="U52" i="7"/>
  <c r="L41" i="7"/>
  <c r="P53" i="7"/>
  <c r="T53" i="7" s="1"/>
  <c r="U53" i="7" s="1"/>
  <c r="AC59" i="7"/>
  <c r="AF59" i="7" s="1"/>
  <c r="AD53" i="7"/>
  <c r="AG53" i="7" s="1"/>
  <c r="J48" i="7"/>
  <c r="S48" i="7" s="1"/>
  <c r="P57" i="7"/>
  <c r="T57" i="7" s="1"/>
  <c r="U57" i="7" s="1"/>
  <c r="AC47" i="7"/>
  <c r="AF47" i="7" s="1"/>
  <c r="AG56" i="7"/>
  <c r="AC57" i="7"/>
  <c r="AF57" i="7" s="1"/>
  <c r="P44" i="7"/>
  <c r="T44" i="7" s="1"/>
  <c r="U44" i="7" s="1"/>
  <c r="AC44" i="7"/>
  <c r="AF44" i="7" s="1"/>
  <c r="AD49" i="7"/>
  <c r="AG49" i="7" s="1"/>
  <c r="Q49" i="7"/>
  <c r="P49" i="7"/>
  <c r="T49" i="7" s="1"/>
  <c r="M49" i="7"/>
  <c r="L51" i="7"/>
  <c r="AC51" i="7"/>
  <c r="AF51" i="7" s="1"/>
  <c r="T41" i="7"/>
  <c r="F9" i="8"/>
  <c r="G9" i="8"/>
  <c r="AG9" i="8"/>
  <c r="J41" i="7"/>
  <c r="F10" i="7" s="1"/>
  <c r="G10" i="7" s="1"/>
  <c r="AG45" i="7"/>
  <c r="U58" i="7"/>
  <c r="L43" i="7"/>
  <c r="P50" i="7"/>
  <c r="T50" i="7" s="1"/>
  <c r="U50" i="7" s="1"/>
  <c r="AG50" i="7"/>
  <c r="L50" i="7"/>
  <c r="AQ57" i="7"/>
  <c r="H26" i="7"/>
  <c r="I26" i="7" s="1"/>
  <c r="J26" i="7" s="1"/>
  <c r="K26" i="7" s="1"/>
  <c r="H13" i="7"/>
  <c r="I13" i="7" s="1"/>
  <c r="J13" i="7" s="1"/>
  <c r="K13" i="7" s="1"/>
  <c r="AQ44" i="7"/>
  <c r="AQ55" i="7"/>
  <c r="H24" i="7"/>
  <c r="I24" i="7" s="1"/>
  <c r="J24" i="7" s="1"/>
  <c r="K24" i="7" s="1"/>
  <c r="R60" i="7"/>
  <c r="R51" i="7"/>
  <c r="AQ59" i="7"/>
  <c r="H28" i="7"/>
  <c r="I28" i="7" s="1"/>
  <c r="J28" i="7" s="1"/>
  <c r="K28" i="7" s="1"/>
  <c r="J42" i="7"/>
  <c r="M60" i="7"/>
  <c r="AD60" i="7"/>
  <c r="AG60" i="7" s="1"/>
  <c r="Q60" i="7"/>
  <c r="P60" i="7"/>
  <c r="T60" i="7" s="1"/>
  <c r="C52" i="3"/>
  <c r="AM15" i="1"/>
  <c r="H52" i="7"/>
  <c r="S52" i="7" s="1"/>
  <c r="K24" i="9"/>
  <c r="K11" i="9"/>
  <c r="AG16" i="1" s="1"/>
  <c r="AH16" i="1" s="1"/>
  <c r="K21" i="9"/>
  <c r="K28" i="9"/>
  <c r="K16" i="9"/>
  <c r="K27" i="9"/>
  <c r="K13" i="9"/>
  <c r="K30" i="9"/>
  <c r="K25" i="9"/>
  <c r="K18" i="9"/>
  <c r="K12" i="9"/>
  <c r="K26" i="9"/>
  <c r="K23" i="9"/>
  <c r="K15" i="9"/>
  <c r="K20" i="9"/>
  <c r="K14" i="9"/>
  <c r="K22" i="9"/>
  <c r="K29" i="9"/>
  <c r="K19" i="9"/>
  <c r="K17" i="9"/>
  <c r="H42" i="7"/>
  <c r="N42" i="7" s="1"/>
  <c r="N48" i="7"/>
  <c r="R48" i="7"/>
  <c r="L48" i="7"/>
  <c r="AC48" i="7"/>
  <c r="AF48" i="7" s="1"/>
  <c r="H49" i="7"/>
  <c r="R49" i="7" s="1"/>
  <c r="U55" i="7"/>
  <c r="P42" i="7"/>
  <c r="T42" i="7" s="1"/>
  <c r="AD42" i="7"/>
  <c r="AG42" i="7" s="1"/>
  <c r="Q42" i="7"/>
  <c r="M42" i="7"/>
  <c r="AC58" i="7"/>
  <c r="AF58" i="7" s="1"/>
  <c r="L58" i="7"/>
  <c r="H54" i="7"/>
  <c r="R54" i="7" s="1"/>
  <c r="J50" i="7"/>
  <c r="U51" i="7"/>
  <c r="H56" i="7"/>
  <c r="S56" i="7" s="1"/>
  <c r="J51" i="7"/>
  <c r="S51" i="7" s="1"/>
  <c r="N51" i="7"/>
  <c r="AQ56" i="7"/>
  <c r="H25" i="7"/>
  <c r="I25" i="7" s="1"/>
  <c r="J25" i="7" s="1"/>
  <c r="K25" i="7" s="1"/>
  <c r="AD43" i="7"/>
  <c r="AG43" i="7" s="1"/>
  <c r="P43" i="7"/>
  <c r="T43" i="7" s="1"/>
  <c r="Q43" i="7"/>
  <c r="AG55" i="7"/>
  <c r="L46" i="7"/>
  <c r="AD46" i="7"/>
  <c r="AG46" i="7" s="1"/>
  <c r="Q46" i="7"/>
  <c r="P46" i="7"/>
  <c r="T46" i="7" s="1"/>
  <c r="M46" i="7"/>
  <c r="N41" i="7"/>
  <c r="R41" i="7"/>
  <c r="J60" i="7"/>
  <c r="S60" i="7" s="1"/>
  <c r="N60" i="7"/>
  <c r="H23" i="7"/>
  <c r="I23" i="7" s="1"/>
  <c r="J23" i="7" s="1"/>
  <c r="K23" i="7" s="1"/>
  <c r="AQ54" i="7"/>
  <c r="P48" i="7"/>
  <c r="T48" i="7" s="1"/>
  <c r="U48" i="7" s="1"/>
  <c r="H50" i="7"/>
  <c r="N50" i="7" s="1"/>
  <c r="AQ43" i="7"/>
  <c r="H12" i="7"/>
  <c r="I12" i="7" s="1"/>
  <c r="J12" i="7" s="1"/>
  <c r="K12" i="7" s="1"/>
  <c r="H44" i="7"/>
  <c r="R44" i="7" s="1"/>
  <c r="H43" i="7"/>
  <c r="R43" i="7" s="1"/>
  <c r="L54" i="7"/>
  <c r="AD54" i="7"/>
  <c r="AG54" i="7" s="1"/>
  <c r="Q54" i="7"/>
  <c r="P54" i="7"/>
  <c r="T54" i="7" s="1"/>
  <c r="M54" i="7"/>
  <c r="H55" i="7"/>
  <c r="N55" i="7" s="1"/>
  <c r="H21" i="7"/>
  <c r="I21" i="7" s="1"/>
  <c r="J21" i="7" s="1"/>
  <c r="K21" i="7" s="1"/>
  <c r="AQ52" i="7"/>
  <c r="H58" i="7"/>
  <c r="N58" i="7" s="1"/>
  <c r="AQ53" i="7"/>
  <c r="H22" i="7"/>
  <c r="I22" i="7" s="1"/>
  <c r="J22" i="7" s="1"/>
  <c r="K22" i="7" s="1"/>
  <c r="R47" i="7"/>
  <c r="J47" i="7"/>
  <c r="N47" i="7"/>
  <c r="AG52" i="7"/>
  <c r="H57" i="7"/>
  <c r="R57" i="7" s="1"/>
  <c r="H59" i="7"/>
  <c r="N59" i="7" s="1"/>
  <c r="J58" i="7"/>
  <c r="AQ49" i="7"/>
  <c r="H18" i="7"/>
  <c r="I18" i="7" s="1"/>
  <c r="J18" i="7" s="1"/>
  <c r="K18" i="7" s="1"/>
  <c r="H53" i="7"/>
  <c r="R53" i="7" s="1"/>
  <c r="H15" i="7"/>
  <c r="I15" i="7" s="1"/>
  <c r="J15" i="7" s="1"/>
  <c r="K15" i="7" s="1"/>
  <c r="AQ46" i="7"/>
  <c r="H45" i="7"/>
  <c r="H14" i="7"/>
  <c r="I14" i="7" s="1"/>
  <c r="J14" i="7" s="1"/>
  <c r="K14" i="7" s="1"/>
  <c r="AQ45" i="7"/>
  <c r="N44" i="7" l="1"/>
  <c r="U43" i="7"/>
  <c r="S46" i="7"/>
  <c r="N49" i="7"/>
  <c r="N46" i="7"/>
  <c r="O48" i="7"/>
  <c r="AG59" i="7"/>
  <c r="R46" i="7"/>
  <c r="N53" i="7"/>
  <c r="N57" i="7"/>
  <c r="AG44" i="7"/>
  <c r="AG47" i="7"/>
  <c r="N43" i="7"/>
  <c r="H17" i="7"/>
  <c r="I17" i="7" s="1"/>
  <c r="J17" i="7" s="1"/>
  <c r="K17" i="7" s="1"/>
  <c r="AQ48" i="7"/>
  <c r="O41" i="7"/>
  <c r="V44" i="7"/>
  <c r="AQ41" i="7"/>
  <c r="AL16" i="1" s="1"/>
  <c r="U49" i="7"/>
  <c r="V49" i="7" s="1"/>
  <c r="AG51" i="7"/>
  <c r="AG57" i="7"/>
  <c r="V43" i="7"/>
  <c r="V57" i="7"/>
  <c r="S54" i="7"/>
  <c r="H10" i="7"/>
  <c r="I10" i="7" s="1"/>
  <c r="J10" i="7" s="1"/>
  <c r="K10" i="7" s="1"/>
  <c r="O49" i="7"/>
  <c r="S41" i="7"/>
  <c r="S49" i="7"/>
  <c r="N54" i="7"/>
  <c r="C53" i="3"/>
  <c r="C9" i="7" s="1"/>
  <c r="E9" i="7" s="1"/>
  <c r="B9" i="7"/>
  <c r="C40" i="7"/>
  <c r="B9" i="8"/>
  <c r="B40" i="8"/>
  <c r="CU40" i="8"/>
  <c r="H9" i="8"/>
  <c r="I9" i="8" s="1"/>
  <c r="U41" i="7"/>
  <c r="AD41" i="7" s="1"/>
  <c r="AC41" i="7"/>
  <c r="AF41" i="7" s="1"/>
  <c r="O51" i="7"/>
  <c r="U42" i="7"/>
  <c r="O54" i="7"/>
  <c r="V53" i="7"/>
  <c r="U54" i="7"/>
  <c r="V54" i="7" s="1"/>
  <c r="R59" i="7"/>
  <c r="V59" i="7" s="1"/>
  <c r="O59" i="7"/>
  <c r="G10" i="11"/>
  <c r="AN16" i="1"/>
  <c r="AQ47" i="7"/>
  <c r="H16" i="7"/>
  <c r="I16" i="7" s="1"/>
  <c r="J16" i="7" s="1"/>
  <c r="K16" i="7" s="1"/>
  <c r="S47" i="7"/>
  <c r="R42" i="7"/>
  <c r="O42" i="7"/>
  <c r="O60" i="7"/>
  <c r="AQ42" i="7"/>
  <c r="H11" i="7"/>
  <c r="I11" i="7" s="1"/>
  <c r="J11" i="7" s="1"/>
  <c r="K11" i="7" s="1"/>
  <c r="S42" i="7"/>
  <c r="R55" i="7"/>
  <c r="V55" i="7" s="1"/>
  <c r="O55" i="7"/>
  <c r="O47" i="7"/>
  <c r="S55" i="7"/>
  <c r="S44" i="7"/>
  <c r="V51" i="7"/>
  <c r="W51" i="7" s="1"/>
  <c r="AE51" i="7" s="1"/>
  <c r="V48" i="7"/>
  <c r="W48" i="7" s="1"/>
  <c r="AE48" i="7" s="1"/>
  <c r="AG58" i="7"/>
  <c r="O44" i="7"/>
  <c r="U46" i="7"/>
  <c r="V47" i="7"/>
  <c r="S53" i="7"/>
  <c r="O43" i="7"/>
  <c r="S57" i="7"/>
  <c r="O53" i="7"/>
  <c r="S58" i="7"/>
  <c r="AQ58" i="7"/>
  <c r="H27" i="7"/>
  <c r="I27" i="7" s="1"/>
  <c r="J27" i="7" s="1"/>
  <c r="K27" i="7" s="1"/>
  <c r="AQ60" i="7"/>
  <c r="H29" i="7"/>
  <c r="I29" i="7" s="1"/>
  <c r="J29" i="7" s="1"/>
  <c r="K29" i="7" s="1"/>
  <c r="N45" i="7"/>
  <c r="O45" i="7"/>
  <c r="R45" i="7"/>
  <c r="V45" i="7" s="1"/>
  <c r="S59" i="7"/>
  <c r="H19" i="7"/>
  <c r="I19" i="7" s="1"/>
  <c r="J19" i="7" s="1"/>
  <c r="K19" i="7" s="1"/>
  <c r="AQ50" i="7"/>
  <c r="S50" i="7"/>
  <c r="S43" i="7"/>
  <c r="R58" i="7"/>
  <c r="V58" i="7" s="1"/>
  <c r="O58" i="7"/>
  <c r="N56" i="7"/>
  <c r="R56" i="7"/>
  <c r="V56" i="7" s="1"/>
  <c r="W56" i="7" s="1"/>
  <c r="AE56" i="7" s="1"/>
  <c r="O56" i="7"/>
  <c r="N52" i="7"/>
  <c r="O52" i="7"/>
  <c r="R52" i="7"/>
  <c r="V52" i="7" s="1"/>
  <c r="W52" i="7" s="1"/>
  <c r="AE52" i="7" s="1"/>
  <c r="AG48" i="7"/>
  <c r="S45" i="7"/>
  <c r="R50" i="7"/>
  <c r="V50" i="7" s="1"/>
  <c r="O50" i="7"/>
  <c r="H20" i="7"/>
  <c r="I20" i="7" s="1"/>
  <c r="J20" i="7" s="1"/>
  <c r="K20" i="7" s="1"/>
  <c r="AQ51" i="7"/>
  <c r="U60" i="7"/>
  <c r="V60" i="7" s="1"/>
  <c r="W60" i="7" s="1"/>
  <c r="AE60" i="7" s="1"/>
  <c r="O57" i="7"/>
  <c r="V46" i="7" l="1"/>
  <c r="W46" i="7" s="1"/>
  <c r="AE46" i="7" s="1"/>
  <c r="AH46" i="7" s="1"/>
  <c r="AK46" i="7" s="1"/>
  <c r="W44" i="7"/>
  <c r="AE44" i="7" s="1"/>
  <c r="AH44" i="7" s="1"/>
  <c r="AK44" i="7" s="1"/>
  <c r="W49" i="7"/>
  <c r="AE49" i="7" s="1"/>
  <c r="AH49" i="7" s="1"/>
  <c r="AK49" i="7" s="1"/>
  <c r="W57" i="7"/>
  <c r="AE57" i="7" s="1"/>
  <c r="AJ57" i="7" s="1"/>
  <c r="W54" i="7"/>
  <c r="AE54" i="7" s="1"/>
  <c r="AH54" i="7" s="1"/>
  <c r="AK54" i="7" s="1"/>
  <c r="AG41" i="7"/>
  <c r="W43" i="7"/>
  <c r="AE43" i="7" s="1"/>
  <c r="AJ43" i="7" s="1"/>
  <c r="D9" i="7"/>
  <c r="W53" i="7"/>
  <c r="AE53" i="7" s="1"/>
  <c r="AJ53" i="7" s="1"/>
  <c r="V41" i="7"/>
  <c r="W41" i="7" s="1"/>
  <c r="AE41" i="7" s="1"/>
  <c r="AI9" i="8"/>
  <c r="H10" i="9" s="1"/>
  <c r="AH9" i="8"/>
  <c r="R40" i="8"/>
  <c r="CV40" i="8" s="1"/>
  <c r="L10" i="9"/>
  <c r="AI15" i="1" s="1"/>
  <c r="E40" i="7"/>
  <c r="D40" i="7" s="1"/>
  <c r="K40" i="7"/>
  <c r="B10" i="9"/>
  <c r="E10" i="9"/>
  <c r="V42" i="7"/>
  <c r="W42" i="7" s="1"/>
  <c r="AE42" i="7" s="1"/>
  <c r="W50" i="7"/>
  <c r="AE50" i="7" s="1"/>
  <c r="AJ50" i="7" s="1"/>
  <c r="AJ48" i="7"/>
  <c r="AH48" i="7"/>
  <c r="AK48" i="7" s="1"/>
  <c r="AI48" i="7"/>
  <c r="AH56" i="7"/>
  <c r="AK56" i="7" s="1"/>
  <c r="AJ56" i="7"/>
  <c r="AI56" i="7"/>
  <c r="AJ52" i="7"/>
  <c r="AH52" i="7"/>
  <c r="AK52" i="7" s="1"/>
  <c r="AI52" i="7"/>
  <c r="W45" i="7"/>
  <c r="AE45" i="7" s="1"/>
  <c r="AH51" i="7"/>
  <c r="AK51" i="7" s="1"/>
  <c r="AI51" i="7"/>
  <c r="AJ51" i="7"/>
  <c r="W55" i="7"/>
  <c r="AE55" i="7" s="1"/>
  <c r="W59" i="7"/>
  <c r="AE59" i="7" s="1"/>
  <c r="W47" i="7"/>
  <c r="AE47" i="7" s="1"/>
  <c r="W58" i="7"/>
  <c r="AE58" i="7" s="1"/>
  <c r="AH60" i="7"/>
  <c r="AK60" i="7" s="1"/>
  <c r="AI60" i="7"/>
  <c r="AJ60" i="7"/>
  <c r="AJ41" i="7" l="1"/>
  <c r="AJ46" i="7"/>
  <c r="AI46" i="7"/>
  <c r="AI44" i="7"/>
  <c r="AJ44" i="7"/>
  <c r="AJ49" i="7"/>
  <c r="AI49" i="7"/>
  <c r="AH53" i="7"/>
  <c r="AK53" i="7" s="1"/>
  <c r="AI57" i="7"/>
  <c r="AH57" i="7"/>
  <c r="AK57" i="7" s="1"/>
  <c r="AJ54" i="7"/>
  <c r="AI43" i="7"/>
  <c r="AH43" i="7"/>
  <c r="AK43" i="7" s="1"/>
  <c r="AI41" i="7"/>
  <c r="AH41" i="7"/>
  <c r="AK41" i="7" s="1"/>
  <c r="AI53" i="7"/>
  <c r="AI54" i="7"/>
  <c r="B40" i="7"/>
  <c r="P40" i="7" s="1"/>
  <c r="M40" i="7"/>
  <c r="AH42" i="7"/>
  <c r="AK42" i="7" s="1"/>
  <c r="AI42" i="7"/>
  <c r="AJ42" i="7"/>
  <c r="Q40" i="7"/>
  <c r="AI50" i="7"/>
  <c r="CW40" i="8"/>
  <c r="K10" i="9" s="1"/>
  <c r="AG15" i="1" s="1"/>
  <c r="AH15" i="1" s="1"/>
  <c r="M10" i="9"/>
  <c r="AJ15" i="1" s="1"/>
  <c r="B7" i="5" s="1"/>
  <c r="L14" i="1" s="1"/>
  <c r="M14" i="1" s="1"/>
  <c r="AH50" i="7"/>
  <c r="AK50" i="7" s="1"/>
  <c r="J10" i="9"/>
  <c r="I10" i="9"/>
  <c r="I40" i="7"/>
  <c r="H40" i="7" s="1"/>
  <c r="AJ45" i="7"/>
  <c r="AH45" i="7"/>
  <c r="AK45" i="7" s="1"/>
  <c r="AI45" i="7"/>
  <c r="AJ47" i="7"/>
  <c r="AH47" i="7"/>
  <c r="AK47" i="7" s="1"/>
  <c r="AI47" i="7"/>
  <c r="AH59" i="7"/>
  <c r="AK59" i="7" s="1"/>
  <c r="AI59" i="7"/>
  <c r="AJ59" i="7"/>
  <c r="AJ58" i="7"/>
  <c r="AH58" i="7"/>
  <c r="AK58" i="7" s="1"/>
  <c r="AI58" i="7"/>
  <c r="AJ55" i="7"/>
  <c r="AH55" i="7"/>
  <c r="AK55" i="7" s="1"/>
  <c r="AI55" i="7"/>
  <c r="L40" i="7" l="1"/>
  <c r="N40" i="7"/>
  <c r="R40" i="7"/>
  <c r="F9" i="7"/>
  <c r="G9" i="7" s="1"/>
  <c r="J40" i="7"/>
  <c r="G8" i="8"/>
  <c r="F8" i="8"/>
  <c r="H8" i="8" s="1"/>
  <c r="I8" i="8" s="1"/>
  <c r="C49" i="3"/>
  <c r="AG8" i="8"/>
  <c r="AM14" i="1"/>
  <c r="T40" i="7"/>
  <c r="U40" i="7" s="1"/>
  <c r="G9" i="11"/>
  <c r="AN15" i="1"/>
  <c r="CU39" i="8" l="1"/>
  <c r="C50" i="3"/>
  <c r="C8" i="7" s="1"/>
  <c r="C39" i="7"/>
  <c r="B39" i="8"/>
  <c r="B8" i="7"/>
  <c r="B8" i="8"/>
  <c r="H9" i="7"/>
  <c r="I9" i="7" s="1"/>
  <c r="J9" i="7" s="1"/>
  <c r="K9" i="7" s="1"/>
  <c r="AQ40" i="7"/>
  <c r="AL15" i="1" s="1"/>
  <c r="S40" i="7"/>
  <c r="V40" i="7"/>
  <c r="AI8" i="8"/>
  <c r="H9" i="9" s="1"/>
  <c r="AH8" i="8"/>
  <c r="J9" i="9" s="1"/>
  <c r="O40" i="7"/>
  <c r="W40" i="7" l="1"/>
  <c r="AE40" i="7" s="1"/>
  <c r="D8" i="7"/>
  <c r="E8" i="7"/>
  <c r="E9" i="9"/>
  <c r="B9" i="9"/>
  <c r="AG14" i="1" s="1"/>
  <c r="AH14" i="1" s="1"/>
  <c r="E39" i="7"/>
  <c r="D39" i="7" s="1"/>
  <c r="K39" i="7"/>
  <c r="I9" i="9"/>
  <c r="R39" i="8"/>
  <c r="AC40" i="7"/>
  <c r="AF40" i="7" s="1"/>
  <c r="AI40" i="7" l="1"/>
  <c r="B39" i="7"/>
  <c r="L39" i="7" s="1"/>
  <c r="M39" i="7"/>
  <c r="I39" i="7"/>
  <c r="G8" i="11"/>
  <c r="AN14" i="1"/>
  <c r="CV39" i="8"/>
  <c r="CW39" i="8"/>
  <c r="K9" i="9" s="1"/>
  <c r="Q39" i="7"/>
  <c r="AD40" i="7"/>
  <c r="AG40" i="7" s="1"/>
  <c r="AJ40" i="7" s="1"/>
  <c r="P39" i="7" l="1"/>
  <c r="T39" i="7" s="1"/>
  <c r="U39" i="7" s="1"/>
  <c r="M9" i="9"/>
  <c r="L9" i="9"/>
  <c r="AH40" i="7"/>
  <c r="AK40" i="7" s="1"/>
  <c r="H39" i="7"/>
  <c r="Y39" i="7" l="1"/>
  <c r="R39" i="7"/>
  <c r="F8" i="7"/>
  <c r="G8" i="7" s="1"/>
  <c r="J39" i="7"/>
  <c r="N39" i="7"/>
  <c r="O39" i="7" l="1"/>
  <c r="H8" i="7"/>
  <c r="I8" i="7" s="1"/>
  <c r="J8" i="7" s="1"/>
  <c r="S39" i="7"/>
  <c r="V39" i="7"/>
  <c r="AA39" i="7"/>
  <c r="W39" i="7" l="1"/>
  <c r="AC39" i="7"/>
  <c r="AF39" i="7" s="1"/>
  <c r="AQ39" i="7"/>
  <c r="AL14" i="1" s="1"/>
  <c r="K8" i="7"/>
  <c r="F7" i="8" l="1"/>
  <c r="G7" i="8"/>
  <c r="C46" i="3"/>
  <c r="AG7" i="8"/>
  <c r="AE39" i="7"/>
  <c r="AD39" i="7"/>
  <c r="AG39" i="7" s="1"/>
  <c r="AJ39" i="7" l="1"/>
  <c r="AH39" i="7"/>
  <c r="AK39" i="7" s="1"/>
  <c r="AI39" i="7"/>
  <c r="CU38" i="8"/>
  <c r="C47" i="3"/>
  <c r="B7" i="7"/>
  <c r="C38" i="7"/>
  <c r="B38" i="8"/>
  <c r="B7" i="8"/>
  <c r="H7" i="8"/>
  <c r="I7" i="8" s="1"/>
  <c r="AH7" i="8" s="1"/>
  <c r="R38" i="8" l="1"/>
  <c r="CV38" i="8" s="1"/>
  <c r="L8" i="9" s="1"/>
  <c r="AI13" i="1" s="1"/>
  <c r="AI7" i="8"/>
  <c r="H8" i="9" s="1"/>
  <c r="J8" i="9"/>
  <c r="E38" i="7"/>
  <c r="D38" i="7" s="1"/>
  <c r="K38" i="7"/>
  <c r="B8" i="9"/>
  <c r="E8" i="9"/>
  <c r="I8" i="9"/>
  <c r="M38" i="7" l="1"/>
  <c r="B38" i="7"/>
  <c r="L38" i="7" s="1"/>
  <c r="I38" i="7"/>
  <c r="Q38" i="7"/>
  <c r="CW38" i="8"/>
  <c r="K8" i="9" s="1"/>
  <c r="AG13" i="1" s="1"/>
  <c r="AH13" i="1" s="1"/>
  <c r="M8" i="9"/>
  <c r="AJ13" i="1" s="1"/>
  <c r="B5" i="5" s="1"/>
  <c r="L12" i="1" s="1"/>
  <c r="M12" i="1" s="1"/>
  <c r="P38" i="7" l="1"/>
  <c r="T38" i="7" s="1"/>
  <c r="U38" i="7" s="1"/>
  <c r="AN13" i="1"/>
  <c r="G7" i="11"/>
  <c r="H38" i="7"/>
  <c r="N38" i="7" s="1"/>
  <c r="AG6" i="8"/>
  <c r="G6" i="8"/>
  <c r="F6" i="8"/>
  <c r="H6" i="8" s="1"/>
  <c r="I6" i="8" s="1"/>
  <c r="C43" i="3"/>
  <c r="AM12" i="1"/>
  <c r="J38" i="7"/>
  <c r="C44" i="3" l="1"/>
  <c r="C6" i="7" s="1"/>
  <c r="C37" i="7"/>
  <c r="B37" i="8"/>
  <c r="B6" i="8"/>
  <c r="B6" i="7"/>
  <c r="AQ38" i="7"/>
  <c r="AL13" i="1" s="1"/>
  <c r="S38" i="7"/>
  <c r="H7" i="7"/>
  <c r="AI6" i="8"/>
  <c r="H7" i="9" s="1"/>
  <c r="AH6" i="8"/>
  <c r="J7" i="9" s="1"/>
  <c r="CU37" i="8"/>
  <c r="I7" i="9"/>
  <c r="O38" i="7"/>
  <c r="R38" i="7"/>
  <c r="V38" i="7" s="1"/>
  <c r="F7" i="7"/>
  <c r="AD38" i="7"/>
  <c r="AC38" i="7"/>
  <c r="AF38" i="7" s="1"/>
  <c r="AG38" i="7" l="1"/>
  <c r="R37" i="8"/>
  <c r="W38" i="7"/>
  <c r="AE38" i="7" s="1"/>
  <c r="AH38" i="7" s="1"/>
  <c r="AK38" i="7" s="1"/>
  <c r="B7" i="9"/>
  <c r="E7" i="9"/>
  <c r="AG12" i="1" s="1"/>
  <c r="AH12" i="1" s="1"/>
  <c r="K37" i="7"/>
  <c r="E37" i="7"/>
  <c r="D37" i="7" s="1"/>
  <c r="D6" i="7"/>
  <c r="E6" i="7"/>
  <c r="B37" i="7" l="1"/>
  <c r="L37" i="7" s="1"/>
  <c r="M37" i="7"/>
  <c r="Y37" i="7"/>
  <c r="AA37" i="7" s="1"/>
  <c r="Q37" i="7"/>
  <c r="I37" i="7"/>
  <c r="H37" i="7" s="1"/>
  <c r="F6" i="7" s="1"/>
  <c r="G6" i="7" s="1"/>
  <c r="G6" i="11"/>
  <c r="AN12" i="1"/>
  <c r="CV37" i="8"/>
  <c r="CW37" i="8"/>
  <c r="K7" i="9" s="1"/>
  <c r="AJ38" i="7"/>
  <c r="AI38" i="7"/>
  <c r="P37" i="7" l="1"/>
  <c r="T37" i="7" s="1"/>
  <c r="AD37" i="7" s="1"/>
  <c r="N37" i="7"/>
  <c r="J37" i="7"/>
  <c r="H6" i="7" s="1"/>
  <c r="I6" i="7" s="1"/>
  <c r="J6" i="7" s="1"/>
  <c r="M7" i="9"/>
  <c r="L7" i="9"/>
  <c r="O37" i="7"/>
  <c r="R37" i="7"/>
  <c r="AC37" i="7"/>
  <c r="AF37" i="7" s="1"/>
  <c r="AQ37" i="7" l="1"/>
  <c r="AL12" i="1" s="1"/>
  <c r="S37" i="7"/>
  <c r="U37" i="7"/>
  <c r="V37" i="7" s="1"/>
  <c r="AG37" i="7"/>
  <c r="K6" i="7"/>
  <c r="W37" i="7" l="1"/>
  <c r="AE37" i="7" s="1"/>
  <c r="AH37" i="7" s="1"/>
  <c r="AK37" i="7" s="1"/>
  <c r="AJ37" i="7" l="1"/>
  <c r="AI37" i="7"/>
  <c r="O10" i="4"/>
  <c r="F5" i="8"/>
  <c r="P10" i="4"/>
  <c r="D4" i="4"/>
  <c r="G5" i="8"/>
  <c r="C4" i="4"/>
  <c r="C40" i="3"/>
  <c r="AG5" i="8"/>
  <c r="E4" i="4" l="1"/>
  <c r="L4" i="4" s="1"/>
  <c r="N4" i="9" s="1"/>
  <c r="L5" i="4"/>
  <c r="O4" i="9" s="1"/>
  <c r="CU36" i="8"/>
  <c r="N6" i="9"/>
  <c r="H5" i="8"/>
  <c r="I5" i="8" s="1"/>
  <c r="B5" i="8"/>
  <c r="C36" i="7"/>
  <c r="C41" i="3"/>
  <c r="B36" i="8"/>
  <c r="B5" i="7"/>
  <c r="AG9" i="1" l="1"/>
  <c r="AH9" i="1" s="1"/>
  <c r="AI9" i="1"/>
  <c r="AJ9" i="1"/>
  <c r="B3" i="5" s="1"/>
  <c r="L10" i="1" s="1"/>
  <c r="M10" i="1" s="1"/>
  <c r="F5" i="7"/>
  <c r="E6" i="9"/>
  <c r="B6" i="9"/>
  <c r="K36" i="7"/>
  <c r="E36" i="7"/>
  <c r="D36" i="7" s="1"/>
  <c r="AH5" i="8"/>
  <c r="AI5" i="8" s="1"/>
  <c r="H6" i="9" s="1"/>
  <c r="AJ11" i="1"/>
  <c r="AG11" i="1"/>
  <c r="AH11" i="1" s="1"/>
  <c r="AI11" i="1"/>
  <c r="R36" i="8"/>
  <c r="C4" i="7" l="1"/>
  <c r="AM10" i="1"/>
  <c r="G3" i="11"/>
  <c r="AN9" i="1"/>
  <c r="B36" i="7"/>
  <c r="L36" i="7" s="1"/>
  <c r="Y36" i="7"/>
  <c r="Q36" i="7"/>
  <c r="I36" i="7"/>
  <c r="CV36" i="8"/>
  <c r="CW36" i="8" s="1"/>
  <c r="K6" i="9" s="1"/>
  <c r="G5" i="11"/>
  <c r="AN11" i="1"/>
  <c r="I21" i="9"/>
  <c r="J6" i="9"/>
  <c r="I6" i="9"/>
  <c r="M36" i="7"/>
  <c r="AM35" i="7" l="1"/>
  <c r="D4" i="7"/>
  <c r="AN35" i="7"/>
  <c r="AL35" i="7"/>
  <c r="E4" i="7"/>
  <c r="G4" i="7" s="1"/>
  <c r="AN48" i="7"/>
  <c r="AM45" i="7"/>
  <c r="AN57" i="7"/>
  <c r="AN55" i="7"/>
  <c r="AM60" i="7"/>
  <c r="AL60" i="7"/>
  <c r="AM57" i="7"/>
  <c r="AN53" i="7"/>
  <c r="AL42" i="7"/>
  <c r="AN45" i="7"/>
  <c r="AM42" i="7"/>
  <c r="AL48" i="7"/>
  <c r="AN49" i="7"/>
  <c r="AN41" i="7"/>
  <c r="AN47" i="7"/>
  <c r="AL47" i="7"/>
  <c r="AN40" i="7"/>
  <c r="AL40" i="7"/>
  <c r="AM55" i="7"/>
  <c r="AL41" i="7"/>
  <c r="AL45" i="7"/>
  <c r="AL49" i="7"/>
  <c r="AM47" i="7"/>
  <c r="AL46" i="7"/>
  <c r="AL55" i="7"/>
  <c r="AN46" i="7"/>
  <c r="AM51" i="7"/>
  <c r="AL44" i="7"/>
  <c r="AM59" i="7"/>
  <c r="AM54" i="7"/>
  <c r="AL51" i="7"/>
  <c r="AM46" i="7"/>
  <c r="AL58" i="7"/>
  <c r="AN54" i="7"/>
  <c r="AN52" i="7"/>
  <c r="AL50" i="7"/>
  <c r="AM41" i="7"/>
  <c r="AM48" i="7"/>
  <c r="AM40" i="7"/>
  <c r="AN44" i="7"/>
  <c r="AN42" i="7"/>
  <c r="AN50" i="7"/>
  <c r="AM50" i="7"/>
  <c r="AM49" i="7"/>
  <c r="AN60" i="7"/>
  <c r="AL57" i="7"/>
  <c r="AL59" i="7"/>
  <c r="AN59" i="7"/>
  <c r="AM52" i="7"/>
  <c r="AM44" i="7"/>
  <c r="AN43" i="7"/>
  <c r="AL43" i="7"/>
  <c r="AL52" i="7"/>
  <c r="AL54" i="7"/>
  <c r="AL56" i="7"/>
  <c r="AM43" i="7"/>
  <c r="AN51" i="7"/>
  <c r="AN58" i="7"/>
  <c r="AL53" i="7"/>
  <c r="AM53" i="7"/>
  <c r="AM58" i="7"/>
  <c r="AN56" i="7"/>
  <c r="AM56" i="7"/>
  <c r="AM39" i="7"/>
  <c r="AN39" i="7"/>
  <c r="AL39" i="7"/>
  <c r="AM38" i="7"/>
  <c r="AN38" i="7"/>
  <c r="AL38" i="7"/>
  <c r="AM37" i="7"/>
  <c r="AL37" i="7"/>
  <c r="AN37" i="7"/>
  <c r="AM36" i="7"/>
  <c r="P36" i="7"/>
  <c r="T36" i="7" s="1"/>
  <c r="U36" i="7" s="1"/>
  <c r="AA36" i="7"/>
  <c r="AC36" i="7" s="1"/>
  <c r="AF36" i="7" s="1"/>
  <c r="AD36" i="7"/>
  <c r="L23" i="9"/>
  <c r="M6" i="9"/>
  <c r="L6" i="9"/>
  <c r="H36" i="7"/>
  <c r="R36" i="7" s="1"/>
  <c r="AO41" i="7" l="1"/>
  <c r="AP41" i="7" s="1"/>
  <c r="AO57" i="7"/>
  <c r="AP57" i="7" s="1"/>
  <c r="AO45" i="7"/>
  <c r="AP45" i="7" s="1"/>
  <c r="AO49" i="7"/>
  <c r="AP49" i="7" s="1"/>
  <c r="AO40" i="7"/>
  <c r="AP40" i="7" s="1"/>
  <c r="AO38" i="7"/>
  <c r="AP38" i="7" s="1"/>
  <c r="AO35" i="7"/>
  <c r="F19" i="9" s="1"/>
  <c r="AO58" i="7"/>
  <c r="AP58" i="7" s="1"/>
  <c r="AO51" i="7"/>
  <c r="AP51" i="7" s="1"/>
  <c r="AO48" i="7"/>
  <c r="AP48" i="7" s="1"/>
  <c r="AO39" i="7"/>
  <c r="AP39" i="7" s="1"/>
  <c r="AO59" i="7"/>
  <c r="AP59" i="7" s="1"/>
  <c r="AO47" i="7"/>
  <c r="AP47" i="7" s="1"/>
  <c r="AO37" i="7"/>
  <c r="AP37" i="7" s="1"/>
  <c r="AO42" i="7"/>
  <c r="AP42" i="7" s="1"/>
  <c r="AO44" i="7"/>
  <c r="AP44" i="7" s="1"/>
  <c r="AO56" i="7"/>
  <c r="AP56" i="7" s="1"/>
  <c r="AO60" i="7"/>
  <c r="AP60" i="7" s="1"/>
  <c r="AO54" i="7"/>
  <c r="AP54" i="7" s="1"/>
  <c r="AO50" i="7"/>
  <c r="AP50" i="7" s="1"/>
  <c r="AO53" i="7"/>
  <c r="AP53" i="7" s="1"/>
  <c r="AO52" i="7"/>
  <c r="AP52" i="7" s="1"/>
  <c r="AO55" i="7"/>
  <c r="AP55" i="7" s="1"/>
  <c r="I4" i="7"/>
  <c r="J4" i="7" s="1"/>
  <c r="AO43" i="7"/>
  <c r="AP43" i="7" s="1"/>
  <c r="AO46" i="7"/>
  <c r="AP46" i="7" s="1"/>
  <c r="J36" i="7"/>
  <c r="AQ36" i="7" s="1"/>
  <c r="AL11" i="1" s="1"/>
  <c r="AG36" i="7"/>
  <c r="AN36" i="7"/>
  <c r="AL36" i="7"/>
  <c r="N36" i="7"/>
  <c r="V36" i="7" s="1"/>
  <c r="F7" i="9" l="1"/>
  <c r="AI12" i="1" s="1"/>
  <c r="F9" i="9"/>
  <c r="F20" i="9"/>
  <c r="F12" i="9"/>
  <c r="F17" i="9"/>
  <c r="F8" i="9"/>
  <c r="F10" i="9"/>
  <c r="F30" i="9"/>
  <c r="F25" i="9"/>
  <c r="F5" i="9"/>
  <c r="AI10" i="1" s="1"/>
  <c r="AP35" i="7"/>
  <c r="G10" i="9" s="1"/>
  <c r="F11" i="9"/>
  <c r="F14" i="9"/>
  <c r="F15" i="9"/>
  <c r="F26" i="9"/>
  <c r="F21" i="9"/>
  <c r="F23" i="9"/>
  <c r="F18" i="9"/>
  <c r="F16" i="9"/>
  <c r="F13" i="9"/>
  <c r="F24" i="9"/>
  <c r="F22" i="9"/>
  <c r="F27" i="9"/>
  <c r="F29" i="9"/>
  <c r="F28" i="9"/>
  <c r="K4" i="7"/>
  <c r="C5" i="9"/>
  <c r="C23" i="9"/>
  <c r="C12" i="9"/>
  <c r="C16" i="9"/>
  <c r="C14" i="9"/>
  <c r="C27" i="9"/>
  <c r="C18" i="9"/>
  <c r="C22" i="9"/>
  <c r="C11" i="9"/>
  <c r="C29" i="9"/>
  <c r="C19" i="9"/>
  <c r="C28" i="9"/>
  <c r="C25" i="9"/>
  <c r="C17" i="9"/>
  <c r="C21" i="9"/>
  <c r="C15" i="9"/>
  <c r="C20" i="9"/>
  <c r="C30" i="9"/>
  <c r="C13" i="9"/>
  <c r="C24" i="9"/>
  <c r="C26" i="9"/>
  <c r="C9" i="9"/>
  <c r="AI14" i="1" s="1"/>
  <c r="C8" i="9"/>
  <c r="C7" i="9"/>
  <c r="O36" i="7"/>
  <c r="H5" i="7"/>
  <c r="S36" i="7"/>
  <c r="W36" i="7" s="1"/>
  <c r="AE36" i="7" s="1"/>
  <c r="G24" i="9" l="1"/>
  <c r="G30" i="9"/>
  <c r="G14" i="9"/>
  <c r="G17" i="9"/>
  <c r="G26" i="9"/>
  <c r="G21" i="9"/>
  <c r="G15" i="9"/>
  <c r="G19" i="9"/>
  <c r="G11" i="9"/>
  <c r="G5" i="9"/>
  <c r="AJ10" i="1" s="1"/>
  <c r="G7" i="9"/>
  <c r="AJ12" i="1" s="1"/>
  <c r="B4" i="5" s="1"/>
  <c r="L11" i="1" s="1"/>
  <c r="M11" i="1" s="1"/>
  <c r="C5" i="7" s="1"/>
  <c r="G8" i="9"/>
  <c r="G9" i="9"/>
  <c r="G20" i="9"/>
  <c r="G22" i="9"/>
  <c r="G27" i="9"/>
  <c r="G12" i="9"/>
  <c r="G23" i="9"/>
  <c r="G29" i="9"/>
  <c r="G13" i="9"/>
  <c r="G25" i="9"/>
  <c r="G28" i="9"/>
  <c r="G18" i="9"/>
  <c r="G16" i="9"/>
  <c r="D5" i="9"/>
  <c r="D10" i="9"/>
  <c r="D16" i="9"/>
  <c r="D17" i="9"/>
  <c r="D27" i="9"/>
  <c r="D30" i="9"/>
  <c r="D11" i="9"/>
  <c r="D21" i="9"/>
  <c r="D14" i="9"/>
  <c r="D20" i="9"/>
  <c r="D24" i="9"/>
  <c r="D19" i="9"/>
  <c r="D29" i="9"/>
  <c r="D25" i="9"/>
  <c r="D26" i="9"/>
  <c r="D23" i="9"/>
  <c r="D28" i="9"/>
  <c r="D12" i="9"/>
  <c r="D13" i="9"/>
  <c r="D22" i="9"/>
  <c r="D15" i="9"/>
  <c r="D9" i="9"/>
  <c r="AJ14" i="1" s="1"/>
  <c r="B6" i="5" s="1"/>
  <c r="L13" i="1" s="1"/>
  <c r="M13" i="1" s="1"/>
  <c r="D7" i="9"/>
  <c r="C10" i="9"/>
  <c r="C6" i="9"/>
  <c r="AH36" i="7"/>
  <c r="AK36" i="7" s="1"/>
  <c r="AI36" i="7"/>
  <c r="AJ36" i="7"/>
  <c r="AM11" i="1" l="1"/>
  <c r="AM13" i="1"/>
  <c r="C7" i="7"/>
  <c r="E5" i="7"/>
  <c r="G5" i="7" s="1"/>
  <c r="D5" i="7"/>
  <c r="AO36" i="7"/>
  <c r="F6" i="9" s="1"/>
  <c r="D18" i="9"/>
  <c r="D6" i="9"/>
  <c r="I5" i="7" l="1"/>
  <c r="J5" i="7" s="1"/>
  <c r="K5" i="7" s="1"/>
  <c r="D7" i="7"/>
  <c r="E7" i="7"/>
  <c r="G7" i="7" s="1"/>
  <c r="AP36" i="7"/>
  <c r="G6" i="9" s="1"/>
  <c r="I7" i="7" l="1"/>
  <c r="J7" i="7" s="1"/>
  <c r="K7" i="7" s="1"/>
  <c r="D8"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<sst xmlns="http://schemas.openxmlformats.org/spreadsheetml/2006/main" count="533" uniqueCount="250">
  <si>
    <t>Inlet Type</t>
  </si>
  <si>
    <t>Type 7</t>
  </si>
  <si>
    <t>P-inlet</t>
  </si>
  <si>
    <t>N-inlet</t>
  </si>
  <si>
    <t>Design Storm Frequency</t>
  </si>
  <si>
    <t>Individual Drainage Area Q (cfs)</t>
  </si>
  <si>
    <t>Results</t>
  </si>
  <si>
    <t>Manning's n</t>
  </si>
  <si>
    <t xml:space="preserve">Q intercepted (cfs) </t>
  </si>
  <si>
    <t>HGL Elev (ft)</t>
  </si>
  <si>
    <t>Clogging Factor</t>
  </si>
  <si>
    <t>Area</t>
  </si>
  <si>
    <t>Neenah Type</t>
  </si>
  <si>
    <t>Splash-over Vel</t>
  </si>
  <si>
    <t>Grate Width (ft)</t>
  </si>
  <si>
    <t>Grate Length (ft)</t>
  </si>
  <si>
    <t>Area (sf)</t>
  </si>
  <si>
    <t>Perimeter* (ft)</t>
  </si>
  <si>
    <t>R4215-C</t>
  </si>
  <si>
    <t>Calculated Perimeter (ft)</t>
  </si>
  <si>
    <t>*Note, Neenah computes perimeter of curb inlets to be 2xWidth + 1xLength, but for grates without curb boxes it computes Perimeter to be 2xWidth+2xLength Therefore a measured length was found for the actual openings</t>
  </si>
  <si>
    <t>Weir Eqn Hec-22, eqn 7.14</t>
  </si>
  <si>
    <t>Q=C*A*(2*g*d)^0.5</t>
  </si>
  <si>
    <t>d=(Q/(C*((2*g)^0.5)*P))^0.67</t>
  </si>
  <si>
    <t>C=0.37</t>
  </si>
  <si>
    <t>Orifice Eqn Hec-22, eqn 7.15</t>
  </si>
  <si>
    <t>Q=C*(2*g)^0.5*p*d^1.5</t>
  </si>
  <si>
    <t>d=((Q/0.37*A)^2)/2g</t>
  </si>
  <si>
    <t>C=0.67</t>
  </si>
  <si>
    <t xml:space="preserve">Type 7 </t>
  </si>
  <si>
    <t>P-12</t>
  </si>
  <si>
    <t>N-12</t>
  </si>
  <si>
    <t>Perimeter</t>
  </si>
  <si>
    <t>h-orifice</t>
  </si>
  <si>
    <t>h-weir</t>
  </si>
  <si>
    <t>sag</t>
  </si>
  <si>
    <t>on-grade</t>
  </si>
  <si>
    <t>Total Q (cfs)</t>
  </si>
  <si>
    <t>Controlling h</t>
  </si>
  <si>
    <t>controlling h</t>
  </si>
  <si>
    <t>Sag Summary</t>
  </si>
  <si>
    <t>Slope of P or N inlets (H:1)</t>
  </si>
  <si>
    <t>area of 1 opening</t>
  </si>
  <si>
    <t>weir length along base</t>
  </si>
  <si>
    <t>side weir length</t>
  </si>
  <si>
    <t>Lists</t>
  </si>
  <si>
    <t>C*</t>
  </si>
  <si>
    <t>Qweir</t>
  </si>
  <si>
    <t>Base h/L</t>
  </si>
  <si>
    <t>side h/L</t>
  </si>
  <si>
    <t>Qside</t>
  </si>
  <si>
    <t>Qbase</t>
  </si>
  <si>
    <t>flow depth</t>
  </si>
  <si>
    <t>effective Head</t>
  </si>
  <si>
    <t xml:space="preserve">X </t>
  </si>
  <si>
    <t>% of grate</t>
  </si>
  <si>
    <t>eff. Orifice Area</t>
  </si>
  <si>
    <t># of small openings</t>
  </si>
  <si>
    <t>Structure number</t>
  </si>
  <si>
    <t>bypass flow</t>
  </si>
  <si>
    <t>Str. # Bypass Goes To</t>
  </si>
  <si>
    <t>Side L</t>
  </si>
  <si>
    <t>Qorifice</t>
  </si>
  <si>
    <t>hweir</t>
  </si>
  <si>
    <t>h orifice</t>
  </si>
  <si>
    <t>FL</t>
  </si>
  <si>
    <t>Top of R Bank</t>
  </si>
  <si>
    <t>Toe of R bank</t>
  </si>
  <si>
    <t>Top of L Bank</t>
  </si>
  <si>
    <t>Toe of L bank</t>
  </si>
  <si>
    <t>Channel Slope if on-grade (ft/ft)</t>
  </si>
  <si>
    <t>Q</t>
  </si>
  <si>
    <t>Full Channel Q</t>
  </si>
  <si>
    <t>Channel Calcs</t>
  </si>
  <si>
    <t>Full channel area</t>
  </si>
  <si>
    <t>Full wetted perimeter</t>
  </si>
  <si>
    <t>Full Hyd Radius, R</t>
  </si>
  <si>
    <t>channel's str. #</t>
  </si>
  <si>
    <t>E7 Inlets</t>
  </si>
  <si>
    <t>Rf</t>
  </si>
  <si>
    <t>Rs</t>
  </si>
  <si>
    <t>Str#</t>
  </si>
  <si>
    <t>E0</t>
  </si>
  <si>
    <t>Total Efficiency, E</t>
  </si>
  <si>
    <t>Qi</t>
  </si>
  <si>
    <t>Qb</t>
  </si>
  <si>
    <t>10% full</t>
  </si>
  <si>
    <t>depth</t>
  </si>
  <si>
    <t>velocity</t>
  </si>
  <si>
    <t>20% full</t>
  </si>
  <si>
    <t>A</t>
  </si>
  <si>
    <t>P</t>
  </si>
  <si>
    <t>R</t>
  </si>
  <si>
    <t>30% full</t>
  </si>
  <si>
    <t>40% full</t>
  </si>
  <si>
    <t>50% full</t>
  </si>
  <si>
    <t>70% full</t>
  </si>
  <si>
    <t>60% full</t>
  </si>
  <si>
    <t>90% full</t>
  </si>
  <si>
    <t>80% full</t>
  </si>
  <si>
    <t>full velocity v (ft/s)</t>
  </si>
  <si>
    <t>normal ditch depth</t>
  </si>
  <si>
    <t>d</t>
  </si>
  <si>
    <t>normal Depth</t>
  </si>
  <si>
    <t>ditch velocity</t>
  </si>
  <si>
    <t>Rs1</t>
  </si>
  <si>
    <t>Rs2</t>
  </si>
  <si>
    <t>depth (ft)</t>
  </si>
  <si>
    <t>Structural depth</t>
  </si>
  <si>
    <t>elev1</t>
  </si>
  <si>
    <t>elev2</t>
  </si>
  <si>
    <t>elev3</t>
  </si>
  <si>
    <t>elev4</t>
  </si>
  <si>
    <t>X2 (L Toe)</t>
  </si>
  <si>
    <t>X4 (R Toe)</t>
  </si>
  <si>
    <t>If N-12 or P12, side of channel</t>
  </si>
  <si>
    <t>left</t>
  </si>
  <si>
    <t>right</t>
  </si>
  <si>
    <t>center (Berm)</t>
  </si>
  <si>
    <t>elev5</t>
  </si>
  <si>
    <t>X3 (CL)</t>
  </si>
  <si>
    <t>K1</t>
  </si>
  <si>
    <t>K2</t>
  </si>
  <si>
    <t>K3</t>
  </si>
  <si>
    <t>K4</t>
  </si>
  <si>
    <t>A1</t>
  </si>
  <si>
    <t>A2</t>
  </si>
  <si>
    <t>A3</t>
  </si>
  <si>
    <t>A4</t>
  </si>
  <si>
    <t>P1</t>
  </si>
  <si>
    <t>P2</t>
  </si>
  <si>
    <t>P3</t>
  </si>
  <si>
    <t>P4</t>
  </si>
  <si>
    <t>Inlet FL Sta</t>
  </si>
  <si>
    <t>inlet location</t>
  </si>
  <si>
    <t>Width on slope</t>
  </si>
  <si>
    <t>Side slope inlets</t>
  </si>
  <si>
    <t>top station</t>
  </si>
  <si>
    <t>K-right</t>
  </si>
  <si>
    <t>K-left</t>
  </si>
  <si>
    <t>left net K</t>
  </si>
  <si>
    <t>grate net K</t>
  </si>
  <si>
    <t>right net K</t>
  </si>
  <si>
    <t>Q left</t>
  </si>
  <si>
    <t>Qgrate</t>
  </si>
  <si>
    <t>Qright</t>
  </si>
  <si>
    <t>X5 (R WS)</t>
  </si>
  <si>
    <t>X1 (L WS)</t>
  </si>
  <si>
    <t>P12 and N12 inlets</t>
  </si>
  <si>
    <t>E left</t>
  </si>
  <si>
    <t>E Right</t>
  </si>
  <si>
    <t>E front</t>
  </si>
  <si>
    <t>Qin</t>
  </si>
  <si>
    <t>Qbypass</t>
  </si>
  <si>
    <t>Splash over Vel</t>
  </si>
  <si>
    <t>Ditch info</t>
  </si>
  <si>
    <t>Structure Info</t>
  </si>
  <si>
    <t xml:space="preserve">Flow </t>
  </si>
  <si>
    <t>Individual Structure Run By (Cfs)</t>
  </si>
  <si>
    <t>Total Run-by Q going to inlet (cfs)</t>
  </si>
  <si>
    <t xml:space="preserve">Left Station Top of Bank </t>
  </si>
  <si>
    <t>Left Top of Bank Elev</t>
  </si>
  <si>
    <t xml:space="preserve">Left Station Toe of Slope </t>
  </si>
  <si>
    <t>Left Toe of Slope Elev</t>
  </si>
  <si>
    <t>Flowline Station</t>
  </si>
  <si>
    <t>Flowline Elev</t>
  </si>
  <si>
    <t xml:space="preserve">Right Station Toe of Slope </t>
  </si>
  <si>
    <t>Right Toe of Slope Elev</t>
  </si>
  <si>
    <t xml:space="preserve">Right Station Top of Bank </t>
  </si>
  <si>
    <t>Right Top of Bank Elev</t>
  </si>
  <si>
    <t>Berm Depth</t>
  </si>
  <si>
    <t>bypass?</t>
  </si>
  <si>
    <t>P or N inlet</t>
  </si>
  <si>
    <t>K start (left side)of grate</t>
  </si>
  <si>
    <t>k end (right side) of grate</t>
  </si>
  <si>
    <t>berm length</t>
  </si>
  <si>
    <t>C</t>
  </si>
  <si>
    <t>Table 8-1 English Units</t>
  </si>
  <si>
    <t>Broad Crested Weir Coefficient C Values as a function of Weir Crest Breadth and Head</t>
  </si>
  <si>
    <t>Breadth (thickness) of Crest of Weir (ft)</t>
  </si>
  <si>
    <t>Head (ft)</t>
  </si>
  <si>
    <t>Q berm</t>
  </si>
  <si>
    <t>0.2 ft over berm</t>
  </si>
  <si>
    <t>total Q</t>
  </si>
  <si>
    <t>h over berm (ft)</t>
  </si>
  <si>
    <t>0.4 ft over berm</t>
  </si>
  <si>
    <t>0.6 over berm</t>
  </si>
  <si>
    <t>0.8 ft over berm</t>
  </si>
  <si>
    <t>1 ft over berm</t>
  </si>
  <si>
    <t>0.2 ft</t>
  </si>
  <si>
    <t>0.4 ft</t>
  </si>
  <si>
    <t>0.6 ft</t>
  </si>
  <si>
    <t>0.8 ft</t>
  </si>
  <si>
    <t>1.0 ft</t>
  </si>
  <si>
    <t>design Q</t>
  </si>
  <si>
    <t>bypass over berm</t>
  </si>
  <si>
    <t>Misc. Elevations</t>
  </si>
  <si>
    <t>P-12 and N-12</t>
  </si>
  <si>
    <t>P or N Inlet fits?</t>
  </si>
  <si>
    <t>inlet beyond XS?</t>
  </si>
  <si>
    <t>height of flow over berm</t>
  </si>
  <si>
    <t>flow into inlet at berm elev</t>
  </si>
  <si>
    <t>results</t>
  </si>
  <si>
    <t>Q into structure</t>
  </si>
  <si>
    <t>Q over berm</t>
  </si>
  <si>
    <t>Qtotal</t>
  </si>
  <si>
    <t>X (ft)</t>
  </si>
  <si>
    <t>effective head</t>
  </si>
  <si>
    <t>Effective Orifice Head</t>
  </si>
  <si>
    <t>Inlet side cover depth</t>
  </si>
  <si>
    <t>Str. #</t>
  </si>
  <si>
    <t>No berms</t>
  </si>
  <si>
    <t>Berm</t>
  </si>
  <si>
    <t>h (ft)</t>
  </si>
  <si>
    <t>Qi (cfs)</t>
  </si>
  <si>
    <t>Qb (cfs)</t>
  </si>
  <si>
    <t>Sag</t>
  </si>
  <si>
    <t>Flow Depth over Inlet or over Berm (ft)</t>
  </si>
  <si>
    <t xml:space="preserve">berm thickness </t>
  </si>
  <si>
    <r>
      <t xml:space="preserve">On-grade Berm Thickness (ft) (if no input, assumes 3 ft </t>
    </r>
    <r>
      <rPr>
        <i/>
        <sz val="11"/>
        <color theme="1"/>
        <rFont val="Aptos Narrow"/>
        <family val="2"/>
        <scheme val="minor"/>
      </rPr>
      <t>if berm present</t>
    </r>
    <r>
      <rPr>
        <sz val="11"/>
        <color theme="1"/>
        <rFont val="Aptos Narrow"/>
        <family val="2"/>
        <scheme val="minor"/>
      </rPr>
      <t>)</t>
    </r>
  </si>
  <si>
    <t>Channel size adequate?</t>
  </si>
  <si>
    <t>common errors</t>
  </si>
  <si>
    <t>water encroaches onto road?</t>
  </si>
  <si>
    <t>Flowline station on correct side of channel?</t>
  </si>
  <si>
    <t>Grass Inlet Hydraulic Computations</t>
  </si>
  <si>
    <t>Des #</t>
  </si>
  <si>
    <t>Location</t>
  </si>
  <si>
    <t>Computed by</t>
  </si>
  <si>
    <t>Checked by</t>
  </si>
  <si>
    <t>Date</t>
  </si>
  <si>
    <t xml:space="preserve">Serviceability Elev. (Low Edge of Travel Lane) </t>
  </si>
  <si>
    <t>Str. #  (if none, simply do 1-30)</t>
  </si>
  <si>
    <t>Grate Elev</t>
  </si>
  <si>
    <t>Berm Elev</t>
  </si>
  <si>
    <t>Serviceability Elev</t>
  </si>
  <si>
    <t>Paste these results in the memo and report</t>
  </si>
  <si>
    <t>Inlet HGL</t>
  </si>
  <si>
    <t xml:space="preserve"> Pipe size </t>
  </si>
  <si>
    <t>HGL of Pipe Analysis (ft)</t>
  </si>
  <si>
    <t>Outlet Pipe Size (in)</t>
  </si>
  <si>
    <t>Pipe HGL</t>
  </si>
  <si>
    <t>Hydrology</t>
  </si>
  <si>
    <t>Pipe Hydraulics From Pipe Model</t>
  </si>
  <si>
    <t>This spreadsheet is used to calculate the bypass of grass inlets such as Type 12 and Type 7's. To use, simply fill in the yellow cells on this sheet for the inlets in your project.  Check the common errors on the far right of this spreadsheet to assure there are no immediate errors that need corrected. If an inlet is to be replaced,assume a P-12 inlet even if an N-12 is intended to be installed. This provides the ability to switch the inlet back to a P-12 should there be a construction issue. Then use the summary table tab to put the refined results into the hydraulics report and memo.</t>
  </si>
  <si>
    <t>FL of Grate Elev (ft)</t>
  </si>
  <si>
    <t>Known Bottom of Grate Station</t>
  </si>
  <si>
    <t xml:space="preserve">On-grade Berm Elev (ft) </t>
  </si>
  <si>
    <t>Pipe Bypass from Model (cfs)</t>
  </si>
  <si>
    <t>Sag or  On-grade</t>
  </si>
  <si>
    <t>Clogging Factor %       (if not standard)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</si>
</sst>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000"/>
    <numFmt numFmtId="166" formatCode="_(* #,##0.000_);_(* \(#,##0.000\);_(* &quot;-&quot;??_);_(@_)"/>
  </numFmts>
  <fonts count="8" x14ac:knownFonts="1">
    <font>
      <sz val="11"/>
      <color theme="1"/>
      <name val="Aptos Narrow"/>
      <family val="2"/>
      <scheme val="minor"/>
    </font>
    <font>
      <sz val="11"/>
      <color theme="1"/>
      <name val="Aptos Narrow"/>
      <family val="2"/>
      <scheme val="minor"/>
    </font>
    <font>
      <i/>
      <sz val="11"/>
      <color theme="1"/>
      <name val="Aptos Narrow"/>
      <family val="2"/>
      <scheme val="minor"/>
    </font>
    <font>
      <b/>
      <i/>
      <u/>
      <sz val="11"/>
      <color theme="1"/>
      <name val="Aptos Narrow"/>
      <family val="2"/>
      <scheme val="minor"/>
    </font>
    <font>
      <sz val="8"/>
      <name val="Aptos Narrow"/>
      <family val="2"/>
      <scheme val="minor"/>
    </font>
    <font>
      <b/>
      <sz val="11"/>
      <color theme="1"/>
      <name val="Aptos Narrow"/>
      <family val="2"/>
      <scheme val="minor"/>
    </font>
    <font>
      <sz val="9"/>
      <color theme="1"/>
      <name val="Aptos Narrow"/>
      <family val="2"/>
      <scheme val="minor"/>
    </font>
    <font>
      <i/>
      <sz val="9"/>
      <color theme="1"/>
      <name val="Aptos Narrow"/>
      <family val="2"/>
      <scheme val="minor"/>
    </font>
  </fonts>
  <fills count="21">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theme="3" tint="0.74999237037263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249977111117893"/>
        <bgColor indexed="64"/>
      </patternFill>
    </fill>
    <fill>
      <patternFill patternType="solid">
        <fgColor theme="5" tint="0.59999389629810485"/>
        <bgColor indexed="64"/>
      </patternFill>
    </fill>
    <fill>
      <patternFill patternType="solid">
        <fgColor rgb="FF92D050"/>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rgb="FFFF5050"/>
        <bgColor indexed="64"/>
      </patternFill>
    </fill>
    <fill>
      <patternFill patternType="solid">
        <fgColor theme="5"/>
        <bgColor indexed="64"/>
      </patternFill>
    </fill>
    <fill>
      <patternFill patternType="solid">
        <fgColor theme="2" tint="-9.9978637043366805E-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84">
    <xf numFmtId="0" fontId="0" fillId="0" borderId="0" xfId="0"/>
    <xf numFmtId="0" fontId="0" fillId="0" borderId="0" xfId="0" applyAlignment="1">
      <alignment horizontal="center"/>
    </xf>
    <xf numFmtId="0" fontId="0" fillId="0" borderId="1" xfId="0" applyBorder="1"/>
    <xf numFmtId="0" fontId="0" fillId="0" borderId="1" xfId="0" applyBorder="1" applyAlignment="1">
      <alignment horizontal="center"/>
    </xf>
    <xf numFmtId="0" fontId="0" fillId="0" borderId="1" xfId="0" applyBorder="1" applyAlignment="1">
      <alignment horizontal="center" wrapText="1"/>
    </xf>
    <xf numFmtId="0" fontId="0" fillId="0" borderId="1" xfId="0" applyBorder="1" applyAlignment="1">
      <alignment wrapText="1"/>
    </xf>
    <xf numFmtId="0" fontId="2" fillId="0" borderId="0" xfId="0" applyFont="1"/>
    <xf numFmtId="2" fontId="0" fillId="0" borderId="0" xfId="0" applyNumberFormat="1"/>
    <xf numFmtId="0" fontId="3" fillId="0" borderId="0" xfId="0" applyFont="1"/>
    <xf numFmtId="0" fontId="2" fillId="0" borderId="0" xfId="0" quotePrefix="1" applyFont="1"/>
    <xf numFmtId="9" fontId="0" fillId="0" borderId="0" xfId="0" applyNumberFormat="1"/>
    <xf numFmtId="9" fontId="0" fillId="0" borderId="1" xfId="1" applyFont="1" applyBorder="1"/>
    <xf numFmtId="0" fontId="0" fillId="2" borderId="1" xfId="0" applyFill="1" applyBorder="1"/>
    <xf numFmtId="9" fontId="0" fillId="2" borderId="1" xfId="1" applyFont="1" applyFill="1" applyBorder="1"/>
    <xf numFmtId="0" fontId="0" fillId="3" borderId="1" xfId="0" applyFill="1" applyBorder="1"/>
    <xf numFmtId="0" fontId="0" fillId="3" borderId="1" xfId="0" applyFill="1" applyBorder="1" applyAlignment="1">
      <alignment horizontal="center" wrapText="1"/>
    </xf>
    <xf numFmtId="0" fontId="0" fillId="4" borderId="1" xfId="0" applyFill="1" applyBorder="1"/>
    <xf numFmtId="0" fontId="0" fillId="0" borderId="2" xfId="0" applyBorder="1"/>
    <xf numFmtId="164" fontId="0" fillId="0" borderId="1" xfId="0" applyNumberFormat="1" applyBorder="1"/>
    <xf numFmtId="2" fontId="0" fillId="0" borderId="1" xfId="0" applyNumberFormat="1" applyBorder="1"/>
    <xf numFmtId="2" fontId="0" fillId="4" borderId="1" xfId="0" applyNumberFormat="1" applyFill="1" applyBorder="1"/>
    <xf numFmtId="164" fontId="0" fillId="3" borderId="1" xfId="0" applyNumberFormat="1" applyFill="1" applyBorder="1"/>
    <xf numFmtId="9" fontId="0" fillId="0" borderId="1" xfId="0" applyNumberFormat="1" applyBorder="1"/>
    <xf numFmtId="2" fontId="0" fillId="0" borderId="1" xfId="0" applyNumberFormat="1" applyBorder="1" applyAlignment="1">
      <alignment wrapText="1"/>
    </xf>
    <xf numFmtId="164" fontId="0" fillId="0" borderId="0" xfId="0" applyNumberFormat="1"/>
    <xf numFmtId="0" fontId="5" fillId="0" borderId="0" xfId="0" applyFont="1"/>
    <xf numFmtId="0" fontId="0" fillId="0" borderId="8" xfId="0" applyBorder="1"/>
    <xf numFmtId="2" fontId="0" fillId="0" borderId="10" xfId="0" applyNumberFormat="1" applyBorder="1"/>
    <xf numFmtId="2" fontId="0" fillId="0" borderId="11" xfId="0" applyNumberFormat="1" applyBorder="1"/>
    <xf numFmtId="2" fontId="0" fillId="0" borderId="12" xfId="0" applyNumberFormat="1" applyBorder="1"/>
    <xf numFmtId="0" fontId="0" fillId="0" borderId="8" xfId="0" applyBorder="1" applyAlignment="1">
      <alignment wrapText="1"/>
    </xf>
    <xf numFmtId="0" fontId="0" fillId="0" borderId="10" xfId="0" applyBorder="1"/>
    <xf numFmtId="9" fontId="0" fillId="0" borderId="0" xfId="1" applyFont="1"/>
    <xf numFmtId="0" fontId="0" fillId="0" borderId="18" xfId="0" applyBorder="1"/>
    <xf numFmtId="0" fontId="0" fillId="0" borderId="19" xfId="0" applyBorder="1"/>
    <xf numFmtId="0" fontId="0" fillId="0" borderId="0" xfId="1" applyNumberFormat="1" applyFont="1" applyAlignment="1"/>
    <xf numFmtId="0" fontId="0" fillId="2" borderId="1" xfId="0" applyFill="1" applyBorder="1" applyAlignment="1">
      <alignment horizontal="center" wrapText="1"/>
    </xf>
    <xf numFmtId="0" fontId="0" fillId="5" borderId="1" xfId="0" applyFill="1" applyBorder="1" applyAlignment="1">
      <alignment horizontal="center" wrapText="1"/>
    </xf>
    <xf numFmtId="0" fontId="0" fillId="6" borderId="1" xfId="0" applyFill="1" applyBorder="1" applyAlignment="1">
      <alignment horizontal="center" wrapText="1"/>
    </xf>
    <xf numFmtId="0" fontId="0" fillId="6" borderId="1" xfId="0" applyFill="1" applyBorder="1" applyAlignment="1">
      <alignment horizontal="center"/>
    </xf>
    <xf numFmtId="2" fontId="0" fillId="0" borderId="21" xfId="0" applyNumberFormat="1" applyBorder="1"/>
    <xf numFmtId="165" fontId="0" fillId="0" borderId="1" xfId="0" applyNumberFormat="1" applyBorder="1"/>
    <xf numFmtId="164" fontId="0" fillId="12" borderId="1" xfId="0" applyNumberFormat="1" applyFill="1" applyBorder="1"/>
    <xf numFmtId="0" fontId="0" fillId="12" borderId="1" xfId="0" applyFill="1" applyBorder="1"/>
    <xf numFmtId="2" fontId="0" fillId="2" borderId="1" xfId="0" applyNumberFormat="1" applyFill="1" applyBorder="1"/>
    <xf numFmtId="0" fontId="0" fillId="7" borderId="22" xfId="0" applyFill="1" applyBorder="1"/>
    <xf numFmtId="0" fontId="0" fillId="14" borderId="1" xfId="0" applyFill="1" applyBorder="1"/>
    <xf numFmtId="0" fontId="6" fillId="14" borderId="1" xfId="0" applyFont="1" applyFill="1" applyBorder="1"/>
    <xf numFmtId="0" fontId="7" fillId="14" borderId="1" xfId="0" applyFont="1" applyFill="1" applyBorder="1"/>
    <xf numFmtId="0" fontId="0" fillId="7" borderId="1" xfId="0" applyFill="1" applyBorder="1"/>
    <xf numFmtId="0" fontId="0" fillId="0" borderId="1" xfId="0" applyBorder="1" applyAlignment="1">
      <alignment horizontal="right" vertical="center"/>
    </xf>
    <xf numFmtId="0" fontId="0" fillId="0" borderId="1" xfId="0" applyBorder="1" applyAlignment="1">
      <alignment horizontal="right" vertical="center" wrapText="1"/>
    </xf>
    <xf numFmtId="0" fontId="0" fillId="0" borderId="1" xfId="0" applyBorder="1" applyAlignment="1">
      <alignment vertical="center"/>
    </xf>
    <xf numFmtId="0" fontId="0" fillId="0" borderId="4" xfId="0" applyBorder="1"/>
    <xf numFmtId="43" fontId="0" fillId="0" borderId="1" xfId="2" applyFont="1" applyBorder="1"/>
    <xf numFmtId="166" fontId="0" fillId="0" borderId="1" xfId="2" applyNumberFormat="1" applyFont="1" applyBorder="1"/>
    <xf numFmtId="0" fontId="0" fillId="0" borderId="24" xfId="0" applyBorder="1"/>
    <xf numFmtId="0" fontId="0" fillId="0" borderId="11" xfId="0" applyBorder="1"/>
    <xf numFmtId="0" fontId="0" fillId="0" borderId="12" xfId="0" applyBorder="1"/>
    <xf numFmtId="9" fontId="0" fillId="0" borderId="8" xfId="1" applyFont="1" applyBorder="1"/>
    <xf numFmtId="9" fontId="0" fillId="0" borderId="10" xfId="1" applyFont="1" applyBorder="1"/>
    <xf numFmtId="9" fontId="0" fillId="0" borderId="24" xfId="1" applyFont="1" applyBorder="1"/>
    <xf numFmtId="9" fontId="0" fillId="0" borderId="11" xfId="1" applyFont="1" applyBorder="1"/>
    <xf numFmtId="9" fontId="0" fillId="0" borderId="12" xfId="1" applyFont="1" applyBorder="1"/>
    <xf numFmtId="43" fontId="0" fillId="0" borderId="8" xfId="2" applyFont="1" applyBorder="1"/>
    <xf numFmtId="43" fontId="0" fillId="0" borderId="10" xfId="2" applyFont="1" applyBorder="1"/>
    <xf numFmtId="43" fontId="0" fillId="0" borderId="24" xfId="2" applyFont="1" applyBorder="1"/>
    <xf numFmtId="43" fontId="0" fillId="0" borderId="11" xfId="2" applyFont="1" applyBorder="1"/>
    <xf numFmtId="43" fontId="0" fillId="0" borderId="12" xfId="2" applyFont="1" applyBorder="1"/>
    <xf numFmtId="166" fontId="0" fillId="0" borderId="8" xfId="2" applyNumberFormat="1" applyFont="1" applyBorder="1"/>
    <xf numFmtId="166" fontId="0" fillId="0" borderId="10" xfId="2" applyNumberFormat="1" applyFont="1" applyBorder="1"/>
    <xf numFmtId="166" fontId="0" fillId="0" borderId="24" xfId="2" applyNumberFormat="1" applyFont="1" applyBorder="1"/>
    <xf numFmtId="166" fontId="0" fillId="0" borderId="11" xfId="2" applyNumberFormat="1" applyFont="1" applyBorder="1"/>
    <xf numFmtId="166" fontId="0" fillId="0" borderId="12" xfId="2" applyNumberFormat="1" applyFont="1" applyBorder="1"/>
    <xf numFmtId="166" fontId="0" fillId="0" borderId="2" xfId="2" applyNumberFormat="1" applyFont="1" applyBorder="1"/>
    <xf numFmtId="166" fontId="0" fillId="0" borderId="25" xfId="2" applyNumberFormat="1" applyFont="1" applyBorder="1"/>
    <xf numFmtId="0" fontId="0" fillId="6" borderId="8" xfId="0" applyFill="1" applyBorder="1"/>
    <xf numFmtId="0" fontId="0" fillId="6" borderId="1" xfId="0" applyFill="1" applyBorder="1"/>
    <xf numFmtId="0" fontId="0" fillId="6" borderId="2" xfId="0" applyFill="1" applyBorder="1"/>
    <xf numFmtId="166" fontId="0" fillId="6" borderId="8" xfId="2" applyNumberFormat="1" applyFont="1" applyFill="1" applyBorder="1"/>
    <xf numFmtId="166" fontId="0" fillId="6" borderId="1" xfId="2" applyNumberFormat="1" applyFont="1" applyFill="1" applyBorder="1"/>
    <xf numFmtId="166" fontId="0" fillId="6" borderId="2" xfId="2" applyNumberFormat="1" applyFont="1" applyFill="1" applyBorder="1"/>
    <xf numFmtId="166" fontId="0" fillId="6" borderId="24" xfId="2" applyNumberFormat="1" applyFont="1" applyFill="1" applyBorder="1"/>
    <xf numFmtId="166" fontId="0" fillId="6" borderId="11" xfId="2" applyNumberFormat="1" applyFont="1" applyFill="1" applyBorder="1"/>
    <xf numFmtId="166" fontId="0" fillId="6" borderId="25" xfId="2" applyNumberFormat="1" applyFont="1" applyFill="1" applyBorder="1"/>
    <xf numFmtId="2" fontId="0" fillId="0" borderId="8" xfId="0" applyNumberFormat="1" applyBorder="1"/>
    <xf numFmtId="2" fontId="0" fillId="0" borderId="24" xfId="0" applyNumberFormat="1" applyBorder="1"/>
    <xf numFmtId="2" fontId="0" fillId="6" borderId="1" xfId="0" applyNumberFormat="1" applyFill="1" applyBorder="1"/>
    <xf numFmtId="0" fontId="0" fillId="6" borderId="10" xfId="0" applyFill="1" applyBorder="1"/>
    <xf numFmtId="2" fontId="0" fillId="6" borderId="8" xfId="0" applyNumberFormat="1" applyFill="1" applyBorder="1"/>
    <xf numFmtId="2" fontId="0" fillId="6" borderId="10" xfId="0" applyNumberFormat="1" applyFill="1" applyBorder="1"/>
    <xf numFmtId="2" fontId="0" fillId="6" borderId="24" xfId="0" applyNumberFormat="1" applyFill="1" applyBorder="1"/>
    <xf numFmtId="2" fontId="0" fillId="6" borderId="11" xfId="0" applyNumberFormat="1" applyFill="1" applyBorder="1"/>
    <xf numFmtId="2" fontId="0" fillId="6" borderId="12" xfId="0" applyNumberFormat="1" applyFill="1" applyBorder="1"/>
    <xf numFmtId="0" fontId="0" fillId="15" borderId="1" xfId="0" applyFill="1" applyBorder="1"/>
    <xf numFmtId="2" fontId="0" fillId="15" borderId="1" xfId="0" applyNumberFormat="1" applyFill="1" applyBorder="1"/>
    <xf numFmtId="0" fontId="0" fillId="7" borderId="1" xfId="0" applyFill="1" applyBorder="1" applyAlignment="1">
      <alignment horizontal="center"/>
    </xf>
    <xf numFmtId="0" fontId="0" fillId="7" borderId="1" xfId="0" applyFill="1" applyBorder="1" applyAlignment="1">
      <alignment horizontal="center" wrapText="1"/>
    </xf>
    <xf numFmtId="2" fontId="0" fillId="7" borderId="0" xfId="0" applyNumberFormat="1" applyFill="1"/>
    <xf numFmtId="0" fontId="0" fillId="15" borderId="8" xfId="0" applyFill="1" applyBorder="1"/>
    <xf numFmtId="0" fontId="0" fillId="15" borderId="10" xfId="0" applyFill="1" applyBorder="1"/>
    <xf numFmtId="2" fontId="0" fillId="15" borderId="8" xfId="0" applyNumberFormat="1" applyFill="1" applyBorder="1"/>
    <xf numFmtId="2" fontId="0" fillId="15" borderId="10" xfId="0" applyNumberFormat="1" applyFill="1" applyBorder="1"/>
    <xf numFmtId="2" fontId="0" fillId="15" borderId="24" xfId="0" applyNumberFormat="1" applyFill="1" applyBorder="1"/>
    <xf numFmtId="2" fontId="0" fillId="15" borderId="11" xfId="0" applyNumberFormat="1" applyFill="1" applyBorder="1"/>
    <xf numFmtId="2" fontId="0" fillId="15" borderId="12" xfId="0" applyNumberFormat="1" applyFill="1" applyBorder="1"/>
    <xf numFmtId="0" fontId="0" fillId="7" borderId="3" xfId="0" applyFill="1" applyBorder="1" applyAlignment="1">
      <alignment horizontal="center" wrapText="1"/>
    </xf>
    <xf numFmtId="2" fontId="0" fillId="7" borderId="1" xfId="0" applyNumberFormat="1" applyFill="1" applyBorder="1"/>
    <xf numFmtId="0" fontId="0" fillId="16" borderId="1" xfId="0" applyFill="1" applyBorder="1" applyAlignment="1">
      <alignment horizontal="center"/>
    </xf>
    <xf numFmtId="164" fontId="0" fillId="7" borderId="1" xfId="0" applyNumberFormat="1" applyFill="1" applyBorder="1"/>
    <xf numFmtId="164" fontId="0" fillId="16" borderId="1" xfId="0" applyNumberFormat="1" applyFill="1" applyBorder="1"/>
    <xf numFmtId="164" fontId="0" fillId="17" borderId="1" xfId="0" applyNumberFormat="1" applyFill="1" applyBorder="1"/>
    <xf numFmtId="164" fontId="0" fillId="4" borderId="1" xfId="0" applyNumberFormat="1" applyFill="1" applyBorder="1"/>
    <xf numFmtId="0" fontId="0" fillId="0" borderId="0" xfId="0" applyAlignment="1">
      <alignment horizontal="center" wrapText="1"/>
    </xf>
    <xf numFmtId="0" fontId="0" fillId="18" borderId="1" xfId="0" applyFill="1" applyBorder="1" applyAlignment="1">
      <alignment horizontal="center" wrapText="1"/>
    </xf>
    <xf numFmtId="0" fontId="5" fillId="0" borderId="1" xfId="0" applyFont="1" applyBorder="1"/>
    <xf numFmtId="14" fontId="0" fillId="2" borderId="1" xfId="0" applyNumberFormat="1" applyFill="1" applyBorder="1"/>
    <xf numFmtId="0" fontId="6" fillId="14" borderId="27" xfId="0" applyFont="1" applyFill="1" applyBorder="1"/>
    <xf numFmtId="0" fontId="0" fillId="0" borderId="3" xfId="0" applyBorder="1"/>
    <xf numFmtId="2" fontId="0" fillId="0" borderId="2" xfId="0" applyNumberFormat="1" applyBorder="1"/>
    <xf numFmtId="0" fontId="0" fillId="0" borderId="28" xfId="0" applyBorder="1"/>
    <xf numFmtId="0" fontId="0" fillId="0" borderId="29" xfId="0" applyBorder="1"/>
    <xf numFmtId="0" fontId="0" fillId="0" borderId="29" xfId="0" applyBorder="1" applyAlignment="1">
      <alignment wrapText="1"/>
    </xf>
    <xf numFmtId="0" fontId="0" fillId="0" borderId="30" xfId="0" applyBorder="1"/>
    <xf numFmtId="0" fontId="0" fillId="0" borderId="22" xfId="0" applyBorder="1"/>
    <xf numFmtId="2" fontId="0" fillId="0" borderId="31" xfId="0" applyNumberFormat="1" applyBorder="1"/>
    <xf numFmtId="2" fontId="0" fillId="0" borderId="22" xfId="0" applyNumberFormat="1" applyBorder="1"/>
    <xf numFmtId="0" fontId="0" fillId="11" borderId="1" xfId="0" applyFill="1" applyBorder="1" applyAlignment="1">
      <alignment horizontal="center"/>
    </xf>
    <xf numFmtId="0" fontId="0" fillId="18" borderId="1" xfId="0" applyFill="1" applyBorder="1" applyAlignment="1">
      <alignment horizontal="center"/>
    </xf>
    <xf numFmtId="0" fontId="0" fillId="2" borderId="1" xfId="0" applyFill="1" applyBorder="1" applyAlignment="1">
      <alignment horizontal="center"/>
    </xf>
    <xf numFmtId="0" fontId="0" fillId="9" borderId="1" xfId="0" applyFill="1" applyBorder="1" applyAlignment="1">
      <alignment horizontal="center"/>
    </xf>
    <xf numFmtId="0" fontId="0" fillId="19" borderId="1" xfId="0" applyFill="1" applyBorder="1" applyAlignment="1">
      <alignment horizontal="center"/>
    </xf>
    <xf numFmtId="0" fontId="0" fillId="10" borderId="2" xfId="0" applyFill="1" applyBorder="1" applyAlignment="1">
      <alignment horizontal="center"/>
    </xf>
    <xf numFmtId="0" fontId="0" fillId="10" borderId="23" xfId="0" applyFill="1" applyBorder="1" applyAlignment="1">
      <alignment horizontal="center"/>
    </xf>
    <xf numFmtId="0" fontId="0" fillId="10" borderId="3" xfId="0" applyFill="1" applyBorder="1" applyAlignment="1">
      <alignment horizontal="center"/>
    </xf>
    <xf numFmtId="0" fontId="0" fillId="7" borderId="2" xfId="0" applyFill="1" applyBorder="1" applyAlignment="1">
      <alignment horizontal="center"/>
    </xf>
    <xf numFmtId="0" fontId="0" fillId="7" borderId="23" xfId="0" applyFill="1" applyBorder="1" applyAlignment="1">
      <alignment horizontal="center"/>
    </xf>
    <xf numFmtId="0" fontId="0" fillId="7" borderId="3" xfId="0" applyFill="1" applyBorder="1" applyAlignment="1">
      <alignment horizontal="center"/>
    </xf>
    <xf numFmtId="0" fontId="0" fillId="8" borderId="2" xfId="0" applyFill="1" applyBorder="1" applyAlignment="1">
      <alignment horizontal="center"/>
    </xf>
    <xf numFmtId="0" fontId="0" fillId="8" borderId="23" xfId="0" applyFill="1" applyBorder="1" applyAlignment="1">
      <alignment horizontal="center"/>
    </xf>
    <xf numFmtId="0" fontId="0" fillId="8" borderId="3" xfId="0" applyFill="1" applyBorder="1" applyAlignment="1">
      <alignment horizontal="center"/>
    </xf>
    <xf numFmtId="0" fontId="0" fillId="20" borderId="0" xfId="0" applyFill="1" applyAlignment="1">
      <alignment horizontal="left" vertical="top" wrapText="1"/>
    </xf>
    <xf numFmtId="0" fontId="0" fillId="13" borderId="2" xfId="0" applyFill="1" applyBorder="1" applyAlignment="1">
      <alignment horizontal="center"/>
    </xf>
    <xf numFmtId="0" fontId="0" fillId="13" borderId="23" xfId="0" applyFill="1" applyBorder="1" applyAlignment="1">
      <alignment horizontal="center"/>
    </xf>
    <xf numFmtId="0" fontId="0" fillId="13" borderId="3" xfId="0" applyFill="1" applyBorder="1" applyAlignment="1">
      <alignment horizontal="center"/>
    </xf>
    <xf numFmtId="0" fontId="0" fillId="14" borderId="2" xfId="0" applyFill="1" applyBorder="1" applyAlignment="1">
      <alignment horizontal="center"/>
    </xf>
    <xf numFmtId="0" fontId="0" fillId="14" borderId="23" xfId="0" applyFill="1" applyBorder="1" applyAlignment="1">
      <alignment horizontal="center"/>
    </xf>
    <xf numFmtId="0" fontId="0" fillId="14" borderId="3" xfId="0" applyFill="1" applyBorder="1" applyAlignment="1">
      <alignment horizontal="center"/>
    </xf>
    <xf numFmtId="0" fontId="0" fillId="0" borderId="1" xfId="0" applyBorder="1" applyAlignment="1">
      <alignment horizontal="center"/>
    </xf>
    <xf numFmtId="0" fontId="0" fillId="0" borderId="20" xfId="0" applyBorder="1" applyAlignment="1">
      <alignment horizontal="center" wrapText="1"/>
    </xf>
    <xf numFmtId="0" fontId="0" fillId="0" borderId="9" xfId="0" applyBorder="1" applyAlignment="1">
      <alignment horizontal="center" wrapText="1"/>
    </xf>
    <xf numFmtId="0" fontId="0" fillId="0" borderId="13" xfId="0" applyBorder="1" applyAlignment="1">
      <alignment horizontal="center" wrapText="1"/>
    </xf>
    <xf numFmtId="0" fontId="0" fillId="0" borderId="14" xfId="0" applyBorder="1" applyAlignment="1">
      <alignment horizontal="center" wrapText="1"/>
    </xf>
    <xf numFmtId="0" fontId="0" fillId="0" borderId="15" xfId="0" applyBorder="1" applyAlignment="1">
      <alignment horizontal="center" wrapText="1"/>
    </xf>
    <xf numFmtId="0" fontId="0" fillId="0" borderId="1" xfId="0"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0" fillId="0" borderId="16" xfId="0" applyBorder="1" applyAlignment="1">
      <alignment horizontal="center" wrapText="1"/>
    </xf>
    <xf numFmtId="9" fontId="0" fillId="0" borderId="13" xfId="0" applyNumberFormat="1" applyBorder="1" applyAlignment="1">
      <alignment horizontal="center" wrapText="1"/>
    </xf>
    <xf numFmtId="0" fontId="0" fillId="0" borderId="7" xfId="0" applyBorder="1" applyAlignment="1">
      <alignment horizontal="center" wrapText="1"/>
    </xf>
    <xf numFmtId="0" fontId="0" fillId="0" borderId="17" xfId="0" applyBorder="1" applyAlignment="1">
      <alignment horizontal="center" wrapText="1"/>
    </xf>
    <xf numFmtId="0" fontId="0" fillId="0" borderId="3" xfId="0" applyBorder="1" applyAlignment="1">
      <alignment horizontal="center" wrapText="1"/>
    </xf>
    <xf numFmtId="0" fontId="0" fillId="6" borderId="5" xfId="0" applyFill="1" applyBorder="1" applyAlignment="1">
      <alignment horizontal="center"/>
    </xf>
    <xf numFmtId="0" fontId="0" fillId="6" borderId="6" xfId="0" applyFill="1" applyBorder="1" applyAlignment="1">
      <alignment horizontal="center"/>
    </xf>
    <xf numFmtId="0" fontId="0" fillId="6" borderId="16" xfId="0" applyFill="1"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6" xfId="0" applyBorder="1" applyAlignment="1">
      <alignment horizontal="center"/>
    </xf>
    <xf numFmtId="0" fontId="0" fillId="15" borderId="5" xfId="0" applyFill="1" applyBorder="1" applyAlignment="1">
      <alignment horizontal="center"/>
    </xf>
    <xf numFmtId="0" fontId="0" fillId="15" borderId="6" xfId="0" applyFill="1" applyBorder="1" applyAlignment="1">
      <alignment horizontal="center"/>
    </xf>
    <xf numFmtId="0" fontId="0" fillId="15" borderId="16" xfId="0" applyFill="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6" borderId="13" xfId="0" applyFill="1" applyBorder="1" applyAlignment="1">
      <alignment horizontal="center"/>
    </xf>
    <xf numFmtId="0" fontId="0" fillId="6" borderId="14" xfId="0" applyFill="1" applyBorder="1" applyAlignment="1">
      <alignment horizontal="center"/>
    </xf>
    <xf numFmtId="0" fontId="0" fillId="0" borderId="26" xfId="0" applyBorder="1" applyAlignment="1">
      <alignment horizontal="center"/>
    </xf>
    <xf numFmtId="0" fontId="0" fillId="7" borderId="1" xfId="0" applyFill="1" applyBorder="1" applyAlignment="1">
      <alignment horizontal="center"/>
    </xf>
    <xf numFmtId="0" fontId="0" fillId="6" borderId="15" xfId="0" applyFill="1" applyBorder="1" applyAlignment="1">
      <alignment horizontal="center"/>
    </xf>
    <xf numFmtId="0" fontId="0" fillId="0" borderId="22" xfId="0" applyBorder="1" applyAlignment="1">
      <alignment horizontal="center"/>
    </xf>
    <xf numFmtId="0" fontId="0" fillId="3" borderId="1" xfId="0" applyFill="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16" borderId="1" xfId="0" applyFill="1" applyBorder="1" applyAlignment="1">
      <alignment horizontal="center"/>
    </xf>
  </cellXfs>
  <cellStyles count="3">
    <cellStyle name="Comma" xfId="2" builtinId="3"/>
    <cellStyle name="Normal" xfId="0" builtinId="0"/>
    <cellStyle name="Percent" xfId="1" builtinId="5"/>
  </cellStyles>
  <dxfs count="22">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patternType="none">
          <bgColor auto="1"/>
        </patternFill>
      </fill>
    </dxf>
    <dxf>
      <fill>
        <patternFill>
          <bgColor rgb="FFFFFF00"/>
        </patternFill>
      </fill>
    </dxf>
    <dxf>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35</xdr:row>
      <xdr:rowOff>180973</xdr:rowOff>
    </xdr:from>
    <xdr:to>
      <xdr:col>21</xdr:col>
      <xdr:colOff>390524</xdr:colOff>
      <xdr:row>48</xdr:row>
      <xdr:rowOff>47624</xdr:rowOff>
    </xdr:to>
    <xdr:sp macro="" textlink="">
      <xdr:nvSpPr>
        <xdr:cNvPr id="2" name="TextBox 1">
          <a:extLst>
            <a:ext uri="{FF2B5EF4-FFF2-40B4-BE49-F238E27FC236}">
              <a16:creationId xmlns:a16="http://schemas.microsoft.com/office/drawing/2014/main" id="{7740C35E-8F03-F7FD-E69E-E9AB7C05ACCE}"/>
            </a:ext>
          </a:extLst>
        </xdr:cNvPr>
        <xdr:cNvSpPr txBox="1"/>
      </xdr:nvSpPr>
      <xdr:spPr>
        <a:xfrm>
          <a:off x="0" y="6657973"/>
          <a:ext cx="12592049" cy="23431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pPr marL="0" marR="0" lvl="0" indent="0" defTabSz="914400" eaLnBrk="1" fontAlgn="auto" latinLnBrk="0" hangingPunct="1">
            <a:lnSpc>
              <a:spcPct val="100000"/>
            </a:lnSpc>
            <a:spcBef>
              <a:spcPts val="0"/>
            </a:spcBef>
            <a:spcAft>
              <a:spcPts val="0"/>
            </a:spcAft>
            <a:buClrTx/>
            <a:buSzTx/>
            <a:buFontTx/>
            <a:buNone/>
            <a:tabLst/>
            <a:defRPr/>
          </a:pPr>
          <a:r>
            <a:rPr lang="en-US" sz="1100"/>
            <a:t>1) Only input</a:t>
          </a:r>
          <a:r>
            <a:rPr lang="en-US" sz="1100" baseline="0"/>
            <a:t> information into yellow highlighted cells on this "Inputs-Results" tab. No other sheet should be touched.</a:t>
          </a:r>
          <a:r>
            <a:rPr lang="en-US" sz="1100" baseline="0">
              <a:solidFill>
                <a:schemeClr val="dk1"/>
              </a:solidFill>
              <a:effectLst/>
              <a:latin typeface="+mn-lt"/>
              <a:ea typeface="+mn-ea"/>
              <a:cs typeface="+mn-cs"/>
            </a:rPr>
            <a:t>7)</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2) If you do not have a berm, simply do not input those values in the yellow cells.</a:t>
          </a:r>
          <a:endParaRPr lang="en-US" sz="1100" baseline="0"/>
        </a:p>
        <a:p>
          <a:r>
            <a:rPr lang="en-US" sz="1100" baseline="0"/>
            <a:t>3)  The P12 and N12 grate width was updated to be the effective flow length instead of including the lip of the casting as the standalone on-grade spreadsheet has</a:t>
          </a:r>
        </a:p>
        <a:p>
          <a:r>
            <a:rPr lang="en-US" sz="1100" baseline="0"/>
            <a:t>4) The 50% clogging factor was included with the on-grade E7 calcs. The original spreadsheet did not perform this calculation on the on-grade part.</a:t>
          </a:r>
        </a:p>
        <a:p>
          <a:r>
            <a:rPr lang="en-US" sz="1100" baseline="0"/>
            <a:t>5) for the E7 inlet bypass, the original spreadsheet uses a full channel flow and velocity assumption whereas this spreadsheet is more precise using the actual depth of the channel based on the a surveyed channel instead of a standard trapezoidal channel. This does impact the intercepted and bypass flow and that is also the reason for the difference in channel depth.</a:t>
          </a:r>
        </a:p>
        <a:p>
          <a:r>
            <a:rPr lang="en-US" sz="1100" baseline="0"/>
            <a:t>6) If a P or N inlet does not have a specified station of where the bottom is located, it will automatically choose the toe of slope pending on the side of channel it is on.</a:t>
          </a:r>
        </a:p>
        <a:p>
          <a:r>
            <a:rPr lang="en-US" sz="1100" baseline="0"/>
            <a:t>7) For berm calculations, the calculations look at what it would be like if the inlet was in a sag up to the elevation of the berm. Once the berm is reached and there is flow still in effect, the flow is calculated using broad crested weir and the total depth over the inlet in 0.2 ft stages and the results returns that interpolated value.  If the depth of water is over a foot above the berm, you may need to check the flows as this is a lot of flow for a median.</a:t>
          </a:r>
        </a:p>
        <a:p>
          <a:r>
            <a:rPr lang="en-US" sz="1100" baseline="0"/>
            <a:t>8) if you have errors, please check for common errors that would pop up to the right of the results that may have occured and can easily be addressed.</a:t>
          </a:r>
          <a:endParaRPr lang="en-US" sz="1100"/>
        </a:p>
      </xdr:txBody>
    </xdr:sp>
    <xdr:clientData/>
  </xdr:twoCellAnchor>
  <xdr:twoCellAnchor>
    <xdr:from>
      <xdr:col>17</xdr:col>
      <xdr:colOff>514350</xdr:colOff>
      <xdr:row>0</xdr:row>
      <xdr:rowOff>0</xdr:rowOff>
    </xdr:from>
    <xdr:to>
      <xdr:col>25</xdr:col>
      <xdr:colOff>200025</xdr:colOff>
      <xdr:row>4</xdr:row>
      <xdr:rowOff>47625</xdr:rowOff>
    </xdr:to>
    <xdr:sp macro="" textlink="">
      <xdr:nvSpPr>
        <xdr:cNvPr id="3" name="TextBox 2">
          <a:extLst>
            <a:ext uri="{FF2B5EF4-FFF2-40B4-BE49-F238E27FC236}">
              <a16:creationId xmlns:a16="http://schemas.microsoft.com/office/drawing/2014/main" id="{D4BC99C2-886E-4F25-9AB6-8F0A00DE1BEF}"/>
            </a:ext>
          </a:extLst>
        </xdr:cNvPr>
        <xdr:cNvSpPr txBox="1"/>
      </xdr:nvSpPr>
      <xdr:spPr>
        <a:xfrm>
          <a:off x="12458700" y="0"/>
          <a:ext cx="5400675" cy="809625"/>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chemeClr val="dk1"/>
              </a:solidFill>
              <a:effectLst/>
              <a:latin typeface="+mn-lt"/>
              <a:ea typeface="+mn-ea"/>
              <a:cs typeface="+mn-cs"/>
            </a:rPr>
            <a:t>Disclaimer: “This spreadsheet is intended as a tool to provide convenience in hydraulic design.  There is no guarantee, either implied or explicit, as to the accuracy or reliability of the results provided by this spreadsheet.  By using this spreadsheet, the user agrees to take full responsibility for the input data and for the interpretation and use of the spreadsheet results.”</a:t>
          </a:r>
        </a:p>
        <a:p>
          <a:endParaRPr lang="en-US" sz="1100" i="1">
            <a:solidFill>
              <a:schemeClr val="dk1"/>
            </a:solidFill>
            <a:effectLst/>
            <a:latin typeface="+mn-lt"/>
            <a:ea typeface="+mn-ea"/>
            <a:cs typeface="+mn-cs"/>
          </a:endParaRPr>
        </a:p>
        <a:p>
          <a:r>
            <a:rPr lang="en-US" sz="1100">
              <a:solidFill>
                <a:schemeClr val="dk1"/>
              </a:solidFill>
              <a:effectLst/>
              <a:latin typeface="+mn-lt"/>
              <a:ea typeface="+mn-ea"/>
              <a:cs typeface="+mn-cs"/>
            </a:rPr>
            <a:t> </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8</xdr:col>
      <xdr:colOff>515364</xdr:colOff>
      <xdr:row>52</xdr:row>
      <xdr:rowOff>30422</xdr:rowOff>
    </xdr:to>
    <xdr:pic>
      <xdr:nvPicPr>
        <xdr:cNvPr id="2" name="Picture 1">
          <a:extLst>
            <a:ext uri="{FF2B5EF4-FFF2-40B4-BE49-F238E27FC236}">
              <a16:creationId xmlns:a16="http://schemas.microsoft.com/office/drawing/2014/main" id="{2EBB75E2-A1BF-4FB9-851E-4534A9086D11}"/>
            </a:ext>
          </a:extLst>
        </xdr:cNvPr>
        <xdr:cNvPicPr>
          <a:picLocks noChangeAspect="1"/>
        </xdr:cNvPicPr>
      </xdr:nvPicPr>
      <xdr:blipFill>
        <a:blip xmlns:r="http://schemas.openxmlformats.org/officeDocument/2006/relationships" r:embed="rId1"/>
        <a:stretch>
          <a:fillRect/>
        </a:stretch>
      </xdr:blipFill>
      <xdr:spPr>
        <a:xfrm>
          <a:off x="0" y="3048000"/>
          <a:ext cx="6039864" cy="631692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1D8585-DAC7-4983-BCEB-7B9EFB53CA29}" name="Table1" displayName="Table1" ref="A2:I29" totalsRowShown="0" headerRowDxfId="21" headerRowBorderDxfId="20" tableBorderDxfId="19" totalsRowBorderDxfId="18">
  <autoFilter ref="A2:I29" xr:uid="{AC1D8585-DAC7-4983-BCEB-7B9EFB53CA29}"/>
  <tableColumns count="9">
    <tableColumn id="1" xr3:uid="{0D0DE8D4-F0FA-44C1-BD5F-750AC1DA539C}" name="Str. #" dataDxfId="17">
      <calculatedColumnFormula>IF('Inputs-Results'!A9="","",'Inputs-Results'!A9)</calculatedColumnFormula>
    </tableColumn>
    <tableColumn id="2" xr3:uid="{96AD6CB5-2C1D-46DD-A724-6EB294888D2E}" name="Inlet Type" dataDxfId="16">
      <calculatedColumnFormula>IF('Inputs-Results'!B9="","",'Inputs-Results'!B9)</calculatedColumnFormula>
    </tableColumn>
    <tableColumn id="3" xr3:uid="{E8BB6BE3-B618-4EEC-B88C-02BA2239FC05}" name="Location" dataDxfId="15">
      <calculatedColumnFormula>IF('Inputs-Results'!E9="","",'Inputs-Results'!E9)</calculatedColumnFormula>
    </tableColumn>
    <tableColumn id="4" xr3:uid="{356DFDFB-337C-48AC-AD58-59B468102472}" name="Grate Elev" dataDxfId="14">
      <calculatedColumnFormula>IF('Inputs-Results'!O9="","",'Inputs-Results'!O9)</calculatedColumnFormula>
    </tableColumn>
    <tableColumn id="5" xr3:uid="{AA5A22C0-7DBA-42A1-8F3A-9FCA1F18DAC0}" name="Berm Elev" dataDxfId="13">
      <calculatedColumnFormula>IF('Inputs-Results'!P9="","",'Inputs-Results'!P9)</calculatedColumnFormula>
    </tableColumn>
    <tableColumn id="6" xr3:uid="{78E7C2F1-8B68-4DF9-BD46-AA7E17196828}" name="Serviceability Elev" dataDxfId="12">
      <calculatedColumnFormula>IF('Inputs-Results'!R9="","",'Inputs-Results'!R9)</calculatedColumnFormula>
    </tableColumn>
    <tableColumn id="7" xr3:uid="{F8A51822-0C8B-4CF1-9E5D-60DE5DF09241}" name="Inlet HGL" dataDxfId="11">
      <calculatedColumnFormula>IFERROR(IF('Inputs-Results'!AH9="","",'Inputs-Results'!AH9),"")</calculatedColumnFormula>
    </tableColumn>
    <tableColumn id="9" xr3:uid="{0F065D98-C03B-4872-BAD6-CFC7B519D7A7}" name="Pipe HGL" dataDxfId="10">
      <calculatedColumnFormula>IFERROR(IF('Inputs-Results'!I9="","",'Inputs-Results'!I9),"")</calculatedColumnFormula>
    </tableColumn>
    <tableColumn id="10" xr3:uid="{73DD6F92-9027-4E28-8291-999B548F513A}" name=" Pipe size " dataDxfId="9">
      <calculatedColumnFormula>IFERROR(IF('Inputs-Results'!J9="","",'Inputs-Results'!J9),"")</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C1E2B-76EC-45CF-A5B9-CD4AA9CC91A6}">
  <sheetPr>
    <tabColor rgb="FFFFFF00"/>
  </sheetPr>
  <dimension ref="A1:AP35"/>
  <sheetViews>
    <sheetView tabSelected="1" zoomScaleNormal="100" workbookViewId="0">
      <selection activeCell="AB15" sqref="AB15"/>
    </sheetView>
  </sheetViews>
  <sheetFormatPr defaultRowHeight="15" x14ac:dyDescent="0.25"/>
  <cols>
    <col min="1" max="1" width="13.140625" customWidth="1"/>
    <col min="2" max="3" width="12.28515625" customWidth="1"/>
    <col min="4" max="4" width="9.5703125" customWidth="1"/>
    <col min="6" max="6" width="9.42578125" bestFit="1" customWidth="1"/>
    <col min="7" max="12" width="10.140625" customWidth="1"/>
    <col min="13" max="13" width="9.5703125" bestFit="1" customWidth="1"/>
    <col min="14" max="14" width="9.5703125" customWidth="1"/>
    <col min="17" max="17" width="15" customWidth="1"/>
    <col min="18" max="18" width="12.28515625" customWidth="1"/>
    <col min="19" max="19" width="10.28515625" customWidth="1"/>
    <col min="21" max="21" width="10" customWidth="1"/>
    <col min="22" max="25" width="11" customWidth="1"/>
    <col min="28" max="28" width="9.5703125" customWidth="1"/>
    <col min="29" max="29" width="10.5703125" customWidth="1"/>
    <col min="32" max="32" width="15.5703125" customWidth="1"/>
    <col min="33" max="33" width="15.28515625" bestFit="1" customWidth="1"/>
    <col min="34" max="34" width="10.7109375" customWidth="1"/>
    <col min="35" max="35" width="10.5703125" customWidth="1"/>
    <col min="36" max="37" width="10.28515625" customWidth="1"/>
    <col min="39" max="39" width="10" customWidth="1"/>
    <col min="40" max="40" width="11.140625" customWidth="1"/>
  </cols>
  <sheetData>
    <row r="1" spans="1:42" ht="15" customHeight="1" x14ac:dyDescent="0.25">
      <c r="A1" s="115" t="s">
        <v>225</v>
      </c>
      <c r="B1" s="129"/>
      <c r="C1" s="129"/>
      <c r="D1" s="129"/>
      <c r="H1" s="141" t="s">
        <v>243</v>
      </c>
      <c r="I1" s="141"/>
      <c r="J1" s="141"/>
      <c r="K1" s="141"/>
      <c r="L1" s="141"/>
      <c r="M1" s="141"/>
      <c r="N1" s="141"/>
      <c r="O1" s="141"/>
      <c r="P1" s="141"/>
      <c r="Q1" s="141"/>
    </row>
    <row r="2" spans="1:42" x14ac:dyDescent="0.25">
      <c r="A2" s="115" t="s">
        <v>226</v>
      </c>
      <c r="B2" s="129"/>
      <c r="C2" s="129"/>
      <c r="D2" s="129"/>
      <c r="H2" s="141"/>
      <c r="I2" s="141"/>
      <c r="J2" s="141"/>
      <c r="K2" s="141"/>
      <c r="L2" s="141"/>
      <c r="M2" s="141"/>
      <c r="N2" s="141"/>
      <c r="O2" s="141"/>
      <c r="P2" s="141"/>
      <c r="Q2" s="141"/>
    </row>
    <row r="3" spans="1:42" x14ac:dyDescent="0.25">
      <c r="A3" s="115" t="s">
        <v>227</v>
      </c>
      <c r="B3" s="129"/>
      <c r="C3" s="129"/>
      <c r="D3" s="129"/>
      <c r="E3" s="115" t="s">
        <v>229</v>
      </c>
      <c r="F3" s="116"/>
      <c r="H3" s="141"/>
      <c r="I3" s="141"/>
      <c r="J3" s="141"/>
      <c r="K3" s="141"/>
      <c r="L3" s="141"/>
      <c r="M3" s="141"/>
      <c r="N3" s="141"/>
      <c r="O3" s="141"/>
      <c r="P3" s="141"/>
      <c r="Q3" s="141"/>
    </row>
    <row r="4" spans="1:42" x14ac:dyDescent="0.25">
      <c r="A4" s="115" t="s">
        <v>228</v>
      </c>
      <c r="B4" s="129"/>
      <c r="C4" s="129"/>
      <c r="D4" s="129"/>
      <c r="E4" s="115" t="s">
        <v>229</v>
      </c>
      <c r="F4" s="12"/>
      <c r="H4" s="141"/>
      <c r="I4" s="141"/>
      <c r="J4" s="141"/>
      <c r="K4" s="141"/>
      <c r="L4" s="141"/>
      <c r="M4" s="141"/>
      <c r="N4" s="141"/>
      <c r="O4" s="141"/>
      <c r="P4" s="141"/>
      <c r="Q4" s="141"/>
    </row>
    <row r="5" spans="1:42" x14ac:dyDescent="0.25">
      <c r="H5" s="141"/>
      <c r="I5" s="141"/>
      <c r="J5" s="141"/>
      <c r="K5" s="141"/>
      <c r="L5" s="141"/>
      <c r="M5" s="141"/>
      <c r="N5" s="141"/>
      <c r="O5" s="141"/>
      <c r="P5" s="141"/>
      <c r="Q5" s="141"/>
    </row>
    <row r="6" spans="1:42" x14ac:dyDescent="0.25">
      <c r="A6" s="25" t="s">
        <v>224</v>
      </c>
    </row>
    <row r="7" spans="1:42" x14ac:dyDescent="0.25">
      <c r="A7" s="130" t="s">
        <v>156</v>
      </c>
      <c r="B7" s="130"/>
      <c r="C7" s="130"/>
      <c r="D7" s="130"/>
      <c r="E7" s="130"/>
      <c r="F7" s="130"/>
      <c r="G7" s="131" t="s">
        <v>241</v>
      </c>
      <c r="H7" s="131"/>
      <c r="I7" s="138" t="s">
        <v>242</v>
      </c>
      <c r="J7" s="139"/>
      <c r="K7" s="140"/>
      <c r="L7" s="127" t="s">
        <v>157</v>
      </c>
      <c r="M7" s="127"/>
      <c r="N7" s="132" t="s">
        <v>196</v>
      </c>
      <c r="O7" s="133"/>
      <c r="P7" s="133"/>
      <c r="Q7" s="133"/>
      <c r="R7" s="134"/>
      <c r="S7" s="135" t="s">
        <v>155</v>
      </c>
      <c r="T7" s="136"/>
      <c r="U7" s="136"/>
      <c r="V7" s="136"/>
      <c r="W7" s="136"/>
      <c r="X7" s="136"/>
      <c r="Y7" s="136"/>
      <c r="Z7" s="136"/>
      <c r="AA7" s="136"/>
      <c r="AB7" s="136"/>
      <c r="AC7" s="136"/>
      <c r="AD7" s="136"/>
      <c r="AE7" s="137"/>
      <c r="AF7" s="127" t="s">
        <v>6</v>
      </c>
      <c r="AG7" s="127"/>
      <c r="AH7" s="127"/>
      <c r="AI7" s="127"/>
      <c r="AJ7" s="127"/>
      <c r="AK7" s="127"/>
      <c r="AL7" s="128" t="s">
        <v>221</v>
      </c>
      <c r="AM7" s="128"/>
      <c r="AN7" s="128"/>
      <c r="AO7" s="128"/>
    </row>
    <row r="8" spans="1:42" ht="90" x14ac:dyDescent="0.25">
      <c r="A8" s="38" t="s">
        <v>231</v>
      </c>
      <c r="B8" s="39" t="s">
        <v>0</v>
      </c>
      <c r="C8" s="38" t="s">
        <v>41</v>
      </c>
      <c r="D8" s="38" t="s">
        <v>249</v>
      </c>
      <c r="E8" s="38" t="s">
        <v>248</v>
      </c>
      <c r="F8" s="38" t="s">
        <v>60</v>
      </c>
      <c r="G8" s="38" t="s">
        <v>4</v>
      </c>
      <c r="H8" s="38" t="s">
        <v>5</v>
      </c>
      <c r="I8" s="38" t="s">
        <v>238</v>
      </c>
      <c r="J8" s="38" t="s">
        <v>239</v>
      </c>
      <c r="K8" s="38" t="s">
        <v>247</v>
      </c>
      <c r="L8" s="37" t="s">
        <v>159</v>
      </c>
      <c r="M8" s="37" t="s">
        <v>37</v>
      </c>
      <c r="N8" s="38" t="s">
        <v>245</v>
      </c>
      <c r="O8" s="38" t="s">
        <v>244</v>
      </c>
      <c r="P8" s="38" t="s">
        <v>246</v>
      </c>
      <c r="Q8" s="38" t="s">
        <v>219</v>
      </c>
      <c r="R8" s="38" t="s">
        <v>230</v>
      </c>
      <c r="S8" s="38" t="s">
        <v>160</v>
      </c>
      <c r="T8" s="38" t="s">
        <v>161</v>
      </c>
      <c r="U8" s="38" t="s">
        <v>162</v>
      </c>
      <c r="V8" s="38" t="s">
        <v>163</v>
      </c>
      <c r="W8" s="38" t="s">
        <v>164</v>
      </c>
      <c r="X8" s="38" t="s">
        <v>165</v>
      </c>
      <c r="Y8" s="38" t="s">
        <v>166</v>
      </c>
      <c r="Z8" s="38" t="s">
        <v>167</v>
      </c>
      <c r="AA8" s="38" t="s">
        <v>168</v>
      </c>
      <c r="AB8" s="38" t="s">
        <v>169</v>
      </c>
      <c r="AC8" s="38" t="s">
        <v>7</v>
      </c>
      <c r="AD8" s="38" t="s">
        <v>70</v>
      </c>
      <c r="AE8" s="38" t="s">
        <v>115</v>
      </c>
      <c r="AF8" s="37" t="s">
        <v>10</v>
      </c>
      <c r="AG8" s="37" t="s">
        <v>217</v>
      </c>
      <c r="AH8" s="37" t="s">
        <v>9</v>
      </c>
      <c r="AI8" s="37" t="s">
        <v>8</v>
      </c>
      <c r="AJ8" s="37" t="s">
        <v>158</v>
      </c>
      <c r="AK8" s="37" t="s">
        <v>209</v>
      </c>
      <c r="AL8" s="114" t="s">
        <v>198</v>
      </c>
      <c r="AM8" s="114" t="s">
        <v>220</v>
      </c>
      <c r="AN8" s="114" t="s">
        <v>222</v>
      </c>
      <c r="AO8" s="114" t="s">
        <v>223</v>
      </c>
    </row>
    <row r="9" spans="1:42" x14ac:dyDescent="0.25">
      <c r="A9" s="12"/>
      <c r="B9" s="12"/>
      <c r="C9" s="12"/>
      <c r="D9" s="13"/>
      <c r="E9" s="12"/>
      <c r="F9" s="12"/>
      <c r="G9" s="12"/>
      <c r="H9" s="12"/>
      <c r="I9" s="12"/>
      <c r="J9" s="12"/>
      <c r="K9" s="12"/>
      <c r="L9" s="19">
        <f>Bypass!B2</f>
        <v>0</v>
      </c>
      <c r="M9" s="19">
        <f t="shared" ref="M9:M35" si="0">H9+L9</f>
        <v>0</v>
      </c>
      <c r="N9" s="44"/>
      <c r="O9" s="12"/>
      <c r="P9" s="12"/>
      <c r="Q9" s="12"/>
      <c r="R9" s="12"/>
      <c r="S9" s="12"/>
      <c r="T9" s="12"/>
      <c r="U9" s="12"/>
      <c r="V9" s="12"/>
      <c r="W9" s="12"/>
      <c r="X9" s="12"/>
      <c r="Y9" s="12"/>
      <c r="Z9" s="12"/>
      <c r="AA9" s="12"/>
      <c r="AB9" s="12"/>
      <c r="AC9" s="12"/>
      <c r="AD9" s="12"/>
      <c r="AE9" s="12"/>
      <c r="AF9" s="11">
        <f>IFERROR(IF(D9="",VLOOKUP(B9,'Standard Data'!$A$9:$I$13,9,),D9),0)</f>
        <v>0</v>
      </c>
      <c r="AG9" s="18" t="e">
        <f>IF(_xlfn.XLOOKUP(A9,'Flow and depth summary'!$A$4:$A$30,'Flow and depth summary'!$N$4:$N$30)="",IF((P9-O9)&gt;0,IF(B9="Type 7",_xlfn.XLOOKUP(A9,'Flow and depth summary'!$A$4:$A$30,'Flow and depth summary'!$H$4:$H$30),_xlfn.XLOOKUP(A9,'Flow and depth summary'!$A$4:$A$30,'Flow and depth summary'!$K$4:$K$30)),IF(B9="Type 7",_xlfn.XLOOKUP(A9,'Flow and depth summary'!$A$4:$A$30,'Flow and depth summary'!$B$4:$B$30),_xlfn.XLOOKUP(A9,'Flow and depth summary'!$A$4:$A$30,'Flow and depth summary'!$E$4:$E$30))),IF(B9="Type 7",_xlfn.XLOOKUP(A9,'Flow and depth summary'!$A$4:$A$30,'Flow and depth summary'!$N$4:$N$30),_xlfn.XLOOKUP(A9,'Flow and depth summary'!$A$4:$A$30,'Flow and depth summary'!$O$4:$O$30)))</f>
        <v>#N/A</v>
      </c>
      <c r="AH9" s="19" t="e">
        <f>IF(AG9="HGL below berm",AG9,IF(P9-O9&gt;0,AG9+P9,AG9+O9))</f>
        <v>#N/A</v>
      </c>
      <c r="AI9" s="19" t="e">
        <f>IF(_xlfn.XLOOKUP(A9,'Flow and depth summary'!$A$4:$A$30,'Flow and depth summary'!$N$4:$N$30)="",IF(P9-O9&gt;0,IF(B9="Type 7",_xlfn.XLOOKUP(A9,'Flow and depth summary'!$A$4:$A$30,'Flow and depth summary'!$I$4:$I$30),_xlfn.XLOOKUP(A9,'Flow and depth summary'!$A$4:$A$30,'Flow and depth summary'!$L$4:$L$30)),IF(B9="Type 7",_xlfn.XLOOKUP(A9,'Flow and depth summary'!$A$4:$A$30,'Flow and depth summary'!$C$4:$C$30),_xlfn.XLOOKUP(A9,'Flow and depth summary'!$A$4:$A$30,'Flow and depth summary'!$F$4:$F$30))),M9)</f>
        <v>#N/A</v>
      </c>
      <c r="AJ9" s="19" t="e">
        <f>MAX(K9,IF(_xlfn.XLOOKUP(A9,'Flow and depth summary'!$A$4:$A$30,'Flow and depth summary'!$N$4:$N$30)="",IF(P9-O9&gt;0,IF(B9="Type 7",_xlfn.XLOOKUP(A9,'Flow and depth summary'!$A$4:$A$30,'Flow and depth summary'!$J$4:$J$30),_xlfn.XLOOKUP(A9,'Flow and depth summary'!$A$4:$A$30,'Flow and depth summary'!$M$4:$M$30)),IF(B9="Type 7",_xlfn.XLOOKUP(A9,'Flow and depth summary'!$A$4:$A$30,'Flow and depth summary'!$D$4:$D$30),_xlfn.XLOOKUP(A9,'Flow and depth summary'!$A$4:$A$30,'Flow and depth summary'!$G$4:$G$30))),0))</f>
        <v>#N/A</v>
      </c>
      <c r="AK9" s="19" t="str">
        <f t="shared" ref="AK9:AK35" si="1">IF(AE9="Left",T9-O9,IF(AE9="right",AB9-O9,IF(AE9="center (Berm)",P9-O9,"")))</f>
        <v/>
      </c>
      <c r="AL9" s="19" t="e">
        <f>IF(_xlfn.XLOOKUP(A9,'On-grade Calculations'!$A$34:$A$60,'On-grade Calculations'!$AQ$34:$AQ$60)="top of inlet is beyond XS","top of inlet is beyond XS",IF(B9="P-12",IF('Standard Data'!$D$12*SIN(ATAN(1/C9))&lt;AK9,"yes","no"),IF(B9="N-12",IF('Standard Data'!$D$13*SIN(ATAN(1/C9))&lt;AK9,"yes","no"),"")))</f>
        <v>#N/A</v>
      </c>
      <c r="AM9" s="2" t="str">
        <f>IFERROR(IF(AND(E9="sag",OR(B9="P-12",B9="N-12")),IF(M9&gt;MIN('Sag Calculations'!$L$27,'Sag Calculations'!$N$27),"Ditch not big enough to convey flow",""),IF(AND(E9="on-grade",'Ditch Calculations'!G4&lt;'Inputs-Results'!M9),"Ditch not big enough to convey flow","")),"")</f>
        <v/>
      </c>
      <c r="AN9" s="2" t="e">
        <f>IF(AH9="HGL below berm","",IF(AH9&gt;R9,"yes",""))</f>
        <v>#N/A</v>
      </c>
      <c r="AO9" s="2" t="str">
        <f>IF(OR(AE9="center",AE9="",N9=""),"",IF(AE9="right",IF(N9&lt;W9,"Make sure the grate station is equal or greater than the FL station",""),IF(AE9="left",IF(N9&gt;W9,"Make sure the grate station is equal or greater than the FL station",""))))</f>
        <v/>
      </c>
      <c r="AP9" s="113"/>
    </row>
    <row r="10" spans="1:42" x14ac:dyDescent="0.25">
      <c r="A10" s="12"/>
      <c r="B10" s="12"/>
      <c r="C10" s="12"/>
      <c r="D10" s="13"/>
      <c r="E10" s="12"/>
      <c r="F10" s="12"/>
      <c r="G10" s="12"/>
      <c r="H10" s="44"/>
      <c r="I10" s="44"/>
      <c r="J10" s="44"/>
      <c r="K10" s="44"/>
      <c r="L10" s="19">
        <f>Bypass!B3</f>
        <v>0</v>
      </c>
      <c r="M10" s="19">
        <f t="shared" si="0"/>
        <v>0</v>
      </c>
      <c r="N10" s="44"/>
      <c r="O10" s="12"/>
      <c r="P10" s="12"/>
      <c r="Q10" s="12"/>
      <c r="R10" s="12"/>
      <c r="S10" s="12"/>
      <c r="T10" s="12"/>
      <c r="U10" s="12"/>
      <c r="V10" s="12"/>
      <c r="W10" s="12"/>
      <c r="X10" s="12"/>
      <c r="Y10" s="12"/>
      <c r="Z10" s="12"/>
      <c r="AA10" s="12"/>
      <c r="AB10" s="12"/>
      <c r="AC10" s="12"/>
      <c r="AD10" s="12"/>
      <c r="AE10" s="12"/>
      <c r="AF10" s="11">
        <f>IFERROR(IF(D10="",VLOOKUP(B10,'Standard Data'!$A$9:$I$13,9,),D10),0)</f>
        <v>0</v>
      </c>
      <c r="AG10" s="18" t="e">
        <f>IF(_xlfn.XLOOKUP(A10,'Flow and depth summary'!$A$4:$A$30,'Flow and depth summary'!$N$4:$N$30)="",IF((P10-O10)&gt;0,IF(B10="Type 7",_xlfn.XLOOKUP(A10,'Flow and depth summary'!$A$4:$A$30,'Flow and depth summary'!$H$4:$H$30),_xlfn.XLOOKUP(A10,'Flow and depth summary'!$A$4:$A$30,'Flow and depth summary'!$K$4:$K$30)),IF(B10="Type 7",_xlfn.XLOOKUP(A10,'Flow and depth summary'!$A$4:$A$30,'Flow and depth summary'!$B$4:$B$30),_xlfn.XLOOKUP(A10,'Flow and depth summary'!$A$4:$A$30,'Flow and depth summary'!$E$4:$E$30))),IF(B10="Type 7",_xlfn.XLOOKUP(A10,'Flow and depth summary'!$A$4:$A$30,'Flow and depth summary'!$N$4:$N$30),_xlfn.XLOOKUP(A10,'Flow and depth summary'!$A$4:$A$30,'Flow and depth summary'!$O$4:$O$30)))</f>
        <v>#N/A</v>
      </c>
      <c r="AH10" s="19" t="e">
        <f t="shared" ref="AH10:AH35" si="2">IF(AG10="HGL below berm",AG10,IF(P10-O10&gt;0,AG10+P10,AG10+O10))</f>
        <v>#N/A</v>
      </c>
      <c r="AI10" s="19" t="e">
        <f>IF(_xlfn.XLOOKUP(A10,'Flow and depth summary'!$A$4:$A$30,'Flow and depth summary'!$N$4:$N$30)="",IF(P10-O10&gt;0,IF(B10="Type 7",_xlfn.XLOOKUP(A10,'Flow and depth summary'!$A$4:$A$30,'Flow and depth summary'!$I$4:$I$30),_xlfn.XLOOKUP(A10,'Flow and depth summary'!$A$4:$A$30,'Flow and depth summary'!$L$4:$L$30)),IF(B10="Type 7",_xlfn.XLOOKUP(A10,'Flow and depth summary'!$A$4:$A$30,'Flow and depth summary'!$C$4:$C$30),_xlfn.XLOOKUP(A10,'Flow and depth summary'!$A$4:$A$30,'Flow and depth summary'!$F$4:$F$30))),M10)</f>
        <v>#N/A</v>
      </c>
      <c r="AJ10" s="19" t="e">
        <f>IF(_xlfn.XLOOKUP(A10,'Flow and depth summary'!$A$4:$A$30,'Flow and depth summary'!$N$4:$N$30)="",IF(P10-O10&gt;0,IF(B10="Type 7",_xlfn.XLOOKUP(A10,'Flow and depth summary'!$A$4:$A$30,'Flow and depth summary'!$J$4:$J$30),_xlfn.XLOOKUP(A10,'Flow and depth summary'!$A$4:$A$30,'Flow and depth summary'!$M$4:$M$30)),IF(B10="Type 7",_xlfn.XLOOKUP(A10,'Flow and depth summary'!$A$4:$A$30,'Flow and depth summary'!$D$4:$D$30),_xlfn.XLOOKUP(A10,'Flow and depth summary'!$A$4:$A$30,'Flow and depth summary'!$G$4:$G$30))),0)</f>
        <v>#N/A</v>
      </c>
      <c r="AK10" s="19" t="str">
        <f t="shared" si="1"/>
        <v/>
      </c>
      <c r="AL10" s="19" t="e">
        <f>IF(_xlfn.XLOOKUP(A10,'On-grade Calculations'!$A$34:$A$60,'On-grade Calculations'!$AQ$34:$AQ$60)="top of inlet is beyond XS","top of inlet is beyond XS",IF(B10="P-12",IF('Standard Data'!$D$12*SIN(ATAN(1/C10))&lt;AK10,"yes","no"),IF(B10="N-12",IF('Standard Data'!$D$13*SIN(ATAN(1/C10))&lt;AK10,"yes","no"),"")))</f>
        <v>#N/A</v>
      </c>
      <c r="AM10" s="2" t="str">
        <f>IFERROR(IF(AND(E10="sag",OR(B10="P-12",B10="N-12")),IF(M10&gt;MIN('Sag Calculations'!$L$27,'Sag Calculations'!$N$27),"Ditch not big enough to convey flow",""),IF(AND(E10="on-grade",'Ditch Calculations'!G5&lt;'Inputs-Results'!M10),"Ditch not big enough to convey flow","")),"")</f>
        <v/>
      </c>
      <c r="AN10" s="2" t="e">
        <f t="shared" ref="AN10:AN35" si="3">IF(AH10="HGL below berm","",IF(AH10&gt;R10,"yes",""))</f>
        <v>#N/A</v>
      </c>
      <c r="AO10" s="2" t="str">
        <f t="shared" ref="AO10:AO35" si="4">IF(OR(AE10="center",AE10="",N10=""),"",IF(AE10="right",IF(N10&lt;W10,"Make sure the grate station is equal or greater than the FL station",""),IF(AE10="left",IF(N10&gt;W10,"Make sure the grate station is equal or greater than the FL station",""))))</f>
        <v/>
      </c>
    </row>
    <row r="11" spans="1:42" x14ac:dyDescent="0.25">
      <c r="A11" s="12"/>
      <c r="B11" s="12"/>
      <c r="C11" s="12"/>
      <c r="D11" s="13"/>
      <c r="E11" s="12"/>
      <c r="F11" s="12"/>
      <c r="G11" s="12"/>
      <c r="H11" s="12"/>
      <c r="I11" s="12"/>
      <c r="J11" s="12"/>
      <c r="K11" s="12"/>
      <c r="L11" s="19">
        <f>Bypass!B4</f>
        <v>0</v>
      </c>
      <c r="M11" s="19">
        <f t="shared" si="0"/>
        <v>0</v>
      </c>
      <c r="N11" s="44"/>
      <c r="O11" s="12"/>
      <c r="P11" s="12"/>
      <c r="Q11" s="12"/>
      <c r="R11" s="12"/>
      <c r="S11" s="12"/>
      <c r="T11" s="12"/>
      <c r="U11" s="12"/>
      <c r="V11" s="12"/>
      <c r="W11" s="12"/>
      <c r="X11" s="12"/>
      <c r="Y11" s="12"/>
      <c r="Z11" s="12"/>
      <c r="AA11" s="12"/>
      <c r="AB11" s="12"/>
      <c r="AC11" s="12"/>
      <c r="AD11" s="12"/>
      <c r="AE11" s="12"/>
      <c r="AF11" s="11">
        <f>IFERROR(IF(D11="",VLOOKUP(B11,'Standard Data'!$A$9:$I$13,9,),D11),0)</f>
        <v>0</v>
      </c>
      <c r="AG11" s="18" t="e">
        <f>IF(_xlfn.XLOOKUP(A11,'Flow and depth summary'!$A$4:$A$30,'Flow and depth summary'!$N$4:$N$30)="",IF((P11-O11)&gt;0,IF(B11="Type 7",_xlfn.XLOOKUP(A11,'Flow and depth summary'!$A$4:$A$30,'Flow and depth summary'!$H$4:$H$30),_xlfn.XLOOKUP(A11,'Flow and depth summary'!$A$4:$A$30,'Flow and depth summary'!$K$4:$K$30)),IF(B11="Type 7",_xlfn.XLOOKUP(A11,'Flow and depth summary'!$A$4:$A$30,'Flow and depth summary'!$B$4:$B$30),_xlfn.XLOOKUP(A11,'Flow and depth summary'!$A$4:$A$30,'Flow and depth summary'!$E$4:$E$30))),IF(B11="Type 7",_xlfn.XLOOKUP(A11,'Flow and depth summary'!$A$4:$A$30,'Flow and depth summary'!$N$4:$N$30),_xlfn.XLOOKUP(A11,'Flow and depth summary'!$A$4:$A$30,'Flow and depth summary'!$O$4:$O$30)))</f>
        <v>#N/A</v>
      </c>
      <c r="AH11" s="19" t="e">
        <f t="shared" si="2"/>
        <v>#N/A</v>
      </c>
      <c r="AI11" s="19" t="e">
        <f>IF(_xlfn.XLOOKUP(A11,'Flow and depth summary'!$A$4:$A$30,'Flow and depth summary'!$N$4:$N$30)="",IF(P11-O11&gt;0,IF(B11="Type 7",_xlfn.XLOOKUP(A11,'Flow and depth summary'!$A$4:$A$30,'Flow and depth summary'!$I$4:$I$30),_xlfn.XLOOKUP(A11,'Flow and depth summary'!$A$4:$A$30,'Flow and depth summary'!$L$4:$L$30)),IF(B11="Type 7",_xlfn.XLOOKUP(A11,'Flow and depth summary'!$A$4:$A$30,'Flow and depth summary'!$C$4:$C$30),_xlfn.XLOOKUP(A11,'Flow and depth summary'!$A$4:$A$30,'Flow and depth summary'!$F$4:$F$30))),M11)</f>
        <v>#N/A</v>
      </c>
      <c r="AJ11" s="19" t="e">
        <f>IF(_xlfn.XLOOKUP(A11,'Flow and depth summary'!$A$4:$A$30,'Flow and depth summary'!$N$4:$N$30)="",IF(P11-O11&gt;0,IF(B11="Type 7",_xlfn.XLOOKUP(A11,'Flow and depth summary'!$A$4:$A$30,'Flow and depth summary'!$J$4:$J$30),_xlfn.XLOOKUP(A11,'Flow and depth summary'!$A$4:$A$30,'Flow and depth summary'!$M$4:$M$30)),IF(B11="Type 7",_xlfn.XLOOKUP(A11,'Flow and depth summary'!$A$4:$A$30,'Flow and depth summary'!$D$4:$D$30),_xlfn.XLOOKUP(A11,'Flow and depth summary'!$A$4:$A$30,'Flow and depth summary'!$G$4:$G$30))),0)</f>
        <v>#N/A</v>
      </c>
      <c r="AK11" s="19" t="str">
        <f t="shared" si="1"/>
        <v/>
      </c>
      <c r="AL11" s="19" t="e">
        <f>IF(_xlfn.XLOOKUP(A11,'On-grade Calculations'!$A$34:$A$60,'On-grade Calculations'!$AQ$34:$AQ$60)="top of inlet is beyond XS","top of inlet is beyond XS",IF(B11="P-12",IF('Standard Data'!$D$12*SIN(ATAN(1/C11))&lt;AK11,"yes","no"),IF(B11="N-12",IF('Standard Data'!$D$13*SIN(ATAN(1/C11))&lt;AK11,"yes","no"),"")))</f>
        <v>#N/A</v>
      </c>
      <c r="AM11" s="2" t="str">
        <f>IFERROR(IF(AND(E11="sag",OR(B11="P-12",B11="N-12")),IF(M11&gt;MIN('Sag Calculations'!$L$27,'Sag Calculations'!$N$27),"Ditch not big enough to convey flow",""),IF(AND(E11="on-grade",'Ditch Calculations'!G6&lt;'Inputs-Results'!M11),"Ditch not big enough to convey flow","")),"")</f>
        <v/>
      </c>
      <c r="AN11" s="2" t="e">
        <f t="shared" si="3"/>
        <v>#N/A</v>
      </c>
      <c r="AO11" s="2" t="str">
        <f t="shared" si="4"/>
        <v/>
      </c>
    </row>
    <row r="12" spans="1:42" x14ac:dyDescent="0.25">
      <c r="A12" s="12"/>
      <c r="B12" s="12"/>
      <c r="C12" s="12"/>
      <c r="D12" s="13"/>
      <c r="E12" s="12"/>
      <c r="F12" s="12"/>
      <c r="G12" s="12"/>
      <c r="H12" s="12"/>
      <c r="I12" s="12"/>
      <c r="J12" s="12"/>
      <c r="K12" s="12"/>
      <c r="L12" s="19">
        <f>Bypass!B5</f>
        <v>0</v>
      </c>
      <c r="M12" s="19">
        <f t="shared" si="0"/>
        <v>0</v>
      </c>
      <c r="N12" s="44"/>
      <c r="O12" s="12"/>
      <c r="P12" s="12"/>
      <c r="Q12" s="12"/>
      <c r="R12" s="12"/>
      <c r="S12" s="12"/>
      <c r="T12" s="12"/>
      <c r="U12" s="12"/>
      <c r="V12" s="12"/>
      <c r="W12" s="12"/>
      <c r="X12" s="12"/>
      <c r="Y12" s="12"/>
      <c r="Z12" s="12"/>
      <c r="AA12" s="12"/>
      <c r="AB12" s="12"/>
      <c r="AC12" s="12"/>
      <c r="AD12" s="12"/>
      <c r="AE12" s="12"/>
      <c r="AF12" s="11">
        <f>IFERROR(IF(D12="",VLOOKUP(B12,'Standard Data'!$A$9:$I$13,9,),D12),0)</f>
        <v>0</v>
      </c>
      <c r="AG12" s="18" t="e">
        <f>IF(_xlfn.XLOOKUP(A12,'Flow and depth summary'!$A$4:$A$30,'Flow and depth summary'!$N$4:$N$30)="",IF((P12-O12)&gt;0,IF(B12="Type 7",_xlfn.XLOOKUP(A12,'Flow and depth summary'!$A$4:$A$30,'Flow and depth summary'!$H$4:$H$30),_xlfn.XLOOKUP(A12,'Flow and depth summary'!$A$4:$A$30,'Flow and depth summary'!$K$4:$K$30)),IF(B12="Type 7",_xlfn.XLOOKUP(A12,'Flow and depth summary'!$A$4:$A$30,'Flow and depth summary'!$B$4:$B$30),_xlfn.XLOOKUP(A12,'Flow and depth summary'!$A$4:$A$30,'Flow and depth summary'!$E$4:$E$30))),IF(B12="Type 7",_xlfn.XLOOKUP(A12,'Flow and depth summary'!$A$4:$A$30,'Flow and depth summary'!$N$4:$N$30),_xlfn.XLOOKUP(A12,'Flow and depth summary'!$A$4:$A$30,'Flow and depth summary'!$O$4:$O$30)))</f>
        <v>#N/A</v>
      </c>
      <c r="AH12" s="19" t="e">
        <f t="shared" si="2"/>
        <v>#N/A</v>
      </c>
      <c r="AI12" s="19" t="e">
        <f>IF(_xlfn.XLOOKUP(A12,'Flow and depth summary'!$A$4:$A$30,'Flow and depth summary'!$N$4:$N$30)="",IF(P12-O12&gt;0,IF(B12="Type 7",_xlfn.XLOOKUP(A12,'Flow and depth summary'!$A$4:$A$30,'Flow and depth summary'!$I$4:$I$30),_xlfn.XLOOKUP(A12,'Flow and depth summary'!$A$4:$A$30,'Flow and depth summary'!$L$4:$L$30)),IF(B12="Type 7",_xlfn.XLOOKUP(A12,'Flow and depth summary'!$A$4:$A$30,'Flow and depth summary'!$C$4:$C$30),_xlfn.XLOOKUP(A12,'Flow and depth summary'!$A$4:$A$30,'Flow and depth summary'!$F$4:$F$30))),M12)</f>
        <v>#N/A</v>
      </c>
      <c r="AJ12" s="19" t="e">
        <f>IF(_xlfn.XLOOKUP(A12,'Flow and depth summary'!$A$4:$A$30,'Flow and depth summary'!$N$4:$N$30)="",IF(P12-O12&gt;0,IF(B12="Type 7",_xlfn.XLOOKUP(A12,'Flow and depth summary'!$A$4:$A$30,'Flow and depth summary'!$J$4:$J$30),_xlfn.XLOOKUP(A12,'Flow and depth summary'!$A$4:$A$30,'Flow and depth summary'!$M$4:$M$30)),IF(B12="Type 7",_xlfn.XLOOKUP(A12,'Flow and depth summary'!$A$4:$A$30,'Flow and depth summary'!$D$4:$D$30),_xlfn.XLOOKUP(A12,'Flow and depth summary'!$A$4:$A$30,'Flow and depth summary'!$G$4:$G$30))),0)</f>
        <v>#N/A</v>
      </c>
      <c r="AK12" s="19" t="str">
        <f t="shared" si="1"/>
        <v/>
      </c>
      <c r="AL12" s="19" t="e">
        <f>IF(_xlfn.XLOOKUP(A12,'On-grade Calculations'!$A$34:$A$60,'On-grade Calculations'!$AQ$34:$AQ$60)="top of inlet is beyond XS","top of inlet is beyond XS",IF(B12="P-12",IF('Standard Data'!$D$12*SIN(ATAN(1/C12))&lt;AK12,"yes","no"),IF(B12="N-12",IF('Standard Data'!$D$13*SIN(ATAN(1/C12))&lt;AK12,"yes","no"),"")))</f>
        <v>#N/A</v>
      </c>
      <c r="AM12" s="2" t="str">
        <f>IFERROR(IF(AND(E12="sag",OR(B12="P-12",B12="N-12")),IF(M12&gt;MIN('Sag Calculations'!$L$27,'Sag Calculations'!$N$27),"Ditch not big enough to convey flow",""),IF(AND(E12="on-grade",'Ditch Calculations'!G7&lt;'Inputs-Results'!M12),"Ditch not big enough to convey flow","")),"")</f>
        <v/>
      </c>
      <c r="AN12" s="2" t="e">
        <f t="shared" si="3"/>
        <v>#N/A</v>
      </c>
      <c r="AO12" s="2" t="str">
        <f t="shared" si="4"/>
        <v/>
      </c>
    </row>
    <row r="13" spans="1:42" x14ac:dyDescent="0.25">
      <c r="A13" s="12"/>
      <c r="B13" s="12"/>
      <c r="C13" s="12"/>
      <c r="D13" s="13"/>
      <c r="E13" s="12"/>
      <c r="F13" s="12"/>
      <c r="G13" s="12"/>
      <c r="H13" s="12"/>
      <c r="I13" s="12"/>
      <c r="J13" s="12"/>
      <c r="K13" s="12"/>
      <c r="L13" s="19">
        <f>Bypass!B6</f>
        <v>0</v>
      </c>
      <c r="M13" s="19">
        <f t="shared" si="0"/>
        <v>0</v>
      </c>
      <c r="N13" s="44"/>
      <c r="O13" s="12"/>
      <c r="P13" s="12"/>
      <c r="Q13" s="12"/>
      <c r="R13" s="12"/>
      <c r="S13" s="12"/>
      <c r="T13" s="12"/>
      <c r="U13" s="12"/>
      <c r="V13" s="12"/>
      <c r="W13" s="12"/>
      <c r="X13" s="12"/>
      <c r="Y13" s="12"/>
      <c r="Z13" s="12"/>
      <c r="AA13" s="12"/>
      <c r="AB13" s="12"/>
      <c r="AC13" s="12"/>
      <c r="AD13" s="12"/>
      <c r="AE13" s="12"/>
      <c r="AF13" s="11">
        <f>IFERROR(IF(D13="",VLOOKUP(B13,'Standard Data'!$A$9:$I$13,9,),D13),0)</f>
        <v>0</v>
      </c>
      <c r="AG13" s="18" t="e">
        <f>IF(_xlfn.XLOOKUP(A13,'Flow and depth summary'!$A$4:$A$30,'Flow and depth summary'!$N$4:$N$30)="",IF((P13-O13)&gt;0,IF(B13="Type 7",_xlfn.XLOOKUP(A13,'Flow and depth summary'!$A$4:$A$30,'Flow and depth summary'!$H$4:$H$30),_xlfn.XLOOKUP(A13,'Flow and depth summary'!$A$4:$A$30,'Flow and depth summary'!$K$4:$K$30)),IF(B13="Type 7",_xlfn.XLOOKUP(A13,'Flow and depth summary'!$A$4:$A$30,'Flow and depth summary'!$B$4:$B$30),_xlfn.XLOOKUP(A13,'Flow and depth summary'!$A$4:$A$30,'Flow and depth summary'!$E$4:$E$30))),IF(B13="Type 7",_xlfn.XLOOKUP(A13,'Flow and depth summary'!$A$4:$A$30,'Flow and depth summary'!$N$4:$N$30),_xlfn.XLOOKUP(A13,'Flow and depth summary'!$A$4:$A$30,'Flow and depth summary'!$O$4:$O$30)))</f>
        <v>#N/A</v>
      </c>
      <c r="AH13" s="19" t="e">
        <f t="shared" si="2"/>
        <v>#N/A</v>
      </c>
      <c r="AI13" s="19" t="e">
        <f>IF(_xlfn.XLOOKUP(A13,'Flow and depth summary'!$A$4:$A$30,'Flow and depth summary'!$N$4:$N$30)="",IF(P13-O13&gt;0,IF(B13="Type 7",_xlfn.XLOOKUP(A13,'Flow and depth summary'!$A$4:$A$30,'Flow and depth summary'!$I$4:$I$30),_xlfn.XLOOKUP(A13,'Flow and depth summary'!$A$4:$A$30,'Flow and depth summary'!$L$4:$L$30)),IF(B13="Type 7",_xlfn.XLOOKUP(A13,'Flow and depth summary'!$A$4:$A$30,'Flow and depth summary'!$C$4:$C$30),_xlfn.XLOOKUP(A13,'Flow and depth summary'!$A$4:$A$30,'Flow and depth summary'!$F$4:$F$30))),M13)</f>
        <v>#N/A</v>
      </c>
      <c r="AJ13" s="19" t="e">
        <f>IF(_xlfn.XLOOKUP(A13,'Flow and depth summary'!$A$4:$A$30,'Flow and depth summary'!$N$4:$N$30)="",IF(P13-O13&gt;0,IF(B13="Type 7",_xlfn.XLOOKUP(A13,'Flow and depth summary'!$A$4:$A$30,'Flow and depth summary'!$J$4:$J$30),_xlfn.XLOOKUP(A13,'Flow and depth summary'!$A$4:$A$30,'Flow and depth summary'!$M$4:$M$30)),IF(B13="Type 7",_xlfn.XLOOKUP(A13,'Flow and depth summary'!$A$4:$A$30,'Flow and depth summary'!$D$4:$D$30),_xlfn.XLOOKUP(A13,'Flow and depth summary'!$A$4:$A$30,'Flow and depth summary'!$G$4:$G$30))),0)</f>
        <v>#N/A</v>
      </c>
      <c r="AK13" s="19" t="str">
        <f t="shared" si="1"/>
        <v/>
      </c>
      <c r="AL13" s="19" t="e">
        <f>IF(_xlfn.XLOOKUP(A13,'On-grade Calculations'!$A$34:$A$60,'On-grade Calculations'!$AQ$34:$AQ$60)="top of inlet is beyond XS","top of inlet is beyond XS",IF(B13="P-12",IF('Standard Data'!$D$12*SIN(ATAN(1/C13))&lt;AK13,"yes","no"),IF(B13="N-12",IF('Standard Data'!$D$13*SIN(ATAN(1/C13))&lt;AK13,"yes","no"),"")))</f>
        <v>#N/A</v>
      </c>
      <c r="AM13" s="2" t="str">
        <f>IFERROR(IF(AND(E13="sag",OR(B13="P-12",B13="N-12")),IF(M13&gt;MIN('Sag Calculations'!$L$27,'Sag Calculations'!$N$27),"Ditch not big enough to convey flow",""),IF(AND(E13="on-grade",'Ditch Calculations'!G8&lt;'Inputs-Results'!M13),"Ditch not big enough to convey flow","")),"")</f>
        <v/>
      </c>
      <c r="AN13" s="2" t="e">
        <f t="shared" si="3"/>
        <v>#N/A</v>
      </c>
      <c r="AO13" s="2" t="str">
        <f t="shared" si="4"/>
        <v/>
      </c>
    </row>
    <row r="14" spans="1:42" x14ac:dyDescent="0.25">
      <c r="A14" s="12"/>
      <c r="B14" s="12"/>
      <c r="C14" s="12"/>
      <c r="D14" s="13"/>
      <c r="E14" s="12"/>
      <c r="F14" s="12"/>
      <c r="G14" s="12"/>
      <c r="H14" s="12"/>
      <c r="I14" s="12"/>
      <c r="J14" s="12"/>
      <c r="K14" s="12"/>
      <c r="L14" s="19">
        <f>Bypass!B7</f>
        <v>0</v>
      </c>
      <c r="M14" s="19">
        <f t="shared" si="0"/>
        <v>0</v>
      </c>
      <c r="N14" s="44"/>
      <c r="O14" s="12"/>
      <c r="P14" s="12"/>
      <c r="Q14" s="12"/>
      <c r="R14" s="12"/>
      <c r="S14" s="12"/>
      <c r="T14" s="12"/>
      <c r="U14" s="12"/>
      <c r="V14" s="12"/>
      <c r="W14" s="12"/>
      <c r="X14" s="12"/>
      <c r="Y14" s="12"/>
      <c r="Z14" s="12"/>
      <c r="AA14" s="12"/>
      <c r="AB14" s="12"/>
      <c r="AC14" s="12"/>
      <c r="AD14" s="12"/>
      <c r="AE14" s="12"/>
      <c r="AF14" s="11">
        <f>IFERROR(IF(D14="",VLOOKUP(B14,'Standard Data'!$A$9:$I$13,9,),D14),0)</f>
        <v>0</v>
      </c>
      <c r="AG14" s="18" t="e">
        <f>IF(_xlfn.XLOOKUP(A14,'Flow and depth summary'!$A$4:$A$30,'Flow and depth summary'!$N$4:$N$30)="",IF((P14-O14)&gt;0,IF(B14="Type 7",_xlfn.XLOOKUP(A14,'Flow and depth summary'!$A$4:$A$30,'Flow and depth summary'!$H$4:$H$30),_xlfn.XLOOKUP(A14,'Flow and depth summary'!$A$4:$A$30,'Flow and depth summary'!$K$4:$K$30)),IF(B14="Type 7",_xlfn.XLOOKUP(A14,'Flow and depth summary'!$A$4:$A$30,'Flow and depth summary'!$B$4:$B$30),_xlfn.XLOOKUP(A14,'Flow and depth summary'!$A$4:$A$30,'Flow and depth summary'!$E$4:$E$30))),IF(B14="Type 7",_xlfn.XLOOKUP(A14,'Flow and depth summary'!$A$4:$A$30,'Flow and depth summary'!$N$4:$N$30),_xlfn.XLOOKUP(A14,'Flow and depth summary'!$A$4:$A$30,'Flow and depth summary'!$O$4:$O$30)))</f>
        <v>#N/A</v>
      </c>
      <c r="AH14" s="19" t="e">
        <f t="shared" si="2"/>
        <v>#N/A</v>
      </c>
      <c r="AI14" s="19" t="e">
        <f>IF(_xlfn.XLOOKUP(A14,'Flow and depth summary'!$A$4:$A$30,'Flow and depth summary'!$N$4:$N$30)="",IF(P14-O14&gt;0,IF(B14="Type 7",_xlfn.XLOOKUP(A14,'Flow and depth summary'!$A$4:$A$30,'Flow and depth summary'!$I$4:$I$30),_xlfn.XLOOKUP(A14,'Flow and depth summary'!$A$4:$A$30,'Flow and depth summary'!$L$4:$L$30)),IF(B14="Type 7",_xlfn.XLOOKUP(A14,'Flow and depth summary'!$A$4:$A$30,'Flow and depth summary'!$C$4:$C$30),_xlfn.XLOOKUP(A14,'Flow and depth summary'!$A$4:$A$30,'Flow and depth summary'!$F$4:$F$30))),M14)</f>
        <v>#N/A</v>
      </c>
      <c r="AJ14" s="19" t="e">
        <f>IF(_xlfn.XLOOKUP(A14,'Flow and depth summary'!$A$4:$A$30,'Flow and depth summary'!$N$4:$N$30)="",IF(P14-O14&gt;0,IF(B14="Type 7",_xlfn.XLOOKUP(A14,'Flow and depth summary'!$A$4:$A$30,'Flow and depth summary'!$J$4:$J$30),_xlfn.XLOOKUP(A14,'Flow and depth summary'!$A$4:$A$30,'Flow and depth summary'!$M$4:$M$30)),IF(B14="Type 7",_xlfn.XLOOKUP(A14,'Flow and depth summary'!$A$4:$A$30,'Flow and depth summary'!$D$4:$D$30),_xlfn.XLOOKUP(A14,'Flow and depth summary'!$A$4:$A$30,'Flow and depth summary'!$G$4:$G$30))),0)</f>
        <v>#N/A</v>
      </c>
      <c r="AK14" s="19" t="str">
        <f t="shared" si="1"/>
        <v/>
      </c>
      <c r="AL14" s="19" t="e">
        <f>IF(_xlfn.XLOOKUP(A14,'On-grade Calculations'!$A$34:$A$60,'On-grade Calculations'!$AQ$34:$AQ$60)="top of inlet is beyond XS","top of inlet is beyond XS",IF(B14="P-12",IF('Standard Data'!$D$12*SIN(ATAN(1/C14))&lt;AK14,"yes","no"),IF(B14="N-12",IF('Standard Data'!$D$13*SIN(ATAN(1/C14))&lt;AK14,"yes","no"),"")))</f>
        <v>#N/A</v>
      </c>
      <c r="AM14" s="2" t="str">
        <f>IFERROR(IF(AND(E14="sag",OR(B14="P-12",B14="N-12")),IF(M14&gt;MIN('Sag Calculations'!$L$27,'Sag Calculations'!$N$27),"Ditch not big enough to convey flow",""),IF(AND(E14="on-grade",'Ditch Calculations'!G9&lt;'Inputs-Results'!M14),"Ditch not big enough to convey flow","")),"")</f>
        <v/>
      </c>
      <c r="AN14" s="2" t="e">
        <f t="shared" si="3"/>
        <v>#N/A</v>
      </c>
      <c r="AO14" s="2" t="str">
        <f t="shared" si="4"/>
        <v/>
      </c>
    </row>
    <row r="15" spans="1:42" x14ac:dyDescent="0.25">
      <c r="A15" s="12"/>
      <c r="B15" s="12"/>
      <c r="C15" s="12"/>
      <c r="D15" s="13"/>
      <c r="E15" s="12"/>
      <c r="F15" s="12"/>
      <c r="G15" s="12"/>
      <c r="H15" s="12"/>
      <c r="I15" s="12"/>
      <c r="J15" s="12"/>
      <c r="K15" s="12"/>
      <c r="L15" s="19">
        <f>Bypass!B8</f>
        <v>0</v>
      </c>
      <c r="M15" s="19">
        <f t="shared" si="0"/>
        <v>0</v>
      </c>
      <c r="N15" s="44"/>
      <c r="O15" s="12"/>
      <c r="P15" s="12"/>
      <c r="Q15" s="12"/>
      <c r="R15" s="12"/>
      <c r="S15" s="12"/>
      <c r="T15" s="12"/>
      <c r="U15" s="12"/>
      <c r="V15" s="12"/>
      <c r="W15" s="12"/>
      <c r="X15" s="12"/>
      <c r="Y15" s="12"/>
      <c r="Z15" s="12"/>
      <c r="AA15" s="12"/>
      <c r="AB15" s="12"/>
      <c r="AC15" s="12"/>
      <c r="AD15" s="12"/>
      <c r="AE15" s="12"/>
      <c r="AF15" s="11">
        <f>IFERROR(IF(D15="",VLOOKUP(B15,'Standard Data'!$A$9:$I$13,9,),D15),0)</f>
        <v>0</v>
      </c>
      <c r="AG15" s="18" t="e">
        <f>IF(_xlfn.XLOOKUP(A15,'Flow and depth summary'!$A$4:$A$30,'Flow and depth summary'!$N$4:$N$30)="",IF((P15-O15)&gt;0,IF(B15="Type 7",_xlfn.XLOOKUP(A15,'Flow and depth summary'!$A$4:$A$30,'Flow and depth summary'!$H$4:$H$30),_xlfn.XLOOKUP(A15,'Flow and depth summary'!$A$4:$A$30,'Flow and depth summary'!$K$4:$K$30)),IF(B15="Type 7",_xlfn.XLOOKUP(A15,'Flow and depth summary'!$A$4:$A$30,'Flow and depth summary'!$B$4:$B$30),_xlfn.XLOOKUP(A15,'Flow and depth summary'!$A$4:$A$30,'Flow and depth summary'!$E$4:$E$30))),IF(B15="Type 7",_xlfn.XLOOKUP(A15,'Flow and depth summary'!$A$4:$A$30,'Flow and depth summary'!$N$4:$N$30),_xlfn.XLOOKUP(A15,'Flow and depth summary'!$A$4:$A$30,'Flow and depth summary'!$O$4:$O$30)))</f>
        <v>#N/A</v>
      </c>
      <c r="AH15" s="19" t="e">
        <f t="shared" si="2"/>
        <v>#N/A</v>
      </c>
      <c r="AI15" s="19" t="e">
        <f>IF(_xlfn.XLOOKUP(A15,'Flow and depth summary'!$A$4:$A$30,'Flow and depth summary'!$N$4:$N$30)="",IF(P15-O15&gt;0,IF(B15="Type 7",_xlfn.XLOOKUP(A15,'Flow and depth summary'!$A$4:$A$30,'Flow and depth summary'!$I$4:$I$30),_xlfn.XLOOKUP(A15,'Flow and depth summary'!$A$4:$A$30,'Flow and depth summary'!$L$4:$L$30)),IF(B15="Type 7",_xlfn.XLOOKUP(A15,'Flow and depth summary'!$A$4:$A$30,'Flow and depth summary'!$C$4:$C$30),_xlfn.XLOOKUP(A15,'Flow and depth summary'!$A$4:$A$30,'Flow and depth summary'!$F$4:$F$30))),M15)</f>
        <v>#N/A</v>
      </c>
      <c r="AJ15" s="19" t="e">
        <f>IF(_xlfn.XLOOKUP(A15,'Flow and depth summary'!$A$4:$A$30,'Flow and depth summary'!$N$4:$N$30)="",IF(P15-O15&gt;0,IF(B15="Type 7",_xlfn.XLOOKUP(A15,'Flow and depth summary'!$A$4:$A$30,'Flow and depth summary'!$J$4:$J$30),_xlfn.XLOOKUP(A15,'Flow and depth summary'!$A$4:$A$30,'Flow and depth summary'!$M$4:$M$30)),IF(B15="Type 7",_xlfn.XLOOKUP(A15,'Flow and depth summary'!$A$4:$A$30,'Flow and depth summary'!$D$4:$D$30),_xlfn.XLOOKUP(A15,'Flow and depth summary'!$A$4:$A$30,'Flow and depth summary'!$G$4:$G$30))),0)</f>
        <v>#N/A</v>
      </c>
      <c r="AK15" s="19" t="str">
        <f t="shared" si="1"/>
        <v/>
      </c>
      <c r="AL15" s="19" t="e">
        <f>IF(_xlfn.XLOOKUP(A15,'On-grade Calculations'!$A$34:$A$60,'On-grade Calculations'!$AQ$34:$AQ$60)="top of inlet is beyond XS","top of inlet is beyond XS",IF(B15="P-12",IF('Standard Data'!$D$12*SIN(ATAN(1/C15))&lt;AK15,"yes","no"),IF(B15="N-12",IF('Standard Data'!$D$13*SIN(ATAN(1/C15))&lt;AK15,"yes","no"),"")))</f>
        <v>#N/A</v>
      </c>
      <c r="AM15" s="2" t="str">
        <f>IFERROR(IF(AND(E15="sag",OR(B15="P-12",B15="N-12")),IF(M15&gt;MIN('Sag Calculations'!$L$27,'Sag Calculations'!$N$27),"Ditch not big enough to convey flow",""),IF(AND(E15="on-grade",'Ditch Calculations'!G10&lt;'Inputs-Results'!M15),"Ditch not big enough to convey flow","")),"")</f>
        <v/>
      </c>
      <c r="AN15" s="2" t="e">
        <f t="shared" si="3"/>
        <v>#N/A</v>
      </c>
      <c r="AO15" s="2" t="str">
        <f t="shared" si="4"/>
        <v/>
      </c>
    </row>
    <row r="16" spans="1:42" x14ac:dyDescent="0.25">
      <c r="A16" s="12"/>
      <c r="B16" s="12"/>
      <c r="C16" s="12"/>
      <c r="D16" s="13"/>
      <c r="E16" s="12"/>
      <c r="F16" s="12"/>
      <c r="G16" s="12"/>
      <c r="H16" s="12"/>
      <c r="I16" s="12"/>
      <c r="J16" s="12"/>
      <c r="K16" s="12"/>
      <c r="L16" s="19">
        <f>Bypass!B9</f>
        <v>0</v>
      </c>
      <c r="M16" s="19">
        <f t="shared" si="0"/>
        <v>0</v>
      </c>
      <c r="N16" s="44"/>
      <c r="O16" s="12"/>
      <c r="P16" s="12"/>
      <c r="Q16" s="12"/>
      <c r="R16" s="12"/>
      <c r="S16" s="12"/>
      <c r="T16" s="12"/>
      <c r="U16" s="12"/>
      <c r="V16" s="12"/>
      <c r="W16" s="12"/>
      <c r="X16" s="12"/>
      <c r="Y16" s="12"/>
      <c r="Z16" s="12"/>
      <c r="AA16" s="12"/>
      <c r="AB16" s="12"/>
      <c r="AC16" s="12"/>
      <c r="AD16" s="12"/>
      <c r="AE16" s="12"/>
      <c r="AF16" s="11">
        <f>IFERROR(IF(D16="",VLOOKUP(B16,'Standard Data'!$A$9:$I$13,9,),D16),0)</f>
        <v>0</v>
      </c>
      <c r="AG16" s="18" t="e">
        <f>IF(_xlfn.XLOOKUP(A16,'Flow and depth summary'!$A$4:$A$30,'Flow and depth summary'!$N$4:$N$30)="",IF((P16-O16)&gt;0,IF(B16="Type 7",_xlfn.XLOOKUP(A16,'Flow and depth summary'!$A$4:$A$30,'Flow and depth summary'!$H$4:$H$30),_xlfn.XLOOKUP(A16,'Flow and depth summary'!$A$4:$A$30,'Flow and depth summary'!$K$4:$K$30)),IF(B16="Type 7",_xlfn.XLOOKUP(A16,'Flow and depth summary'!$A$4:$A$30,'Flow and depth summary'!$B$4:$B$30),_xlfn.XLOOKUP(A16,'Flow and depth summary'!$A$4:$A$30,'Flow and depth summary'!$E$4:$E$30))),IF(B16="Type 7",_xlfn.XLOOKUP(A16,'Flow and depth summary'!$A$4:$A$30,'Flow and depth summary'!$N$4:$N$30),_xlfn.XLOOKUP(A16,'Flow and depth summary'!$A$4:$A$30,'Flow and depth summary'!$O$4:$O$30)))</f>
        <v>#N/A</v>
      </c>
      <c r="AH16" s="19" t="e">
        <f t="shared" si="2"/>
        <v>#N/A</v>
      </c>
      <c r="AI16" s="19" t="e">
        <f>IF(_xlfn.XLOOKUP(A16,'Flow and depth summary'!$A$4:$A$30,'Flow and depth summary'!$N$4:$N$30)="",IF(P16-O16&gt;0,IF(B16="Type 7",_xlfn.XLOOKUP(A16,'Flow and depth summary'!$A$4:$A$30,'Flow and depth summary'!$I$4:$I$30),_xlfn.XLOOKUP(A16,'Flow and depth summary'!$A$4:$A$30,'Flow and depth summary'!$L$4:$L$30)),IF(B16="Type 7",_xlfn.XLOOKUP(A16,'Flow and depth summary'!$A$4:$A$30,'Flow and depth summary'!$C$4:$C$30),_xlfn.XLOOKUP(A16,'Flow and depth summary'!$A$4:$A$30,'Flow and depth summary'!$F$4:$F$30))),M16)</f>
        <v>#N/A</v>
      </c>
      <c r="AJ16" s="19" t="e">
        <f>IF(_xlfn.XLOOKUP(A16,'Flow and depth summary'!$A$4:$A$30,'Flow and depth summary'!$N$4:$N$30)="",IF(P16-O16&gt;0,IF(B16="Type 7",_xlfn.XLOOKUP(A16,'Flow and depth summary'!$A$4:$A$30,'Flow and depth summary'!$J$4:$J$30),_xlfn.XLOOKUP(A16,'Flow and depth summary'!$A$4:$A$30,'Flow and depth summary'!$M$4:$M$30)),IF(B16="Type 7",_xlfn.XLOOKUP(A16,'Flow and depth summary'!$A$4:$A$30,'Flow and depth summary'!$D$4:$D$30),_xlfn.XLOOKUP(A16,'Flow and depth summary'!$A$4:$A$30,'Flow and depth summary'!$G$4:$G$30))),0)</f>
        <v>#N/A</v>
      </c>
      <c r="AK16" s="19" t="str">
        <f t="shared" si="1"/>
        <v/>
      </c>
      <c r="AL16" s="19" t="e">
        <f>IF(_xlfn.XLOOKUP(A16,'On-grade Calculations'!$A$34:$A$60,'On-grade Calculations'!$AQ$34:$AQ$60)="top of inlet is beyond XS","top of inlet is beyond XS",IF(B16="P-12",IF('Standard Data'!$D$12*SIN(ATAN(1/C16))&lt;AK16,"yes","no"),IF(B16="N-12",IF('Standard Data'!$D$13*SIN(ATAN(1/C16))&lt;AK16,"yes","no"),"")))</f>
        <v>#N/A</v>
      </c>
      <c r="AM16" s="2" t="str">
        <f>IFERROR(IF(AND(E16="sag",OR(B16="P-12",B16="N-12")),IF(M16&gt;MIN('Sag Calculations'!$L$27,'Sag Calculations'!$N$27),"Ditch not big enough to convey flow",""),IF(AND(E16="on-grade",'Ditch Calculations'!G11&lt;'Inputs-Results'!M16),"Ditch not big enough to convey flow","")),"")</f>
        <v/>
      </c>
      <c r="AN16" s="2" t="e">
        <f t="shared" si="3"/>
        <v>#N/A</v>
      </c>
      <c r="AO16" s="2" t="str">
        <f t="shared" si="4"/>
        <v/>
      </c>
    </row>
    <row r="17" spans="1:41" x14ac:dyDescent="0.25">
      <c r="A17" s="12"/>
      <c r="B17" s="12"/>
      <c r="C17" s="12"/>
      <c r="D17" s="13"/>
      <c r="E17" s="12"/>
      <c r="F17" s="12"/>
      <c r="G17" s="12"/>
      <c r="H17" s="12"/>
      <c r="I17" s="12"/>
      <c r="J17" s="12"/>
      <c r="K17" s="12"/>
      <c r="L17" s="19">
        <f>Bypass!B10</f>
        <v>0</v>
      </c>
      <c r="M17" s="19">
        <f t="shared" si="0"/>
        <v>0</v>
      </c>
      <c r="N17" s="44"/>
      <c r="O17" s="12"/>
      <c r="P17" s="12"/>
      <c r="Q17" s="12"/>
      <c r="R17" s="12"/>
      <c r="S17" s="12"/>
      <c r="T17" s="36"/>
      <c r="U17" s="12"/>
      <c r="V17" s="36"/>
      <c r="W17" s="12"/>
      <c r="X17" s="12"/>
      <c r="Y17" s="12"/>
      <c r="Z17" s="12"/>
      <c r="AA17" s="12"/>
      <c r="AB17" s="12"/>
      <c r="AC17" s="12"/>
      <c r="AD17" s="12"/>
      <c r="AE17" s="12"/>
      <c r="AF17" s="11">
        <f>IFERROR(IF(D17="",VLOOKUP(B17,'Standard Data'!$A$9:$I$13,9,),D17),0)</f>
        <v>0</v>
      </c>
      <c r="AG17" s="18" t="e">
        <f>IF(_xlfn.XLOOKUP(A17,'Flow and depth summary'!$A$4:$A$30,'Flow and depth summary'!$N$4:$N$30)="",IF((P17-O17)&gt;0,IF(B17="Type 7",_xlfn.XLOOKUP(A17,'Flow and depth summary'!$A$4:$A$30,'Flow and depth summary'!$H$4:$H$30),_xlfn.XLOOKUP(A17,'Flow and depth summary'!$A$4:$A$30,'Flow and depth summary'!$K$4:$K$30)),IF(B17="Type 7",_xlfn.XLOOKUP(A17,'Flow and depth summary'!$A$4:$A$30,'Flow and depth summary'!$B$4:$B$30),_xlfn.XLOOKUP(A17,'Flow and depth summary'!$A$4:$A$30,'Flow and depth summary'!$E$4:$E$30))),IF(B17="Type 7",_xlfn.XLOOKUP(A17,'Flow and depth summary'!$A$4:$A$30,'Flow and depth summary'!$N$4:$N$30),_xlfn.XLOOKUP(A17,'Flow and depth summary'!$A$4:$A$30,'Flow and depth summary'!$O$4:$O$30)))</f>
        <v>#N/A</v>
      </c>
      <c r="AH17" s="19" t="e">
        <f t="shared" si="2"/>
        <v>#N/A</v>
      </c>
      <c r="AI17" s="19" t="e">
        <f>IF(_xlfn.XLOOKUP(A17,'Flow and depth summary'!$A$4:$A$30,'Flow and depth summary'!$N$4:$N$30)="",IF(P17-O17&gt;0,IF(B17="Type 7",_xlfn.XLOOKUP(A17,'Flow and depth summary'!$A$4:$A$30,'Flow and depth summary'!$I$4:$I$30),_xlfn.XLOOKUP(A17,'Flow and depth summary'!$A$4:$A$30,'Flow and depth summary'!$L$4:$L$30)),IF(B17="Type 7",_xlfn.XLOOKUP(A17,'Flow and depth summary'!$A$4:$A$30,'Flow and depth summary'!$C$4:$C$30),_xlfn.XLOOKUP(A17,'Flow and depth summary'!$A$4:$A$30,'Flow and depth summary'!$F$4:$F$30))),M17)</f>
        <v>#N/A</v>
      </c>
      <c r="AJ17" s="19" t="e">
        <f>IF(_xlfn.XLOOKUP(A17,'Flow and depth summary'!$A$4:$A$30,'Flow and depth summary'!$N$4:$N$30)="",IF(P17-O17&gt;0,IF(B17="Type 7",_xlfn.XLOOKUP(A17,'Flow and depth summary'!$A$4:$A$30,'Flow and depth summary'!$J$4:$J$30),_xlfn.XLOOKUP(A17,'Flow and depth summary'!$A$4:$A$30,'Flow and depth summary'!$M$4:$M$30)),IF(B17="Type 7",_xlfn.XLOOKUP(A17,'Flow and depth summary'!$A$4:$A$30,'Flow and depth summary'!$D$4:$D$30),_xlfn.XLOOKUP(A17,'Flow and depth summary'!$A$4:$A$30,'Flow and depth summary'!$G$4:$G$30))),0)</f>
        <v>#N/A</v>
      </c>
      <c r="AK17" s="19" t="str">
        <f t="shared" si="1"/>
        <v/>
      </c>
      <c r="AL17" s="19" t="e">
        <f>IF(_xlfn.XLOOKUP(A17,'On-grade Calculations'!$A$34:$A$60,'On-grade Calculations'!$AQ$34:$AQ$60)="top of inlet is beyond XS","top of inlet is beyond XS",IF(B17="P-12",IF('Standard Data'!$D$12*SIN(ATAN(1/C17))&lt;AK17,"yes","no"),IF(B17="N-12",IF('Standard Data'!$D$13*SIN(ATAN(1/C17))&lt;AK17,"yes","no"),"")))</f>
        <v>#N/A</v>
      </c>
      <c r="AM17" s="2" t="str">
        <f>IFERROR(IF(AND(E17="sag",OR(B17="P-12",B17="N-12")),IF(M17&gt;MIN('Sag Calculations'!$L$27,'Sag Calculations'!$N$27),"Ditch not big enough to convey flow",""),IF(AND(E17="on-grade",'Ditch Calculations'!G12&lt;'Inputs-Results'!M17),"Ditch not big enough to convey flow","")),"")</f>
        <v/>
      </c>
      <c r="AN17" s="2" t="e">
        <f t="shared" si="3"/>
        <v>#N/A</v>
      </c>
      <c r="AO17" s="2" t="str">
        <f t="shared" si="4"/>
        <v/>
      </c>
    </row>
    <row r="18" spans="1:41" x14ac:dyDescent="0.25">
      <c r="A18" s="12"/>
      <c r="B18" s="12"/>
      <c r="C18" s="12"/>
      <c r="D18" s="13"/>
      <c r="E18" s="12"/>
      <c r="F18" s="12"/>
      <c r="G18" s="12"/>
      <c r="H18" s="12"/>
      <c r="I18" s="12"/>
      <c r="J18" s="12"/>
      <c r="K18" s="12"/>
      <c r="L18" s="19">
        <f>Bypass!B11</f>
        <v>0</v>
      </c>
      <c r="M18" s="19">
        <f t="shared" si="0"/>
        <v>0</v>
      </c>
      <c r="N18" s="44"/>
      <c r="O18" s="12"/>
      <c r="P18" s="12"/>
      <c r="Q18" s="12"/>
      <c r="R18" s="12"/>
      <c r="S18" s="12"/>
      <c r="T18" s="12"/>
      <c r="U18" s="12"/>
      <c r="V18" s="12"/>
      <c r="W18" s="12"/>
      <c r="X18" s="12"/>
      <c r="Y18" s="12"/>
      <c r="Z18" s="12"/>
      <c r="AA18" s="12"/>
      <c r="AB18" s="12"/>
      <c r="AC18" s="12"/>
      <c r="AD18" s="12"/>
      <c r="AE18" s="12"/>
      <c r="AF18" s="11">
        <f>IFERROR(IF(D18="",VLOOKUP(B18,'Standard Data'!$A$9:$I$13,9,),D18),0)</f>
        <v>0</v>
      </c>
      <c r="AG18" s="18" t="e">
        <f>IF(_xlfn.XLOOKUP(A18,'Flow and depth summary'!$A$4:$A$30,'Flow and depth summary'!$N$4:$N$30)="",IF((P18-O18)&gt;0,IF(B18="Type 7",_xlfn.XLOOKUP(A18,'Flow and depth summary'!$A$4:$A$30,'Flow and depth summary'!$H$4:$H$30),_xlfn.XLOOKUP(A18,'Flow and depth summary'!$A$4:$A$30,'Flow and depth summary'!$K$4:$K$30)),IF(B18="Type 7",_xlfn.XLOOKUP(A18,'Flow and depth summary'!$A$4:$A$30,'Flow and depth summary'!$B$4:$B$30),_xlfn.XLOOKUP(A18,'Flow and depth summary'!$A$4:$A$30,'Flow and depth summary'!$E$4:$E$30))),IF(B18="Type 7",_xlfn.XLOOKUP(A18,'Flow and depth summary'!$A$4:$A$30,'Flow and depth summary'!$N$4:$N$30),_xlfn.XLOOKUP(A18,'Flow and depth summary'!$A$4:$A$30,'Flow and depth summary'!$O$4:$O$30)))</f>
        <v>#N/A</v>
      </c>
      <c r="AH18" s="19" t="e">
        <f t="shared" si="2"/>
        <v>#N/A</v>
      </c>
      <c r="AI18" s="19" t="e">
        <f>IF(_xlfn.XLOOKUP(A18,'Flow and depth summary'!$A$4:$A$30,'Flow and depth summary'!$N$4:$N$30)="",IF(P18-O18&gt;0,IF(B18="Type 7",_xlfn.XLOOKUP(A18,'Flow and depth summary'!$A$4:$A$30,'Flow and depth summary'!$I$4:$I$30),_xlfn.XLOOKUP(A18,'Flow and depth summary'!$A$4:$A$30,'Flow and depth summary'!$L$4:$L$30)),IF(B18="Type 7",_xlfn.XLOOKUP(A18,'Flow and depth summary'!$A$4:$A$30,'Flow and depth summary'!$C$4:$C$30),_xlfn.XLOOKUP(A18,'Flow and depth summary'!$A$4:$A$30,'Flow and depth summary'!$F$4:$F$30))),M18)</f>
        <v>#N/A</v>
      </c>
      <c r="AJ18" s="19" t="e">
        <f>IF(_xlfn.XLOOKUP(A18,'Flow and depth summary'!$A$4:$A$30,'Flow and depth summary'!$N$4:$N$30)="",IF(P18-O18&gt;0,IF(B18="Type 7",_xlfn.XLOOKUP(A18,'Flow and depth summary'!$A$4:$A$30,'Flow and depth summary'!$J$4:$J$30),_xlfn.XLOOKUP(A18,'Flow and depth summary'!$A$4:$A$30,'Flow and depth summary'!$M$4:$M$30)),IF(B18="Type 7",_xlfn.XLOOKUP(A18,'Flow and depth summary'!$A$4:$A$30,'Flow and depth summary'!$D$4:$D$30),_xlfn.XLOOKUP(A18,'Flow and depth summary'!$A$4:$A$30,'Flow and depth summary'!$G$4:$G$30))),0)</f>
        <v>#N/A</v>
      </c>
      <c r="AK18" s="19" t="str">
        <f t="shared" si="1"/>
        <v/>
      </c>
      <c r="AL18" s="19" t="e">
        <f>IF(_xlfn.XLOOKUP(A18,'On-grade Calculations'!$A$34:$A$60,'On-grade Calculations'!$AQ$34:$AQ$60)="top of inlet is beyond XS","top of inlet is beyond XS",IF(B18="P-12",IF('Standard Data'!$D$12*SIN(ATAN(1/C18))&lt;AK18,"yes","no"),IF(B18="N-12",IF('Standard Data'!$D$13*SIN(ATAN(1/C18))&lt;AK18,"yes","no"),"")))</f>
        <v>#N/A</v>
      </c>
      <c r="AM18" s="2" t="str">
        <f>IFERROR(IF(AND(E18="sag",OR(B18="P-12",B18="N-12")),IF(M18&gt;MIN('Sag Calculations'!$L$27,'Sag Calculations'!$N$27),"Ditch not big enough to convey flow",""),IF(AND(E18="on-grade",'Ditch Calculations'!G13&lt;'Inputs-Results'!M18),"Ditch not big enough to convey flow","")),"")</f>
        <v/>
      </c>
      <c r="AN18" s="2" t="e">
        <f t="shared" si="3"/>
        <v>#N/A</v>
      </c>
      <c r="AO18" s="2" t="str">
        <f t="shared" si="4"/>
        <v/>
      </c>
    </row>
    <row r="19" spans="1:41" x14ac:dyDescent="0.25">
      <c r="A19" s="12"/>
      <c r="B19" s="12"/>
      <c r="C19" s="12"/>
      <c r="D19" s="13"/>
      <c r="E19" s="12"/>
      <c r="F19" s="12"/>
      <c r="G19" s="12"/>
      <c r="H19" s="12"/>
      <c r="I19" s="12"/>
      <c r="J19" s="12"/>
      <c r="K19" s="12"/>
      <c r="L19" s="19">
        <f>Bypass!B12</f>
        <v>0</v>
      </c>
      <c r="M19" s="19">
        <f t="shared" si="0"/>
        <v>0</v>
      </c>
      <c r="N19" s="44"/>
      <c r="O19" s="12"/>
      <c r="P19" s="12"/>
      <c r="Q19" s="12"/>
      <c r="R19" s="12"/>
      <c r="S19" s="12"/>
      <c r="T19" s="12"/>
      <c r="U19" s="12"/>
      <c r="V19" s="12"/>
      <c r="W19" s="12"/>
      <c r="X19" s="12"/>
      <c r="Y19" s="12"/>
      <c r="Z19" s="12"/>
      <c r="AA19" s="12"/>
      <c r="AB19" s="12"/>
      <c r="AC19" s="12"/>
      <c r="AD19" s="12"/>
      <c r="AE19" s="12"/>
      <c r="AF19" s="11">
        <f>IFERROR(IF(D19="",VLOOKUP(B19,'Standard Data'!$A$9:$I$13,9,),D19),0)</f>
        <v>0</v>
      </c>
      <c r="AG19" s="18" t="e">
        <f>IF(_xlfn.XLOOKUP(A19,'Flow and depth summary'!$A$4:$A$30,'Flow and depth summary'!$N$4:$N$30)="",IF((P19-O19)&gt;0,IF(B19="Type 7",_xlfn.XLOOKUP(A19,'Flow and depth summary'!$A$4:$A$30,'Flow and depth summary'!$H$4:$H$30),_xlfn.XLOOKUP(A19,'Flow and depth summary'!$A$4:$A$30,'Flow and depth summary'!$K$4:$K$30)),IF(B19="Type 7",_xlfn.XLOOKUP(A19,'Flow and depth summary'!$A$4:$A$30,'Flow and depth summary'!$B$4:$B$30),_xlfn.XLOOKUP(A19,'Flow and depth summary'!$A$4:$A$30,'Flow and depth summary'!$E$4:$E$30))),IF(B19="Type 7",_xlfn.XLOOKUP(A19,'Flow and depth summary'!$A$4:$A$30,'Flow and depth summary'!$N$4:$N$30),_xlfn.XLOOKUP(A19,'Flow and depth summary'!$A$4:$A$30,'Flow and depth summary'!$O$4:$O$30)))</f>
        <v>#N/A</v>
      </c>
      <c r="AH19" s="19" t="e">
        <f t="shared" si="2"/>
        <v>#N/A</v>
      </c>
      <c r="AI19" s="19" t="e">
        <f>IF(_xlfn.XLOOKUP(A19,'Flow and depth summary'!$A$4:$A$30,'Flow and depth summary'!$N$4:$N$30)="",IF(P19-O19&gt;0,IF(B19="Type 7",_xlfn.XLOOKUP(A19,'Flow and depth summary'!$A$4:$A$30,'Flow and depth summary'!$I$4:$I$30),_xlfn.XLOOKUP(A19,'Flow and depth summary'!$A$4:$A$30,'Flow and depth summary'!$L$4:$L$30)),IF(B19="Type 7",_xlfn.XLOOKUP(A19,'Flow and depth summary'!$A$4:$A$30,'Flow and depth summary'!$C$4:$C$30),_xlfn.XLOOKUP(A19,'Flow and depth summary'!$A$4:$A$30,'Flow and depth summary'!$F$4:$F$30))),M19)</f>
        <v>#N/A</v>
      </c>
      <c r="AJ19" s="19" t="e">
        <f>IF(_xlfn.XLOOKUP(A19,'Flow and depth summary'!$A$4:$A$30,'Flow and depth summary'!$N$4:$N$30)="",IF(P19-O19&gt;0,IF(B19="Type 7",_xlfn.XLOOKUP(A19,'Flow and depth summary'!$A$4:$A$30,'Flow and depth summary'!$J$4:$J$30),_xlfn.XLOOKUP(A19,'Flow and depth summary'!$A$4:$A$30,'Flow and depth summary'!$M$4:$M$30)),IF(B19="Type 7",_xlfn.XLOOKUP(A19,'Flow and depth summary'!$A$4:$A$30,'Flow and depth summary'!$D$4:$D$30),_xlfn.XLOOKUP(A19,'Flow and depth summary'!$A$4:$A$30,'Flow and depth summary'!$G$4:$G$30))),0)</f>
        <v>#N/A</v>
      </c>
      <c r="AK19" s="19" t="str">
        <f t="shared" si="1"/>
        <v/>
      </c>
      <c r="AL19" s="19" t="e">
        <f>IF(_xlfn.XLOOKUP(A19,'On-grade Calculations'!$A$34:$A$60,'On-grade Calculations'!$AQ$34:$AQ$60)="top of inlet is beyond XS","top of inlet is beyond XS",IF(B19="P-12",IF('Standard Data'!$D$12*SIN(ATAN(1/C19))&lt;AK19,"yes","no"),IF(B19="N-12",IF('Standard Data'!$D$13*SIN(ATAN(1/C19))&lt;AK19,"yes","no"),"")))</f>
        <v>#N/A</v>
      </c>
      <c r="AM19" s="2" t="str">
        <f>IFERROR(IF(AND(E19="sag",OR(B19="P-12",B19="N-12")),IF(M19&gt;MIN('Sag Calculations'!$L$27,'Sag Calculations'!$N$27),"Ditch not big enough to convey flow",""),IF(AND(E19="on-grade",'Ditch Calculations'!G14&lt;'Inputs-Results'!M19),"Ditch not big enough to convey flow","")),"")</f>
        <v/>
      </c>
      <c r="AN19" s="2" t="e">
        <f t="shared" si="3"/>
        <v>#N/A</v>
      </c>
      <c r="AO19" s="2" t="str">
        <f t="shared" si="4"/>
        <v/>
      </c>
    </row>
    <row r="20" spans="1:41" x14ac:dyDescent="0.25">
      <c r="A20" s="12"/>
      <c r="B20" s="12"/>
      <c r="C20" s="12"/>
      <c r="D20" s="13"/>
      <c r="E20" s="12"/>
      <c r="F20" s="12"/>
      <c r="G20" s="12"/>
      <c r="H20" s="12"/>
      <c r="I20" s="12"/>
      <c r="J20" s="12"/>
      <c r="K20" s="12"/>
      <c r="L20" s="19">
        <f>Bypass!B13</f>
        <v>0</v>
      </c>
      <c r="M20" s="19">
        <f t="shared" si="0"/>
        <v>0</v>
      </c>
      <c r="N20" s="44"/>
      <c r="O20" s="12"/>
      <c r="P20" s="12"/>
      <c r="Q20" s="12"/>
      <c r="R20" s="12"/>
      <c r="S20" s="12"/>
      <c r="T20" s="12"/>
      <c r="U20" s="12"/>
      <c r="V20" s="12"/>
      <c r="W20" s="12"/>
      <c r="X20" s="12"/>
      <c r="Y20" s="12"/>
      <c r="Z20" s="12"/>
      <c r="AA20" s="12"/>
      <c r="AB20" s="12"/>
      <c r="AC20" s="12"/>
      <c r="AD20" s="12"/>
      <c r="AE20" s="12"/>
      <c r="AF20" s="11">
        <f>IFERROR(IF(D20="",VLOOKUP(B20,'Standard Data'!$A$9:$I$13,9,),D20),0)</f>
        <v>0</v>
      </c>
      <c r="AG20" s="18" t="e">
        <f>IF(_xlfn.XLOOKUP(A20,'Flow and depth summary'!$A$4:$A$30,'Flow and depth summary'!$N$4:$N$30)="",IF((P20-O20)&gt;0,IF(B20="Type 7",_xlfn.XLOOKUP(A20,'Flow and depth summary'!$A$4:$A$30,'Flow and depth summary'!$H$4:$H$30),_xlfn.XLOOKUP(A20,'Flow and depth summary'!$A$4:$A$30,'Flow and depth summary'!$K$4:$K$30)),IF(B20="Type 7",_xlfn.XLOOKUP(A20,'Flow and depth summary'!$A$4:$A$30,'Flow and depth summary'!$B$4:$B$30),_xlfn.XLOOKUP(A20,'Flow and depth summary'!$A$4:$A$30,'Flow and depth summary'!$E$4:$E$30))),IF(B20="Type 7",_xlfn.XLOOKUP(A20,'Flow and depth summary'!$A$4:$A$30,'Flow and depth summary'!$N$4:$N$30),_xlfn.XLOOKUP(A20,'Flow and depth summary'!$A$4:$A$30,'Flow and depth summary'!$O$4:$O$30)))</f>
        <v>#N/A</v>
      </c>
      <c r="AH20" s="19" t="e">
        <f t="shared" si="2"/>
        <v>#N/A</v>
      </c>
      <c r="AI20" s="19" t="e">
        <f>IF(_xlfn.XLOOKUP(A20,'Flow and depth summary'!$A$4:$A$30,'Flow and depth summary'!$N$4:$N$30)="",IF(P20-O20&gt;0,IF(B20="Type 7",_xlfn.XLOOKUP(A20,'Flow and depth summary'!$A$4:$A$30,'Flow and depth summary'!$I$4:$I$30),_xlfn.XLOOKUP(A20,'Flow and depth summary'!$A$4:$A$30,'Flow and depth summary'!$L$4:$L$30)),IF(B20="Type 7",_xlfn.XLOOKUP(A20,'Flow and depth summary'!$A$4:$A$30,'Flow and depth summary'!$C$4:$C$30),_xlfn.XLOOKUP(A20,'Flow and depth summary'!$A$4:$A$30,'Flow and depth summary'!$F$4:$F$30))),M20)</f>
        <v>#N/A</v>
      </c>
      <c r="AJ20" s="19" t="e">
        <f>IF(_xlfn.XLOOKUP(A20,'Flow and depth summary'!$A$4:$A$30,'Flow and depth summary'!$N$4:$N$30)="",IF(P20-O20&gt;0,IF(B20="Type 7",_xlfn.XLOOKUP(A20,'Flow and depth summary'!$A$4:$A$30,'Flow and depth summary'!$J$4:$J$30),_xlfn.XLOOKUP(A20,'Flow and depth summary'!$A$4:$A$30,'Flow and depth summary'!$M$4:$M$30)),IF(B20="Type 7",_xlfn.XLOOKUP(A20,'Flow and depth summary'!$A$4:$A$30,'Flow and depth summary'!$D$4:$D$30),_xlfn.XLOOKUP(A20,'Flow and depth summary'!$A$4:$A$30,'Flow and depth summary'!$G$4:$G$30))),0)</f>
        <v>#N/A</v>
      </c>
      <c r="AK20" s="19" t="str">
        <f t="shared" si="1"/>
        <v/>
      </c>
      <c r="AL20" s="19" t="e">
        <f>IF(_xlfn.XLOOKUP(A20,'On-grade Calculations'!$A$34:$A$60,'On-grade Calculations'!$AQ$34:$AQ$60)="top of inlet is beyond XS","top of inlet is beyond XS",IF(B20="P-12",IF('Standard Data'!$D$12*SIN(ATAN(1/C20))&lt;AK20,"yes","no"),IF(B20="N-12",IF('Standard Data'!$D$13*SIN(ATAN(1/C20))&lt;AK20,"yes","no"),"")))</f>
        <v>#N/A</v>
      </c>
      <c r="AM20" s="2" t="str">
        <f>IFERROR(IF(AND(E20="sag",OR(B20="P-12",B20="N-12")),IF(M20&gt;MIN('Sag Calculations'!$L$27,'Sag Calculations'!$N$27),"Ditch not big enough to convey flow",""),IF(AND(E20="on-grade",'Ditch Calculations'!G15&lt;'Inputs-Results'!M20),"Ditch not big enough to convey flow","")),"")</f>
        <v/>
      </c>
      <c r="AN20" s="2" t="e">
        <f t="shared" si="3"/>
        <v>#N/A</v>
      </c>
      <c r="AO20" s="2" t="str">
        <f t="shared" si="4"/>
        <v/>
      </c>
    </row>
    <row r="21" spans="1:41" x14ac:dyDescent="0.25">
      <c r="A21" s="12"/>
      <c r="B21" s="12"/>
      <c r="C21" s="12"/>
      <c r="D21" s="13"/>
      <c r="E21" s="12"/>
      <c r="F21" s="12"/>
      <c r="G21" s="12"/>
      <c r="H21" s="12"/>
      <c r="I21" s="12"/>
      <c r="J21" s="12"/>
      <c r="K21" s="12"/>
      <c r="L21" s="19">
        <f>Bypass!B14</f>
        <v>0</v>
      </c>
      <c r="M21" s="19">
        <f t="shared" si="0"/>
        <v>0</v>
      </c>
      <c r="N21" s="44"/>
      <c r="O21" s="12"/>
      <c r="P21" s="12"/>
      <c r="Q21" s="12"/>
      <c r="R21" s="12"/>
      <c r="S21" s="12"/>
      <c r="T21" s="12"/>
      <c r="U21" s="12"/>
      <c r="V21" s="12"/>
      <c r="W21" s="12"/>
      <c r="X21" s="12"/>
      <c r="Y21" s="12"/>
      <c r="Z21" s="12"/>
      <c r="AA21" s="12"/>
      <c r="AB21" s="12"/>
      <c r="AC21" s="12"/>
      <c r="AD21" s="12"/>
      <c r="AE21" s="12"/>
      <c r="AF21" s="11">
        <f>IFERROR(IF(D21="",VLOOKUP(B21,'Standard Data'!$A$9:$I$13,9,),D21),0)</f>
        <v>0</v>
      </c>
      <c r="AG21" s="18" t="e">
        <f>IF(_xlfn.XLOOKUP(A21,'Flow and depth summary'!$A$4:$A$30,'Flow and depth summary'!$N$4:$N$30)="",IF((P21-O21)&gt;0,IF(B21="Type 7",_xlfn.XLOOKUP(A21,'Flow and depth summary'!$A$4:$A$30,'Flow and depth summary'!$H$4:$H$30),_xlfn.XLOOKUP(A21,'Flow and depth summary'!$A$4:$A$30,'Flow and depth summary'!$K$4:$K$30)),IF(B21="Type 7",_xlfn.XLOOKUP(A21,'Flow and depth summary'!$A$4:$A$30,'Flow and depth summary'!$B$4:$B$30),_xlfn.XLOOKUP(A21,'Flow and depth summary'!$A$4:$A$30,'Flow and depth summary'!$E$4:$E$30))),IF(B21="Type 7",_xlfn.XLOOKUP(A21,'Flow and depth summary'!$A$4:$A$30,'Flow and depth summary'!$N$4:$N$30),_xlfn.XLOOKUP(A21,'Flow and depth summary'!$A$4:$A$30,'Flow and depth summary'!$O$4:$O$30)))</f>
        <v>#N/A</v>
      </c>
      <c r="AH21" s="19" t="e">
        <f t="shared" si="2"/>
        <v>#N/A</v>
      </c>
      <c r="AI21" s="19" t="e">
        <f>IF(_xlfn.XLOOKUP(A21,'Flow and depth summary'!$A$4:$A$30,'Flow and depth summary'!$N$4:$N$30)="",IF(P21-O21&gt;0,IF(B21="Type 7",_xlfn.XLOOKUP(A21,'Flow and depth summary'!$A$4:$A$30,'Flow and depth summary'!$I$4:$I$30),_xlfn.XLOOKUP(A21,'Flow and depth summary'!$A$4:$A$30,'Flow and depth summary'!$L$4:$L$30)),IF(B21="Type 7",_xlfn.XLOOKUP(A21,'Flow and depth summary'!$A$4:$A$30,'Flow and depth summary'!$C$4:$C$30),_xlfn.XLOOKUP(A21,'Flow and depth summary'!$A$4:$A$30,'Flow and depth summary'!$F$4:$F$30))),M21)</f>
        <v>#N/A</v>
      </c>
      <c r="AJ21" s="19" t="e">
        <f>IF(_xlfn.XLOOKUP(A21,'Flow and depth summary'!$A$4:$A$30,'Flow and depth summary'!$N$4:$N$30)="",IF(P21-O21&gt;0,IF(B21="Type 7",_xlfn.XLOOKUP(A21,'Flow and depth summary'!$A$4:$A$30,'Flow and depth summary'!$J$4:$J$30),_xlfn.XLOOKUP(A21,'Flow and depth summary'!$A$4:$A$30,'Flow and depth summary'!$M$4:$M$30)),IF(B21="Type 7",_xlfn.XLOOKUP(A21,'Flow and depth summary'!$A$4:$A$30,'Flow and depth summary'!$D$4:$D$30),_xlfn.XLOOKUP(A21,'Flow and depth summary'!$A$4:$A$30,'Flow and depth summary'!$G$4:$G$30))),0)</f>
        <v>#N/A</v>
      </c>
      <c r="AK21" s="19" t="str">
        <f t="shared" si="1"/>
        <v/>
      </c>
      <c r="AL21" s="19" t="e">
        <f>IF(_xlfn.XLOOKUP(A21,'On-grade Calculations'!$A$34:$A$60,'On-grade Calculations'!$AQ$34:$AQ$60)="top of inlet is beyond XS","top of inlet is beyond XS",IF(B21="P-12",IF('Standard Data'!$D$12*SIN(ATAN(1/C21))&lt;AK21,"yes","no"),IF(B21="N-12",IF('Standard Data'!$D$13*SIN(ATAN(1/C21))&lt;AK21,"yes","no"),"")))</f>
        <v>#N/A</v>
      </c>
      <c r="AM21" s="2" t="str">
        <f>IFERROR(IF(AND(E21="sag",OR(B21="P-12",B21="N-12")),IF(M21&gt;MIN('Sag Calculations'!$L$27,'Sag Calculations'!$N$27),"Ditch not big enough to convey flow",""),IF(AND(E21="on-grade",'Ditch Calculations'!G16&lt;'Inputs-Results'!M21),"Ditch not big enough to convey flow","")),"")</f>
        <v/>
      </c>
      <c r="AN21" s="2" t="e">
        <f t="shared" si="3"/>
        <v>#N/A</v>
      </c>
      <c r="AO21" s="2" t="str">
        <f t="shared" si="4"/>
        <v/>
      </c>
    </row>
    <row r="22" spans="1:41" x14ac:dyDescent="0.25">
      <c r="A22" s="12"/>
      <c r="B22" s="12"/>
      <c r="C22" s="12"/>
      <c r="D22" s="13"/>
      <c r="E22" s="12"/>
      <c r="F22" s="12"/>
      <c r="G22" s="12"/>
      <c r="H22" s="12"/>
      <c r="I22" s="12"/>
      <c r="J22" s="12"/>
      <c r="K22" s="12"/>
      <c r="L22" s="19">
        <f>Bypass!B15</f>
        <v>0</v>
      </c>
      <c r="M22" s="19">
        <f t="shared" si="0"/>
        <v>0</v>
      </c>
      <c r="N22" s="44"/>
      <c r="O22" s="12"/>
      <c r="P22" s="12"/>
      <c r="Q22" s="12"/>
      <c r="R22" s="12"/>
      <c r="S22" s="12"/>
      <c r="T22" s="12"/>
      <c r="U22" s="12"/>
      <c r="V22" s="12"/>
      <c r="W22" s="12"/>
      <c r="X22" s="12"/>
      <c r="Y22" s="12"/>
      <c r="Z22" s="12"/>
      <c r="AA22" s="12"/>
      <c r="AB22" s="12"/>
      <c r="AC22" s="12"/>
      <c r="AD22" s="12"/>
      <c r="AE22" s="12"/>
      <c r="AF22" s="11">
        <f>IFERROR(IF(D22="",VLOOKUP(B22,'Standard Data'!$A$9:$I$13,9,),D22),0)</f>
        <v>0</v>
      </c>
      <c r="AG22" s="18" t="e">
        <f>IF(_xlfn.XLOOKUP(A22,'Flow and depth summary'!$A$4:$A$30,'Flow and depth summary'!$N$4:$N$30)="",IF((P22-O22)&gt;0,IF(B22="Type 7",_xlfn.XLOOKUP(A22,'Flow and depth summary'!$A$4:$A$30,'Flow and depth summary'!$H$4:$H$30),_xlfn.XLOOKUP(A22,'Flow and depth summary'!$A$4:$A$30,'Flow and depth summary'!$K$4:$K$30)),IF(B22="Type 7",_xlfn.XLOOKUP(A22,'Flow and depth summary'!$A$4:$A$30,'Flow and depth summary'!$B$4:$B$30),_xlfn.XLOOKUP(A22,'Flow and depth summary'!$A$4:$A$30,'Flow and depth summary'!$E$4:$E$30))),IF(B22="Type 7",_xlfn.XLOOKUP(A22,'Flow and depth summary'!$A$4:$A$30,'Flow and depth summary'!$N$4:$N$30),_xlfn.XLOOKUP(A22,'Flow and depth summary'!$A$4:$A$30,'Flow and depth summary'!$O$4:$O$30)))</f>
        <v>#N/A</v>
      </c>
      <c r="AH22" s="19" t="e">
        <f t="shared" si="2"/>
        <v>#N/A</v>
      </c>
      <c r="AI22" s="19" t="e">
        <f>IF(_xlfn.XLOOKUP(A22,'Flow and depth summary'!$A$4:$A$30,'Flow and depth summary'!$N$4:$N$30)="",IF(P22-O22&gt;0,IF(B22="Type 7",_xlfn.XLOOKUP(A22,'Flow and depth summary'!$A$4:$A$30,'Flow and depth summary'!$I$4:$I$30),_xlfn.XLOOKUP(A22,'Flow and depth summary'!$A$4:$A$30,'Flow and depth summary'!$L$4:$L$30)),IF(B22="Type 7",_xlfn.XLOOKUP(A22,'Flow and depth summary'!$A$4:$A$30,'Flow and depth summary'!$C$4:$C$30),_xlfn.XLOOKUP(A22,'Flow and depth summary'!$A$4:$A$30,'Flow and depth summary'!$F$4:$F$30))),M22)</f>
        <v>#N/A</v>
      </c>
      <c r="AJ22" s="19" t="e">
        <f>IF(_xlfn.XLOOKUP(A22,'Flow and depth summary'!$A$4:$A$30,'Flow and depth summary'!$N$4:$N$30)="",IF(P22-O22&gt;0,IF(B22="Type 7",_xlfn.XLOOKUP(A22,'Flow and depth summary'!$A$4:$A$30,'Flow and depth summary'!$J$4:$J$30),_xlfn.XLOOKUP(A22,'Flow and depth summary'!$A$4:$A$30,'Flow and depth summary'!$M$4:$M$30)),IF(B22="Type 7",_xlfn.XLOOKUP(A22,'Flow and depth summary'!$A$4:$A$30,'Flow and depth summary'!$D$4:$D$30),_xlfn.XLOOKUP(A22,'Flow and depth summary'!$A$4:$A$30,'Flow and depth summary'!$G$4:$G$30))),0)</f>
        <v>#N/A</v>
      </c>
      <c r="AK22" s="19" t="str">
        <f t="shared" si="1"/>
        <v/>
      </c>
      <c r="AL22" s="19" t="e">
        <f>IF(_xlfn.XLOOKUP(A22,'On-grade Calculations'!$A$34:$A$60,'On-grade Calculations'!$AQ$34:$AQ$60)="top of inlet is beyond XS","top of inlet is beyond XS",IF(B22="P-12",IF('Standard Data'!$D$12*SIN(ATAN(1/C22))&lt;AK22,"yes","no"),IF(B22="N-12",IF('Standard Data'!$D$13*SIN(ATAN(1/C22))&lt;AK22,"yes","no"),"")))</f>
        <v>#N/A</v>
      </c>
      <c r="AM22" s="2" t="str">
        <f>IFERROR(IF(AND(E22="sag",OR(B22="P-12",B22="N-12")),IF(M22&gt;MIN('Sag Calculations'!$L$27,'Sag Calculations'!$N$27),"Ditch not big enough to convey flow",""),IF(AND(E22="on-grade",'Ditch Calculations'!G17&lt;'Inputs-Results'!M22),"Ditch not big enough to convey flow","")),"")</f>
        <v/>
      </c>
      <c r="AN22" s="2" t="e">
        <f t="shared" si="3"/>
        <v>#N/A</v>
      </c>
      <c r="AO22" s="2" t="str">
        <f t="shared" si="4"/>
        <v/>
      </c>
    </row>
    <row r="23" spans="1:41" x14ac:dyDescent="0.25">
      <c r="A23" s="12"/>
      <c r="B23" s="12"/>
      <c r="C23" s="12"/>
      <c r="D23" s="13"/>
      <c r="E23" s="12"/>
      <c r="F23" s="12"/>
      <c r="G23" s="12"/>
      <c r="H23" s="12"/>
      <c r="I23" s="12"/>
      <c r="J23" s="12"/>
      <c r="K23" s="12"/>
      <c r="L23" s="19">
        <f>Bypass!B16</f>
        <v>0</v>
      </c>
      <c r="M23" s="19">
        <f t="shared" si="0"/>
        <v>0</v>
      </c>
      <c r="N23" s="44"/>
      <c r="O23" s="12"/>
      <c r="P23" s="12"/>
      <c r="Q23" s="12"/>
      <c r="R23" s="12"/>
      <c r="S23" s="12"/>
      <c r="T23" s="12"/>
      <c r="U23" s="12"/>
      <c r="V23" s="12"/>
      <c r="W23" s="12"/>
      <c r="X23" s="12"/>
      <c r="Y23" s="12"/>
      <c r="Z23" s="12"/>
      <c r="AA23" s="12"/>
      <c r="AB23" s="12"/>
      <c r="AC23" s="12"/>
      <c r="AD23" s="12"/>
      <c r="AE23" s="12"/>
      <c r="AF23" s="11">
        <f>IFERROR(IF(D23="",VLOOKUP(B23,'Standard Data'!$A$9:$I$13,9,),D23),0)</f>
        <v>0</v>
      </c>
      <c r="AG23" s="18" t="e">
        <f>IF(_xlfn.XLOOKUP(A23,'Flow and depth summary'!$A$4:$A$30,'Flow and depth summary'!$N$4:$N$30)="",IF((P23-O23)&gt;0,IF(B23="Type 7",_xlfn.XLOOKUP(A23,'Flow and depth summary'!$A$4:$A$30,'Flow and depth summary'!$H$4:$H$30),_xlfn.XLOOKUP(A23,'Flow and depth summary'!$A$4:$A$30,'Flow and depth summary'!$K$4:$K$30)),IF(B23="Type 7",_xlfn.XLOOKUP(A23,'Flow and depth summary'!$A$4:$A$30,'Flow and depth summary'!$B$4:$B$30),_xlfn.XLOOKUP(A23,'Flow and depth summary'!$A$4:$A$30,'Flow and depth summary'!$E$4:$E$30))),IF(B23="Type 7",_xlfn.XLOOKUP(A23,'Flow and depth summary'!$A$4:$A$30,'Flow and depth summary'!$N$4:$N$30),_xlfn.XLOOKUP(A23,'Flow and depth summary'!$A$4:$A$30,'Flow and depth summary'!$O$4:$O$30)))</f>
        <v>#N/A</v>
      </c>
      <c r="AH23" s="19" t="e">
        <f t="shared" si="2"/>
        <v>#N/A</v>
      </c>
      <c r="AI23" s="19" t="e">
        <f>IF(_xlfn.XLOOKUP(A23,'Flow and depth summary'!$A$4:$A$30,'Flow and depth summary'!$N$4:$N$30)="",IF(P23-O23&gt;0,IF(B23="Type 7",_xlfn.XLOOKUP(A23,'Flow and depth summary'!$A$4:$A$30,'Flow and depth summary'!$I$4:$I$30),_xlfn.XLOOKUP(A23,'Flow and depth summary'!$A$4:$A$30,'Flow and depth summary'!$L$4:$L$30)),IF(B23="Type 7",_xlfn.XLOOKUP(A23,'Flow and depth summary'!$A$4:$A$30,'Flow and depth summary'!$C$4:$C$30),_xlfn.XLOOKUP(A23,'Flow and depth summary'!$A$4:$A$30,'Flow and depth summary'!$F$4:$F$30))),M23)</f>
        <v>#N/A</v>
      </c>
      <c r="AJ23" s="19" t="e">
        <f>IF(_xlfn.XLOOKUP(A23,'Flow and depth summary'!$A$4:$A$30,'Flow and depth summary'!$N$4:$N$30)="",IF(P23-O23&gt;0,IF(B23="Type 7",_xlfn.XLOOKUP(A23,'Flow and depth summary'!$A$4:$A$30,'Flow and depth summary'!$J$4:$J$30),_xlfn.XLOOKUP(A23,'Flow and depth summary'!$A$4:$A$30,'Flow and depth summary'!$M$4:$M$30)),IF(B23="Type 7",_xlfn.XLOOKUP(A23,'Flow and depth summary'!$A$4:$A$30,'Flow and depth summary'!$D$4:$D$30),_xlfn.XLOOKUP(A23,'Flow and depth summary'!$A$4:$A$30,'Flow and depth summary'!$G$4:$G$30))),0)</f>
        <v>#N/A</v>
      </c>
      <c r="AK23" s="19" t="str">
        <f t="shared" si="1"/>
        <v/>
      </c>
      <c r="AL23" s="19" t="e">
        <f>IF(_xlfn.XLOOKUP(A23,'On-grade Calculations'!$A$34:$A$60,'On-grade Calculations'!$AQ$34:$AQ$60)="top of inlet is beyond XS","top of inlet is beyond XS",IF(B23="P-12",IF('Standard Data'!$D$12*SIN(ATAN(1/C23))&lt;AK23,"yes","no"),IF(B23="N-12",IF('Standard Data'!$D$13*SIN(ATAN(1/C23))&lt;AK23,"yes","no"),"")))</f>
        <v>#N/A</v>
      </c>
      <c r="AM23" s="2" t="str">
        <f>IFERROR(IF(AND(E23="sag",OR(B23="P-12",B23="N-12")),IF(M23&gt;MIN('Sag Calculations'!$L$27,'Sag Calculations'!$N$27),"Ditch not big enough to convey flow",""),IF(AND(E23="on-grade",'Ditch Calculations'!G18&lt;'Inputs-Results'!M23),"Ditch not big enough to convey flow","")),"")</f>
        <v/>
      </c>
      <c r="AN23" s="2" t="e">
        <f t="shared" si="3"/>
        <v>#N/A</v>
      </c>
      <c r="AO23" s="2" t="str">
        <f t="shared" si="4"/>
        <v/>
      </c>
    </row>
    <row r="24" spans="1:41" x14ac:dyDescent="0.25">
      <c r="A24" s="12"/>
      <c r="B24" s="12"/>
      <c r="C24" s="12"/>
      <c r="D24" s="13"/>
      <c r="E24" s="12"/>
      <c r="F24" s="12"/>
      <c r="G24" s="12"/>
      <c r="H24" s="12"/>
      <c r="I24" s="12"/>
      <c r="J24" s="12"/>
      <c r="K24" s="12"/>
      <c r="L24" s="19">
        <f>Bypass!B17</f>
        <v>0</v>
      </c>
      <c r="M24" s="19">
        <f t="shared" si="0"/>
        <v>0</v>
      </c>
      <c r="N24" s="44"/>
      <c r="O24" s="12"/>
      <c r="P24" s="12"/>
      <c r="Q24" s="12"/>
      <c r="R24" s="12"/>
      <c r="S24" s="12"/>
      <c r="T24" s="12"/>
      <c r="U24" s="12"/>
      <c r="V24" s="12"/>
      <c r="W24" s="12"/>
      <c r="X24" s="12"/>
      <c r="Y24" s="12"/>
      <c r="Z24" s="12"/>
      <c r="AA24" s="12"/>
      <c r="AB24" s="12"/>
      <c r="AC24" s="12"/>
      <c r="AD24" s="12"/>
      <c r="AE24" s="12"/>
      <c r="AF24" s="11">
        <f>IFERROR(IF(D24="",VLOOKUP(B24,'Standard Data'!$A$9:$I$13,9,),D24),0)</f>
        <v>0</v>
      </c>
      <c r="AG24" s="18" t="e">
        <f>IF(_xlfn.XLOOKUP(A24,'Flow and depth summary'!$A$4:$A$30,'Flow and depth summary'!$N$4:$N$30)="",IF((P24-O24)&gt;0,IF(B24="Type 7",_xlfn.XLOOKUP(A24,'Flow and depth summary'!$A$4:$A$30,'Flow and depth summary'!$H$4:$H$30),_xlfn.XLOOKUP(A24,'Flow and depth summary'!$A$4:$A$30,'Flow and depth summary'!$K$4:$K$30)),IF(B24="Type 7",_xlfn.XLOOKUP(A24,'Flow and depth summary'!$A$4:$A$30,'Flow and depth summary'!$B$4:$B$30),_xlfn.XLOOKUP(A24,'Flow and depth summary'!$A$4:$A$30,'Flow and depth summary'!$E$4:$E$30))),IF(B24="Type 7",_xlfn.XLOOKUP(A24,'Flow and depth summary'!$A$4:$A$30,'Flow and depth summary'!$N$4:$N$30),_xlfn.XLOOKUP(A24,'Flow and depth summary'!$A$4:$A$30,'Flow and depth summary'!$O$4:$O$30)))</f>
        <v>#N/A</v>
      </c>
      <c r="AH24" s="19" t="e">
        <f t="shared" si="2"/>
        <v>#N/A</v>
      </c>
      <c r="AI24" s="19" t="e">
        <f>IF(_xlfn.XLOOKUP(A24,'Flow and depth summary'!$A$4:$A$30,'Flow and depth summary'!$N$4:$N$30)="",IF(P24-O24&gt;0,IF(B24="Type 7",_xlfn.XLOOKUP(A24,'Flow and depth summary'!$A$4:$A$30,'Flow and depth summary'!$I$4:$I$30),_xlfn.XLOOKUP(A24,'Flow and depth summary'!$A$4:$A$30,'Flow and depth summary'!$L$4:$L$30)),IF(B24="Type 7",_xlfn.XLOOKUP(A24,'Flow and depth summary'!$A$4:$A$30,'Flow and depth summary'!$C$4:$C$30),_xlfn.XLOOKUP(A24,'Flow and depth summary'!$A$4:$A$30,'Flow and depth summary'!$F$4:$F$30))),M24)</f>
        <v>#N/A</v>
      </c>
      <c r="AJ24" s="19" t="e">
        <f>IF(_xlfn.XLOOKUP(A24,'Flow and depth summary'!$A$4:$A$30,'Flow and depth summary'!$N$4:$N$30)="",IF(P24-O24&gt;0,IF(B24="Type 7",_xlfn.XLOOKUP(A24,'Flow and depth summary'!$A$4:$A$30,'Flow and depth summary'!$J$4:$J$30),_xlfn.XLOOKUP(A24,'Flow and depth summary'!$A$4:$A$30,'Flow and depth summary'!$M$4:$M$30)),IF(B24="Type 7",_xlfn.XLOOKUP(A24,'Flow and depth summary'!$A$4:$A$30,'Flow and depth summary'!$D$4:$D$30),_xlfn.XLOOKUP(A24,'Flow and depth summary'!$A$4:$A$30,'Flow and depth summary'!$G$4:$G$30))),0)</f>
        <v>#N/A</v>
      </c>
      <c r="AK24" s="19" t="str">
        <f t="shared" si="1"/>
        <v/>
      </c>
      <c r="AL24" s="19" t="e">
        <f>IF(_xlfn.XLOOKUP(A24,'On-grade Calculations'!$A$34:$A$60,'On-grade Calculations'!$AQ$34:$AQ$60)="top of inlet is beyond XS","top of inlet is beyond XS",IF(B24="P-12",IF('Standard Data'!$D$12*SIN(ATAN(1/C24))&lt;AK24,"yes","no"),IF(B24="N-12",IF('Standard Data'!$D$13*SIN(ATAN(1/C24))&lt;AK24,"yes","no"),"")))</f>
        <v>#N/A</v>
      </c>
      <c r="AM24" s="2" t="str">
        <f>IFERROR(IF(AND(E24="sag",OR(B24="P-12",B24="N-12")),IF(M24&gt;MIN('Sag Calculations'!$L$27,'Sag Calculations'!$N$27),"Ditch not big enough to convey flow",""),IF(AND(E24="on-grade",'Ditch Calculations'!G19&lt;'Inputs-Results'!M24),"Ditch not big enough to convey flow","")),"")</f>
        <v/>
      </c>
      <c r="AN24" s="2" t="e">
        <f t="shared" si="3"/>
        <v>#N/A</v>
      </c>
      <c r="AO24" s="2" t="str">
        <f t="shared" si="4"/>
        <v/>
      </c>
    </row>
    <row r="25" spans="1:41" x14ac:dyDescent="0.25">
      <c r="A25" s="12"/>
      <c r="B25" s="12"/>
      <c r="C25" s="12"/>
      <c r="D25" s="13"/>
      <c r="E25" s="12"/>
      <c r="F25" s="12"/>
      <c r="G25" s="12"/>
      <c r="H25" s="12"/>
      <c r="I25" s="12"/>
      <c r="J25" s="12"/>
      <c r="K25" s="12"/>
      <c r="L25" s="19">
        <f>Bypass!B18</f>
        <v>0</v>
      </c>
      <c r="M25" s="19">
        <f t="shared" si="0"/>
        <v>0</v>
      </c>
      <c r="N25" s="44"/>
      <c r="O25" s="12"/>
      <c r="P25" s="12"/>
      <c r="Q25" s="12"/>
      <c r="R25" s="12"/>
      <c r="S25" s="12"/>
      <c r="T25" s="12"/>
      <c r="U25" s="12"/>
      <c r="V25" s="12"/>
      <c r="W25" s="12"/>
      <c r="X25" s="12"/>
      <c r="Y25" s="12"/>
      <c r="Z25" s="12"/>
      <c r="AA25" s="12"/>
      <c r="AB25" s="12"/>
      <c r="AC25" s="12"/>
      <c r="AD25" s="12"/>
      <c r="AE25" s="12"/>
      <c r="AF25" s="11">
        <f>IFERROR(IF(D25="",VLOOKUP(B25,'Standard Data'!$A$9:$I$13,9,),D25),0)</f>
        <v>0</v>
      </c>
      <c r="AG25" s="18" t="e">
        <f>IF(_xlfn.XLOOKUP(A25,'Flow and depth summary'!$A$4:$A$30,'Flow and depth summary'!$N$4:$N$30)="",IF((P25-O25)&gt;0,IF(B25="Type 7",_xlfn.XLOOKUP(A25,'Flow and depth summary'!$A$4:$A$30,'Flow and depth summary'!$H$4:$H$30),_xlfn.XLOOKUP(A25,'Flow and depth summary'!$A$4:$A$30,'Flow and depth summary'!$K$4:$K$30)),IF(B25="Type 7",_xlfn.XLOOKUP(A25,'Flow and depth summary'!$A$4:$A$30,'Flow and depth summary'!$B$4:$B$30),_xlfn.XLOOKUP(A25,'Flow and depth summary'!$A$4:$A$30,'Flow and depth summary'!$E$4:$E$30))),IF(B25="Type 7",_xlfn.XLOOKUP(A25,'Flow and depth summary'!$A$4:$A$30,'Flow and depth summary'!$N$4:$N$30),_xlfn.XLOOKUP(A25,'Flow and depth summary'!$A$4:$A$30,'Flow and depth summary'!$O$4:$O$30)))</f>
        <v>#N/A</v>
      </c>
      <c r="AH25" s="19" t="e">
        <f t="shared" si="2"/>
        <v>#N/A</v>
      </c>
      <c r="AI25" s="19" t="e">
        <f>IF(_xlfn.XLOOKUP(A25,'Flow and depth summary'!$A$4:$A$30,'Flow and depth summary'!$N$4:$N$30)="",IF(P25-O25&gt;0,IF(B25="Type 7",_xlfn.XLOOKUP(A25,'Flow and depth summary'!$A$4:$A$30,'Flow and depth summary'!$I$4:$I$30),_xlfn.XLOOKUP(A25,'Flow and depth summary'!$A$4:$A$30,'Flow and depth summary'!$L$4:$L$30)),IF(B25="Type 7",_xlfn.XLOOKUP(A25,'Flow and depth summary'!$A$4:$A$30,'Flow and depth summary'!$C$4:$C$30),_xlfn.XLOOKUP(A25,'Flow and depth summary'!$A$4:$A$30,'Flow and depth summary'!$F$4:$F$30))),M25)</f>
        <v>#N/A</v>
      </c>
      <c r="AJ25" s="19" t="e">
        <f>IF(_xlfn.XLOOKUP(A25,'Flow and depth summary'!$A$4:$A$30,'Flow and depth summary'!$N$4:$N$30)="",IF(P25-O25&gt;0,IF(B25="Type 7",_xlfn.XLOOKUP(A25,'Flow and depth summary'!$A$4:$A$30,'Flow and depth summary'!$J$4:$J$30),_xlfn.XLOOKUP(A25,'Flow and depth summary'!$A$4:$A$30,'Flow and depth summary'!$M$4:$M$30)),IF(B25="Type 7",_xlfn.XLOOKUP(A25,'Flow and depth summary'!$A$4:$A$30,'Flow and depth summary'!$D$4:$D$30),_xlfn.XLOOKUP(A25,'Flow and depth summary'!$A$4:$A$30,'Flow and depth summary'!$G$4:$G$30))),0)</f>
        <v>#N/A</v>
      </c>
      <c r="AK25" s="19" t="str">
        <f t="shared" si="1"/>
        <v/>
      </c>
      <c r="AL25" s="19" t="e">
        <f>IF(_xlfn.XLOOKUP(A25,'On-grade Calculations'!$A$34:$A$60,'On-grade Calculations'!$AQ$34:$AQ$60)="top of inlet is beyond XS","top of inlet is beyond XS",IF(B25="P-12",IF('Standard Data'!$D$12*SIN(ATAN(1/C25))&lt;AK25,"yes","no"),IF(B25="N-12",IF('Standard Data'!$D$13*SIN(ATAN(1/C25))&lt;AK25,"yes","no"),"")))</f>
        <v>#N/A</v>
      </c>
      <c r="AM25" s="2" t="str">
        <f>IFERROR(IF(AND(E25="sag",OR(B25="P-12",B25="N-12")),IF(M25&gt;MIN('Sag Calculations'!$L$27,'Sag Calculations'!$N$27),"Ditch not big enough to convey flow",""),IF(AND(E25="on-grade",'Ditch Calculations'!G20&lt;'Inputs-Results'!M25),"Ditch not big enough to convey flow","")),"")</f>
        <v/>
      </c>
      <c r="AN25" s="2" t="e">
        <f t="shared" si="3"/>
        <v>#N/A</v>
      </c>
      <c r="AO25" s="2" t="str">
        <f t="shared" si="4"/>
        <v/>
      </c>
    </row>
    <row r="26" spans="1:41" x14ac:dyDescent="0.25">
      <c r="A26" s="12"/>
      <c r="B26" s="12"/>
      <c r="C26" s="12"/>
      <c r="D26" s="13"/>
      <c r="E26" s="12"/>
      <c r="F26" s="12"/>
      <c r="G26" s="12"/>
      <c r="H26" s="12"/>
      <c r="I26" s="12"/>
      <c r="J26" s="12"/>
      <c r="K26" s="12"/>
      <c r="L26" s="19">
        <f>Bypass!B19</f>
        <v>0</v>
      </c>
      <c r="M26" s="19">
        <f t="shared" si="0"/>
        <v>0</v>
      </c>
      <c r="N26" s="44"/>
      <c r="O26" s="12"/>
      <c r="P26" s="12"/>
      <c r="Q26" s="12"/>
      <c r="R26" s="12"/>
      <c r="S26" s="12"/>
      <c r="T26" s="12"/>
      <c r="U26" s="12"/>
      <c r="V26" s="12"/>
      <c r="W26" s="12"/>
      <c r="X26" s="12"/>
      <c r="Y26" s="12"/>
      <c r="Z26" s="12"/>
      <c r="AA26" s="12"/>
      <c r="AB26" s="12"/>
      <c r="AC26" s="12"/>
      <c r="AD26" s="12"/>
      <c r="AE26" s="12"/>
      <c r="AF26" s="11">
        <f>IFERROR(IF(D26="",VLOOKUP(B26,'Standard Data'!$A$9:$I$13,9,),D26),0)</f>
        <v>0</v>
      </c>
      <c r="AG26" s="18" t="e">
        <f>IF(_xlfn.XLOOKUP(A26,'Flow and depth summary'!$A$4:$A$30,'Flow and depth summary'!$N$4:$N$30)="",IF((P26-O26)&gt;0,IF(B26="Type 7",_xlfn.XLOOKUP(A26,'Flow and depth summary'!$A$4:$A$30,'Flow and depth summary'!$H$4:$H$30),_xlfn.XLOOKUP(A26,'Flow and depth summary'!$A$4:$A$30,'Flow and depth summary'!$K$4:$K$30)),IF(B26="Type 7",_xlfn.XLOOKUP(A26,'Flow and depth summary'!$A$4:$A$30,'Flow and depth summary'!$B$4:$B$30),_xlfn.XLOOKUP(A26,'Flow and depth summary'!$A$4:$A$30,'Flow and depth summary'!$E$4:$E$30))),IF(B26="Type 7",_xlfn.XLOOKUP(A26,'Flow and depth summary'!$A$4:$A$30,'Flow and depth summary'!$N$4:$N$30),_xlfn.XLOOKUP(A26,'Flow and depth summary'!$A$4:$A$30,'Flow and depth summary'!$O$4:$O$30)))</f>
        <v>#N/A</v>
      </c>
      <c r="AH26" s="19" t="e">
        <f t="shared" si="2"/>
        <v>#N/A</v>
      </c>
      <c r="AI26" s="19" t="e">
        <f>IF(_xlfn.XLOOKUP(A26,'Flow and depth summary'!$A$4:$A$30,'Flow and depth summary'!$N$4:$N$30)="",IF(P26-O26&gt;0,IF(B26="Type 7",_xlfn.XLOOKUP(A26,'Flow and depth summary'!$A$4:$A$30,'Flow and depth summary'!$I$4:$I$30),_xlfn.XLOOKUP(A26,'Flow and depth summary'!$A$4:$A$30,'Flow and depth summary'!$L$4:$L$30)),IF(B26="Type 7",_xlfn.XLOOKUP(A26,'Flow and depth summary'!$A$4:$A$30,'Flow and depth summary'!$C$4:$C$30),_xlfn.XLOOKUP(A26,'Flow and depth summary'!$A$4:$A$30,'Flow and depth summary'!$F$4:$F$30))),M26)</f>
        <v>#N/A</v>
      </c>
      <c r="AJ26" s="19" t="e">
        <f>IF(_xlfn.XLOOKUP(A26,'Flow and depth summary'!$A$4:$A$30,'Flow and depth summary'!$N$4:$N$30)="",IF(P26-O26&gt;0,IF(B26="Type 7",_xlfn.XLOOKUP(A26,'Flow and depth summary'!$A$4:$A$30,'Flow and depth summary'!$J$4:$J$30),_xlfn.XLOOKUP(A26,'Flow and depth summary'!$A$4:$A$30,'Flow and depth summary'!$M$4:$M$30)),IF(B26="Type 7",_xlfn.XLOOKUP(A26,'Flow and depth summary'!$A$4:$A$30,'Flow and depth summary'!$D$4:$D$30),_xlfn.XLOOKUP(A26,'Flow and depth summary'!$A$4:$A$30,'Flow and depth summary'!$G$4:$G$30))),0)</f>
        <v>#N/A</v>
      </c>
      <c r="AK26" s="19" t="str">
        <f t="shared" si="1"/>
        <v/>
      </c>
      <c r="AL26" s="19" t="e">
        <f>IF(_xlfn.XLOOKUP(A26,'On-grade Calculations'!$A$34:$A$60,'On-grade Calculations'!$AQ$34:$AQ$60)="top of inlet is beyond XS","top of inlet is beyond XS",IF(B26="P-12",IF('Standard Data'!$D$12*SIN(ATAN(1/C26))&lt;AK26,"yes","no"),IF(B26="N-12",IF('Standard Data'!$D$13*SIN(ATAN(1/C26))&lt;AK26,"yes","no"),"")))</f>
        <v>#N/A</v>
      </c>
      <c r="AM26" s="2" t="str">
        <f>IFERROR(IF(AND(E26="sag",OR(B26="P-12",B26="N-12")),IF(M26&gt;MIN('Sag Calculations'!$L$27,'Sag Calculations'!$N$27),"Ditch not big enough to convey flow",""),IF(AND(E26="on-grade",'Ditch Calculations'!G21&lt;'Inputs-Results'!M26),"Ditch not big enough to convey flow","")),"")</f>
        <v/>
      </c>
      <c r="AN26" s="2" t="e">
        <f t="shared" si="3"/>
        <v>#N/A</v>
      </c>
      <c r="AO26" s="2" t="str">
        <f t="shared" si="4"/>
        <v/>
      </c>
    </row>
    <row r="27" spans="1:41" x14ac:dyDescent="0.25">
      <c r="A27" s="12"/>
      <c r="B27" s="12"/>
      <c r="C27" s="12"/>
      <c r="D27" s="13"/>
      <c r="E27" s="12"/>
      <c r="F27" s="12"/>
      <c r="G27" s="12"/>
      <c r="H27" s="12"/>
      <c r="I27" s="12"/>
      <c r="J27" s="12"/>
      <c r="K27" s="12"/>
      <c r="L27" s="19">
        <f>Bypass!B20</f>
        <v>0</v>
      </c>
      <c r="M27" s="19">
        <f t="shared" si="0"/>
        <v>0</v>
      </c>
      <c r="N27" s="44"/>
      <c r="O27" s="12"/>
      <c r="P27" s="12"/>
      <c r="Q27" s="12"/>
      <c r="R27" s="12"/>
      <c r="S27" s="12"/>
      <c r="T27" s="12"/>
      <c r="U27" s="12"/>
      <c r="V27" s="12"/>
      <c r="W27" s="12"/>
      <c r="X27" s="12"/>
      <c r="Y27" s="12"/>
      <c r="Z27" s="12"/>
      <c r="AA27" s="12"/>
      <c r="AB27" s="12"/>
      <c r="AC27" s="12"/>
      <c r="AD27" s="12"/>
      <c r="AE27" s="12"/>
      <c r="AF27" s="11">
        <f>IFERROR(IF(D27="",VLOOKUP(B27,'Standard Data'!$A$9:$I$13,9,),D27),0)</f>
        <v>0</v>
      </c>
      <c r="AG27" s="18" t="e">
        <f>IF(_xlfn.XLOOKUP(A27,'Flow and depth summary'!$A$4:$A$30,'Flow and depth summary'!$N$4:$N$30)="",IF((P27-O27)&gt;0,IF(B27="Type 7",_xlfn.XLOOKUP(A27,'Flow and depth summary'!$A$4:$A$30,'Flow and depth summary'!$H$4:$H$30),_xlfn.XLOOKUP(A27,'Flow and depth summary'!$A$4:$A$30,'Flow and depth summary'!$K$4:$K$30)),IF(B27="Type 7",_xlfn.XLOOKUP(A27,'Flow and depth summary'!$A$4:$A$30,'Flow and depth summary'!$B$4:$B$30),_xlfn.XLOOKUP(A27,'Flow and depth summary'!$A$4:$A$30,'Flow and depth summary'!$E$4:$E$30))),IF(B27="Type 7",_xlfn.XLOOKUP(A27,'Flow and depth summary'!$A$4:$A$30,'Flow and depth summary'!$N$4:$N$30),_xlfn.XLOOKUP(A27,'Flow and depth summary'!$A$4:$A$30,'Flow and depth summary'!$O$4:$O$30)))</f>
        <v>#N/A</v>
      </c>
      <c r="AH27" s="19" t="e">
        <f t="shared" si="2"/>
        <v>#N/A</v>
      </c>
      <c r="AI27" s="19" t="e">
        <f>IF(_xlfn.XLOOKUP(A27,'Flow and depth summary'!$A$4:$A$30,'Flow and depth summary'!$N$4:$N$30)="",IF(P27-O27&gt;0,IF(B27="Type 7",_xlfn.XLOOKUP(A27,'Flow and depth summary'!$A$4:$A$30,'Flow and depth summary'!$I$4:$I$30),_xlfn.XLOOKUP(A27,'Flow and depth summary'!$A$4:$A$30,'Flow and depth summary'!$L$4:$L$30)),IF(B27="Type 7",_xlfn.XLOOKUP(A27,'Flow and depth summary'!$A$4:$A$30,'Flow and depth summary'!$C$4:$C$30),_xlfn.XLOOKUP(A27,'Flow and depth summary'!$A$4:$A$30,'Flow and depth summary'!$F$4:$F$30))),M27)</f>
        <v>#N/A</v>
      </c>
      <c r="AJ27" s="19" t="e">
        <f>IF(_xlfn.XLOOKUP(A27,'Flow and depth summary'!$A$4:$A$30,'Flow and depth summary'!$N$4:$N$30)="",IF(P27-O27&gt;0,IF(B27="Type 7",_xlfn.XLOOKUP(A27,'Flow and depth summary'!$A$4:$A$30,'Flow and depth summary'!$J$4:$J$30),_xlfn.XLOOKUP(A27,'Flow and depth summary'!$A$4:$A$30,'Flow and depth summary'!$M$4:$M$30)),IF(B27="Type 7",_xlfn.XLOOKUP(A27,'Flow and depth summary'!$A$4:$A$30,'Flow and depth summary'!$D$4:$D$30),_xlfn.XLOOKUP(A27,'Flow and depth summary'!$A$4:$A$30,'Flow and depth summary'!$G$4:$G$30))),0)</f>
        <v>#N/A</v>
      </c>
      <c r="AK27" s="19" t="str">
        <f t="shared" si="1"/>
        <v/>
      </c>
      <c r="AL27" s="19" t="e">
        <f>IF(_xlfn.XLOOKUP(A27,'On-grade Calculations'!$A$34:$A$60,'On-grade Calculations'!$AQ$34:$AQ$60)="top of inlet is beyond XS","top of inlet is beyond XS",IF(B27="P-12",IF('Standard Data'!$D$12*SIN(ATAN(1/C27))&lt;AK27,"yes","no"),IF(B27="N-12",IF('Standard Data'!$D$13*SIN(ATAN(1/C27))&lt;AK27,"yes","no"),"")))</f>
        <v>#N/A</v>
      </c>
      <c r="AM27" s="2" t="str">
        <f>IFERROR(IF(AND(E27="sag",OR(B27="P-12",B27="N-12")),IF(M27&gt;MIN('Sag Calculations'!$L$27,'Sag Calculations'!$N$27),"Ditch not big enough to convey flow",""),IF(AND(E27="on-grade",'Ditch Calculations'!G22&lt;'Inputs-Results'!M27),"Ditch not big enough to convey flow","")),"")</f>
        <v/>
      </c>
      <c r="AN27" s="2" t="e">
        <f t="shared" si="3"/>
        <v>#N/A</v>
      </c>
      <c r="AO27" s="2" t="str">
        <f t="shared" si="4"/>
        <v/>
      </c>
    </row>
    <row r="28" spans="1:41" x14ac:dyDescent="0.25">
      <c r="A28" s="12"/>
      <c r="B28" s="12"/>
      <c r="C28" s="12"/>
      <c r="D28" s="13"/>
      <c r="E28" s="12"/>
      <c r="F28" s="12"/>
      <c r="G28" s="12"/>
      <c r="H28" s="12"/>
      <c r="I28" s="12"/>
      <c r="J28" s="12"/>
      <c r="K28" s="12"/>
      <c r="L28" s="19">
        <f>Bypass!B21</f>
        <v>0</v>
      </c>
      <c r="M28" s="19">
        <f t="shared" si="0"/>
        <v>0</v>
      </c>
      <c r="N28" s="44"/>
      <c r="O28" s="12"/>
      <c r="P28" s="12"/>
      <c r="Q28" s="12"/>
      <c r="R28" s="12"/>
      <c r="S28" s="12"/>
      <c r="T28" s="12"/>
      <c r="U28" s="12"/>
      <c r="V28" s="12"/>
      <c r="W28" s="12"/>
      <c r="X28" s="12"/>
      <c r="Y28" s="12"/>
      <c r="Z28" s="12"/>
      <c r="AA28" s="12"/>
      <c r="AB28" s="12"/>
      <c r="AC28" s="12"/>
      <c r="AD28" s="12"/>
      <c r="AE28" s="12"/>
      <c r="AF28" s="11">
        <f>IFERROR(IF(D28="",VLOOKUP(B28,'Standard Data'!$A$9:$I$13,9,),D28),0)</f>
        <v>0</v>
      </c>
      <c r="AG28" s="18" t="e">
        <f>IF(_xlfn.XLOOKUP(A28,'Flow and depth summary'!$A$4:$A$30,'Flow and depth summary'!$N$4:$N$30)="",IF((P28-O28)&gt;0,IF(B28="Type 7",_xlfn.XLOOKUP(A28,'Flow and depth summary'!$A$4:$A$30,'Flow and depth summary'!$H$4:$H$30),_xlfn.XLOOKUP(A28,'Flow and depth summary'!$A$4:$A$30,'Flow and depth summary'!$K$4:$K$30)),IF(B28="Type 7",_xlfn.XLOOKUP(A28,'Flow and depth summary'!$A$4:$A$30,'Flow and depth summary'!$B$4:$B$30),_xlfn.XLOOKUP(A28,'Flow and depth summary'!$A$4:$A$30,'Flow and depth summary'!$E$4:$E$30))),IF(B28="Type 7",_xlfn.XLOOKUP(A28,'Flow and depth summary'!$A$4:$A$30,'Flow and depth summary'!$N$4:$N$30),_xlfn.XLOOKUP(A28,'Flow and depth summary'!$A$4:$A$30,'Flow and depth summary'!$O$4:$O$30)))</f>
        <v>#N/A</v>
      </c>
      <c r="AH28" s="19" t="e">
        <f t="shared" si="2"/>
        <v>#N/A</v>
      </c>
      <c r="AI28" s="19" t="e">
        <f>IF(_xlfn.XLOOKUP(A28,'Flow and depth summary'!$A$4:$A$30,'Flow and depth summary'!$N$4:$N$30)="",IF(P28-O28&gt;0,IF(B28="Type 7",_xlfn.XLOOKUP(A28,'Flow and depth summary'!$A$4:$A$30,'Flow and depth summary'!$I$4:$I$30),_xlfn.XLOOKUP(A28,'Flow and depth summary'!$A$4:$A$30,'Flow and depth summary'!$L$4:$L$30)),IF(B28="Type 7",_xlfn.XLOOKUP(A28,'Flow and depth summary'!$A$4:$A$30,'Flow and depth summary'!$C$4:$C$30),_xlfn.XLOOKUP(A28,'Flow and depth summary'!$A$4:$A$30,'Flow and depth summary'!$F$4:$F$30))),M28)</f>
        <v>#N/A</v>
      </c>
      <c r="AJ28" s="19" t="e">
        <f>IF(_xlfn.XLOOKUP(A28,'Flow and depth summary'!$A$4:$A$30,'Flow and depth summary'!$N$4:$N$30)="",IF(P28-O28&gt;0,IF(B28="Type 7",_xlfn.XLOOKUP(A28,'Flow and depth summary'!$A$4:$A$30,'Flow and depth summary'!$J$4:$J$30),_xlfn.XLOOKUP(A28,'Flow and depth summary'!$A$4:$A$30,'Flow and depth summary'!$M$4:$M$30)),IF(B28="Type 7",_xlfn.XLOOKUP(A28,'Flow and depth summary'!$A$4:$A$30,'Flow and depth summary'!$D$4:$D$30),_xlfn.XLOOKUP(A28,'Flow and depth summary'!$A$4:$A$30,'Flow and depth summary'!$G$4:$G$30))),0)</f>
        <v>#N/A</v>
      </c>
      <c r="AK28" s="19" t="str">
        <f t="shared" si="1"/>
        <v/>
      </c>
      <c r="AL28" s="19" t="e">
        <f>IF(_xlfn.XLOOKUP(A28,'On-grade Calculations'!$A$34:$A$60,'On-grade Calculations'!$AQ$34:$AQ$60)="top of inlet is beyond XS","top of inlet is beyond XS",IF(B28="P-12",IF('Standard Data'!$D$12*SIN(ATAN(1/C28))&lt;AK28,"yes","no"),IF(B28="N-12",IF('Standard Data'!$D$13*SIN(ATAN(1/C28))&lt;AK28,"yes","no"),"")))</f>
        <v>#N/A</v>
      </c>
      <c r="AM28" s="2" t="str">
        <f>IFERROR(IF(AND(E28="sag",OR(B28="P-12",B28="N-12")),IF(M28&gt;MIN('Sag Calculations'!$L$27,'Sag Calculations'!$N$27),"Ditch not big enough to convey flow",""),IF(AND(E28="on-grade",'Ditch Calculations'!G23&lt;'Inputs-Results'!M28),"Ditch not big enough to convey flow","")),"")</f>
        <v/>
      </c>
      <c r="AN28" s="2" t="e">
        <f t="shared" si="3"/>
        <v>#N/A</v>
      </c>
      <c r="AO28" s="2" t="str">
        <f t="shared" si="4"/>
        <v/>
      </c>
    </row>
    <row r="29" spans="1:41" x14ac:dyDescent="0.25">
      <c r="A29" s="12"/>
      <c r="B29" s="12"/>
      <c r="C29" s="12"/>
      <c r="D29" s="13"/>
      <c r="E29" s="12"/>
      <c r="F29" s="12"/>
      <c r="G29" s="12"/>
      <c r="H29" s="12"/>
      <c r="I29" s="12"/>
      <c r="J29" s="12"/>
      <c r="K29" s="12"/>
      <c r="L29" s="19">
        <f>Bypass!B22</f>
        <v>0</v>
      </c>
      <c r="M29" s="19">
        <f t="shared" si="0"/>
        <v>0</v>
      </c>
      <c r="N29" s="44"/>
      <c r="O29" s="12"/>
      <c r="P29" s="12"/>
      <c r="Q29" s="12"/>
      <c r="R29" s="12"/>
      <c r="S29" s="12"/>
      <c r="T29" s="12"/>
      <c r="U29" s="12"/>
      <c r="V29" s="12"/>
      <c r="W29" s="12"/>
      <c r="X29" s="12"/>
      <c r="Y29" s="12"/>
      <c r="Z29" s="12"/>
      <c r="AA29" s="12"/>
      <c r="AB29" s="12"/>
      <c r="AC29" s="12"/>
      <c r="AD29" s="12"/>
      <c r="AE29" s="12"/>
      <c r="AF29" s="11">
        <f>IFERROR(IF(D29="",VLOOKUP(B29,'Standard Data'!$A$9:$I$13,9,),D29),0)</f>
        <v>0</v>
      </c>
      <c r="AG29" s="18" t="e">
        <f>IF(_xlfn.XLOOKUP(A29,'Flow and depth summary'!$A$4:$A$30,'Flow and depth summary'!$N$4:$N$30)="",IF((P29-O29)&gt;0,IF(B29="Type 7",_xlfn.XLOOKUP(A29,'Flow and depth summary'!$A$4:$A$30,'Flow and depth summary'!$H$4:$H$30),_xlfn.XLOOKUP(A29,'Flow and depth summary'!$A$4:$A$30,'Flow and depth summary'!$K$4:$K$30)),IF(B29="Type 7",_xlfn.XLOOKUP(A29,'Flow and depth summary'!$A$4:$A$30,'Flow and depth summary'!$B$4:$B$30),_xlfn.XLOOKUP(A29,'Flow and depth summary'!$A$4:$A$30,'Flow and depth summary'!$E$4:$E$30))),IF(B29="Type 7",_xlfn.XLOOKUP(A29,'Flow and depth summary'!$A$4:$A$30,'Flow and depth summary'!$N$4:$N$30),_xlfn.XLOOKUP(A29,'Flow and depth summary'!$A$4:$A$30,'Flow and depth summary'!$O$4:$O$30)))</f>
        <v>#N/A</v>
      </c>
      <c r="AH29" s="19" t="e">
        <f t="shared" si="2"/>
        <v>#N/A</v>
      </c>
      <c r="AI29" s="19" t="e">
        <f>IF(_xlfn.XLOOKUP(A29,'Flow and depth summary'!$A$4:$A$30,'Flow and depth summary'!$N$4:$N$30)="",IF(P29-O29&gt;0,IF(B29="Type 7",_xlfn.XLOOKUP(A29,'Flow and depth summary'!$A$4:$A$30,'Flow and depth summary'!$I$4:$I$30),_xlfn.XLOOKUP(A29,'Flow and depth summary'!$A$4:$A$30,'Flow and depth summary'!$L$4:$L$30)),IF(B29="Type 7",_xlfn.XLOOKUP(A29,'Flow and depth summary'!$A$4:$A$30,'Flow and depth summary'!$C$4:$C$30),_xlfn.XLOOKUP(A29,'Flow and depth summary'!$A$4:$A$30,'Flow and depth summary'!$F$4:$F$30))),M29)</f>
        <v>#N/A</v>
      </c>
      <c r="AJ29" s="19" t="e">
        <f>IF(_xlfn.XLOOKUP(A29,'Flow and depth summary'!$A$4:$A$30,'Flow and depth summary'!$N$4:$N$30)="",IF(P29-O29&gt;0,IF(B29="Type 7",_xlfn.XLOOKUP(A29,'Flow and depth summary'!$A$4:$A$30,'Flow and depth summary'!$J$4:$J$30),_xlfn.XLOOKUP(A29,'Flow and depth summary'!$A$4:$A$30,'Flow and depth summary'!$M$4:$M$30)),IF(B29="Type 7",_xlfn.XLOOKUP(A29,'Flow and depth summary'!$A$4:$A$30,'Flow and depth summary'!$D$4:$D$30),_xlfn.XLOOKUP(A29,'Flow and depth summary'!$A$4:$A$30,'Flow and depth summary'!$G$4:$G$30))),0)</f>
        <v>#N/A</v>
      </c>
      <c r="AK29" s="19" t="str">
        <f t="shared" si="1"/>
        <v/>
      </c>
      <c r="AL29" s="19" t="e">
        <f>IF(_xlfn.XLOOKUP(A29,'On-grade Calculations'!$A$34:$A$60,'On-grade Calculations'!$AQ$34:$AQ$60)="top of inlet is beyond XS","top of inlet is beyond XS",IF(B29="P-12",IF('Standard Data'!$D$12*SIN(ATAN(1/C29))&lt;AK29,"yes","no"),IF(B29="N-12",IF('Standard Data'!$D$13*SIN(ATAN(1/C29))&lt;AK29,"yes","no"),"")))</f>
        <v>#N/A</v>
      </c>
      <c r="AM29" s="2" t="str">
        <f>IFERROR(IF(AND(E29="sag",OR(B29="P-12",B29="N-12")),IF(M29&gt;MIN('Sag Calculations'!$L$27,'Sag Calculations'!$N$27),"Ditch not big enough to convey flow",""),IF(AND(E29="on-grade",'Ditch Calculations'!G24&lt;'Inputs-Results'!M29),"Ditch not big enough to convey flow","")),"")</f>
        <v/>
      </c>
      <c r="AN29" s="2" t="e">
        <f t="shared" si="3"/>
        <v>#N/A</v>
      </c>
      <c r="AO29" s="2" t="str">
        <f t="shared" si="4"/>
        <v/>
      </c>
    </row>
    <row r="30" spans="1:41" x14ac:dyDescent="0.25">
      <c r="A30" s="12"/>
      <c r="B30" s="12"/>
      <c r="C30" s="12"/>
      <c r="D30" s="13"/>
      <c r="E30" s="12"/>
      <c r="F30" s="12"/>
      <c r="G30" s="12"/>
      <c r="H30" s="12"/>
      <c r="I30" s="12"/>
      <c r="J30" s="12"/>
      <c r="K30" s="12"/>
      <c r="L30" s="19">
        <f>Bypass!B23</f>
        <v>0</v>
      </c>
      <c r="M30" s="19">
        <f t="shared" si="0"/>
        <v>0</v>
      </c>
      <c r="N30" s="44"/>
      <c r="O30" s="12"/>
      <c r="P30" s="12"/>
      <c r="Q30" s="12"/>
      <c r="R30" s="12"/>
      <c r="S30" s="12"/>
      <c r="T30" s="12"/>
      <c r="U30" s="12"/>
      <c r="V30" s="12"/>
      <c r="W30" s="12"/>
      <c r="X30" s="12"/>
      <c r="Y30" s="12"/>
      <c r="Z30" s="12"/>
      <c r="AA30" s="12"/>
      <c r="AB30" s="12"/>
      <c r="AC30" s="12"/>
      <c r="AD30" s="12"/>
      <c r="AE30" s="12"/>
      <c r="AF30" s="11">
        <f>IFERROR(IF(D30="",VLOOKUP(B30,'Standard Data'!$A$9:$I$13,9,),D30),0)</f>
        <v>0</v>
      </c>
      <c r="AG30" s="18" t="e">
        <f>IF(_xlfn.XLOOKUP(A30,'Flow and depth summary'!$A$4:$A$30,'Flow and depth summary'!$N$4:$N$30)="",IF((P30-O30)&gt;0,IF(B30="Type 7",_xlfn.XLOOKUP(A30,'Flow and depth summary'!$A$4:$A$30,'Flow and depth summary'!$H$4:$H$30),_xlfn.XLOOKUP(A30,'Flow and depth summary'!$A$4:$A$30,'Flow and depth summary'!$K$4:$K$30)),IF(B30="Type 7",_xlfn.XLOOKUP(A30,'Flow and depth summary'!$A$4:$A$30,'Flow and depth summary'!$B$4:$B$30),_xlfn.XLOOKUP(A30,'Flow and depth summary'!$A$4:$A$30,'Flow and depth summary'!$E$4:$E$30))),IF(B30="Type 7",_xlfn.XLOOKUP(A30,'Flow and depth summary'!$A$4:$A$30,'Flow and depth summary'!$N$4:$N$30),_xlfn.XLOOKUP(A30,'Flow and depth summary'!$A$4:$A$30,'Flow and depth summary'!$O$4:$O$30)))</f>
        <v>#N/A</v>
      </c>
      <c r="AH30" s="19" t="e">
        <f t="shared" si="2"/>
        <v>#N/A</v>
      </c>
      <c r="AI30" s="19" t="e">
        <f>IF(_xlfn.XLOOKUP(A30,'Flow and depth summary'!$A$4:$A$30,'Flow and depth summary'!$N$4:$N$30)="",IF(P30-O30&gt;0,IF(B30="Type 7",_xlfn.XLOOKUP(A30,'Flow and depth summary'!$A$4:$A$30,'Flow and depth summary'!$I$4:$I$30),_xlfn.XLOOKUP(A30,'Flow and depth summary'!$A$4:$A$30,'Flow and depth summary'!$L$4:$L$30)),IF(B30="Type 7",_xlfn.XLOOKUP(A30,'Flow and depth summary'!$A$4:$A$30,'Flow and depth summary'!$C$4:$C$30),_xlfn.XLOOKUP(A30,'Flow and depth summary'!$A$4:$A$30,'Flow and depth summary'!$F$4:$F$30))),M30)</f>
        <v>#N/A</v>
      </c>
      <c r="AJ30" s="19" t="e">
        <f>IF(_xlfn.XLOOKUP(A30,'Flow and depth summary'!$A$4:$A$30,'Flow and depth summary'!$N$4:$N$30)="",IF(P30-O30&gt;0,IF(B30="Type 7",_xlfn.XLOOKUP(A30,'Flow and depth summary'!$A$4:$A$30,'Flow and depth summary'!$J$4:$J$30),_xlfn.XLOOKUP(A30,'Flow and depth summary'!$A$4:$A$30,'Flow and depth summary'!$M$4:$M$30)),IF(B30="Type 7",_xlfn.XLOOKUP(A30,'Flow and depth summary'!$A$4:$A$30,'Flow and depth summary'!$D$4:$D$30),_xlfn.XLOOKUP(A30,'Flow and depth summary'!$A$4:$A$30,'Flow and depth summary'!$G$4:$G$30))),0)</f>
        <v>#N/A</v>
      </c>
      <c r="AK30" s="19" t="str">
        <f t="shared" si="1"/>
        <v/>
      </c>
      <c r="AL30" s="19" t="e">
        <f>IF(_xlfn.XLOOKUP(A30,'On-grade Calculations'!$A$34:$A$60,'On-grade Calculations'!$AQ$34:$AQ$60)="top of inlet is beyond XS","top of inlet is beyond XS",IF(B30="P-12",IF('Standard Data'!$D$12*SIN(ATAN(1/C30))&lt;AK30,"yes","no"),IF(B30="N-12",IF('Standard Data'!$D$13*SIN(ATAN(1/C30))&lt;AK30,"yes","no"),"")))</f>
        <v>#N/A</v>
      </c>
      <c r="AM30" s="2" t="str">
        <f>IFERROR(IF(AND(E30="sag",OR(B30="P-12",B30="N-12")),IF(M30&gt;MIN('Sag Calculations'!$L$27,'Sag Calculations'!$N$27),"Ditch not big enough to convey flow",""),IF(AND(E30="on-grade",'Ditch Calculations'!G25&lt;'Inputs-Results'!M30),"Ditch not big enough to convey flow","")),"")</f>
        <v/>
      </c>
      <c r="AN30" s="2" t="e">
        <f t="shared" si="3"/>
        <v>#N/A</v>
      </c>
      <c r="AO30" s="2" t="str">
        <f t="shared" si="4"/>
        <v/>
      </c>
    </row>
    <row r="31" spans="1:41" x14ac:dyDescent="0.25">
      <c r="A31" s="12"/>
      <c r="B31" s="12"/>
      <c r="C31" s="12"/>
      <c r="D31" s="13"/>
      <c r="E31" s="12"/>
      <c r="F31" s="12"/>
      <c r="G31" s="12"/>
      <c r="H31" s="12"/>
      <c r="I31" s="12"/>
      <c r="J31" s="12"/>
      <c r="K31" s="12"/>
      <c r="L31" s="19">
        <f>Bypass!B24</f>
        <v>0</v>
      </c>
      <c r="M31" s="19">
        <f t="shared" si="0"/>
        <v>0</v>
      </c>
      <c r="N31" s="44"/>
      <c r="O31" s="12"/>
      <c r="P31" s="12"/>
      <c r="Q31" s="12"/>
      <c r="R31" s="12"/>
      <c r="S31" s="12"/>
      <c r="T31" s="12"/>
      <c r="U31" s="12"/>
      <c r="V31" s="12"/>
      <c r="W31" s="12"/>
      <c r="X31" s="12"/>
      <c r="Y31" s="12"/>
      <c r="Z31" s="12"/>
      <c r="AA31" s="12"/>
      <c r="AB31" s="12"/>
      <c r="AC31" s="12"/>
      <c r="AD31" s="12"/>
      <c r="AE31" s="12"/>
      <c r="AF31" s="11">
        <f>IFERROR(IF(D31="",VLOOKUP(B31,'Standard Data'!$A$9:$I$13,9,),D31),0)</f>
        <v>0</v>
      </c>
      <c r="AG31" s="18" t="e">
        <f>IF(_xlfn.XLOOKUP(A31,'Flow and depth summary'!$A$4:$A$30,'Flow and depth summary'!$N$4:$N$30)="",IF((P31-O31)&gt;0,IF(B31="Type 7",_xlfn.XLOOKUP(A31,'Flow and depth summary'!$A$4:$A$30,'Flow and depth summary'!$H$4:$H$30),_xlfn.XLOOKUP(A31,'Flow and depth summary'!$A$4:$A$30,'Flow and depth summary'!$K$4:$K$30)),IF(B31="Type 7",_xlfn.XLOOKUP(A31,'Flow and depth summary'!$A$4:$A$30,'Flow and depth summary'!$B$4:$B$30),_xlfn.XLOOKUP(A31,'Flow and depth summary'!$A$4:$A$30,'Flow and depth summary'!$E$4:$E$30))),IF(B31="Type 7",_xlfn.XLOOKUP(A31,'Flow and depth summary'!$A$4:$A$30,'Flow and depth summary'!$N$4:$N$30),_xlfn.XLOOKUP(A31,'Flow and depth summary'!$A$4:$A$30,'Flow and depth summary'!$O$4:$O$30)))</f>
        <v>#N/A</v>
      </c>
      <c r="AH31" s="19" t="e">
        <f t="shared" si="2"/>
        <v>#N/A</v>
      </c>
      <c r="AI31" s="19" t="e">
        <f>IF(_xlfn.XLOOKUP(A31,'Flow and depth summary'!$A$4:$A$30,'Flow and depth summary'!$N$4:$N$30)="",IF(P31-O31&gt;0,IF(B31="Type 7",_xlfn.XLOOKUP(A31,'Flow and depth summary'!$A$4:$A$30,'Flow and depth summary'!$I$4:$I$30),_xlfn.XLOOKUP(A31,'Flow and depth summary'!$A$4:$A$30,'Flow and depth summary'!$L$4:$L$30)),IF(B31="Type 7",_xlfn.XLOOKUP(A31,'Flow and depth summary'!$A$4:$A$30,'Flow and depth summary'!$C$4:$C$30),_xlfn.XLOOKUP(A31,'Flow and depth summary'!$A$4:$A$30,'Flow and depth summary'!$F$4:$F$30))),M31)</f>
        <v>#N/A</v>
      </c>
      <c r="AJ31" s="19" t="e">
        <f>IF(_xlfn.XLOOKUP(A31,'Flow and depth summary'!$A$4:$A$30,'Flow and depth summary'!$N$4:$N$30)="",IF(P31-O31&gt;0,IF(B31="Type 7",_xlfn.XLOOKUP(A31,'Flow and depth summary'!$A$4:$A$30,'Flow and depth summary'!$J$4:$J$30),_xlfn.XLOOKUP(A31,'Flow and depth summary'!$A$4:$A$30,'Flow and depth summary'!$M$4:$M$30)),IF(B31="Type 7",_xlfn.XLOOKUP(A31,'Flow and depth summary'!$A$4:$A$30,'Flow and depth summary'!$D$4:$D$30),_xlfn.XLOOKUP(A31,'Flow and depth summary'!$A$4:$A$30,'Flow and depth summary'!$G$4:$G$30))),0)</f>
        <v>#N/A</v>
      </c>
      <c r="AK31" s="19" t="str">
        <f t="shared" si="1"/>
        <v/>
      </c>
      <c r="AL31" s="19" t="e">
        <f>IF(_xlfn.XLOOKUP(A31,'On-grade Calculations'!$A$34:$A$60,'On-grade Calculations'!$AQ$34:$AQ$60)="top of inlet is beyond XS","top of inlet is beyond XS",IF(B31="P-12",IF('Standard Data'!$D$12*SIN(ATAN(1/C31))&lt;AK31,"yes","no"),IF(B31="N-12",IF('Standard Data'!$D$13*SIN(ATAN(1/C31))&lt;AK31,"yes","no"),"")))</f>
        <v>#N/A</v>
      </c>
      <c r="AM31" s="2" t="str">
        <f>IFERROR(IF(AND(E31="sag",OR(B31="P-12",B31="N-12")),IF(M31&gt;MIN('Sag Calculations'!$L$27,'Sag Calculations'!$N$27),"Ditch not big enough to convey flow",""),IF(AND(E31="on-grade",'Ditch Calculations'!G26&lt;'Inputs-Results'!M31),"Ditch not big enough to convey flow","")),"")</f>
        <v/>
      </c>
      <c r="AN31" s="2" t="e">
        <f t="shared" si="3"/>
        <v>#N/A</v>
      </c>
      <c r="AO31" s="2" t="str">
        <f t="shared" si="4"/>
        <v/>
      </c>
    </row>
    <row r="32" spans="1:41" x14ac:dyDescent="0.25">
      <c r="A32" s="12"/>
      <c r="B32" s="12"/>
      <c r="C32" s="12"/>
      <c r="D32" s="13"/>
      <c r="E32" s="12"/>
      <c r="F32" s="12"/>
      <c r="G32" s="12"/>
      <c r="H32" s="12"/>
      <c r="I32" s="12"/>
      <c r="J32" s="12"/>
      <c r="K32" s="12"/>
      <c r="L32" s="19">
        <f>Bypass!B25</f>
        <v>0</v>
      </c>
      <c r="M32" s="19">
        <f t="shared" si="0"/>
        <v>0</v>
      </c>
      <c r="N32" s="44"/>
      <c r="O32" s="12"/>
      <c r="P32" s="12"/>
      <c r="Q32" s="12"/>
      <c r="R32" s="12"/>
      <c r="S32" s="12"/>
      <c r="T32" s="12"/>
      <c r="U32" s="12"/>
      <c r="V32" s="12"/>
      <c r="W32" s="12"/>
      <c r="X32" s="12"/>
      <c r="Y32" s="12"/>
      <c r="Z32" s="12"/>
      <c r="AA32" s="12"/>
      <c r="AB32" s="12"/>
      <c r="AC32" s="12"/>
      <c r="AD32" s="12"/>
      <c r="AE32" s="12"/>
      <c r="AF32" s="11">
        <f>IFERROR(IF(D32="",VLOOKUP(B32,'Standard Data'!$A$9:$I$13,9,),D32),0)</f>
        <v>0</v>
      </c>
      <c r="AG32" s="18" t="e">
        <f>IF(_xlfn.XLOOKUP(A32,'Flow and depth summary'!$A$4:$A$30,'Flow and depth summary'!$N$4:$N$30)="",IF((P32-O32)&gt;0,IF(B32="Type 7",_xlfn.XLOOKUP(A32,'Flow and depth summary'!$A$4:$A$30,'Flow and depth summary'!$H$4:$H$30),_xlfn.XLOOKUP(A32,'Flow and depth summary'!$A$4:$A$30,'Flow and depth summary'!$K$4:$K$30)),IF(B32="Type 7",_xlfn.XLOOKUP(A32,'Flow and depth summary'!$A$4:$A$30,'Flow and depth summary'!$B$4:$B$30),_xlfn.XLOOKUP(A32,'Flow and depth summary'!$A$4:$A$30,'Flow and depth summary'!$E$4:$E$30))),IF(B32="Type 7",_xlfn.XLOOKUP(A32,'Flow and depth summary'!$A$4:$A$30,'Flow and depth summary'!$N$4:$N$30),_xlfn.XLOOKUP(A32,'Flow and depth summary'!$A$4:$A$30,'Flow and depth summary'!$O$4:$O$30)))</f>
        <v>#N/A</v>
      </c>
      <c r="AH32" s="19" t="e">
        <f t="shared" si="2"/>
        <v>#N/A</v>
      </c>
      <c r="AI32" s="19" t="e">
        <f>IF(_xlfn.XLOOKUP(A32,'Flow and depth summary'!$A$4:$A$30,'Flow and depth summary'!$N$4:$N$30)="",IF(P32-O32&gt;0,IF(B32="Type 7",_xlfn.XLOOKUP(A32,'Flow and depth summary'!$A$4:$A$30,'Flow and depth summary'!$I$4:$I$30),_xlfn.XLOOKUP(A32,'Flow and depth summary'!$A$4:$A$30,'Flow and depth summary'!$L$4:$L$30)),IF(B32="Type 7",_xlfn.XLOOKUP(A32,'Flow and depth summary'!$A$4:$A$30,'Flow and depth summary'!$C$4:$C$30),_xlfn.XLOOKUP(A32,'Flow and depth summary'!$A$4:$A$30,'Flow and depth summary'!$F$4:$F$30))),M32)</f>
        <v>#N/A</v>
      </c>
      <c r="AJ32" s="19" t="e">
        <f>IF(_xlfn.XLOOKUP(A32,'Flow and depth summary'!$A$4:$A$30,'Flow and depth summary'!$N$4:$N$30)="",IF(P32-O32&gt;0,IF(B32="Type 7",_xlfn.XLOOKUP(A32,'Flow and depth summary'!$A$4:$A$30,'Flow and depth summary'!$J$4:$J$30),_xlfn.XLOOKUP(A32,'Flow and depth summary'!$A$4:$A$30,'Flow and depth summary'!$M$4:$M$30)),IF(B32="Type 7",_xlfn.XLOOKUP(A32,'Flow and depth summary'!$A$4:$A$30,'Flow and depth summary'!$D$4:$D$30),_xlfn.XLOOKUP(A32,'Flow and depth summary'!$A$4:$A$30,'Flow and depth summary'!$G$4:$G$30))),0)</f>
        <v>#N/A</v>
      </c>
      <c r="AK32" s="19" t="str">
        <f t="shared" si="1"/>
        <v/>
      </c>
      <c r="AL32" s="19" t="e">
        <f>IF(_xlfn.XLOOKUP(A32,'On-grade Calculations'!$A$34:$A$60,'On-grade Calculations'!$AQ$34:$AQ$60)="top of inlet is beyond XS","top of inlet is beyond XS",IF(B32="P-12",IF('Standard Data'!$D$12*SIN(ATAN(1/C32))&lt;AK32,"yes","no"),IF(B32="N-12",IF('Standard Data'!$D$13*SIN(ATAN(1/C32))&lt;AK32,"yes","no"),"")))</f>
        <v>#N/A</v>
      </c>
      <c r="AM32" s="2" t="str">
        <f>IFERROR(IF(AND(E32="sag",OR(B32="P-12",B32="N-12")),IF(M32&gt;MIN('Sag Calculations'!$L$27,'Sag Calculations'!$N$27),"Ditch not big enough to convey flow",""),IF(AND(E32="on-grade",'Ditch Calculations'!G27&lt;'Inputs-Results'!M32),"Ditch not big enough to convey flow","")),"")</f>
        <v/>
      </c>
      <c r="AN32" s="2" t="e">
        <f t="shared" si="3"/>
        <v>#N/A</v>
      </c>
      <c r="AO32" s="2" t="str">
        <f t="shared" si="4"/>
        <v/>
      </c>
    </row>
    <row r="33" spans="1:41" x14ac:dyDescent="0.25">
      <c r="A33" s="12"/>
      <c r="B33" s="12"/>
      <c r="C33" s="12"/>
      <c r="D33" s="13"/>
      <c r="E33" s="12"/>
      <c r="F33" s="12"/>
      <c r="G33" s="12"/>
      <c r="H33" s="12"/>
      <c r="I33" s="12"/>
      <c r="J33" s="12"/>
      <c r="K33" s="12"/>
      <c r="L33" s="19">
        <f>Bypass!B26</f>
        <v>0</v>
      </c>
      <c r="M33" s="19">
        <f t="shared" si="0"/>
        <v>0</v>
      </c>
      <c r="N33" s="44"/>
      <c r="O33" s="12"/>
      <c r="P33" s="12"/>
      <c r="Q33" s="12"/>
      <c r="R33" s="12"/>
      <c r="S33" s="12"/>
      <c r="T33" s="12"/>
      <c r="U33" s="12"/>
      <c r="V33" s="12"/>
      <c r="W33" s="12"/>
      <c r="X33" s="12"/>
      <c r="Y33" s="12"/>
      <c r="Z33" s="12"/>
      <c r="AA33" s="12"/>
      <c r="AB33" s="12"/>
      <c r="AC33" s="12"/>
      <c r="AD33" s="12"/>
      <c r="AE33" s="12"/>
      <c r="AF33" s="11">
        <f>IFERROR(IF(D33="",VLOOKUP(B33,'Standard Data'!$A$9:$I$13,9,),D33),0)</f>
        <v>0</v>
      </c>
      <c r="AG33" s="18" t="e">
        <f>IF(_xlfn.XLOOKUP(A33,'Flow and depth summary'!$A$4:$A$30,'Flow and depth summary'!$N$4:$N$30)="",IF((P33-O33)&gt;0,IF(B33="Type 7",_xlfn.XLOOKUP(A33,'Flow and depth summary'!$A$4:$A$30,'Flow and depth summary'!$H$4:$H$30),_xlfn.XLOOKUP(A33,'Flow and depth summary'!$A$4:$A$30,'Flow and depth summary'!$K$4:$K$30)),IF(B33="Type 7",_xlfn.XLOOKUP(A33,'Flow and depth summary'!$A$4:$A$30,'Flow and depth summary'!$B$4:$B$30),_xlfn.XLOOKUP(A33,'Flow and depth summary'!$A$4:$A$30,'Flow and depth summary'!$E$4:$E$30))),IF(B33="Type 7",_xlfn.XLOOKUP(A33,'Flow and depth summary'!$A$4:$A$30,'Flow and depth summary'!$N$4:$N$30),_xlfn.XLOOKUP(A33,'Flow and depth summary'!$A$4:$A$30,'Flow and depth summary'!$O$4:$O$30)))</f>
        <v>#N/A</v>
      </c>
      <c r="AH33" s="19" t="e">
        <f t="shared" si="2"/>
        <v>#N/A</v>
      </c>
      <c r="AI33" s="19" t="e">
        <f>IF(_xlfn.XLOOKUP(A33,'Flow and depth summary'!$A$4:$A$30,'Flow and depth summary'!$N$4:$N$30)="",IF(P33-O33&gt;0,IF(B33="Type 7",_xlfn.XLOOKUP(A33,'Flow and depth summary'!$A$4:$A$30,'Flow and depth summary'!$I$4:$I$30),_xlfn.XLOOKUP(A33,'Flow and depth summary'!$A$4:$A$30,'Flow and depth summary'!$L$4:$L$30)),IF(B33="Type 7",_xlfn.XLOOKUP(A33,'Flow and depth summary'!$A$4:$A$30,'Flow and depth summary'!$C$4:$C$30),_xlfn.XLOOKUP(A33,'Flow and depth summary'!$A$4:$A$30,'Flow and depth summary'!$F$4:$F$30))),M33)</f>
        <v>#N/A</v>
      </c>
      <c r="AJ33" s="19" t="e">
        <f>IF(_xlfn.XLOOKUP(A33,'Flow and depth summary'!$A$4:$A$30,'Flow and depth summary'!$N$4:$N$30)="",IF(P33-O33&gt;0,IF(B33="Type 7",_xlfn.XLOOKUP(A33,'Flow and depth summary'!$A$4:$A$30,'Flow and depth summary'!$J$4:$J$30),_xlfn.XLOOKUP(A33,'Flow and depth summary'!$A$4:$A$30,'Flow and depth summary'!$M$4:$M$30)),IF(B33="Type 7",_xlfn.XLOOKUP(A33,'Flow and depth summary'!$A$4:$A$30,'Flow and depth summary'!$D$4:$D$30),_xlfn.XLOOKUP(A33,'Flow and depth summary'!$A$4:$A$30,'Flow and depth summary'!$G$4:$G$30))),0)</f>
        <v>#N/A</v>
      </c>
      <c r="AK33" s="19" t="str">
        <f t="shared" si="1"/>
        <v/>
      </c>
      <c r="AL33" s="19" t="e">
        <f>IF(_xlfn.XLOOKUP(A33,'On-grade Calculations'!$A$34:$A$60,'On-grade Calculations'!$AQ$34:$AQ$60)="top of inlet is beyond XS","top of inlet is beyond XS",IF(B33="P-12",IF('Standard Data'!$D$12*SIN(ATAN(1/C33))&lt;AK33,"yes","no"),IF(B33="N-12",IF('Standard Data'!$D$13*SIN(ATAN(1/C33))&lt;AK33,"yes","no"),"")))</f>
        <v>#N/A</v>
      </c>
      <c r="AM33" s="2" t="str">
        <f>IFERROR(IF(AND(E33="sag",OR(B33="P-12",B33="N-12")),IF(M33&gt;MIN('Sag Calculations'!$L$27,'Sag Calculations'!$N$27),"Ditch not big enough to convey flow",""),IF(AND(E33="on-grade",'Ditch Calculations'!G28&lt;'Inputs-Results'!M33),"Ditch not big enough to convey flow","")),"")</f>
        <v/>
      </c>
      <c r="AN33" s="2" t="e">
        <f t="shared" si="3"/>
        <v>#N/A</v>
      </c>
      <c r="AO33" s="2" t="str">
        <f t="shared" si="4"/>
        <v/>
      </c>
    </row>
    <row r="34" spans="1:41" x14ac:dyDescent="0.25">
      <c r="A34" s="12"/>
      <c r="B34" s="12"/>
      <c r="C34" s="12"/>
      <c r="D34" s="13"/>
      <c r="E34" s="12"/>
      <c r="F34" s="12"/>
      <c r="G34" s="12"/>
      <c r="H34" s="12"/>
      <c r="I34" s="12"/>
      <c r="J34" s="12"/>
      <c r="K34" s="12"/>
      <c r="L34" s="19">
        <f>Bypass!B27</f>
        <v>0</v>
      </c>
      <c r="M34" s="19">
        <f t="shared" si="0"/>
        <v>0</v>
      </c>
      <c r="N34" s="44"/>
      <c r="O34" s="12"/>
      <c r="P34" s="12"/>
      <c r="Q34" s="12"/>
      <c r="R34" s="12"/>
      <c r="S34" s="12"/>
      <c r="T34" s="12"/>
      <c r="U34" s="12"/>
      <c r="V34" s="12"/>
      <c r="W34" s="12"/>
      <c r="X34" s="12"/>
      <c r="Y34" s="12"/>
      <c r="Z34" s="12"/>
      <c r="AA34" s="12"/>
      <c r="AB34" s="12"/>
      <c r="AC34" s="12"/>
      <c r="AD34" s="12"/>
      <c r="AE34" s="12"/>
      <c r="AF34" s="11">
        <f>IFERROR(IF(D34="",VLOOKUP(B34,'Standard Data'!$A$9:$I$13,9,),D34),0)</f>
        <v>0</v>
      </c>
      <c r="AG34" s="18" t="e">
        <f>IF(_xlfn.XLOOKUP(A34,'Flow and depth summary'!$A$4:$A$30,'Flow and depth summary'!$N$4:$N$30)="",IF((P34-O34)&gt;0,IF(B34="Type 7",_xlfn.XLOOKUP(A34,'Flow and depth summary'!$A$4:$A$30,'Flow and depth summary'!$H$4:$H$30),_xlfn.XLOOKUP(A34,'Flow and depth summary'!$A$4:$A$30,'Flow and depth summary'!$K$4:$K$30)),IF(B34="Type 7",_xlfn.XLOOKUP(A34,'Flow and depth summary'!$A$4:$A$30,'Flow and depth summary'!$B$4:$B$30),_xlfn.XLOOKUP(A34,'Flow and depth summary'!$A$4:$A$30,'Flow and depth summary'!$E$4:$E$30))),IF(B34="Type 7",_xlfn.XLOOKUP(A34,'Flow and depth summary'!$A$4:$A$30,'Flow and depth summary'!$N$4:$N$30),_xlfn.XLOOKUP(A34,'Flow and depth summary'!$A$4:$A$30,'Flow and depth summary'!$O$4:$O$30)))</f>
        <v>#N/A</v>
      </c>
      <c r="AH34" s="19" t="e">
        <f t="shared" si="2"/>
        <v>#N/A</v>
      </c>
      <c r="AI34" s="19" t="e">
        <f>IF(_xlfn.XLOOKUP(A34,'Flow and depth summary'!$A$4:$A$30,'Flow and depth summary'!$N$4:$N$30)="",IF(P34-O34&gt;0,IF(B34="Type 7",_xlfn.XLOOKUP(A34,'Flow and depth summary'!$A$4:$A$30,'Flow and depth summary'!$I$4:$I$30),_xlfn.XLOOKUP(A34,'Flow and depth summary'!$A$4:$A$30,'Flow and depth summary'!$L$4:$L$30)),IF(B34="Type 7",_xlfn.XLOOKUP(A34,'Flow and depth summary'!$A$4:$A$30,'Flow and depth summary'!$C$4:$C$30),_xlfn.XLOOKUP(A34,'Flow and depth summary'!$A$4:$A$30,'Flow and depth summary'!$F$4:$F$30))),M34)</f>
        <v>#N/A</v>
      </c>
      <c r="AJ34" s="19" t="e">
        <f>IF(_xlfn.XLOOKUP(A34,'Flow and depth summary'!$A$4:$A$30,'Flow and depth summary'!$N$4:$N$30)="",IF(P34-O34&gt;0,IF(B34="Type 7",_xlfn.XLOOKUP(A34,'Flow and depth summary'!$A$4:$A$30,'Flow and depth summary'!$J$4:$J$30),_xlfn.XLOOKUP(A34,'Flow and depth summary'!$A$4:$A$30,'Flow and depth summary'!$M$4:$M$30)),IF(B34="Type 7",_xlfn.XLOOKUP(A34,'Flow and depth summary'!$A$4:$A$30,'Flow and depth summary'!$D$4:$D$30),_xlfn.XLOOKUP(A34,'Flow and depth summary'!$A$4:$A$30,'Flow and depth summary'!$G$4:$G$30))),0)</f>
        <v>#N/A</v>
      </c>
      <c r="AK34" s="19" t="str">
        <f t="shared" si="1"/>
        <v/>
      </c>
      <c r="AL34" s="19" t="e">
        <f>IF(_xlfn.XLOOKUP(A34,'On-grade Calculations'!$A$34:$A$60,'On-grade Calculations'!$AQ$34:$AQ$60)="top of inlet is beyond XS","top of inlet is beyond XS",IF(B34="P-12",IF('Standard Data'!$D$12*SIN(ATAN(1/C34))&lt;AK34,"yes","no"),IF(B34="N-12",IF('Standard Data'!$D$13*SIN(ATAN(1/C34))&lt;AK34,"yes","no"),"")))</f>
        <v>#N/A</v>
      </c>
      <c r="AM34" s="2" t="str">
        <f>IFERROR(IF(AND(E34="sag",OR(B34="P-12",B34="N-12")),IF(M34&gt;MIN('Sag Calculations'!$L$27,'Sag Calculations'!$N$27),"Ditch not big enough to convey flow",""),IF(AND(E34="on-grade",'Ditch Calculations'!G29&lt;'Inputs-Results'!M34),"Ditch not big enough to convey flow","")),"")</f>
        <v/>
      </c>
      <c r="AN34" s="2" t="e">
        <f t="shared" si="3"/>
        <v>#N/A</v>
      </c>
      <c r="AO34" s="2" t="str">
        <f t="shared" si="4"/>
        <v/>
      </c>
    </row>
    <row r="35" spans="1:41" x14ac:dyDescent="0.25">
      <c r="A35" s="12"/>
      <c r="B35" s="12"/>
      <c r="C35" s="12"/>
      <c r="D35" s="13"/>
      <c r="E35" s="12"/>
      <c r="F35" s="12"/>
      <c r="G35" s="12"/>
      <c r="H35" s="12"/>
      <c r="I35" s="12"/>
      <c r="J35" s="12"/>
      <c r="K35" s="12"/>
      <c r="L35" s="19">
        <f>Bypass!B28</f>
        <v>0</v>
      </c>
      <c r="M35" s="19">
        <f t="shared" si="0"/>
        <v>0</v>
      </c>
      <c r="N35" s="44"/>
      <c r="O35" s="12"/>
      <c r="P35" s="12"/>
      <c r="Q35" s="12"/>
      <c r="R35" s="12"/>
      <c r="S35" s="12"/>
      <c r="T35" s="12"/>
      <c r="U35" s="12"/>
      <c r="V35" s="12"/>
      <c r="W35" s="12"/>
      <c r="X35" s="12"/>
      <c r="Y35" s="12"/>
      <c r="Z35" s="12"/>
      <c r="AA35" s="12"/>
      <c r="AB35" s="12"/>
      <c r="AC35" s="12"/>
      <c r="AD35" s="12"/>
      <c r="AE35" s="12"/>
      <c r="AF35" s="11">
        <f>IFERROR(IF(D35="",VLOOKUP(B35,'Standard Data'!$A$9:$I$13,9,),D35),0)</f>
        <v>0</v>
      </c>
      <c r="AG35" s="18" t="e">
        <f>IF(_xlfn.XLOOKUP(A35,'Flow and depth summary'!$A$4:$A$30,'Flow and depth summary'!$N$4:$N$30)="",IF((P35-O35)&gt;0,IF(B35="Type 7",_xlfn.XLOOKUP(A35,'Flow and depth summary'!$A$4:$A$30,'Flow and depth summary'!$H$4:$H$30),_xlfn.XLOOKUP(A35,'Flow and depth summary'!$A$4:$A$30,'Flow and depth summary'!$K$4:$K$30)),IF(B35="Type 7",_xlfn.XLOOKUP(A35,'Flow and depth summary'!$A$4:$A$30,'Flow and depth summary'!$B$4:$B$30),_xlfn.XLOOKUP(A35,'Flow and depth summary'!$A$4:$A$30,'Flow and depth summary'!$E$4:$E$30))),IF(B35="Type 7",_xlfn.XLOOKUP(A35,'Flow and depth summary'!$A$4:$A$30,'Flow and depth summary'!$N$4:$N$30),_xlfn.XLOOKUP(A35,'Flow and depth summary'!$A$4:$A$30,'Flow and depth summary'!$O$4:$O$30)))</f>
        <v>#N/A</v>
      </c>
      <c r="AH35" s="19" t="e">
        <f t="shared" si="2"/>
        <v>#N/A</v>
      </c>
      <c r="AI35" s="19" t="e">
        <f>IF(_xlfn.XLOOKUP(A35,'Flow and depth summary'!$A$4:$A$30,'Flow and depth summary'!$N$4:$N$30)="",IF(P35-O35&gt;0,IF(B35="Type 7",_xlfn.XLOOKUP(A35,'Flow and depth summary'!$A$4:$A$30,'Flow and depth summary'!$I$4:$I$30),_xlfn.XLOOKUP(A35,'Flow and depth summary'!$A$4:$A$30,'Flow and depth summary'!$L$4:$L$30)),IF(B35="Type 7",_xlfn.XLOOKUP(A35,'Flow and depth summary'!$A$4:$A$30,'Flow and depth summary'!$C$4:$C$30),_xlfn.XLOOKUP(A35,'Flow and depth summary'!$A$4:$A$30,'Flow and depth summary'!$F$4:$F$30))),M35)</f>
        <v>#N/A</v>
      </c>
      <c r="AJ35" s="19" t="e">
        <f>IF(_xlfn.XLOOKUP(A35,'Flow and depth summary'!$A$4:$A$30,'Flow and depth summary'!$N$4:$N$30)="",IF(P35-O35&gt;0,IF(B35="Type 7",_xlfn.XLOOKUP(A35,'Flow and depth summary'!$A$4:$A$30,'Flow and depth summary'!$J$4:$J$30),_xlfn.XLOOKUP(A35,'Flow and depth summary'!$A$4:$A$30,'Flow and depth summary'!$M$4:$M$30)),IF(B35="Type 7",_xlfn.XLOOKUP(A35,'Flow and depth summary'!$A$4:$A$30,'Flow and depth summary'!$D$4:$D$30),_xlfn.XLOOKUP(A35,'Flow and depth summary'!$A$4:$A$30,'Flow and depth summary'!$G$4:$G$30))),0)</f>
        <v>#N/A</v>
      </c>
      <c r="AK35" s="19" t="str">
        <f t="shared" si="1"/>
        <v/>
      </c>
      <c r="AL35" s="19" t="e">
        <f>IF(_xlfn.XLOOKUP(A35,'On-grade Calculations'!$A$34:$A$60,'On-grade Calculations'!$AQ$34:$AQ$60)="top of inlet is beyond XS","top of inlet is beyond XS",IF(B35="P-12",IF('Standard Data'!$D$12*SIN(ATAN(1/C35))&lt;AK35,"yes","no"),IF(B35="N-12",IF('Standard Data'!$D$13*SIN(ATAN(1/C35))&lt;AK35,"yes","no"),"")))</f>
        <v>#N/A</v>
      </c>
      <c r="AM35" s="2" t="str">
        <f>IFERROR(IF(AND(E35="sag",OR(B35="P-12",B35="N-12")),IF(M35&gt;MIN('Sag Calculations'!$L$27,'Sag Calculations'!$N$27),"Ditch not big enough to convey flow",""),IF(AND(E35="on-grade",'Ditch Calculations'!G30&lt;'Inputs-Results'!M35),"Ditch not big enough to convey flow","")),"")</f>
        <v/>
      </c>
      <c r="AN35" s="2" t="e">
        <f t="shared" si="3"/>
        <v>#N/A</v>
      </c>
      <c r="AO35" s="2" t="str">
        <f t="shared" si="4"/>
        <v/>
      </c>
    </row>
  </sheetData>
  <mergeCells count="13">
    <mergeCell ref="AF7:AK7"/>
    <mergeCell ref="AL7:AO7"/>
    <mergeCell ref="B1:D1"/>
    <mergeCell ref="B2:D2"/>
    <mergeCell ref="B3:D3"/>
    <mergeCell ref="B4:D4"/>
    <mergeCell ref="A7:F7"/>
    <mergeCell ref="G7:H7"/>
    <mergeCell ref="L7:M7"/>
    <mergeCell ref="N7:R7"/>
    <mergeCell ref="S7:AE7"/>
    <mergeCell ref="I7:K7"/>
    <mergeCell ref="H1:Q5"/>
  </mergeCells>
  <phoneticPr fontId="4" type="noConversion"/>
  <conditionalFormatting sqref="C9">
    <cfRule type="cellIs" dxfId="8" priority="6" operator="notEqual">
      <formula>$B$9="Type7"</formula>
    </cfRule>
  </conditionalFormatting>
  <conditionalFormatting sqref="AH9:AH35">
    <cfRule type="cellIs" dxfId="7" priority="4" stopIfTrue="1" operator="equal">
      <formula>"HGL below berm"</formula>
    </cfRule>
    <cfRule type="cellIs" dxfId="6" priority="10" operator="greaterThan">
      <formula>R9</formula>
    </cfRule>
  </conditionalFormatting>
  <conditionalFormatting sqref="AL9:AL35">
    <cfRule type="cellIs" dxfId="5" priority="3" operator="equal">
      <formula>"no"</formula>
    </cfRule>
    <cfRule type="cellIs" dxfId="4" priority="5" operator="equal">
      <formula>"top of inlet is beyond XS"</formula>
    </cfRule>
  </conditionalFormatting>
  <conditionalFormatting sqref="AM9:AM35">
    <cfRule type="cellIs" dxfId="3" priority="9" operator="equal">
      <formula>"Ditch not big enough to convey flow"</formula>
    </cfRule>
  </conditionalFormatting>
  <conditionalFormatting sqref="AN9:AN35">
    <cfRule type="cellIs" dxfId="2" priority="2" operator="equal">
      <formula>"yes"</formula>
    </cfRule>
  </conditionalFormatting>
  <conditionalFormatting sqref="AO9:AO35">
    <cfRule type="cellIs" dxfId="1" priority="1" operator="greaterThan">
      <formula>""""""</formula>
    </cfRule>
  </conditionalFormatting>
  <dataValidations count="1">
    <dataValidation type="list" allowBlank="1" showInputMessage="1" showErrorMessage="1" sqref="F9:F35" xr:uid="{7275364A-5115-4107-A28E-C8C0556292E7}">
      <formula1>$A$9:$A$35</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A9A3F6B-A81B-43AE-B07D-585BD94D18E1}">
          <x14:formula1>
            <xm:f>'Standard Data'!$A$2:$A$5</xm:f>
          </x14:formula1>
          <xm:sqref>E9:E35</xm:sqref>
        </x14:dataValidation>
        <x14:dataValidation type="list" allowBlank="1" showInputMessage="1" showErrorMessage="1" xr:uid="{A91FC7B0-2F2A-4B3A-BA68-2398356377C7}">
          <x14:formula1>
            <xm:f>'Standard Data'!$B$2:$B$6</xm:f>
          </x14:formula1>
          <xm:sqref>B9:B35</xm:sqref>
        </x14:dataValidation>
        <x14:dataValidation type="list" allowBlank="1" showInputMessage="1" showErrorMessage="1" xr:uid="{227A9B99-D8ED-4F94-B9C6-DED2C0AF306F}">
          <x14:formula1>
            <xm:f>'Standard Data'!$D$2:$D$4</xm:f>
          </x14:formula1>
          <xm:sqref>AE9:AE35</xm:sqref>
        </x14:dataValidation>
        <x14:dataValidation type="list" allowBlank="1" showInputMessage="1" showErrorMessage="1" xr:uid="{CA2C7DE0-63C8-44EA-933F-24469D8E149C}">
          <x14:formula1>
            <xm:f>'Standard Data'!$R$23:$AB$23</xm:f>
          </x14:formula1>
          <xm:sqref>Q10:Q35</xm:sqref>
        </x14:dataValidation>
        <x14:dataValidation type="list" allowBlank="1" showInputMessage="1" showErrorMessage="1" xr:uid="{4F82219F-4CDE-40D8-9B29-F4C9F790A7E5}">
          <x14:formula1>
            <xm:f>'Standard Data'!$R$23:$AC$23</xm:f>
          </x14:formula1>
          <xm:sqref>Q9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286E8-1A29-4B47-8597-0676F1A00187}">
  <sheetPr>
    <tabColor rgb="FF00B050"/>
  </sheetPr>
  <dimension ref="A1:I29"/>
  <sheetViews>
    <sheetView workbookViewId="0">
      <selection activeCell="G3" sqref="G3"/>
    </sheetView>
  </sheetViews>
  <sheetFormatPr defaultRowHeight="15" x14ac:dyDescent="0.25"/>
  <cols>
    <col min="2" max="2" width="12" customWidth="1"/>
    <col min="3" max="3" width="10.85546875" customWidth="1"/>
    <col min="4" max="4" width="12.42578125" customWidth="1"/>
    <col min="5" max="5" width="12.140625" customWidth="1"/>
    <col min="6" max="6" width="19.7109375" customWidth="1"/>
    <col min="7" max="7" width="11.7109375" bestFit="1" customWidth="1"/>
    <col min="8" max="8" width="11.5703125" customWidth="1"/>
    <col min="9" max="9" width="11.7109375" bestFit="1" customWidth="1"/>
  </cols>
  <sheetData>
    <row r="1" spans="1:9" x14ac:dyDescent="0.25">
      <c r="A1" s="25" t="s">
        <v>235</v>
      </c>
    </row>
    <row r="2" spans="1:9" x14ac:dyDescent="0.25">
      <c r="A2" s="120" t="s">
        <v>210</v>
      </c>
      <c r="B2" s="121" t="s">
        <v>0</v>
      </c>
      <c r="C2" s="121" t="s">
        <v>226</v>
      </c>
      <c r="D2" s="122" t="s">
        <v>232</v>
      </c>
      <c r="E2" s="122" t="s">
        <v>233</v>
      </c>
      <c r="F2" s="122" t="s">
        <v>234</v>
      </c>
      <c r="G2" s="53" t="s">
        <v>236</v>
      </c>
      <c r="H2" s="122" t="s">
        <v>240</v>
      </c>
      <c r="I2" s="122" t="s">
        <v>237</v>
      </c>
    </row>
    <row r="3" spans="1:9" x14ac:dyDescent="0.25">
      <c r="A3" s="118" t="str">
        <f>IF('Inputs-Results'!A9="","",'Inputs-Results'!A9)</f>
        <v/>
      </c>
      <c r="B3" s="2" t="str">
        <f>IF('Inputs-Results'!B9="","",'Inputs-Results'!B9)</f>
        <v/>
      </c>
      <c r="C3" s="2" t="str">
        <f>IF('Inputs-Results'!E9="","",'Inputs-Results'!E9)</f>
        <v/>
      </c>
      <c r="D3" s="2" t="str">
        <f>IF('Inputs-Results'!O9="","",'Inputs-Results'!O9)</f>
        <v/>
      </c>
      <c r="E3" s="2" t="str">
        <f>IF('Inputs-Results'!P9="","",'Inputs-Results'!P9)</f>
        <v/>
      </c>
      <c r="F3" s="2" t="str">
        <f>IF('Inputs-Results'!R9="","",'Inputs-Results'!R9)</f>
        <v/>
      </c>
      <c r="G3" s="119" t="str">
        <f>IFERROR(IF('Inputs-Results'!AH9="","",'Inputs-Results'!AH9),"")</f>
        <v/>
      </c>
      <c r="H3" s="119" t="str">
        <f>IFERROR(IF('Inputs-Results'!I9="","",'Inputs-Results'!I9),"")</f>
        <v/>
      </c>
      <c r="I3" s="119" t="str">
        <f>IFERROR(IF('Inputs-Results'!J9="","",'Inputs-Results'!J9),"")</f>
        <v/>
      </c>
    </row>
    <row r="4" spans="1:9" x14ac:dyDescent="0.25">
      <c r="A4" s="118" t="str">
        <f>IF('Inputs-Results'!A10="","",'Inputs-Results'!A10)</f>
        <v/>
      </c>
      <c r="B4" s="2" t="str">
        <f>IF('Inputs-Results'!B10="","",'Inputs-Results'!B10)</f>
        <v/>
      </c>
      <c r="C4" s="2" t="str">
        <f>IF('Inputs-Results'!E10="","",'Inputs-Results'!E10)</f>
        <v/>
      </c>
      <c r="D4" s="2" t="str">
        <f>IF('Inputs-Results'!O10="","",'Inputs-Results'!O10)</f>
        <v/>
      </c>
      <c r="E4" s="2" t="str">
        <f>IF('Inputs-Results'!P10="","",'Inputs-Results'!P10)</f>
        <v/>
      </c>
      <c r="F4" s="2" t="str">
        <f>IF('Inputs-Results'!R10="","",'Inputs-Results'!R10)</f>
        <v/>
      </c>
      <c r="G4" s="119" t="str">
        <f>IFERROR(IF('Inputs-Results'!AH10="","",'Inputs-Results'!AH10),"")</f>
        <v/>
      </c>
      <c r="H4" s="19" t="str">
        <f>IFERROR(IF('Inputs-Results'!I10="","",'Inputs-Results'!I10),"")</f>
        <v/>
      </c>
      <c r="I4" s="119" t="str">
        <f>IFERROR(IF('Inputs-Results'!J10="","",'Inputs-Results'!J10),"")</f>
        <v/>
      </c>
    </row>
    <row r="5" spans="1:9" x14ac:dyDescent="0.25">
      <c r="A5" s="118" t="str">
        <f>IF('Inputs-Results'!A11="","",'Inputs-Results'!A11)</f>
        <v/>
      </c>
      <c r="B5" s="2" t="str">
        <f>IF('Inputs-Results'!B11="","",'Inputs-Results'!B11)</f>
        <v/>
      </c>
      <c r="C5" s="2" t="str">
        <f>IF('Inputs-Results'!E11="","",'Inputs-Results'!E11)</f>
        <v/>
      </c>
      <c r="D5" s="2" t="str">
        <f>IF('Inputs-Results'!O11="","",'Inputs-Results'!O11)</f>
        <v/>
      </c>
      <c r="E5" s="2" t="str">
        <f>IF('Inputs-Results'!P11="","",'Inputs-Results'!P11)</f>
        <v/>
      </c>
      <c r="F5" s="2" t="str">
        <f>IF('Inputs-Results'!R11="","",'Inputs-Results'!R11)</f>
        <v/>
      </c>
      <c r="G5" s="119" t="str">
        <f>IFERROR(IF('Inputs-Results'!AH11="","",'Inputs-Results'!AH11),"")</f>
        <v/>
      </c>
      <c r="H5" s="19" t="str">
        <f>IFERROR(IF('Inputs-Results'!I11="","",'Inputs-Results'!I11),"")</f>
        <v/>
      </c>
      <c r="I5" s="119" t="str">
        <f>IFERROR(IF('Inputs-Results'!J11="","",'Inputs-Results'!J11),"")</f>
        <v/>
      </c>
    </row>
    <row r="6" spans="1:9" x14ac:dyDescent="0.25">
      <c r="A6" s="118" t="str">
        <f>IF('Inputs-Results'!A12="","",'Inputs-Results'!A12)</f>
        <v/>
      </c>
      <c r="B6" s="2" t="str">
        <f>IF('Inputs-Results'!B12="","",'Inputs-Results'!B12)</f>
        <v/>
      </c>
      <c r="C6" s="2" t="str">
        <f>IF('Inputs-Results'!E12="","",'Inputs-Results'!E12)</f>
        <v/>
      </c>
      <c r="D6" s="2" t="str">
        <f>IF('Inputs-Results'!O12="","",'Inputs-Results'!O12)</f>
        <v/>
      </c>
      <c r="E6" s="2" t="str">
        <f>IF('Inputs-Results'!P12="","",'Inputs-Results'!P12)</f>
        <v/>
      </c>
      <c r="F6" s="2" t="str">
        <f>IF('Inputs-Results'!R12="","",'Inputs-Results'!R12)</f>
        <v/>
      </c>
      <c r="G6" s="119" t="str">
        <f>IFERROR(IF('Inputs-Results'!AH12="","",'Inputs-Results'!AH12),"")</f>
        <v/>
      </c>
      <c r="H6" s="19" t="str">
        <f>IFERROR(IF('Inputs-Results'!I12="","",'Inputs-Results'!I12),"")</f>
        <v/>
      </c>
      <c r="I6" s="119" t="str">
        <f>IFERROR(IF('Inputs-Results'!J12="","",'Inputs-Results'!J12),"")</f>
        <v/>
      </c>
    </row>
    <row r="7" spans="1:9" x14ac:dyDescent="0.25">
      <c r="A7" s="118" t="str">
        <f>IF('Inputs-Results'!A13="","",'Inputs-Results'!A13)</f>
        <v/>
      </c>
      <c r="B7" s="2" t="str">
        <f>IF('Inputs-Results'!B13="","",'Inputs-Results'!B13)</f>
        <v/>
      </c>
      <c r="C7" s="2" t="str">
        <f>IF('Inputs-Results'!E13="","",'Inputs-Results'!E13)</f>
        <v/>
      </c>
      <c r="D7" s="2" t="str">
        <f>IF('Inputs-Results'!O13="","",'Inputs-Results'!O13)</f>
        <v/>
      </c>
      <c r="E7" s="2" t="str">
        <f>IF('Inputs-Results'!P13="","",'Inputs-Results'!P13)</f>
        <v/>
      </c>
      <c r="F7" s="2" t="str">
        <f>IF('Inputs-Results'!R13="","",'Inputs-Results'!R13)</f>
        <v/>
      </c>
      <c r="G7" s="119" t="str">
        <f>IFERROR(IF('Inputs-Results'!AH13="","",'Inputs-Results'!AH13),"")</f>
        <v/>
      </c>
      <c r="H7" s="19" t="str">
        <f>IFERROR(IF('Inputs-Results'!I13="","",'Inputs-Results'!I13),"")</f>
        <v/>
      </c>
      <c r="I7" s="119" t="str">
        <f>IFERROR(IF('Inputs-Results'!J13="","",'Inputs-Results'!J13),"")</f>
        <v/>
      </c>
    </row>
    <row r="8" spans="1:9" x14ac:dyDescent="0.25">
      <c r="A8" s="118" t="str">
        <f>IF('Inputs-Results'!A14="","",'Inputs-Results'!A14)</f>
        <v/>
      </c>
      <c r="B8" s="2" t="str">
        <f>IF('Inputs-Results'!B14="","",'Inputs-Results'!B14)</f>
        <v/>
      </c>
      <c r="C8" s="2" t="str">
        <f>IF('Inputs-Results'!E14="","",'Inputs-Results'!E14)</f>
        <v/>
      </c>
      <c r="D8" s="2" t="str">
        <f>IF('Inputs-Results'!O14="","",'Inputs-Results'!O14)</f>
        <v/>
      </c>
      <c r="E8" s="2" t="str">
        <f>IF('Inputs-Results'!P14="","",'Inputs-Results'!P14)</f>
        <v/>
      </c>
      <c r="F8" s="2" t="str">
        <f>IF('Inputs-Results'!R14="","",'Inputs-Results'!R14)</f>
        <v/>
      </c>
      <c r="G8" s="119" t="str">
        <f>IFERROR(IF('Inputs-Results'!AH14="","",'Inputs-Results'!AH14),"")</f>
        <v/>
      </c>
      <c r="H8" s="19" t="str">
        <f>IFERROR(IF('Inputs-Results'!I14="","",'Inputs-Results'!I14),"")</f>
        <v/>
      </c>
      <c r="I8" s="119" t="str">
        <f>IFERROR(IF('Inputs-Results'!J14="","",'Inputs-Results'!J14),"")</f>
        <v/>
      </c>
    </row>
    <row r="9" spans="1:9" x14ac:dyDescent="0.25">
      <c r="A9" s="118" t="str">
        <f>IF('Inputs-Results'!A15="","",'Inputs-Results'!A15)</f>
        <v/>
      </c>
      <c r="B9" s="2" t="str">
        <f>IF('Inputs-Results'!B15="","",'Inputs-Results'!B15)</f>
        <v/>
      </c>
      <c r="C9" s="2" t="str">
        <f>IF('Inputs-Results'!E15="","",'Inputs-Results'!E15)</f>
        <v/>
      </c>
      <c r="D9" s="2" t="str">
        <f>IF('Inputs-Results'!O15="","",'Inputs-Results'!O15)</f>
        <v/>
      </c>
      <c r="E9" s="2" t="str">
        <f>IF('Inputs-Results'!P15="","",'Inputs-Results'!P15)</f>
        <v/>
      </c>
      <c r="F9" s="2" t="str">
        <f>IF('Inputs-Results'!R15="","",'Inputs-Results'!R15)</f>
        <v/>
      </c>
      <c r="G9" s="119" t="str">
        <f>IFERROR(IF('Inputs-Results'!AH15="","",'Inputs-Results'!AH15),"")</f>
        <v/>
      </c>
      <c r="H9" s="19" t="str">
        <f>IFERROR(IF('Inputs-Results'!I15="","",'Inputs-Results'!I15),"")</f>
        <v/>
      </c>
      <c r="I9" s="119" t="str">
        <f>IFERROR(IF('Inputs-Results'!J15="","",'Inputs-Results'!J15),"")</f>
        <v/>
      </c>
    </row>
    <row r="10" spans="1:9" x14ac:dyDescent="0.25">
      <c r="A10" s="118" t="str">
        <f>IF('Inputs-Results'!A16="","",'Inputs-Results'!A16)</f>
        <v/>
      </c>
      <c r="B10" s="2" t="str">
        <f>IF('Inputs-Results'!B16="","",'Inputs-Results'!B16)</f>
        <v/>
      </c>
      <c r="C10" s="2" t="str">
        <f>IF('Inputs-Results'!E16="","",'Inputs-Results'!E16)</f>
        <v/>
      </c>
      <c r="D10" s="2" t="str">
        <f>IF('Inputs-Results'!O16="","",'Inputs-Results'!O16)</f>
        <v/>
      </c>
      <c r="E10" s="2" t="str">
        <f>IF('Inputs-Results'!P16="","",'Inputs-Results'!P16)</f>
        <v/>
      </c>
      <c r="F10" s="2" t="str">
        <f>IF('Inputs-Results'!R16="","",'Inputs-Results'!R16)</f>
        <v/>
      </c>
      <c r="G10" s="119" t="str">
        <f>IFERROR(IF('Inputs-Results'!AH16="","",'Inputs-Results'!AH16),"")</f>
        <v/>
      </c>
      <c r="H10" s="19" t="str">
        <f>IFERROR(IF('Inputs-Results'!I16="","",'Inputs-Results'!I16),"")</f>
        <v/>
      </c>
      <c r="I10" s="119" t="str">
        <f>IFERROR(IF('Inputs-Results'!J16="","",'Inputs-Results'!J16),"")</f>
        <v/>
      </c>
    </row>
    <row r="11" spans="1:9" x14ac:dyDescent="0.25">
      <c r="A11" s="118" t="str">
        <f>IF('Inputs-Results'!A17="","",'Inputs-Results'!A17)</f>
        <v/>
      </c>
      <c r="B11" s="2" t="str">
        <f>IF('Inputs-Results'!B17="","",'Inputs-Results'!B17)</f>
        <v/>
      </c>
      <c r="C11" s="2" t="str">
        <f>IF('Inputs-Results'!E17="","",'Inputs-Results'!E17)</f>
        <v/>
      </c>
      <c r="D11" s="2" t="str">
        <f>IF('Inputs-Results'!O17="","",'Inputs-Results'!O17)</f>
        <v/>
      </c>
      <c r="E11" s="2" t="str">
        <f>IF('Inputs-Results'!P17="","",'Inputs-Results'!P17)</f>
        <v/>
      </c>
      <c r="F11" s="2" t="str">
        <f>IF('Inputs-Results'!R17="","",'Inputs-Results'!R17)</f>
        <v/>
      </c>
      <c r="G11" s="119" t="str">
        <f>IFERROR(IF('Inputs-Results'!AH17="","",'Inputs-Results'!AH17),"")</f>
        <v/>
      </c>
      <c r="H11" s="19" t="str">
        <f>IFERROR(IF('Inputs-Results'!I17="","",'Inputs-Results'!I17),"")</f>
        <v/>
      </c>
      <c r="I11" s="119" t="str">
        <f>IFERROR(IF('Inputs-Results'!J17="","",'Inputs-Results'!J17),"")</f>
        <v/>
      </c>
    </row>
    <row r="12" spans="1:9" x14ac:dyDescent="0.25">
      <c r="A12" s="118" t="str">
        <f>IF('Inputs-Results'!A18="","",'Inputs-Results'!A18)</f>
        <v/>
      </c>
      <c r="B12" s="2" t="str">
        <f>IF('Inputs-Results'!B18="","",'Inputs-Results'!B18)</f>
        <v/>
      </c>
      <c r="C12" s="2" t="str">
        <f>IF('Inputs-Results'!E18="","",'Inputs-Results'!E18)</f>
        <v/>
      </c>
      <c r="D12" s="2" t="str">
        <f>IF('Inputs-Results'!O18="","",'Inputs-Results'!O18)</f>
        <v/>
      </c>
      <c r="E12" s="2" t="str">
        <f>IF('Inputs-Results'!P18="","",'Inputs-Results'!P18)</f>
        <v/>
      </c>
      <c r="F12" s="2" t="str">
        <f>IF('Inputs-Results'!R18="","",'Inputs-Results'!R18)</f>
        <v/>
      </c>
      <c r="G12" s="119" t="str">
        <f>IFERROR(IF('Inputs-Results'!AH18="","",'Inputs-Results'!AH18),"")</f>
        <v/>
      </c>
      <c r="H12" s="19" t="str">
        <f>IFERROR(IF('Inputs-Results'!I18="","",'Inputs-Results'!I18),"")</f>
        <v/>
      </c>
      <c r="I12" s="119" t="str">
        <f>IFERROR(IF('Inputs-Results'!J18="","",'Inputs-Results'!J18),"")</f>
        <v/>
      </c>
    </row>
    <row r="13" spans="1:9" x14ac:dyDescent="0.25">
      <c r="A13" s="118" t="str">
        <f>IF('Inputs-Results'!A19="","",'Inputs-Results'!A19)</f>
        <v/>
      </c>
      <c r="B13" s="2" t="str">
        <f>IF('Inputs-Results'!B19="","",'Inputs-Results'!B19)</f>
        <v/>
      </c>
      <c r="C13" s="2" t="str">
        <f>IF('Inputs-Results'!E19="","",'Inputs-Results'!E19)</f>
        <v/>
      </c>
      <c r="D13" s="2" t="str">
        <f>IF('Inputs-Results'!O19="","",'Inputs-Results'!O19)</f>
        <v/>
      </c>
      <c r="E13" s="2" t="str">
        <f>IF('Inputs-Results'!P19="","",'Inputs-Results'!P19)</f>
        <v/>
      </c>
      <c r="F13" s="2" t="str">
        <f>IF('Inputs-Results'!R19="","",'Inputs-Results'!R19)</f>
        <v/>
      </c>
      <c r="G13" s="119" t="str">
        <f>IFERROR(IF('Inputs-Results'!AH19="","",'Inputs-Results'!AH19),"")</f>
        <v/>
      </c>
      <c r="H13" s="19" t="str">
        <f>IFERROR(IF('Inputs-Results'!I19="","",'Inputs-Results'!I19),"")</f>
        <v/>
      </c>
      <c r="I13" s="119" t="str">
        <f>IFERROR(IF('Inputs-Results'!J19="","",'Inputs-Results'!J19),"")</f>
        <v/>
      </c>
    </row>
    <row r="14" spans="1:9" x14ac:dyDescent="0.25">
      <c r="A14" s="118" t="str">
        <f>IF('Inputs-Results'!A20="","",'Inputs-Results'!A20)</f>
        <v/>
      </c>
      <c r="B14" s="2" t="str">
        <f>IF('Inputs-Results'!B20="","",'Inputs-Results'!B20)</f>
        <v/>
      </c>
      <c r="C14" s="2" t="str">
        <f>IF('Inputs-Results'!E20="","",'Inputs-Results'!E20)</f>
        <v/>
      </c>
      <c r="D14" s="2" t="str">
        <f>IF('Inputs-Results'!O20="","",'Inputs-Results'!O20)</f>
        <v/>
      </c>
      <c r="E14" s="2" t="str">
        <f>IF('Inputs-Results'!P20="","",'Inputs-Results'!P20)</f>
        <v/>
      </c>
      <c r="F14" s="2" t="str">
        <f>IF('Inputs-Results'!R20="","",'Inputs-Results'!R20)</f>
        <v/>
      </c>
      <c r="G14" s="119" t="str">
        <f>IFERROR(IF('Inputs-Results'!AH20="","",'Inputs-Results'!AH20),"")</f>
        <v/>
      </c>
      <c r="H14" s="19" t="str">
        <f>IFERROR(IF('Inputs-Results'!I20="","",'Inputs-Results'!I20),"")</f>
        <v/>
      </c>
      <c r="I14" s="119" t="str">
        <f>IFERROR(IF('Inputs-Results'!J20="","",'Inputs-Results'!J20),"")</f>
        <v/>
      </c>
    </row>
    <row r="15" spans="1:9" x14ac:dyDescent="0.25">
      <c r="A15" s="118" t="str">
        <f>IF('Inputs-Results'!A21="","",'Inputs-Results'!A21)</f>
        <v/>
      </c>
      <c r="B15" s="2" t="str">
        <f>IF('Inputs-Results'!B21="","",'Inputs-Results'!B21)</f>
        <v/>
      </c>
      <c r="C15" s="2" t="str">
        <f>IF('Inputs-Results'!E21="","",'Inputs-Results'!E21)</f>
        <v/>
      </c>
      <c r="D15" s="2" t="str">
        <f>IF('Inputs-Results'!O21="","",'Inputs-Results'!O21)</f>
        <v/>
      </c>
      <c r="E15" s="2" t="str">
        <f>IF('Inputs-Results'!P21="","",'Inputs-Results'!P21)</f>
        <v/>
      </c>
      <c r="F15" s="2" t="str">
        <f>IF('Inputs-Results'!R21="","",'Inputs-Results'!R21)</f>
        <v/>
      </c>
      <c r="G15" s="119" t="str">
        <f>IFERROR(IF('Inputs-Results'!AH21="","",'Inputs-Results'!AH21),"")</f>
        <v/>
      </c>
      <c r="H15" s="19" t="str">
        <f>IFERROR(IF('Inputs-Results'!I21="","",'Inputs-Results'!I21),"")</f>
        <v/>
      </c>
      <c r="I15" s="119" t="str">
        <f>IFERROR(IF('Inputs-Results'!J21="","",'Inputs-Results'!J21),"")</f>
        <v/>
      </c>
    </row>
    <row r="16" spans="1:9" x14ac:dyDescent="0.25">
      <c r="A16" s="118" t="str">
        <f>IF('Inputs-Results'!A22="","",'Inputs-Results'!A22)</f>
        <v/>
      </c>
      <c r="B16" s="2" t="str">
        <f>IF('Inputs-Results'!B22="","",'Inputs-Results'!B22)</f>
        <v/>
      </c>
      <c r="C16" s="2" t="str">
        <f>IF('Inputs-Results'!E22="","",'Inputs-Results'!E22)</f>
        <v/>
      </c>
      <c r="D16" s="2" t="str">
        <f>IF('Inputs-Results'!O22="","",'Inputs-Results'!O22)</f>
        <v/>
      </c>
      <c r="E16" s="2" t="str">
        <f>IF('Inputs-Results'!P22="","",'Inputs-Results'!P22)</f>
        <v/>
      </c>
      <c r="F16" s="2" t="str">
        <f>IF('Inputs-Results'!R22="","",'Inputs-Results'!R22)</f>
        <v/>
      </c>
      <c r="G16" s="119" t="str">
        <f>IFERROR(IF('Inputs-Results'!AH22="","",'Inputs-Results'!AH22),"")</f>
        <v/>
      </c>
      <c r="H16" s="19" t="str">
        <f>IFERROR(IF('Inputs-Results'!I22="","",'Inputs-Results'!I22),"")</f>
        <v/>
      </c>
      <c r="I16" s="119" t="str">
        <f>IFERROR(IF('Inputs-Results'!J22="","",'Inputs-Results'!J22),"")</f>
        <v/>
      </c>
    </row>
    <row r="17" spans="1:9" x14ac:dyDescent="0.25">
      <c r="A17" s="118" t="str">
        <f>IF('Inputs-Results'!A23="","",'Inputs-Results'!A23)</f>
        <v/>
      </c>
      <c r="B17" s="2" t="str">
        <f>IF('Inputs-Results'!B23="","",'Inputs-Results'!B23)</f>
        <v/>
      </c>
      <c r="C17" s="2" t="str">
        <f>IF('Inputs-Results'!E23="","",'Inputs-Results'!E23)</f>
        <v/>
      </c>
      <c r="D17" s="2" t="str">
        <f>IF('Inputs-Results'!O23="","",'Inputs-Results'!O23)</f>
        <v/>
      </c>
      <c r="E17" s="2" t="str">
        <f>IF('Inputs-Results'!P23="","",'Inputs-Results'!P23)</f>
        <v/>
      </c>
      <c r="F17" s="2" t="str">
        <f>IF('Inputs-Results'!R23="","",'Inputs-Results'!R23)</f>
        <v/>
      </c>
      <c r="G17" s="119" t="str">
        <f>IFERROR(IF('Inputs-Results'!AH23="","",'Inputs-Results'!AH23),"")</f>
        <v/>
      </c>
      <c r="H17" s="19" t="str">
        <f>IFERROR(IF('Inputs-Results'!I23="","",'Inputs-Results'!I23),"")</f>
        <v/>
      </c>
      <c r="I17" s="119" t="str">
        <f>IFERROR(IF('Inputs-Results'!J23="","",'Inputs-Results'!J23),"")</f>
        <v/>
      </c>
    </row>
    <row r="18" spans="1:9" x14ac:dyDescent="0.25">
      <c r="A18" s="118" t="str">
        <f>IF('Inputs-Results'!A24="","",'Inputs-Results'!A24)</f>
        <v/>
      </c>
      <c r="B18" s="2" t="str">
        <f>IF('Inputs-Results'!B24="","",'Inputs-Results'!B24)</f>
        <v/>
      </c>
      <c r="C18" s="2" t="str">
        <f>IF('Inputs-Results'!E24="","",'Inputs-Results'!E24)</f>
        <v/>
      </c>
      <c r="D18" s="2" t="str">
        <f>IF('Inputs-Results'!O24="","",'Inputs-Results'!O24)</f>
        <v/>
      </c>
      <c r="E18" s="2" t="str">
        <f>IF('Inputs-Results'!P24="","",'Inputs-Results'!P24)</f>
        <v/>
      </c>
      <c r="F18" s="2" t="str">
        <f>IF('Inputs-Results'!R24="","",'Inputs-Results'!R24)</f>
        <v/>
      </c>
      <c r="G18" s="119" t="str">
        <f>IFERROR(IF('Inputs-Results'!AH24="","",'Inputs-Results'!AH24),"")</f>
        <v/>
      </c>
      <c r="H18" s="19" t="str">
        <f>IFERROR(IF('Inputs-Results'!I24="","",'Inputs-Results'!I24),"")</f>
        <v/>
      </c>
      <c r="I18" s="119" t="str">
        <f>IFERROR(IF('Inputs-Results'!J24="","",'Inputs-Results'!J24),"")</f>
        <v/>
      </c>
    </row>
    <row r="19" spans="1:9" x14ac:dyDescent="0.25">
      <c r="A19" s="118" t="str">
        <f>IF('Inputs-Results'!A25="","",'Inputs-Results'!A25)</f>
        <v/>
      </c>
      <c r="B19" s="2" t="str">
        <f>IF('Inputs-Results'!B25="","",'Inputs-Results'!B25)</f>
        <v/>
      </c>
      <c r="C19" s="2" t="str">
        <f>IF('Inputs-Results'!E25="","",'Inputs-Results'!E25)</f>
        <v/>
      </c>
      <c r="D19" s="2" t="str">
        <f>IF('Inputs-Results'!O25="","",'Inputs-Results'!O25)</f>
        <v/>
      </c>
      <c r="E19" s="2" t="str">
        <f>IF('Inputs-Results'!P25="","",'Inputs-Results'!P25)</f>
        <v/>
      </c>
      <c r="F19" s="2" t="str">
        <f>IF('Inputs-Results'!R25="","",'Inputs-Results'!R25)</f>
        <v/>
      </c>
      <c r="G19" s="119" t="str">
        <f>IFERROR(IF('Inputs-Results'!AH25="","",'Inputs-Results'!AH25),"")</f>
        <v/>
      </c>
      <c r="H19" s="19" t="str">
        <f>IFERROR(IF('Inputs-Results'!I25="","",'Inputs-Results'!I25),"")</f>
        <v/>
      </c>
      <c r="I19" s="119" t="str">
        <f>IFERROR(IF('Inputs-Results'!J25="","",'Inputs-Results'!J25),"")</f>
        <v/>
      </c>
    </row>
    <row r="20" spans="1:9" x14ac:dyDescent="0.25">
      <c r="A20" s="118" t="str">
        <f>IF('Inputs-Results'!A26="","",'Inputs-Results'!A26)</f>
        <v/>
      </c>
      <c r="B20" s="2" t="str">
        <f>IF('Inputs-Results'!B26="","",'Inputs-Results'!B26)</f>
        <v/>
      </c>
      <c r="C20" s="2" t="str">
        <f>IF('Inputs-Results'!E26="","",'Inputs-Results'!E26)</f>
        <v/>
      </c>
      <c r="D20" s="2" t="str">
        <f>IF('Inputs-Results'!O26="","",'Inputs-Results'!O26)</f>
        <v/>
      </c>
      <c r="E20" s="2" t="str">
        <f>IF('Inputs-Results'!P26="","",'Inputs-Results'!P26)</f>
        <v/>
      </c>
      <c r="F20" s="2" t="str">
        <f>IF('Inputs-Results'!R26="","",'Inputs-Results'!R26)</f>
        <v/>
      </c>
      <c r="G20" s="119" t="str">
        <f>IFERROR(IF('Inputs-Results'!AH26="","",'Inputs-Results'!AH26),"")</f>
        <v/>
      </c>
      <c r="H20" s="19" t="str">
        <f>IFERROR(IF('Inputs-Results'!I26="","",'Inputs-Results'!I26),"")</f>
        <v/>
      </c>
      <c r="I20" s="119" t="str">
        <f>IFERROR(IF('Inputs-Results'!J26="","",'Inputs-Results'!J26),"")</f>
        <v/>
      </c>
    </row>
    <row r="21" spans="1:9" x14ac:dyDescent="0.25">
      <c r="A21" s="118" t="str">
        <f>IF('Inputs-Results'!A27="","",'Inputs-Results'!A27)</f>
        <v/>
      </c>
      <c r="B21" s="2" t="str">
        <f>IF('Inputs-Results'!B27="","",'Inputs-Results'!B27)</f>
        <v/>
      </c>
      <c r="C21" s="2" t="str">
        <f>IF('Inputs-Results'!E27="","",'Inputs-Results'!E27)</f>
        <v/>
      </c>
      <c r="D21" s="2" t="str">
        <f>IF('Inputs-Results'!O27="","",'Inputs-Results'!O27)</f>
        <v/>
      </c>
      <c r="E21" s="2" t="str">
        <f>IF('Inputs-Results'!P27="","",'Inputs-Results'!P27)</f>
        <v/>
      </c>
      <c r="F21" s="2" t="str">
        <f>IF('Inputs-Results'!R27="","",'Inputs-Results'!R27)</f>
        <v/>
      </c>
      <c r="G21" s="119" t="str">
        <f>IFERROR(IF('Inputs-Results'!AH27="","",'Inputs-Results'!AH27),"")</f>
        <v/>
      </c>
      <c r="H21" s="19" t="str">
        <f>IFERROR(IF('Inputs-Results'!I27="","",'Inputs-Results'!I27),"")</f>
        <v/>
      </c>
      <c r="I21" s="119" t="str">
        <f>IFERROR(IF('Inputs-Results'!J27="","",'Inputs-Results'!J27),"")</f>
        <v/>
      </c>
    </row>
    <row r="22" spans="1:9" x14ac:dyDescent="0.25">
      <c r="A22" s="118" t="str">
        <f>IF('Inputs-Results'!A28="","",'Inputs-Results'!A28)</f>
        <v/>
      </c>
      <c r="B22" s="2" t="str">
        <f>IF('Inputs-Results'!B28="","",'Inputs-Results'!B28)</f>
        <v/>
      </c>
      <c r="C22" s="2" t="str">
        <f>IF('Inputs-Results'!E28="","",'Inputs-Results'!E28)</f>
        <v/>
      </c>
      <c r="D22" s="2" t="str">
        <f>IF('Inputs-Results'!O28="","",'Inputs-Results'!O28)</f>
        <v/>
      </c>
      <c r="E22" s="2" t="str">
        <f>IF('Inputs-Results'!P28="","",'Inputs-Results'!P28)</f>
        <v/>
      </c>
      <c r="F22" s="2" t="str">
        <f>IF('Inputs-Results'!R28="","",'Inputs-Results'!R28)</f>
        <v/>
      </c>
      <c r="G22" s="119" t="str">
        <f>IFERROR(IF('Inputs-Results'!AH28="","",'Inputs-Results'!AH28),"")</f>
        <v/>
      </c>
      <c r="H22" s="19" t="str">
        <f>IFERROR(IF('Inputs-Results'!I28="","",'Inputs-Results'!I28),"")</f>
        <v/>
      </c>
      <c r="I22" s="119" t="str">
        <f>IFERROR(IF('Inputs-Results'!J28="","",'Inputs-Results'!J28),"")</f>
        <v/>
      </c>
    </row>
    <row r="23" spans="1:9" x14ac:dyDescent="0.25">
      <c r="A23" s="118" t="str">
        <f>IF('Inputs-Results'!A29="","",'Inputs-Results'!A29)</f>
        <v/>
      </c>
      <c r="B23" s="2" t="str">
        <f>IF('Inputs-Results'!B29="","",'Inputs-Results'!B29)</f>
        <v/>
      </c>
      <c r="C23" s="2" t="str">
        <f>IF('Inputs-Results'!E29="","",'Inputs-Results'!E29)</f>
        <v/>
      </c>
      <c r="D23" s="2" t="str">
        <f>IF('Inputs-Results'!O29="","",'Inputs-Results'!O29)</f>
        <v/>
      </c>
      <c r="E23" s="2" t="str">
        <f>IF('Inputs-Results'!P29="","",'Inputs-Results'!P29)</f>
        <v/>
      </c>
      <c r="F23" s="2" t="str">
        <f>IF('Inputs-Results'!R29="","",'Inputs-Results'!R29)</f>
        <v/>
      </c>
      <c r="G23" s="119" t="str">
        <f>IFERROR(IF('Inputs-Results'!AH29="","",'Inputs-Results'!AH29),"")</f>
        <v/>
      </c>
      <c r="H23" s="19" t="str">
        <f>IFERROR(IF('Inputs-Results'!I29="","",'Inputs-Results'!I29),"")</f>
        <v/>
      </c>
      <c r="I23" s="119" t="str">
        <f>IFERROR(IF('Inputs-Results'!J29="","",'Inputs-Results'!J29),"")</f>
        <v/>
      </c>
    </row>
    <row r="24" spans="1:9" x14ac:dyDescent="0.25">
      <c r="A24" s="118" t="str">
        <f>IF('Inputs-Results'!A30="","",'Inputs-Results'!A30)</f>
        <v/>
      </c>
      <c r="B24" s="2" t="str">
        <f>IF('Inputs-Results'!B30="","",'Inputs-Results'!B30)</f>
        <v/>
      </c>
      <c r="C24" s="2" t="str">
        <f>IF('Inputs-Results'!E30="","",'Inputs-Results'!E30)</f>
        <v/>
      </c>
      <c r="D24" s="2" t="str">
        <f>IF('Inputs-Results'!O30="","",'Inputs-Results'!O30)</f>
        <v/>
      </c>
      <c r="E24" s="2" t="str">
        <f>IF('Inputs-Results'!P30="","",'Inputs-Results'!P30)</f>
        <v/>
      </c>
      <c r="F24" s="2" t="str">
        <f>IF('Inputs-Results'!R30="","",'Inputs-Results'!R30)</f>
        <v/>
      </c>
      <c r="G24" s="119" t="str">
        <f>IFERROR(IF('Inputs-Results'!AH30="","",'Inputs-Results'!AH30),"")</f>
        <v/>
      </c>
      <c r="H24" s="19" t="str">
        <f>IFERROR(IF('Inputs-Results'!I30="","",'Inputs-Results'!I30),"")</f>
        <v/>
      </c>
      <c r="I24" s="119" t="str">
        <f>IFERROR(IF('Inputs-Results'!J30="","",'Inputs-Results'!J30),"")</f>
        <v/>
      </c>
    </row>
    <row r="25" spans="1:9" x14ac:dyDescent="0.25">
      <c r="A25" s="118" t="str">
        <f>IF('Inputs-Results'!A31="","",'Inputs-Results'!A31)</f>
        <v/>
      </c>
      <c r="B25" s="2" t="str">
        <f>IF('Inputs-Results'!B31="","",'Inputs-Results'!B31)</f>
        <v/>
      </c>
      <c r="C25" s="2" t="str">
        <f>IF('Inputs-Results'!E31="","",'Inputs-Results'!E31)</f>
        <v/>
      </c>
      <c r="D25" s="2" t="str">
        <f>IF('Inputs-Results'!O31="","",'Inputs-Results'!O31)</f>
        <v/>
      </c>
      <c r="E25" s="2" t="str">
        <f>IF('Inputs-Results'!P31="","",'Inputs-Results'!P31)</f>
        <v/>
      </c>
      <c r="F25" s="2" t="str">
        <f>IF('Inputs-Results'!R31="","",'Inputs-Results'!R31)</f>
        <v/>
      </c>
      <c r="G25" s="119" t="str">
        <f>IFERROR(IF('Inputs-Results'!AH31="","",'Inputs-Results'!AH31),"")</f>
        <v/>
      </c>
      <c r="H25" s="19" t="str">
        <f>IFERROR(IF('Inputs-Results'!I31="","",'Inputs-Results'!I31),"")</f>
        <v/>
      </c>
      <c r="I25" s="119" t="str">
        <f>IFERROR(IF('Inputs-Results'!J31="","",'Inputs-Results'!J31),"")</f>
        <v/>
      </c>
    </row>
    <row r="26" spans="1:9" x14ac:dyDescent="0.25">
      <c r="A26" s="118" t="str">
        <f>IF('Inputs-Results'!A32="","",'Inputs-Results'!A32)</f>
        <v/>
      </c>
      <c r="B26" s="2" t="str">
        <f>IF('Inputs-Results'!B32="","",'Inputs-Results'!B32)</f>
        <v/>
      </c>
      <c r="C26" s="2" t="str">
        <f>IF('Inputs-Results'!E32="","",'Inputs-Results'!E32)</f>
        <v/>
      </c>
      <c r="D26" s="2" t="str">
        <f>IF('Inputs-Results'!O32="","",'Inputs-Results'!O32)</f>
        <v/>
      </c>
      <c r="E26" s="2" t="str">
        <f>IF('Inputs-Results'!P32="","",'Inputs-Results'!P32)</f>
        <v/>
      </c>
      <c r="F26" s="2" t="str">
        <f>IF('Inputs-Results'!R32="","",'Inputs-Results'!R32)</f>
        <v/>
      </c>
      <c r="G26" s="119" t="str">
        <f>IFERROR(IF('Inputs-Results'!AH32="","",'Inputs-Results'!AH32),"")</f>
        <v/>
      </c>
      <c r="H26" s="19" t="str">
        <f>IFERROR(IF('Inputs-Results'!I32="","",'Inputs-Results'!I32),"")</f>
        <v/>
      </c>
      <c r="I26" s="119" t="str">
        <f>IFERROR(IF('Inputs-Results'!J32="","",'Inputs-Results'!J32),"")</f>
        <v/>
      </c>
    </row>
    <row r="27" spans="1:9" x14ac:dyDescent="0.25">
      <c r="A27" s="118" t="str">
        <f>IF('Inputs-Results'!A33="","",'Inputs-Results'!A33)</f>
        <v/>
      </c>
      <c r="B27" s="2" t="str">
        <f>IF('Inputs-Results'!B33="","",'Inputs-Results'!B33)</f>
        <v/>
      </c>
      <c r="C27" s="2" t="str">
        <f>IF('Inputs-Results'!E33="","",'Inputs-Results'!E33)</f>
        <v/>
      </c>
      <c r="D27" s="2" t="str">
        <f>IF('Inputs-Results'!O33="","",'Inputs-Results'!O33)</f>
        <v/>
      </c>
      <c r="E27" s="2" t="str">
        <f>IF('Inputs-Results'!P33="","",'Inputs-Results'!P33)</f>
        <v/>
      </c>
      <c r="F27" s="2" t="str">
        <f>IF('Inputs-Results'!R33="","",'Inputs-Results'!R33)</f>
        <v/>
      </c>
      <c r="G27" s="119" t="str">
        <f>IFERROR(IF('Inputs-Results'!AH33="","",'Inputs-Results'!AH33),"")</f>
        <v/>
      </c>
      <c r="H27" s="19" t="str">
        <f>IFERROR(IF('Inputs-Results'!I33="","",'Inputs-Results'!I33),"")</f>
        <v/>
      </c>
      <c r="I27" s="119" t="str">
        <f>IFERROR(IF('Inputs-Results'!J33="","",'Inputs-Results'!J33),"")</f>
        <v/>
      </c>
    </row>
    <row r="28" spans="1:9" x14ac:dyDescent="0.25">
      <c r="A28" s="118" t="str">
        <f>IF('Inputs-Results'!A34="","",'Inputs-Results'!A34)</f>
        <v/>
      </c>
      <c r="B28" s="2" t="str">
        <f>IF('Inputs-Results'!B34="","",'Inputs-Results'!B34)</f>
        <v/>
      </c>
      <c r="C28" s="2" t="str">
        <f>IF('Inputs-Results'!E34="","",'Inputs-Results'!E34)</f>
        <v/>
      </c>
      <c r="D28" s="2" t="str">
        <f>IF('Inputs-Results'!O34="","",'Inputs-Results'!O34)</f>
        <v/>
      </c>
      <c r="E28" s="2" t="str">
        <f>IF('Inputs-Results'!P34="","",'Inputs-Results'!P34)</f>
        <v/>
      </c>
      <c r="F28" s="2" t="str">
        <f>IF('Inputs-Results'!R34="","",'Inputs-Results'!R34)</f>
        <v/>
      </c>
      <c r="G28" s="119" t="str">
        <f>IFERROR(IF('Inputs-Results'!AH34="","",'Inputs-Results'!AH34),"")</f>
        <v/>
      </c>
      <c r="H28" s="19" t="str">
        <f>IFERROR(IF('Inputs-Results'!I34="","",'Inputs-Results'!I34),"")</f>
        <v/>
      </c>
      <c r="I28" s="119" t="str">
        <f>IFERROR(IF('Inputs-Results'!J34="","",'Inputs-Results'!J34),"")</f>
        <v/>
      </c>
    </row>
    <row r="29" spans="1:9" x14ac:dyDescent="0.25">
      <c r="A29" s="123" t="str">
        <f>IF('Inputs-Results'!A35="","",'Inputs-Results'!A35)</f>
        <v/>
      </c>
      <c r="B29" s="124" t="str">
        <f>IF('Inputs-Results'!B35="","",'Inputs-Results'!B35)</f>
        <v/>
      </c>
      <c r="C29" s="124" t="str">
        <f>IF('Inputs-Results'!E35="","",'Inputs-Results'!E35)</f>
        <v/>
      </c>
      <c r="D29" s="124" t="str">
        <f>IF('Inputs-Results'!O35="","",'Inputs-Results'!O35)</f>
        <v/>
      </c>
      <c r="E29" s="124" t="str">
        <f>IF('Inputs-Results'!P35="","",'Inputs-Results'!P35)</f>
        <v/>
      </c>
      <c r="F29" s="124" t="str">
        <f>IF('Inputs-Results'!R35="","",'Inputs-Results'!R35)</f>
        <v/>
      </c>
      <c r="G29" s="125" t="str">
        <f>IFERROR(IF('Inputs-Results'!AH35="","",'Inputs-Results'!AH35),"")</f>
        <v/>
      </c>
      <c r="H29" s="126" t="str">
        <f>IFERROR(IF('Inputs-Results'!I35="","",'Inputs-Results'!I35),"")</f>
        <v/>
      </c>
      <c r="I29" s="119" t="str">
        <f>IFERROR(IF('Inputs-Results'!J35="","",'Inputs-Results'!J35),"")</f>
        <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1E71B-5BCF-41D8-AE74-D5AE077100D1}">
  <dimension ref="A1:AC40"/>
  <sheetViews>
    <sheetView workbookViewId="0">
      <selection activeCell="AC23" sqref="AC23"/>
    </sheetView>
  </sheetViews>
  <sheetFormatPr defaultRowHeight="15" x14ac:dyDescent="0.25"/>
  <cols>
    <col min="2" max="2" width="10.5703125" customWidth="1"/>
    <col min="3" max="4" width="12.85546875" bestFit="1" customWidth="1"/>
    <col min="6" max="6" width="10" customWidth="1"/>
  </cols>
  <sheetData>
    <row r="1" spans="1:9" x14ac:dyDescent="0.25">
      <c r="A1" s="148" t="s">
        <v>45</v>
      </c>
      <c r="B1" s="148"/>
      <c r="C1" s="148"/>
      <c r="D1" s="148"/>
      <c r="E1" s="148"/>
    </row>
    <row r="2" spans="1:9" x14ac:dyDescent="0.25">
      <c r="A2" s="2" t="s">
        <v>35</v>
      </c>
      <c r="B2" s="2" t="s">
        <v>1</v>
      </c>
      <c r="C2" s="2" t="s">
        <v>66</v>
      </c>
      <c r="D2" s="2" t="s">
        <v>116</v>
      </c>
      <c r="E2" s="2"/>
    </row>
    <row r="3" spans="1:9" x14ac:dyDescent="0.25">
      <c r="A3" s="2" t="s">
        <v>36</v>
      </c>
      <c r="B3" s="2" t="s">
        <v>30</v>
      </c>
      <c r="C3" s="2" t="s">
        <v>68</v>
      </c>
      <c r="D3" s="2" t="s">
        <v>117</v>
      </c>
      <c r="E3" s="2"/>
    </row>
    <row r="4" spans="1:9" x14ac:dyDescent="0.25">
      <c r="A4" s="2"/>
      <c r="B4" s="2" t="s">
        <v>31</v>
      </c>
      <c r="C4" s="2" t="s">
        <v>67</v>
      </c>
      <c r="D4" s="2" t="s">
        <v>118</v>
      </c>
      <c r="E4" s="2"/>
    </row>
    <row r="5" spans="1:9" x14ac:dyDescent="0.25">
      <c r="A5" s="2"/>
      <c r="B5" s="2"/>
      <c r="C5" s="2" t="s">
        <v>69</v>
      </c>
      <c r="D5" s="2"/>
      <c r="E5" s="2"/>
    </row>
    <row r="6" spans="1:9" x14ac:dyDescent="0.25">
      <c r="A6" s="2"/>
      <c r="B6" s="2"/>
      <c r="C6" s="2" t="s">
        <v>65</v>
      </c>
      <c r="D6" s="2"/>
      <c r="E6" s="2"/>
    </row>
    <row r="8" spans="1:9" ht="30" x14ac:dyDescent="0.25">
      <c r="A8" s="2" t="s">
        <v>0</v>
      </c>
      <c r="B8" s="5" t="s">
        <v>17</v>
      </c>
      <c r="C8" s="5" t="s">
        <v>19</v>
      </c>
      <c r="D8" s="2" t="s">
        <v>16</v>
      </c>
      <c r="E8" s="5" t="s">
        <v>14</v>
      </c>
      <c r="F8" s="5" t="s">
        <v>15</v>
      </c>
      <c r="G8" s="4" t="s">
        <v>12</v>
      </c>
      <c r="H8" s="5" t="s">
        <v>13</v>
      </c>
      <c r="I8" s="5" t="s">
        <v>10</v>
      </c>
    </row>
    <row r="9" spans="1:9" x14ac:dyDescent="0.25">
      <c r="A9" s="2" t="s">
        <v>1</v>
      </c>
      <c r="B9" s="2">
        <v>11.3</v>
      </c>
      <c r="C9" s="19">
        <f>+E9*2+F9</f>
        <v>8.5</v>
      </c>
      <c r="D9" s="2">
        <v>3.3</v>
      </c>
      <c r="E9" s="19">
        <f>34/12</f>
        <v>2.8333333333333335</v>
      </c>
      <c r="F9" s="19">
        <f>34/12</f>
        <v>2.8333333333333335</v>
      </c>
      <c r="G9" s="3" t="s">
        <v>18</v>
      </c>
      <c r="H9" s="2">
        <v>5.95</v>
      </c>
      <c r="I9" s="22">
        <v>0.5</v>
      </c>
    </row>
    <row r="10" spans="1:9" x14ac:dyDescent="0.25">
      <c r="C10" s="7"/>
      <c r="E10" s="7"/>
      <c r="F10" s="7"/>
      <c r="G10" s="1"/>
      <c r="I10" s="10"/>
    </row>
    <row r="11" spans="1:9" ht="45" x14ac:dyDescent="0.25">
      <c r="A11" s="2"/>
      <c r="B11" s="5" t="s">
        <v>42</v>
      </c>
      <c r="C11" s="23" t="s">
        <v>43</v>
      </c>
      <c r="D11" s="5" t="s">
        <v>44</v>
      </c>
      <c r="E11" s="23" t="s">
        <v>57</v>
      </c>
      <c r="F11" s="5" t="s">
        <v>10</v>
      </c>
      <c r="G11" s="4" t="s">
        <v>154</v>
      </c>
      <c r="I11" s="10"/>
    </row>
    <row r="12" spans="1:9" x14ac:dyDescent="0.25">
      <c r="A12" s="2" t="s">
        <v>2</v>
      </c>
      <c r="B12" s="2">
        <v>0.11</v>
      </c>
      <c r="C12" s="2">
        <v>2.2400000000000002</v>
      </c>
      <c r="D12" s="2">
        <v>3.63</v>
      </c>
      <c r="E12" s="2">
        <v>90</v>
      </c>
      <c r="F12" s="22">
        <v>0</v>
      </c>
      <c r="G12" s="2">
        <v>4.84</v>
      </c>
    </row>
    <row r="13" spans="1:9" x14ac:dyDescent="0.25">
      <c r="A13" s="2" t="s">
        <v>3</v>
      </c>
      <c r="B13" s="2">
        <v>0.11</v>
      </c>
      <c r="C13" s="2">
        <f>C12</f>
        <v>2.2400000000000002</v>
      </c>
      <c r="D13" s="2">
        <f>2*D12</f>
        <v>7.26</v>
      </c>
      <c r="E13" s="2">
        <f>E12*2</f>
        <v>180</v>
      </c>
      <c r="F13" s="22">
        <v>0</v>
      </c>
      <c r="G13" s="2">
        <v>4.84</v>
      </c>
    </row>
    <row r="18" spans="1:29" x14ac:dyDescent="0.25">
      <c r="A18" s="6" t="s">
        <v>20</v>
      </c>
    </row>
    <row r="20" spans="1:29" x14ac:dyDescent="0.25">
      <c r="Q20" s="142" t="s">
        <v>177</v>
      </c>
      <c r="R20" s="143"/>
      <c r="S20" s="143"/>
      <c r="T20" s="143"/>
      <c r="U20" s="143"/>
      <c r="V20" s="143"/>
      <c r="W20" s="143"/>
      <c r="X20" s="143"/>
      <c r="Y20" s="143"/>
      <c r="Z20" s="143"/>
      <c r="AA20" s="143"/>
      <c r="AB20" s="144"/>
    </row>
    <row r="21" spans="1:29" x14ac:dyDescent="0.25">
      <c r="M21" s="8" t="s">
        <v>21</v>
      </c>
      <c r="Q21" s="142" t="s">
        <v>178</v>
      </c>
      <c r="R21" s="143"/>
      <c r="S21" s="143"/>
      <c r="T21" s="143"/>
      <c r="U21" s="143"/>
      <c r="V21" s="143"/>
      <c r="W21" s="143"/>
      <c r="X21" s="143"/>
      <c r="Y21" s="143"/>
      <c r="Z21" s="143"/>
      <c r="AA21" s="143"/>
      <c r="AB21" s="144"/>
    </row>
    <row r="22" spans="1:29" x14ac:dyDescent="0.25">
      <c r="M22" s="9" t="s">
        <v>22</v>
      </c>
      <c r="R22" s="145" t="s">
        <v>179</v>
      </c>
      <c r="S22" s="146"/>
      <c r="T22" s="146"/>
      <c r="U22" s="146"/>
      <c r="V22" s="146"/>
      <c r="W22" s="146"/>
      <c r="X22" s="146"/>
      <c r="Y22" s="146"/>
      <c r="Z22" s="146"/>
      <c r="AA22" s="146"/>
      <c r="AB22" s="147"/>
    </row>
    <row r="23" spans="1:29" x14ac:dyDescent="0.25">
      <c r="M23" s="6" t="s">
        <v>23</v>
      </c>
      <c r="Q23" s="45" t="s">
        <v>180</v>
      </c>
      <c r="R23" s="46">
        <v>0.5</v>
      </c>
      <c r="S23" s="47">
        <v>0.75</v>
      </c>
      <c r="T23" s="47">
        <v>1</v>
      </c>
      <c r="U23" s="47">
        <v>1.5</v>
      </c>
      <c r="V23" s="47">
        <v>2</v>
      </c>
      <c r="W23" s="48">
        <v>2.5</v>
      </c>
      <c r="X23" s="47">
        <v>3</v>
      </c>
      <c r="Y23" s="47">
        <v>4</v>
      </c>
      <c r="Z23" s="47">
        <v>5</v>
      </c>
      <c r="AA23" s="47">
        <v>10</v>
      </c>
      <c r="AB23" s="47">
        <v>15</v>
      </c>
      <c r="AC23" s="117">
        <v>0</v>
      </c>
    </row>
    <row r="24" spans="1:29" x14ac:dyDescent="0.25">
      <c r="M24" t="s">
        <v>24</v>
      </c>
      <c r="Q24" s="49">
        <v>0.2</v>
      </c>
      <c r="R24" s="2">
        <v>0.5</v>
      </c>
      <c r="S24" s="2">
        <v>2.75</v>
      </c>
      <c r="T24" s="2">
        <v>2.69</v>
      </c>
      <c r="U24" s="2">
        <v>2.62</v>
      </c>
      <c r="V24" s="2">
        <v>2.54</v>
      </c>
      <c r="W24" s="2">
        <v>2.48</v>
      </c>
      <c r="X24" s="2">
        <v>2.44</v>
      </c>
      <c r="Y24" s="2">
        <v>2.38</v>
      </c>
      <c r="Z24" s="2">
        <v>2.34</v>
      </c>
      <c r="AA24" s="2">
        <v>2.4900000000000002</v>
      </c>
      <c r="AB24" s="2">
        <v>2.68</v>
      </c>
    </row>
    <row r="25" spans="1:29" x14ac:dyDescent="0.25">
      <c r="Q25" s="49">
        <v>0.4</v>
      </c>
      <c r="R25" s="2">
        <v>2.8</v>
      </c>
      <c r="S25" s="2">
        <v>2.8</v>
      </c>
      <c r="T25" s="2">
        <v>2.72</v>
      </c>
      <c r="U25" s="50">
        <v>2.64</v>
      </c>
      <c r="V25" s="51">
        <v>2.61</v>
      </c>
      <c r="W25" s="52">
        <v>2.6</v>
      </c>
      <c r="X25" s="2">
        <v>2.58</v>
      </c>
      <c r="Y25" s="2">
        <v>2.54</v>
      </c>
      <c r="Z25" s="2">
        <v>2.5</v>
      </c>
      <c r="AA25" s="2">
        <v>2.56</v>
      </c>
      <c r="AB25" s="2">
        <v>2.7</v>
      </c>
    </row>
    <row r="26" spans="1:29" x14ac:dyDescent="0.25">
      <c r="Q26" s="49">
        <v>0.6</v>
      </c>
      <c r="R26" s="2">
        <v>2.92</v>
      </c>
      <c r="S26" s="2">
        <v>2.89</v>
      </c>
      <c r="T26" s="2">
        <v>2.75</v>
      </c>
      <c r="U26" s="2">
        <v>2.64</v>
      </c>
      <c r="V26" s="2">
        <v>2.61</v>
      </c>
      <c r="W26" s="2">
        <v>2.6</v>
      </c>
      <c r="X26" s="2">
        <v>2.68</v>
      </c>
      <c r="Y26" s="2">
        <v>2.69</v>
      </c>
      <c r="Z26" s="2">
        <v>2.7</v>
      </c>
      <c r="AA26" s="2">
        <v>2.7</v>
      </c>
      <c r="AB26" s="2">
        <v>2.7</v>
      </c>
    </row>
    <row r="27" spans="1:29" x14ac:dyDescent="0.25">
      <c r="Q27" s="49">
        <v>0.8</v>
      </c>
      <c r="R27" s="2">
        <v>3.08</v>
      </c>
      <c r="S27" s="2">
        <v>3.04</v>
      </c>
      <c r="T27" s="2">
        <v>2.85</v>
      </c>
      <c r="U27" s="2">
        <v>2.68</v>
      </c>
      <c r="V27" s="2">
        <v>2.6</v>
      </c>
      <c r="W27" s="2">
        <v>2.6</v>
      </c>
      <c r="X27" s="2">
        <v>2.67</v>
      </c>
      <c r="Y27" s="2">
        <v>2.68</v>
      </c>
      <c r="Z27" s="2">
        <v>2.68</v>
      </c>
      <c r="AA27" s="2">
        <v>2.69</v>
      </c>
      <c r="AB27" s="2">
        <v>2.64</v>
      </c>
    </row>
    <row r="28" spans="1:29" x14ac:dyDescent="0.25">
      <c r="M28" s="8" t="s">
        <v>25</v>
      </c>
      <c r="Q28" s="49">
        <v>1</v>
      </c>
      <c r="R28" s="2">
        <v>3.3</v>
      </c>
      <c r="S28" s="2">
        <v>3.14</v>
      </c>
      <c r="T28" s="2">
        <v>2.98</v>
      </c>
      <c r="U28" s="2">
        <v>2.75</v>
      </c>
      <c r="V28" s="2">
        <v>2.66</v>
      </c>
      <c r="W28" s="2">
        <v>2.64</v>
      </c>
      <c r="X28" s="2">
        <v>2.65</v>
      </c>
      <c r="Y28" s="2">
        <v>2.67</v>
      </c>
      <c r="Z28" s="2">
        <v>2.68</v>
      </c>
      <c r="AA28" s="2">
        <v>2.68</v>
      </c>
      <c r="AB28" s="2">
        <v>2.63</v>
      </c>
    </row>
    <row r="29" spans="1:29" x14ac:dyDescent="0.25">
      <c r="M29" s="6" t="s">
        <v>26</v>
      </c>
      <c r="Q29" s="49">
        <v>1.2</v>
      </c>
      <c r="R29" s="2">
        <v>3.32</v>
      </c>
      <c r="S29" s="2">
        <v>3.2</v>
      </c>
      <c r="T29" s="2">
        <v>3.08</v>
      </c>
      <c r="U29" s="2">
        <v>2.86</v>
      </c>
      <c r="V29" s="2">
        <v>2.7</v>
      </c>
      <c r="W29" s="2">
        <v>2.65</v>
      </c>
      <c r="X29" s="2">
        <v>2.64</v>
      </c>
      <c r="Y29" s="2">
        <v>2.67</v>
      </c>
      <c r="Z29" s="2">
        <v>2.66</v>
      </c>
      <c r="AA29" s="2">
        <v>2.69</v>
      </c>
      <c r="AB29" s="2">
        <v>2.64</v>
      </c>
    </row>
    <row r="30" spans="1:29" x14ac:dyDescent="0.25">
      <c r="M30" s="6" t="s">
        <v>27</v>
      </c>
      <c r="Q30" s="49">
        <v>1.4</v>
      </c>
      <c r="R30" s="2">
        <v>3.32</v>
      </c>
      <c r="S30" s="2">
        <v>3.26</v>
      </c>
      <c r="T30" s="2">
        <v>3.2</v>
      </c>
      <c r="U30" s="2">
        <v>2.92</v>
      </c>
      <c r="V30" s="2">
        <v>2.77</v>
      </c>
      <c r="W30" s="2">
        <v>2.68</v>
      </c>
      <c r="X30" s="2">
        <v>2.64</v>
      </c>
      <c r="Y30" s="2">
        <v>2.65</v>
      </c>
      <c r="Z30" s="2">
        <v>2.65</v>
      </c>
      <c r="AA30" s="2">
        <v>2.67</v>
      </c>
      <c r="AB30" s="2">
        <v>2.64</v>
      </c>
    </row>
    <row r="31" spans="1:29" x14ac:dyDescent="0.25">
      <c r="M31" s="6" t="s">
        <v>28</v>
      </c>
      <c r="Q31" s="49">
        <v>1.6</v>
      </c>
      <c r="R31" s="2">
        <v>3.32</v>
      </c>
      <c r="S31" s="2">
        <v>3.29</v>
      </c>
      <c r="T31" s="2">
        <v>3.28</v>
      </c>
      <c r="U31" s="2">
        <v>3.07</v>
      </c>
      <c r="V31" s="2">
        <v>2.89</v>
      </c>
      <c r="W31" s="2">
        <v>2.75</v>
      </c>
      <c r="X31" s="2">
        <v>2.68</v>
      </c>
      <c r="Y31" s="2">
        <v>2.66</v>
      </c>
      <c r="Z31" s="2">
        <v>2.65</v>
      </c>
      <c r="AA31" s="2">
        <v>2.64</v>
      </c>
      <c r="AB31" s="2">
        <v>2.63</v>
      </c>
    </row>
    <row r="32" spans="1:29" x14ac:dyDescent="0.25">
      <c r="Q32" s="49">
        <v>1.8</v>
      </c>
      <c r="R32" s="2">
        <v>3.32</v>
      </c>
      <c r="S32" s="2">
        <v>3.32</v>
      </c>
      <c r="T32" s="2">
        <v>3.34</v>
      </c>
      <c r="U32" s="2">
        <v>3.07</v>
      </c>
      <c r="V32" s="2">
        <v>2.88</v>
      </c>
      <c r="W32" s="2">
        <v>2.74</v>
      </c>
      <c r="X32" s="2">
        <v>2.68</v>
      </c>
      <c r="Y32" s="2">
        <v>2.66</v>
      </c>
      <c r="Z32" s="2">
        <v>2.65</v>
      </c>
      <c r="AA32" s="2">
        <v>2.64</v>
      </c>
      <c r="AB32" s="2">
        <v>2.63</v>
      </c>
    </row>
    <row r="33" spans="17:28" x14ac:dyDescent="0.25">
      <c r="Q33" s="49">
        <v>2</v>
      </c>
      <c r="R33" s="2">
        <v>3.32</v>
      </c>
      <c r="S33" s="2">
        <v>3.31</v>
      </c>
      <c r="T33" s="2">
        <v>3.3</v>
      </c>
      <c r="U33" s="2">
        <v>3.03</v>
      </c>
      <c r="V33" s="2">
        <v>2.85</v>
      </c>
      <c r="W33" s="2">
        <v>2.76</v>
      </c>
      <c r="X33" s="2">
        <v>2.72</v>
      </c>
      <c r="Y33" s="2">
        <v>2.68</v>
      </c>
      <c r="Z33" s="2">
        <v>2.65</v>
      </c>
      <c r="AA33" s="2">
        <v>2.64</v>
      </c>
      <c r="AB33" s="2">
        <v>2.63</v>
      </c>
    </row>
    <row r="34" spans="17:28" x14ac:dyDescent="0.25">
      <c r="Q34" s="49">
        <v>2.5</v>
      </c>
      <c r="R34" s="2">
        <v>3.32</v>
      </c>
      <c r="S34" s="2">
        <v>3.32</v>
      </c>
      <c r="T34" s="2">
        <v>3.34</v>
      </c>
      <c r="U34" s="2">
        <v>3.28</v>
      </c>
      <c r="V34" s="2">
        <v>3.07</v>
      </c>
      <c r="W34" s="2">
        <v>2.89</v>
      </c>
      <c r="X34" s="2">
        <v>2.81</v>
      </c>
      <c r="Y34" s="2">
        <v>2.72</v>
      </c>
      <c r="Z34" s="2">
        <v>2.67</v>
      </c>
      <c r="AA34" s="2">
        <v>2.64</v>
      </c>
      <c r="AB34" s="2">
        <v>2.63</v>
      </c>
    </row>
    <row r="35" spans="17:28" x14ac:dyDescent="0.25">
      <c r="Q35" s="49">
        <v>3</v>
      </c>
      <c r="R35" s="2">
        <v>3.32</v>
      </c>
      <c r="S35" s="2">
        <v>3.32</v>
      </c>
      <c r="T35" s="2">
        <v>3.32</v>
      </c>
      <c r="U35" s="2">
        <v>3.32</v>
      </c>
      <c r="V35" s="2">
        <v>3.2</v>
      </c>
      <c r="W35" s="2">
        <v>3.05</v>
      </c>
      <c r="X35" s="2">
        <v>2.92</v>
      </c>
      <c r="Y35" s="2">
        <v>2.73</v>
      </c>
      <c r="Z35" s="2">
        <v>2.66</v>
      </c>
      <c r="AA35" s="2">
        <v>2.64</v>
      </c>
      <c r="AB35" s="2">
        <v>2.63</v>
      </c>
    </row>
    <row r="36" spans="17:28" x14ac:dyDescent="0.25">
      <c r="Q36" s="49">
        <v>3.5</v>
      </c>
      <c r="R36" s="2">
        <v>3.32</v>
      </c>
      <c r="S36" s="2">
        <v>3.32</v>
      </c>
      <c r="T36" s="2">
        <v>3.32</v>
      </c>
      <c r="U36" s="2">
        <v>3.32</v>
      </c>
      <c r="V36" s="2">
        <v>3.32</v>
      </c>
      <c r="W36" s="2">
        <v>3.19</v>
      </c>
      <c r="X36" s="2">
        <v>2.97</v>
      </c>
      <c r="Y36" s="2">
        <v>2.76</v>
      </c>
      <c r="Z36" s="2">
        <v>2.68</v>
      </c>
      <c r="AA36" s="2">
        <v>2.64</v>
      </c>
      <c r="AB36" s="2">
        <v>2.63</v>
      </c>
    </row>
    <row r="37" spans="17:28" x14ac:dyDescent="0.25">
      <c r="Q37" s="49">
        <v>4</v>
      </c>
      <c r="R37" s="2">
        <v>3.32</v>
      </c>
      <c r="S37" s="2">
        <v>3.32</v>
      </c>
      <c r="T37" s="2">
        <v>3.32</v>
      </c>
      <c r="U37" s="2">
        <v>3.32</v>
      </c>
      <c r="V37" s="2">
        <v>3.32</v>
      </c>
      <c r="W37" s="2">
        <v>3.32</v>
      </c>
      <c r="X37" s="2">
        <v>3.07</v>
      </c>
      <c r="Y37" s="2">
        <v>2.79</v>
      </c>
      <c r="Z37" s="2">
        <v>2.7</v>
      </c>
      <c r="AA37" s="2">
        <v>2.64</v>
      </c>
      <c r="AB37" s="2">
        <v>2.63</v>
      </c>
    </row>
    <row r="38" spans="17:28" x14ac:dyDescent="0.25">
      <c r="Q38" s="49">
        <v>4.5</v>
      </c>
      <c r="R38" s="2">
        <v>3.32</v>
      </c>
      <c r="S38" s="2">
        <v>3.32</v>
      </c>
      <c r="T38" s="2">
        <v>3.32</v>
      </c>
      <c r="U38" s="2">
        <v>3.32</v>
      </c>
      <c r="V38" s="2">
        <v>3.32</v>
      </c>
      <c r="W38" s="2">
        <v>3.32</v>
      </c>
      <c r="X38" s="2">
        <v>3.32</v>
      </c>
      <c r="Y38" s="2">
        <v>2.88</v>
      </c>
      <c r="Z38" s="2">
        <v>2.74</v>
      </c>
      <c r="AA38" s="2">
        <v>2.64</v>
      </c>
      <c r="AB38" s="2">
        <v>2.63</v>
      </c>
    </row>
    <row r="39" spans="17:28" x14ac:dyDescent="0.25">
      <c r="Q39" s="49">
        <v>5</v>
      </c>
      <c r="R39" s="2">
        <v>3.32</v>
      </c>
      <c r="S39" s="2">
        <v>3.32</v>
      </c>
      <c r="T39" s="2">
        <v>3.32</v>
      </c>
      <c r="U39" s="2">
        <v>3.32</v>
      </c>
      <c r="V39" s="2">
        <v>3.32</v>
      </c>
      <c r="W39" s="2">
        <v>3.32</v>
      </c>
      <c r="X39" s="2">
        <v>3.32</v>
      </c>
      <c r="Y39" s="2">
        <v>3.07</v>
      </c>
      <c r="Z39" s="2">
        <v>2.79</v>
      </c>
      <c r="AA39" s="2">
        <v>2.64</v>
      </c>
      <c r="AB39" s="2">
        <v>2.63</v>
      </c>
    </row>
    <row r="40" spans="17:28" x14ac:dyDescent="0.25">
      <c r="Q40" s="49">
        <v>5.5</v>
      </c>
      <c r="R40" s="2">
        <v>3.32</v>
      </c>
      <c r="S40" s="2">
        <v>3.32</v>
      </c>
      <c r="T40" s="2">
        <v>3.32</v>
      </c>
      <c r="U40" s="2">
        <v>3.32</v>
      </c>
      <c r="V40" s="2">
        <v>3.32</v>
      </c>
      <c r="W40" s="2">
        <v>3.32</v>
      </c>
      <c r="X40" s="2">
        <v>3.32</v>
      </c>
      <c r="Y40" s="2">
        <v>3.32</v>
      </c>
      <c r="Z40" s="2">
        <v>2.88</v>
      </c>
      <c r="AA40" s="2">
        <v>2.64</v>
      </c>
      <c r="AB40" s="2">
        <v>2.63</v>
      </c>
    </row>
  </sheetData>
  <mergeCells count="4">
    <mergeCell ref="Q21:AB21"/>
    <mergeCell ref="R22:AB22"/>
    <mergeCell ref="A1:E1"/>
    <mergeCell ref="Q20:AB20"/>
  </mergeCells>
  <conditionalFormatting sqref="R23:AC23">
    <cfRule type="cellIs" dxfId="0" priority="1" operator="equal">
      <formula>$B$7</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C22F6-2D9D-4FB0-AF48-719098BF99C7}">
  <dimension ref="A1:BJ114"/>
  <sheetViews>
    <sheetView workbookViewId="0">
      <selection activeCell="G4" sqref="G4"/>
    </sheetView>
  </sheetViews>
  <sheetFormatPr defaultRowHeight="15" x14ac:dyDescent="0.25"/>
  <cols>
    <col min="1" max="3" width="10" customWidth="1"/>
    <col min="4" max="4" width="9.85546875" customWidth="1"/>
    <col min="5" max="5" width="10" customWidth="1"/>
    <col min="6" max="6" width="9.42578125" customWidth="1"/>
    <col min="7" max="7" width="13.7109375" customWidth="1"/>
    <col min="8" max="56" width="9.42578125" customWidth="1"/>
  </cols>
  <sheetData>
    <row r="1" spans="1:62" ht="15.75" thickBot="1" x14ac:dyDescent="0.3">
      <c r="A1" s="25" t="s">
        <v>73</v>
      </c>
      <c r="D1" s="25"/>
    </row>
    <row r="2" spans="1:62" x14ac:dyDescent="0.25">
      <c r="A2" s="154" t="s">
        <v>77</v>
      </c>
      <c r="B2" s="149"/>
      <c r="C2" s="33"/>
      <c r="D2" s="160" t="s">
        <v>74</v>
      </c>
      <c r="E2" s="156" t="s">
        <v>75</v>
      </c>
      <c r="F2" s="156" t="s">
        <v>76</v>
      </c>
      <c r="G2" s="156" t="s">
        <v>72</v>
      </c>
      <c r="H2" s="159" t="s">
        <v>100</v>
      </c>
      <c r="I2" s="151" t="s">
        <v>98</v>
      </c>
      <c r="J2" s="152"/>
      <c r="K2" s="152"/>
      <c r="L2" s="152"/>
      <c r="M2" s="152"/>
      <c r="N2" s="153"/>
      <c r="O2" s="151" t="s">
        <v>99</v>
      </c>
      <c r="P2" s="152"/>
      <c r="Q2" s="152"/>
      <c r="R2" s="152"/>
      <c r="S2" s="152"/>
      <c r="T2" s="153"/>
      <c r="U2" s="151" t="s">
        <v>96</v>
      </c>
      <c r="V2" s="152"/>
      <c r="W2" s="152"/>
      <c r="X2" s="152"/>
      <c r="Y2" s="152"/>
      <c r="Z2" s="153"/>
      <c r="AA2" s="151" t="s">
        <v>97</v>
      </c>
      <c r="AB2" s="152"/>
      <c r="AC2" s="152"/>
      <c r="AD2" s="152"/>
      <c r="AE2" s="152"/>
      <c r="AF2" s="153"/>
      <c r="AG2" s="151" t="s">
        <v>95</v>
      </c>
      <c r="AH2" s="152"/>
      <c r="AI2" s="152"/>
      <c r="AJ2" s="152"/>
      <c r="AK2" s="152"/>
      <c r="AL2" s="153"/>
      <c r="AM2" s="151" t="s">
        <v>94</v>
      </c>
      <c r="AN2" s="152"/>
      <c r="AO2" s="152"/>
      <c r="AP2" s="152"/>
      <c r="AQ2" s="152"/>
      <c r="AR2" s="153"/>
      <c r="AS2" s="151" t="s">
        <v>93</v>
      </c>
      <c r="AT2" s="152"/>
      <c r="AU2" s="152"/>
      <c r="AV2" s="152"/>
      <c r="AW2" s="152"/>
      <c r="AX2" s="153"/>
      <c r="AY2" s="158" t="s">
        <v>89</v>
      </c>
      <c r="AZ2" s="152"/>
      <c r="BA2" s="152"/>
      <c r="BB2" s="152"/>
      <c r="BC2" s="152"/>
      <c r="BD2" s="153"/>
      <c r="BE2" s="155" t="s">
        <v>86</v>
      </c>
      <c r="BF2" s="156"/>
      <c r="BG2" s="156"/>
      <c r="BH2" s="156"/>
      <c r="BI2" s="156"/>
      <c r="BJ2" s="157"/>
    </row>
    <row r="3" spans="1:62" ht="32.25" customHeight="1" x14ac:dyDescent="0.25">
      <c r="A3" s="154"/>
      <c r="B3" s="150"/>
      <c r="C3" s="34" t="s">
        <v>107</v>
      </c>
      <c r="D3" s="161"/>
      <c r="E3" s="154"/>
      <c r="F3" s="154"/>
      <c r="G3" s="154"/>
      <c r="H3" s="150"/>
      <c r="I3" s="30" t="s">
        <v>87</v>
      </c>
      <c r="J3" s="2" t="s">
        <v>90</v>
      </c>
      <c r="K3" s="2" t="s">
        <v>91</v>
      </c>
      <c r="L3" s="2" t="s">
        <v>92</v>
      </c>
      <c r="M3" s="2" t="s">
        <v>71</v>
      </c>
      <c r="N3" s="31" t="s">
        <v>88</v>
      </c>
      <c r="O3" s="30" t="s">
        <v>87</v>
      </c>
      <c r="P3" s="2" t="s">
        <v>90</v>
      </c>
      <c r="Q3" s="2" t="s">
        <v>91</v>
      </c>
      <c r="R3" s="2" t="s">
        <v>92</v>
      </c>
      <c r="S3" s="2" t="s">
        <v>71</v>
      </c>
      <c r="T3" s="31" t="s">
        <v>88</v>
      </c>
      <c r="U3" s="30" t="s">
        <v>87</v>
      </c>
      <c r="V3" s="2" t="s">
        <v>90</v>
      </c>
      <c r="W3" s="2" t="s">
        <v>91</v>
      </c>
      <c r="X3" s="2" t="s">
        <v>92</v>
      </c>
      <c r="Y3" s="2" t="s">
        <v>71</v>
      </c>
      <c r="Z3" s="31" t="s">
        <v>88</v>
      </c>
      <c r="AA3" s="30" t="s">
        <v>87</v>
      </c>
      <c r="AB3" s="2" t="s">
        <v>90</v>
      </c>
      <c r="AC3" s="2" t="s">
        <v>91</v>
      </c>
      <c r="AD3" s="2" t="s">
        <v>92</v>
      </c>
      <c r="AE3" s="2" t="s">
        <v>71</v>
      </c>
      <c r="AF3" s="31" t="s">
        <v>88</v>
      </c>
      <c r="AG3" s="30" t="s">
        <v>87</v>
      </c>
      <c r="AH3" s="2" t="s">
        <v>90</v>
      </c>
      <c r="AI3" s="2" t="s">
        <v>91</v>
      </c>
      <c r="AJ3" s="2" t="s">
        <v>92</v>
      </c>
      <c r="AK3" s="2" t="s">
        <v>71</v>
      </c>
      <c r="AL3" s="31" t="s">
        <v>88</v>
      </c>
      <c r="AM3" s="30" t="s">
        <v>87</v>
      </c>
      <c r="AN3" s="2" t="s">
        <v>90</v>
      </c>
      <c r="AO3" s="2" t="s">
        <v>91</v>
      </c>
      <c r="AP3" s="2" t="s">
        <v>92</v>
      </c>
      <c r="AQ3" s="2" t="s">
        <v>71</v>
      </c>
      <c r="AR3" s="31" t="s">
        <v>88</v>
      </c>
      <c r="AS3" s="30" t="s">
        <v>87</v>
      </c>
      <c r="AT3" s="2" t="s">
        <v>90</v>
      </c>
      <c r="AU3" s="2" t="s">
        <v>91</v>
      </c>
      <c r="AV3" s="2" t="s">
        <v>92</v>
      </c>
      <c r="AW3" s="2" t="s">
        <v>71</v>
      </c>
      <c r="AX3" s="31" t="s">
        <v>88</v>
      </c>
      <c r="AY3" s="30" t="s">
        <v>87</v>
      </c>
      <c r="AZ3" s="2" t="s">
        <v>90</v>
      </c>
      <c r="BA3" s="2" t="s">
        <v>91</v>
      </c>
      <c r="BB3" s="2" t="s">
        <v>92</v>
      </c>
      <c r="BC3" s="2" t="s">
        <v>71</v>
      </c>
      <c r="BD3" s="31" t="s">
        <v>88</v>
      </c>
      <c r="BE3" s="30" t="s">
        <v>87</v>
      </c>
      <c r="BF3" s="2" t="s">
        <v>90</v>
      </c>
      <c r="BG3" s="2" t="s">
        <v>91</v>
      </c>
      <c r="BH3" s="2" t="s">
        <v>92</v>
      </c>
      <c r="BI3" s="2" t="s">
        <v>71</v>
      </c>
      <c r="BJ3" s="31" t="s">
        <v>88</v>
      </c>
    </row>
    <row r="4" spans="1:62" x14ac:dyDescent="0.25">
      <c r="A4" s="2" cm="1">
        <f t="array" ref="A4:A30">'Inputs-Results'!A9:A35</f>
        <v>0</v>
      </c>
      <c r="B4" s="17"/>
      <c r="C4" s="26">
        <f>MIN('Inputs-Results'!T9-'Inputs-Results'!X9,'Inputs-Results'!AB9-'Inputs-Results'!X9)</f>
        <v>0</v>
      </c>
      <c r="D4" s="19" t="e">
        <f>IF(C4&gt;'Inputs-Results'!$V9-'Inputs-Results'!$X9,(0.5*(ABS('Inputs-Results'!$S9-'Inputs-Results'!$U9)/('Inputs-Results'!$T9-'Inputs-Results'!$V9)*(C4-('Inputs-Results'!$V9-'Inputs-Results'!$X9)))*(C4-('Inputs-Results'!$V9-'Inputs-Results'!$X9))),0)+IF(C4&gt;'Inputs-Results'!$V9-'Inputs-Results'!$X9,(0.5*((C4+'Inputs-Results'!$X9-'Inputs-Results'!$V9)+C4)*ABS('Inputs-Results'!$U9-'Inputs-Results'!$W9)),0.5*(ABS('Inputs-Results'!$U9-'Inputs-Results'!$W9)/('Inputs-Results'!$V9-'Inputs-Results'!$X9)*C4)*C4)+IF(C4&gt;'Inputs-Results'!$Z9-'Inputs-Results'!$X9,(0.5*((C4+'Inputs-Results'!$X9-'Inputs-Results'!$Z9)+C4)*ABS('Inputs-Results'!$Y9-'Inputs-Results'!$W9)),0.5*(ABS('Inputs-Results'!$W9-'Inputs-Results'!$Y9)/('Inputs-Results'!$Z9-'Inputs-Results'!$X9)*C4)*C4)+IF(C4&gt;'Inputs-Results'!$Z9-'Inputs-Results'!$X9,(0.5*(ABS('Inputs-Results'!$Y9-'Inputs-Results'!$AA9)/('Inputs-Results'!$AB9-'Inputs-Results'!$Z9)*(C4-('Inputs-Results'!$Z9-'Inputs-Results'!$X9)))*(C4-('Inputs-Results'!$Z9-'Inputs-Results'!$X9))),0)</f>
        <v>#DIV/0!</v>
      </c>
      <c r="E4" s="19" t="e">
        <f>IF(C4&gt;'Inputs-Results'!$V$9-'Inputs-Results'!$X$9,SQRT(('Inputs-Results'!$U$9-'Inputs-Results'!$W$9)^2+('Inputs-Results'!$V$9-'Inputs-Results'!$X$9)^2)+SQRT(('Inputs-Results'!$W$9-'Inputs-Results'!$Y$9)^2+('Inputs-Results'!$X$9-'Inputs-Results'!$Z$9)^2)+SQRT((('Inputs-Results'!$S$9-'Inputs-Results'!$U$9)*(C4+'Inputs-Results'!$X$9-'Inputs-Results'!$V$9)/('Inputs-Results'!$T$9-'Inputs-Results'!$V$9))^2+(C4+'Inputs-Results'!$X$9-'Inputs-Results'!$V$9)^2)+SQRT((('Inputs-Results'!$AA$9-'Inputs-Results'!$Y$9)*(C4+'Inputs-Results'!$X$9-'Inputs-Results'!$Z$9)/('Inputs-Results'!$AB$9-'Inputs-Results'!$Z$9))^2+(C4+'Inputs-Results'!$X$9-'Inputs-Results'!$Z$9)^2),SQRT((('Inputs-Results'!$U$9-'Inputs-Results'!$W$9)*(C4)/('Inputs-Results'!$V$9-'Inputs-Results'!$X$9))^2+C4^2)+SQRT((('Inputs-Results'!$Y$9-'Inputs-Results'!$W$9)*C4/('Inputs-Results'!$Z$9-'Inputs-Results'!$X$9))^2+C4^2))</f>
        <v>#DIV/0!</v>
      </c>
      <c r="F4" s="19" t="e">
        <f t="shared" ref="F4:F30" si="0">D4/E4</f>
        <v>#DIV/0!</v>
      </c>
      <c r="G4" s="19" t="e">
        <f>1.49/'Inputs-Results'!AC9*D4*F4^(2/3)*'Inputs-Results'!AD9^0.5</f>
        <v>#DIV/0!</v>
      </c>
      <c r="H4" s="27" t="e">
        <f t="shared" ref="H4:H30" si="1">G4/D4</f>
        <v>#DIV/0!</v>
      </c>
      <c r="I4" s="26">
        <f>0.9*$C4</f>
        <v>0</v>
      </c>
      <c r="J4" s="19" t="e">
        <f>IF(I4&gt;'Inputs-Results'!$V9-'Inputs-Results'!$X9,(0.5*(ABS('Inputs-Results'!$S9-'Inputs-Results'!$U9)/('Inputs-Results'!$T9-'Inputs-Results'!$V9)*(I4-('Inputs-Results'!$V9-'Inputs-Results'!$X9)))*(I4-('Inputs-Results'!$V9-'Inputs-Results'!$X9))),0)+IF(I4&gt;'Inputs-Results'!$V9-'Inputs-Results'!$X9,(0.5*((I4+'Inputs-Results'!$X9-'Inputs-Results'!$V9)+I4)*ABS('Inputs-Results'!$U9-'Inputs-Results'!$W9)),0.5*(ABS('Inputs-Results'!$U9-'Inputs-Results'!$W9)/('Inputs-Results'!$V9-'Inputs-Results'!$X9)*I4)*I4)+IF(I4&gt;'Inputs-Results'!$Z9-'Inputs-Results'!$X9,(0.5*((I4+'Inputs-Results'!$X9-'Inputs-Results'!$Z9)+I4)*ABS('Inputs-Results'!$Y9-'Inputs-Results'!$W9)),0.5*(ABS('Inputs-Results'!$W9-'Inputs-Results'!$Y9)/('Inputs-Results'!$Z9-'Inputs-Results'!$X9)*I4)*I4)+IF(I4&gt;'Inputs-Results'!$Z9-'Inputs-Results'!$X9,(0.5*(ABS('Inputs-Results'!$Y9-'Inputs-Results'!$AA9)/('Inputs-Results'!$AB9-'Inputs-Results'!$Z9)*(I4-('Inputs-Results'!$Z9-'Inputs-Results'!$X9)))*(I4-('Inputs-Results'!$Z9-'Inputs-Results'!$X9))),0)</f>
        <v>#DIV/0!</v>
      </c>
      <c r="K4" s="19" t="e">
        <f>IF(I4&gt;'Inputs-Results'!$V$9-'Inputs-Results'!$X$9,SQRT(('Inputs-Results'!$U$9-'Inputs-Results'!$W$9)^2+('Inputs-Results'!$V$9-'Inputs-Results'!$X$9)^2)+SQRT(('Inputs-Results'!$W$9-'Inputs-Results'!$Y$9)^2+('Inputs-Results'!$X$9-'Inputs-Results'!$Z$9)^2)+SQRT((('Inputs-Results'!$S$9-'Inputs-Results'!$U$9)*(I4+'Inputs-Results'!$X$9-'Inputs-Results'!$V$9)/('Inputs-Results'!$T$9-'Inputs-Results'!$V$9))^2+(I4+'Inputs-Results'!$X$9-'Inputs-Results'!$V$9)^2)+SQRT((('Inputs-Results'!$AA$9-'Inputs-Results'!$Y$9)*(I4+'Inputs-Results'!$X$9-'Inputs-Results'!$Z$9)/('Inputs-Results'!$AB$9-'Inputs-Results'!$Z$9))^2+(I4+'Inputs-Results'!$X$9-'Inputs-Results'!$Z$9)^2),SQRT((('Inputs-Results'!$U$9-'Inputs-Results'!$W$9)*(I4)/('Inputs-Results'!$V$9-'Inputs-Results'!$X$9))^2+I4^2)+SQRT((('Inputs-Results'!$Y$9-'Inputs-Results'!$W$9)*I4/('Inputs-Results'!$Z$9-'Inputs-Results'!$X$9))^2+I4^2))</f>
        <v>#DIV/0!</v>
      </c>
      <c r="L4" s="19" t="e">
        <f>J4/K4</f>
        <v>#DIV/0!</v>
      </c>
      <c r="M4" s="19" t="e">
        <f>1.49/'Inputs-Results'!$AC9*J4*L4^(2/3)*'Inputs-Results'!$AD9^0.5</f>
        <v>#DIV/0!</v>
      </c>
      <c r="N4" s="27" t="e">
        <f>M4/J4</f>
        <v>#DIV/0!</v>
      </c>
      <c r="O4" s="26">
        <f>0.8*$C4</f>
        <v>0</v>
      </c>
      <c r="P4" s="19" t="e">
        <f>IF(O4&gt;'Inputs-Results'!$V9-'Inputs-Results'!$X9,(0.5*(ABS('Inputs-Results'!$S9-'Inputs-Results'!$U9)/('Inputs-Results'!$T9-'Inputs-Results'!$V9)*(O4-('Inputs-Results'!$V9-'Inputs-Results'!$X9)))*(O4-('Inputs-Results'!$V9-'Inputs-Results'!$X9))),0)+IF(O4&gt;'Inputs-Results'!$V9-'Inputs-Results'!$X9,(0.5*((O4+'Inputs-Results'!$X9-'Inputs-Results'!$V9)+O4)*ABS('Inputs-Results'!$U9-'Inputs-Results'!$W9)),0.5*(ABS('Inputs-Results'!$U9-'Inputs-Results'!$W9)/('Inputs-Results'!$V9-'Inputs-Results'!$X9)*O4)*O4)+IF(O4&gt;'Inputs-Results'!$Z9-'Inputs-Results'!$X9,(0.5*((O4+'Inputs-Results'!$X9-'Inputs-Results'!$Z9)+O4)*ABS('Inputs-Results'!$Y9-'Inputs-Results'!$W9)),0.5*(ABS('Inputs-Results'!$W9-'Inputs-Results'!$Y9)/('Inputs-Results'!$Z9-'Inputs-Results'!$X9)*O4)*O4)+IF(O4&gt;'Inputs-Results'!$Z9-'Inputs-Results'!$X9,(0.5*(ABS('Inputs-Results'!$Y9-'Inputs-Results'!$AA9)/('Inputs-Results'!$AB9-'Inputs-Results'!$Z9)*(O4-('Inputs-Results'!$Z9-'Inputs-Results'!$X9)))*(O4-('Inputs-Results'!$Z9-'Inputs-Results'!$X9))),0)</f>
        <v>#DIV/0!</v>
      </c>
      <c r="Q4" s="19" t="e">
        <f>IF(O4&gt;'Inputs-Results'!$V$9-'Inputs-Results'!$X$9,SQRT(('Inputs-Results'!$U$9-'Inputs-Results'!$W$9)^2+('Inputs-Results'!$V$9-'Inputs-Results'!$X$9)^2)+SQRT(('Inputs-Results'!$W$9-'Inputs-Results'!$Y$9)^2+('Inputs-Results'!$X$9-'Inputs-Results'!$Z$9)^2)+SQRT((('Inputs-Results'!$S$9-'Inputs-Results'!$U$9)*(O4+'Inputs-Results'!$X$9-'Inputs-Results'!$V$9)/('Inputs-Results'!$T$9-'Inputs-Results'!$V$9))^2+(O4+'Inputs-Results'!$X$9-'Inputs-Results'!$V$9)^2)+SQRT((('Inputs-Results'!$AA$9-'Inputs-Results'!$Y$9)*(O4+'Inputs-Results'!$X$9-'Inputs-Results'!$Z$9)/('Inputs-Results'!$AB$9-'Inputs-Results'!$Z$9))^2+(O4+'Inputs-Results'!$X$9-'Inputs-Results'!$Z$9)^2),SQRT((('Inputs-Results'!$U$9-'Inputs-Results'!$W$9)*(O4)/('Inputs-Results'!$V$9-'Inputs-Results'!$X$9))^2+O4^2)+SQRT((('Inputs-Results'!$Y$9-'Inputs-Results'!$W$9)*O4/('Inputs-Results'!$Z$9-'Inputs-Results'!$X$9))^2+O4^2))</f>
        <v>#DIV/0!</v>
      </c>
      <c r="R4" s="19" t="e">
        <f>P4/Q4</f>
        <v>#DIV/0!</v>
      </c>
      <c r="S4" s="19" t="e">
        <f>1.49/'Inputs-Results'!$AC9*P4*R4^(2/3)*'Inputs-Results'!$AD9^0.5</f>
        <v>#DIV/0!</v>
      </c>
      <c r="T4" s="27" t="e">
        <f>S4/P4</f>
        <v>#DIV/0!</v>
      </c>
      <c r="U4" s="26">
        <f>0.7*$C4</f>
        <v>0</v>
      </c>
      <c r="V4" s="19" t="e">
        <f>IF(U4&gt;'Inputs-Results'!$V9-'Inputs-Results'!$X9,(0.5*(ABS('Inputs-Results'!$S9-'Inputs-Results'!$U9)/('Inputs-Results'!$T9-'Inputs-Results'!$V9)*(U4-('Inputs-Results'!$V9-'Inputs-Results'!$X9)))*(U4-('Inputs-Results'!$V9-'Inputs-Results'!$X9))),0)+IF(U4&gt;'Inputs-Results'!$V9-'Inputs-Results'!$X9,(0.5*((U4+'Inputs-Results'!$X9-'Inputs-Results'!$V9)+U4)*ABS('Inputs-Results'!$U9-'Inputs-Results'!$W9)),0.5*(ABS('Inputs-Results'!$U9-'Inputs-Results'!$W9)/('Inputs-Results'!$V9-'Inputs-Results'!$X9)*U4)*U4)+IF(U4&gt;'Inputs-Results'!$Z9-'Inputs-Results'!$X9,(0.5*((U4+'Inputs-Results'!$X9-'Inputs-Results'!$Z9)+U4)*ABS('Inputs-Results'!$Y9-'Inputs-Results'!$W9)),0.5*(ABS('Inputs-Results'!$W9-'Inputs-Results'!$Y9)/('Inputs-Results'!$Z9-'Inputs-Results'!$X9)*U4)*U4)+IF(U4&gt;'Inputs-Results'!$Z9-'Inputs-Results'!$X9,(0.5*(ABS('Inputs-Results'!$Y9-'Inputs-Results'!$AA9)/('Inputs-Results'!$AB9-'Inputs-Results'!$Z9)*(U4-('Inputs-Results'!$Z9-'Inputs-Results'!$X9)))*(U4-('Inputs-Results'!$Z9-'Inputs-Results'!$X9))),0)</f>
        <v>#DIV/0!</v>
      </c>
      <c r="W4" s="19" t="e">
        <f>IF(U4&gt;'Inputs-Results'!$V$9-'Inputs-Results'!$X$9,SQRT(('Inputs-Results'!$U$9-'Inputs-Results'!$W$9)^2+('Inputs-Results'!$V$9-'Inputs-Results'!$X$9)^2)+SQRT(('Inputs-Results'!$W$9-'Inputs-Results'!$Y$9)^2+('Inputs-Results'!$X$9-'Inputs-Results'!$Z$9)^2)+SQRT((('Inputs-Results'!$S$9-'Inputs-Results'!$U$9)*(U4+'Inputs-Results'!$X$9-'Inputs-Results'!$V$9)/('Inputs-Results'!$T$9-'Inputs-Results'!$V$9))^2+(U4+'Inputs-Results'!$X$9-'Inputs-Results'!$V$9)^2)+SQRT((('Inputs-Results'!$AA$9-'Inputs-Results'!$Y$9)*(U4+'Inputs-Results'!$X$9-'Inputs-Results'!$Z$9)/('Inputs-Results'!$AB$9-'Inputs-Results'!$Z$9))^2+(U4+'Inputs-Results'!$X$9-'Inputs-Results'!$Z$9)^2),SQRT((('Inputs-Results'!$U$9-'Inputs-Results'!$W$9)*(U4)/('Inputs-Results'!$V$9-'Inputs-Results'!$X$9))^2+U4^2)+SQRT((('Inputs-Results'!$Y$9-'Inputs-Results'!$W$9)*U4/('Inputs-Results'!$Z$9-'Inputs-Results'!$X$9))^2+U4^2))</f>
        <v>#DIV/0!</v>
      </c>
      <c r="X4" s="19" t="e">
        <f>V4/W4</f>
        <v>#DIV/0!</v>
      </c>
      <c r="Y4" s="19" t="e">
        <f>1.49/'Inputs-Results'!$AC9*V4*X4^(2/3)*'Inputs-Results'!$AD9^0.5</f>
        <v>#DIV/0!</v>
      </c>
      <c r="Z4" s="27" t="e">
        <f>Y4/V4</f>
        <v>#DIV/0!</v>
      </c>
      <c r="AA4" s="26">
        <f>0.6*$C4</f>
        <v>0</v>
      </c>
      <c r="AB4" s="19" t="e">
        <f>IF(AA4&gt;'Inputs-Results'!$V9-'Inputs-Results'!$X9,(0.5*(ABS('Inputs-Results'!$S9-'Inputs-Results'!$U9)/('Inputs-Results'!$T9-'Inputs-Results'!$V9)*(AA4-('Inputs-Results'!$V9-'Inputs-Results'!$X9)))*(AA4-('Inputs-Results'!$V9-'Inputs-Results'!$X9))),0)+IF(AA4&gt;'Inputs-Results'!$V9-'Inputs-Results'!$X9,(0.5*((AA4+'Inputs-Results'!$X9-'Inputs-Results'!$V9)+AA4)*ABS('Inputs-Results'!$U9-'Inputs-Results'!$W9)),0.5*(ABS('Inputs-Results'!$U9-'Inputs-Results'!$W9)/('Inputs-Results'!$V9-'Inputs-Results'!$X9)*AA4)*AA4)+IF(AA4&gt;'Inputs-Results'!$Z9-'Inputs-Results'!$X9,(0.5*((AA4+'Inputs-Results'!$X9-'Inputs-Results'!$Z9)+AA4)*ABS('Inputs-Results'!$Y9-'Inputs-Results'!$W9)),0.5*(ABS('Inputs-Results'!$W9-'Inputs-Results'!$Y9)/('Inputs-Results'!$Z9-'Inputs-Results'!$X9)*AA4)*AA4)+IF(AA4&gt;'Inputs-Results'!$Z9-'Inputs-Results'!$X9,(0.5*(ABS('Inputs-Results'!$Y9-'Inputs-Results'!$AA9)/('Inputs-Results'!$AB9-'Inputs-Results'!$Z9)*(AA4-('Inputs-Results'!$Z9-'Inputs-Results'!$X9)))*(AA4-('Inputs-Results'!$Z9-'Inputs-Results'!$X9))),0)</f>
        <v>#DIV/0!</v>
      </c>
      <c r="AC4" s="19" t="e">
        <f>IF(AA4&gt;'Inputs-Results'!$V$9-'Inputs-Results'!$X$9,SQRT(('Inputs-Results'!$U$9-'Inputs-Results'!$W$9)^2+('Inputs-Results'!$V$9-'Inputs-Results'!$X$9)^2)+SQRT(('Inputs-Results'!$W$9-'Inputs-Results'!$Y$9)^2+('Inputs-Results'!$X$9-'Inputs-Results'!$Z$9)^2)+SQRT((('Inputs-Results'!$S$9-'Inputs-Results'!$U$9)*(AA4+'Inputs-Results'!$X$9-'Inputs-Results'!$V$9)/('Inputs-Results'!$T$9-'Inputs-Results'!$V$9))^2+(AA4+'Inputs-Results'!$X$9-'Inputs-Results'!$V$9)^2)+SQRT((('Inputs-Results'!$AA$9-'Inputs-Results'!$Y$9)*(AA4+'Inputs-Results'!$X$9-'Inputs-Results'!$Z$9)/('Inputs-Results'!$AB$9-'Inputs-Results'!$Z$9))^2+(AA4+'Inputs-Results'!$X$9-'Inputs-Results'!$Z$9)^2),SQRT((('Inputs-Results'!$U$9-'Inputs-Results'!$W$9)*(AA4)/('Inputs-Results'!$V$9-'Inputs-Results'!$X$9))^2+AA4^2)+SQRT((('Inputs-Results'!$Y$9-'Inputs-Results'!$W$9)*AA4/('Inputs-Results'!$Z$9-'Inputs-Results'!$X$9))^2+AA4^2))</f>
        <v>#DIV/0!</v>
      </c>
      <c r="AD4" s="19" t="e">
        <f>AB4/AC4</f>
        <v>#DIV/0!</v>
      </c>
      <c r="AE4" s="19" t="e">
        <f>1.49/'Inputs-Results'!$AC9*AB4*AD4^(2/3)*'Inputs-Results'!$AD9^0.5</f>
        <v>#DIV/0!</v>
      </c>
      <c r="AF4" s="27" t="e">
        <f>AE4/AB4</f>
        <v>#DIV/0!</v>
      </c>
      <c r="AG4" s="26">
        <f>0.5*$C4</f>
        <v>0</v>
      </c>
      <c r="AH4" s="19" t="e">
        <f>IF(AG4&gt;'Inputs-Results'!$V9-'Inputs-Results'!$X9,(0.5*(ABS('Inputs-Results'!$S9-'Inputs-Results'!$U9)/('Inputs-Results'!$T9-'Inputs-Results'!$V9)*(AG4-('Inputs-Results'!$V9-'Inputs-Results'!$X9)))*(AG4-('Inputs-Results'!$V9-'Inputs-Results'!$X9))),0)+IF(AG4&gt;'Inputs-Results'!$V9-'Inputs-Results'!$X9,(0.5*((AG4+'Inputs-Results'!$X9-'Inputs-Results'!$V9)+AG4)*ABS('Inputs-Results'!$U9-'Inputs-Results'!$W9)),0.5*(ABS('Inputs-Results'!$U9-'Inputs-Results'!$W9)/('Inputs-Results'!$V9-'Inputs-Results'!$X9)*AG4)*AG4)+IF(AG4&gt;'Inputs-Results'!$Z9-'Inputs-Results'!$X9,(0.5*((AG4+'Inputs-Results'!$X9-'Inputs-Results'!$Z9)+AG4)*ABS('Inputs-Results'!$Y9-'Inputs-Results'!$W9)),0.5*(ABS('Inputs-Results'!$W9-'Inputs-Results'!$Y9)/('Inputs-Results'!$Z9-'Inputs-Results'!$X9)*AG4)*AG4)+IF(AG4&gt;'Inputs-Results'!$Z9-'Inputs-Results'!$X9,(0.5*(ABS('Inputs-Results'!$Y9-'Inputs-Results'!$AA9)/('Inputs-Results'!$AB9-'Inputs-Results'!$Z9)*(AG4-('Inputs-Results'!$Z9-'Inputs-Results'!$X9)))*(AG4-('Inputs-Results'!$Z9-'Inputs-Results'!$X9))),0)</f>
        <v>#DIV/0!</v>
      </c>
      <c r="AI4" s="19" t="e">
        <f>IF(AG4&gt;'Inputs-Results'!$V$9-'Inputs-Results'!$X$9,SQRT(('Inputs-Results'!$U$9-'Inputs-Results'!$W$9)^2+('Inputs-Results'!$V$9-'Inputs-Results'!$X$9)^2)+SQRT(('Inputs-Results'!$W$9-'Inputs-Results'!$Y$9)^2+('Inputs-Results'!$X$9-'Inputs-Results'!$Z$9)^2)+SQRT((('Inputs-Results'!$S$9-'Inputs-Results'!$U$9)*(AG4+'Inputs-Results'!$X$9-'Inputs-Results'!$V$9)/('Inputs-Results'!$T$9-'Inputs-Results'!$V$9))^2+(AG4+'Inputs-Results'!$X$9-'Inputs-Results'!$V$9)^2)+SQRT((('Inputs-Results'!$AA$9-'Inputs-Results'!$Y$9)*(AG4+'Inputs-Results'!$X$9-'Inputs-Results'!$Z$9)/('Inputs-Results'!$AB$9-'Inputs-Results'!$Z$9))^2+(AG4+'Inputs-Results'!$X$9-'Inputs-Results'!$Z$9)^2),SQRT((('Inputs-Results'!$U$9-'Inputs-Results'!$W$9)*(AG4)/('Inputs-Results'!$V$9-'Inputs-Results'!$X$9))^2+AG4^2)+SQRT((('Inputs-Results'!$Y$9-'Inputs-Results'!$W$9)*AG4/('Inputs-Results'!$Z$9-'Inputs-Results'!$X$9))^2+AG4^2))</f>
        <v>#DIV/0!</v>
      </c>
      <c r="AJ4" s="19" t="e">
        <f>AH4/AI4</f>
        <v>#DIV/0!</v>
      </c>
      <c r="AK4" s="19" t="e">
        <f>1.49/'Inputs-Results'!$AC9*AH4*AJ4^(2/3)*'Inputs-Results'!$AD9^0.5</f>
        <v>#DIV/0!</v>
      </c>
      <c r="AL4" s="27" t="e">
        <f>AK4/AH4</f>
        <v>#DIV/0!</v>
      </c>
      <c r="AM4" s="26">
        <f>0.4*$C4</f>
        <v>0</v>
      </c>
      <c r="AN4" s="19" t="e">
        <f>IF(AM4&gt;'Inputs-Results'!$V9-'Inputs-Results'!$X9,(0.5*(ABS('Inputs-Results'!$S9-'Inputs-Results'!$U9)/('Inputs-Results'!$T9-'Inputs-Results'!$V9)*(AM4-('Inputs-Results'!$V9-'Inputs-Results'!$X9)))*(AM4-('Inputs-Results'!$V9-'Inputs-Results'!$X9))),0)+IF(AM4&gt;'Inputs-Results'!$V9-'Inputs-Results'!$X9,(0.5*((AM4+'Inputs-Results'!$X9-'Inputs-Results'!$V9)+AM4)*ABS('Inputs-Results'!$U9-'Inputs-Results'!$W9)),0.5*(ABS('Inputs-Results'!$U9-'Inputs-Results'!$W9)/('Inputs-Results'!$V9-'Inputs-Results'!$X9)*AM4)*AM4)+IF(AM4&gt;'Inputs-Results'!$Z9-'Inputs-Results'!$X9,(0.5*((AM4+'Inputs-Results'!$X9-'Inputs-Results'!$Z9)+AM4)*ABS('Inputs-Results'!$Y9-'Inputs-Results'!$W9)),0.5*(ABS('Inputs-Results'!$W9-'Inputs-Results'!$Y9)/('Inputs-Results'!$Z9-'Inputs-Results'!$X9)*AM4)*AM4)+IF(AM4&gt;'Inputs-Results'!$Z9-'Inputs-Results'!$X9,(0.5*(ABS('Inputs-Results'!$Y9-'Inputs-Results'!$AA9)/('Inputs-Results'!$AB9-'Inputs-Results'!$Z9)*(AM4-('Inputs-Results'!$Z9-'Inputs-Results'!$X9)))*(AM4-('Inputs-Results'!$Z9-'Inputs-Results'!$X9))),0)</f>
        <v>#DIV/0!</v>
      </c>
      <c r="AO4" s="19" t="e">
        <f>IF(AM4&gt;'Inputs-Results'!$V$9-'Inputs-Results'!$X$9,SQRT(('Inputs-Results'!$U$9-'Inputs-Results'!$W$9)^2+('Inputs-Results'!$V$9-'Inputs-Results'!$X$9)^2)+SQRT(('Inputs-Results'!$W$9-'Inputs-Results'!$Y$9)^2+('Inputs-Results'!$X$9-'Inputs-Results'!$Z$9)^2)+SQRT((('Inputs-Results'!$S$9-'Inputs-Results'!$U$9)*(AM4+'Inputs-Results'!$X$9-'Inputs-Results'!$V$9)/('Inputs-Results'!$T$9-'Inputs-Results'!$V$9))^2+(AM4+'Inputs-Results'!$X$9-'Inputs-Results'!$V$9)^2)+SQRT((('Inputs-Results'!$AA$9-'Inputs-Results'!$Y$9)*(AM4+'Inputs-Results'!$X$9-'Inputs-Results'!$Z$9)/('Inputs-Results'!$AB$9-'Inputs-Results'!$Z$9))^2+(AM4+'Inputs-Results'!$X$9-'Inputs-Results'!$Z$9)^2),SQRT((('Inputs-Results'!$U$9-'Inputs-Results'!$W$9)*(AM4)/('Inputs-Results'!$V$9-'Inputs-Results'!$X$9))^2+AM4^2)+SQRT((('Inputs-Results'!$Y$9-'Inputs-Results'!$W$9)*AM4/('Inputs-Results'!$Z$9-'Inputs-Results'!$X$9))^2+AM4^2))</f>
        <v>#DIV/0!</v>
      </c>
      <c r="AP4" s="19" t="e">
        <f>AN4/AO4</f>
        <v>#DIV/0!</v>
      </c>
      <c r="AQ4" s="19" t="e">
        <f>1.49/'Inputs-Results'!$AC9*AN4*AP4^(2/3)*'Inputs-Results'!$AD9^0.5</f>
        <v>#DIV/0!</v>
      </c>
      <c r="AR4" s="27" t="e">
        <f>AQ4/AN4</f>
        <v>#DIV/0!</v>
      </c>
      <c r="AS4" s="26">
        <f>0.3*$C4</f>
        <v>0</v>
      </c>
      <c r="AT4" s="19" t="e">
        <f>IF(AS4&gt;'Inputs-Results'!$V9-'Inputs-Results'!$X9,(0.5*(ABS('Inputs-Results'!$S9-'Inputs-Results'!$U9)/('Inputs-Results'!$T9-'Inputs-Results'!$V9)*(AS4-('Inputs-Results'!$V9-'Inputs-Results'!$X9)))*(AS4-('Inputs-Results'!$V9-'Inputs-Results'!$X9))),0)+IF(AS4&gt;'Inputs-Results'!$V9-'Inputs-Results'!$X9,(0.5*((AS4+'Inputs-Results'!$X9-'Inputs-Results'!$V9)+AS4)*ABS('Inputs-Results'!$U9-'Inputs-Results'!$W9)),0.5*(ABS('Inputs-Results'!$U9-'Inputs-Results'!$W9)/('Inputs-Results'!$V9-'Inputs-Results'!$X9)*AS4)*AS4)+IF(AS4&gt;'Inputs-Results'!$Z9-'Inputs-Results'!$X9,(0.5*((AS4+'Inputs-Results'!$X9-'Inputs-Results'!$Z9)+AS4)*ABS('Inputs-Results'!$Y9-'Inputs-Results'!$W9)),0.5*(ABS('Inputs-Results'!$W9-'Inputs-Results'!$Y9)/('Inputs-Results'!$Z9-'Inputs-Results'!$X9)*AS4)*AS4)+IF(AS4&gt;'Inputs-Results'!$Z9-'Inputs-Results'!$X9,(0.5*(ABS('Inputs-Results'!$Y9-'Inputs-Results'!$AA9)/('Inputs-Results'!$AB9-'Inputs-Results'!$Z9)*(AS4-('Inputs-Results'!$Z9-'Inputs-Results'!$X9)))*(AS4-('Inputs-Results'!$Z9-'Inputs-Results'!$X9))),0)</f>
        <v>#DIV/0!</v>
      </c>
      <c r="AU4" s="19" t="e">
        <f>IF(AS4&gt;'Inputs-Results'!$V$9-'Inputs-Results'!$X$9,SQRT(('Inputs-Results'!$U$9-'Inputs-Results'!$W$9)^2+('Inputs-Results'!$V$9-'Inputs-Results'!$X$9)^2)+SQRT(('Inputs-Results'!$W$9-'Inputs-Results'!$Y$9)^2+('Inputs-Results'!$X$9-'Inputs-Results'!$Z$9)^2)+SQRT((('Inputs-Results'!$S$9-'Inputs-Results'!$U$9)*(AS4+'Inputs-Results'!$X$9-'Inputs-Results'!$V$9)/('Inputs-Results'!$T$9-'Inputs-Results'!$V$9))^2+(AS4+'Inputs-Results'!$X$9-'Inputs-Results'!$V$9)^2)+SQRT((('Inputs-Results'!$AA$9-'Inputs-Results'!$Y$9)*(AS4+'Inputs-Results'!$X$9-'Inputs-Results'!$Z$9)/('Inputs-Results'!$AB$9-'Inputs-Results'!$Z$9))^2+(AS4+'Inputs-Results'!$X$9-'Inputs-Results'!$Z$9)^2),SQRT((('Inputs-Results'!$U$9-'Inputs-Results'!$W$9)*(AS4)/('Inputs-Results'!$V$9-'Inputs-Results'!$X$9))^2+AS4^2)+SQRT((('Inputs-Results'!$Y$9-'Inputs-Results'!$W$9)*AS4/('Inputs-Results'!$Z$9-'Inputs-Results'!$X$9))^2+AS4^2))</f>
        <v>#DIV/0!</v>
      </c>
      <c r="AV4" s="19" t="e">
        <f>AT4/AU4</f>
        <v>#DIV/0!</v>
      </c>
      <c r="AW4" s="19" t="e">
        <f>1.49/'Inputs-Results'!$AC9*AT4*AV4^(2/3)*'Inputs-Results'!$AD9^0.5</f>
        <v>#DIV/0!</v>
      </c>
      <c r="AX4" s="27" t="e">
        <f>AW4/AT4</f>
        <v>#DIV/0!</v>
      </c>
      <c r="AY4" s="26">
        <f>0.2*$C4</f>
        <v>0</v>
      </c>
      <c r="AZ4" s="19" t="e">
        <f>IF(AY4&gt;'Inputs-Results'!$V9-'Inputs-Results'!$X9,(0.5*(ABS('Inputs-Results'!$S9-'Inputs-Results'!$U9)/('Inputs-Results'!$T9-'Inputs-Results'!$V9)*(AY4-('Inputs-Results'!$V9-'Inputs-Results'!$X9)))*(AY4-('Inputs-Results'!$V9-'Inputs-Results'!$X9))),0)+IF(AY4&gt;'Inputs-Results'!$V9-'Inputs-Results'!$X9,(0.5*((AY4+'Inputs-Results'!$X9-'Inputs-Results'!$V9)+AY4)*ABS('Inputs-Results'!$U9-'Inputs-Results'!$W9)),0.5*(ABS('Inputs-Results'!$U9-'Inputs-Results'!$W9)/('Inputs-Results'!$V9-'Inputs-Results'!$X9)*AY4)*AY4)+IF(AY4&gt;'Inputs-Results'!$Z9-'Inputs-Results'!$X9,(0.5*((AY4+'Inputs-Results'!$X9-'Inputs-Results'!$Z9)+AY4)*ABS('Inputs-Results'!$Y9-'Inputs-Results'!$W9)),0.5*(ABS('Inputs-Results'!$W9-'Inputs-Results'!$Y9)/('Inputs-Results'!$Z9-'Inputs-Results'!$X9)*AY4)*AY4)+IF(AY4&gt;'Inputs-Results'!$Z9-'Inputs-Results'!$X9,(0.5*(ABS('Inputs-Results'!$Y9-'Inputs-Results'!$AA9)/('Inputs-Results'!$AB9-'Inputs-Results'!$Z9)*(AY4-('Inputs-Results'!$Z9-'Inputs-Results'!$X9)))*(AY4-('Inputs-Results'!$Z9-'Inputs-Results'!$X9))),0)</f>
        <v>#DIV/0!</v>
      </c>
      <c r="BA4" s="19" t="e">
        <f>IF(AY4&gt;'Inputs-Results'!$V$9-'Inputs-Results'!$X$9,SQRT(('Inputs-Results'!$U$9-'Inputs-Results'!$W$9)^2+('Inputs-Results'!$V$9-'Inputs-Results'!$X$9)^2)+SQRT(('Inputs-Results'!$W$9-'Inputs-Results'!$Y$9)^2+('Inputs-Results'!$X$9-'Inputs-Results'!$Z$9)^2)+SQRT((('Inputs-Results'!$S$9-'Inputs-Results'!$U$9)*(AY4+'Inputs-Results'!$X$9-'Inputs-Results'!$V$9)/('Inputs-Results'!$T$9-'Inputs-Results'!$V$9))^2+(AY4+'Inputs-Results'!$X$9-'Inputs-Results'!$V$9)^2)+SQRT((('Inputs-Results'!$AA$9-'Inputs-Results'!$Y$9)*(AY4+'Inputs-Results'!$X$9-'Inputs-Results'!$Z$9)/('Inputs-Results'!$AB$9-'Inputs-Results'!$Z$9))^2+(AY4+'Inputs-Results'!$X$9-'Inputs-Results'!$Z$9)^2),SQRT((('Inputs-Results'!$U$9-'Inputs-Results'!$W$9)*(AY4)/('Inputs-Results'!$V$9-'Inputs-Results'!$X$9))^2+AY4^2)+SQRT((('Inputs-Results'!$Y$9-'Inputs-Results'!$W$9)*AY4/('Inputs-Results'!$Z$9-'Inputs-Results'!$X$9))^2+AY4^2))</f>
        <v>#DIV/0!</v>
      </c>
      <c r="BB4" s="19" t="e">
        <f>AZ4/BA4</f>
        <v>#DIV/0!</v>
      </c>
      <c r="BC4" s="19" t="e">
        <f>1.49/'Inputs-Results'!$AC9*AZ4*BB4^(2/3)*'Inputs-Results'!$AD9^0.5</f>
        <v>#DIV/0!</v>
      </c>
      <c r="BD4" s="27" t="e">
        <f>BC4/AZ4</f>
        <v>#DIV/0!</v>
      </c>
      <c r="BE4" s="26">
        <f>0.1*$C4</f>
        <v>0</v>
      </c>
      <c r="BF4" s="19" t="e">
        <f>IF(BE4&gt;'Inputs-Results'!$V9-'Inputs-Results'!$X9,(0.5*(ABS('Inputs-Results'!$S9-'Inputs-Results'!$U9)/('Inputs-Results'!$T9-'Inputs-Results'!$V9)*(BE4-('Inputs-Results'!$V9-'Inputs-Results'!$X9)))*(BE4-('Inputs-Results'!$V9-'Inputs-Results'!$X9))),0)+IF(BE4&gt;'Inputs-Results'!$V9-'Inputs-Results'!$X9,(0.5*((BE4+'Inputs-Results'!$X9-'Inputs-Results'!$V9)+BE4)*ABS('Inputs-Results'!$U9-'Inputs-Results'!$W9)),0.5*(ABS('Inputs-Results'!$U9-'Inputs-Results'!$W9)/('Inputs-Results'!$V9-'Inputs-Results'!$X9)*BE4)*BE4)+IF(BE4&gt;'Inputs-Results'!$Z9-'Inputs-Results'!$X9,(0.5*((BE4+'Inputs-Results'!$X9-'Inputs-Results'!$Z9)+BE4)*ABS('Inputs-Results'!$Y9-'Inputs-Results'!$W9)),0.5*(ABS('Inputs-Results'!$W9-'Inputs-Results'!$Y9)/('Inputs-Results'!$Z9-'Inputs-Results'!$X9)*BE4)*BE4)+IF(BE4&gt;'Inputs-Results'!$Z9-'Inputs-Results'!$X9,(0.5*(ABS('Inputs-Results'!$Y9-'Inputs-Results'!$AA9)/('Inputs-Results'!$AB9-'Inputs-Results'!$Z9)*(BE4-('Inputs-Results'!$Z9-'Inputs-Results'!$X9)))*(BE4-('Inputs-Results'!$Z9-'Inputs-Results'!$X9))),0)</f>
        <v>#DIV/0!</v>
      </c>
      <c r="BG4" s="19" t="e">
        <f>IF(BE4&gt;'Inputs-Results'!$V$9-'Inputs-Results'!$X$9,SQRT(('Inputs-Results'!$U$9-'Inputs-Results'!$W$9)^2+('Inputs-Results'!$V$9-'Inputs-Results'!$X$9)^2)+SQRT(('Inputs-Results'!$W$9-'Inputs-Results'!$Y$9)^2+('Inputs-Results'!$X$9-'Inputs-Results'!$Z$9)^2)+SQRT((('Inputs-Results'!$S$9-'Inputs-Results'!$U$9)*(BE4+'Inputs-Results'!$X$9-'Inputs-Results'!$V$9)/('Inputs-Results'!$T$9-'Inputs-Results'!$V$9))^2+(BE4+'Inputs-Results'!$X$9-'Inputs-Results'!$V$9)^2)+SQRT((('Inputs-Results'!$AA$9-'Inputs-Results'!$Y$9)*(BE4+'Inputs-Results'!$X$9-'Inputs-Results'!$Z$9)/('Inputs-Results'!$AB$9-'Inputs-Results'!$Z$9))^2+(BE4+'Inputs-Results'!$X$9-'Inputs-Results'!$Z$9)^2),SQRT((('Inputs-Results'!$U$9-'Inputs-Results'!$W$9)*(BE4)/('Inputs-Results'!$V$9-'Inputs-Results'!$X$9))^2+BE4^2)+SQRT((('Inputs-Results'!$Y$9-'Inputs-Results'!$W$9)*BE4/('Inputs-Results'!$Z$9-'Inputs-Results'!$X$9))^2+BE4^2))</f>
        <v>#DIV/0!</v>
      </c>
      <c r="BH4" s="19" t="e">
        <f>BF4/BG4</f>
        <v>#DIV/0!</v>
      </c>
      <c r="BI4" s="19" t="e">
        <f>1.49/'Inputs-Results'!$AC9*BF4*BH4^(2/3)*'Inputs-Results'!$AD9^0.5</f>
        <v>#DIV/0!</v>
      </c>
      <c r="BJ4" s="27" t="e">
        <f>BI4/BF4</f>
        <v>#DIV/0!</v>
      </c>
    </row>
    <row r="5" spans="1:62" x14ac:dyDescent="0.25">
      <c r="A5" s="2">
        <v>0</v>
      </c>
      <c r="B5" s="17"/>
      <c r="C5" s="26">
        <f>MIN('Inputs-Results'!T10-'Inputs-Results'!X10,'Inputs-Results'!AB10-'Inputs-Results'!X10)</f>
        <v>0</v>
      </c>
      <c r="D5" s="19" t="e">
        <f>IF(C5&gt;'Inputs-Results'!$V10-'Inputs-Results'!$X10,(0.5*(ABS('Inputs-Results'!$S10-'Inputs-Results'!$U10)/('Inputs-Results'!$T10-'Inputs-Results'!$V10)*(C5-('Inputs-Results'!$V10-'Inputs-Results'!$X10)))*(C5-('Inputs-Results'!$V10-'Inputs-Results'!$X10))),0)+IF(C5&gt;'Inputs-Results'!$V10-'Inputs-Results'!$X10,(0.5*((C5+'Inputs-Results'!$X10-'Inputs-Results'!$V10)+C5)*ABS('Inputs-Results'!$U10-'Inputs-Results'!$W10)),0.5*(ABS('Inputs-Results'!$U10-'Inputs-Results'!$W10)/('Inputs-Results'!$V10-'Inputs-Results'!$X10)*C5)*C5)+IF(C5&gt;'Inputs-Results'!$Z10-'Inputs-Results'!$X10,(0.5*((C5+'Inputs-Results'!$X10-'Inputs-Results'!$Z10)+C5)*ABS('Inputs-Results'!$Y10-'Inputs-Results'!$W10)),0.5*(ABS('Inputs-Results'!$W10-'Inputs-Results'!$Y10)/('Inputs-Results'!$Z10-'Inputs-Results'!$X10)*C5)*C5)+IF(C5&gt;'Inputs-Results'!$Z10-'Inputs-Results'!$X10,(0.5*(ABS('Inputs-Results'!$Y10-'Inputs-Results'!$AA10)/('Inputs-Results'!$AB10-'Inputs-Results'!$Z10)*(C5-('Inputs-Results'!$Z10-'Inputs-Results'!$X10)))*(C5-('Inputs-Results'!$Z10-'Inputs-Results'!$X10))),0)</f>
        <v>#DIV/0!</v>
      </c>
      <c r="E5" s="19" t="e">
        <f>IF(C5&gt;'Inputs-Results'!$V$9-'Inputs-Results'!$X$9,SQRT(('Inputs-Results'!$U$9-'Inputs-Results'!$W$9)^2+('Inputs-Results'!$V$9-'Inputs-Results'!$X$9)^2)+SQRT(('Inputs-Results'!$W$9-'Inputs-Results'!$Y$9)^2+('Inputs-Results'!$X$9-'Inputs-Results'!$Z$9)^2)+SQRT((('Inputs-Results'!$S$9-'Inputs-Results'!$U$9)*(C5+'Inputs-Results'!$X$9-'Inputs-Results'!$V$9)/('Inputs-Results'!$T$9-'Inputs-Results'!$V$9))^2+(C5+'Inputs-Results'!$X$9-'Inputs-Results'!$V$9)^2)+SQRT((('Inputs-Results'!$AA$9-'Inputs-Results'!$Y$9)*(C5+'Inputs-Results'!$X$9-'Inputs-Results'!$Z$9)/('Inputs-Results'!$AB$9-'Inputs-Results'!$Z$9))^2+(C5+'Inputs-Results'!$X$9-'Inputs-Results'!$Z$9)^2),SQRT((('Inputs-Results'!$U$9-'Inputs-Results'!$W$9)*(C5)/('Inputs-Results'!$V$9-'Inputs-Results'!$X$9))^2+C5^2)+SQRT((('Inputs-Results'!$Y$9-'Inputs-Results'!$W$9)*C5/('Inputs-Results'!$Z$9-'Inputs-Results'!$X$9))^2+C5^2))</f>
        <v>#DIV/0!</v>
      </c>
      <c r="F5" s="19" t="e">
        <f t="shared" si="0"/>
        <v>#DIV/0!</v>
      </c>
      <c r="G5" s="19" t="e">
        <f>1.49/'Inputs-Results'!AC10*D5*F5^(2/3)*'Inputs-Results'!AD10^0.5</f>
        <v>#DIV/0!</v>
      </c>
      <c r="H5" s="27" t="e">
        <f>G5/D5</f>
        <v>#DIV/0!</v>
      </c>
      <c r="I5" s="26">
        <f t="shared" ref="I5:I30" si="2">0.9*$C5</f>
        <v>0</v>
      </c>
      <c r="J5" s="19" t="e">
        <f>IF(I5&gt;'Inputs-Results'!$V10-'Inputs-Results'!$X10,(0.5*(ABS('Inputs-Results'!$S10-'Inputs-Results'!$U10)/('Inputs-Results'!$T10-'Inputs-Results'!$V10)*(I5-('Inputs-Results'!$V10-'Inputs-Results'!$X10)))*(I5-('Inputs-Results'!$V10-'Inputs-Results'!$X10))),0)+IF(I5&gt;'Inputs-Results'!$V10-'Inputs-Results'!$X10,(0.5*((I5+'Inputs-Results'!$X10-'Inputs-Results'!$V10)+I5)*ABS('Inputs-Results'!$U10-'Inputs-Results'!$W10)),0.5*(ABS('Inputs-Results'!$U10-'Inputs-Results'!$W10)/('Inputs-Results'!$V10-'Inputs-Results'!$X10)*I5)*I5)+IF(I5&gt;'Inputs-Results'!$Z10-'Inputs-Results'!$X10,(0.5*((I5+'Inputs-Results'!$X10-'Inputs-Results'!$Z10)+I5)*ABS('Inputs-Results'!$Y10-'Inputs-Results'!$W10)),0.5*(ABS('Inputs-Results'!$W10-'Inputs-Results'!$Y10)/('Inputs-Results'!$Z10-'Inputs-Results'!$X10)*I5)*I5)+IF(I5&gt;'Inputs-Results'!$Z10-'Inputs-Results'!$X10,(0.5*(ABS('Inputs-Results'!$Y10-'Inputs-Results'!$AA10)/('Inputs-Results'!$AB10-'Inputs-Results'!$Z10)*(I5-('Inputs-Results'!$Z10-'Inputs-Results'!$X10)))*(I5-('Inputs-Results'!$Z10-'Inputs-Results'!$X10))),0)</f>
        <v>#DIV/0!</v>
      </c>
      <c r="K5" s="19" t="e">
        <f>IF(I5&gt;'Inputs-Results'!$V$9-'Inputs-Results'!$X$9,SQRT(('Inputs-Results'!$U$9-'Inputs-Results'!$W$9)^2+('Inputs-Results'!$V$9-'Inputs-Results'!$X$9)^2)+SQRT(('Inputs-Results'!$W$9-'Inputs-Results'!$Y$9)^2+('Inputs-Results'!$X$9-'Inputs-Results'!$Z$9)^2)+SQRT((('Inputs-Results'!$S$9-'Inputs-Results'!$U$9)*(I5+'Inputs-Results'!$X$9-'Inputs-Results'!$V$9)/('Inputs-Results'!$T$9-'Inputs-Results'!$V$9))^2+(I5+'Inputs-Results'!$X$9-'Inputs-Results'!$V$9)^2)+SQRT((('Inputs-Results'!$AA$9-'Inputs-Results'!$Y$9)*(I5+'Inputs-Results'!$X$9-'Inputs-Results'!$Z$9)/('Inputs-Results'!$AB$9-'Inputs-Results'!$Z$9))^2+(I5+'Inputs-Results'!$X$9-'Inputs-Results'!$Z$9)^2),SQRT((('Inputs-Results'!$U$9-'Inputs-Results'!$W$9)*(I5)/('Inputs-Results'!$V$9-'Inputs-Results'!$X$9))^2+I5^2)+SQRT((('Inputs-Results'!$Y$9-'Inputs-Results'!$W$9)*I5/('Inputs-Results'!$Z$9-'Inputs-Results'!$X$9))^2+I5^2))</f>
        <v>#DIV/0!</v>
      </c>
      <c r="L5" s="19" t="e">
        <f t="shared" ref="L5:L30" si="3">J5/K5</f>
        <v>#DIV/0!</v>
      </c>
      <c r="M5" s="19" t="e">
        <f>1.49/'Inputs-Results'!$AC10*J5*L5^(2/3)*'Inputs-Results'!$AD10^0.5</f>
        <v>#DIV/0!</v>
      </c>
      <c r="N5" s="27" t="e">
        <f t="shared" ref="N5:N30" si="4">M5/J5</f>
        <v>#DIV/0!</v>
      </c>
      <c r="O5" s="26">
        <f t="shared" ref="O5:O30" si="5">0.8*$C5</f>
        <v>0</v>
      </c>
      <c r="P5" s="19" t="e">
        <f>IF(O5&gt;'Inputs-Results'!$V10-'Inputs-Results'!$X10,(0.5*(ABS('Inputs-Results'!$S10-'Inputs-Results'!$U10)/('Inputs-Results'!$T10-'Inputs-Results'!$V10)*(O5-('Inputs-Results'!$V10-'Inputs-Results'!$X10)))*(O5-('Inputs-Results'!$V10-'Inputs-Results'!$X10))),0)+IF(O5&gt;'Inputs-Results'!$V10-'Inputs-Results'!$X10,(0.5*((O5+'Inputs-Results'!$X10-'Inputs-Results'!$V10)+O5)*ABS('Inputs-Results'!$U10-'Inputs-Results'!$W10)),0.5*(ABS('Inputs-Results'!$U10-'Inputs-Results'!$W10)/('Inputs-Results'!$V10-'Inputs-Results'!$X10)*O5)*O5)+IF(O5&gt;'Inputs-Results'!$Z10-'Inputs-Results'!$X10,(0.5*((O5+'Inputs-Results'!$X10-'Inputs-Results'!$Z10)+O5)*ABS('Inputs-Results'!$Y10-'Inputs-Results'!$W10)),0.5*(ABS('Inputs-Results'!$W10-'Inputs-Results'!$Y10)/('Inputs-Results'!$Z10-'Inputs-Results'!$X10)*O5)*O5)+IF(O5&gt;'Inputs-Results'!$Z10-'Inputs-Results'!$X10,(0.5*(ABS('Inputs-Results'!$Y10-'Inputs-Results'!$AA10)/('Inputs-Results'!$AB10-'Inputs-Results'!$Z10)*(O5-('Inputs-Results'!$Z10-'Inputs-Results'!$X10)))*(O5-('Inputs-Results'!$Z10-'Inputs-Results'!$X10))),0)</f>
        <v>#DIV/0!</v>
      </c>
      <c r="Q5" s="19" t="e">
        <f>IF(O5&gt;'Inputs-Results'!$V$9-'Inputs-Results'!$X$9,SQRT(('Inputs-Results'!$U$9-'Inputs-Results'!$W$9)^2+('Inputs-Results'!$V$9-'Inputs-Results'!$X$9)^2)+SQRT(('Inputs-Results'!$W$9-'Inputs-Results'!$Y$9)^2+('Inputs-Results'!$X$9-'Inputs-Results'!$Z$9)^2)+SQRT((('Inputs-Results'!$S$9-'Inputs-Results'!$U$9)*(O5+'Inputs-Results'!$X$9-'Inputs-Results'!$V$9)/('Inputs-Results'!$T$9-'Inputs-Results'!$V$9))^2+(O5+'Inputs-Results'!$X$9-'Inputs-Results'!$V$9)^2)+SQRT((('Inputs-Results'!$AA$9-'Inputs-Results'!$Y$9)*(O5+'Inputs-Results'!$X$9-'Inputs-Results'!$Z$9)/('Inputs-Results'!$AB$9-'Inputs-Results'!$Z$9))^2+(O5+'Inputs-Results'!$X$9-'Inputs-Results'!$Z$9)^2),SQRT((('Inputs-Results'!$U$9-'Inputs-Results'!$W$9)*(O5)/('Inputs-Results'!$V$9-'Inputs-Results'!$X$9))^2+O5^2)+SQRT((('Inputs-Results'!$Y$9-'Inputs-Results'!$W$9)*O5/('Inputs-Results'!$Z$9-'Inputs-Results'!$X$9))^2+O5^2))</f>
        <v>#DIV/0!</v>
      </c>
      <c r="R5" s="19" t="e">
        <f t="shared" ref="R5:R30" si="6">P5/Q5</f>
        <v>#DIV/0!</v>
      </c>
      <c r="S5" s="19" t="e">
        <f>1.49/'Inputs-Results'!$AC10*P5*R5^(2/3)*'Inputs-Results'!$AD10^0.5</f>
        <v>#DIV/0!</v>
      </c>
      <c r="T5" s="27" t="e">
        <f t="shared" ref="T5:T30" si="7">S5/P5</f>
        <v>#DIV/0!</v>
      </c>
      <c r="U5" s="26">
        <f t="shared" ref="U5:U30" si="8">0.7*$C5</f>
        <v>0</v>
      </c>
      <c r="V5" s="19" t="e">
        <f>IF(U5&gt;'Inputs-Results'!$V10-'Inputs-Results'!$X10,(0.5*(ABS('Inputs-Results'!$S10-'Inputs-Results'!$U10)/('Inputs-Results'!$T10-'Inputs-Results'!$V10)*(U5-('Inputs-Results'!$V10-'Inputs-Results'!$X10)))*(U5-('Inputs-Results'!$V10-'Inputs-Results'!$X10))),0)+IF(U5&gt;'Inputs-Results'!$V10-'Inputs-Results'!$X10,(0.5*((U5+'Inputs-Results'!$X10-'Inputs-Results'!$V10)+U5)*ABS('Inputs-Results'!$U10-'Inputs-Results'!$W10)),0.5*(ABS('Inputs-Results'!$U10-'Inputs-Results'!$W10)/('Inputs-Results'!$V10-'Inputs-Results'!$X10)*U5)*U5)+IF(U5&gt;'Inputs-Results'!$Z10-'Inputs-Results'!$X10,(0.5*((U5+'Inputs-Results'!$X10-'Inputs-Results'!$Z10)+U5)*ABS('Inputs-Results'!$Y10-'Inputs-Results'!$W10)),0.5*(ABS('Inputs-Results'!$W10-'Inputs-Results'!$Y10)/('Inputs-Results'!$Z10-'Inputs-Results'!$X10)*U5)*U5)+IF(U5&gt;'Inputs-Results'!$Z10-'Inputs-Results'!$X10,(0.5*(ABS('Inputs-Results'!$Y10-'Inputs-Results'!$AA10)/('Inputs-Results'!$AB10-'Inputs-Results'!$Z10)*(U5-('Inputs-Results'!$Z10-'Inputs-Results'!$X10)))*(U5-('Inputs-Results'!$Z10-'Inputs-Results'!$X10))),0)</f>
        <v>#DIV/0!</v>
      </c>
      <c r="W5" s="19" t="e">
        <f>IF(U5&gt;'Inputs-Results'!$V$9-'Inputs-Results'!$X$9,SQRT(('Inputs-Results'!$U$9-'Inputs-Results'!$W$9)^2+('Inputs-Results'!$V$9-'Inputs-Results'!$X$9)^2)+SQRT(('Inputs-Results'!$W$9-'Inputs-Results'!$Y$9)^2+('Inputs-Results'!$X$9-'Inputs-Results'!$Z$9)^2)+SQRT((('Inputs-Results'!$S$9-'Inputs-Results'!$U$9)*(U5+'Inputs-Results'!$X$9-'Inputs-Results'!$V$9)/('Inputs-Results'!$T$9-'Inputs-Results'!$V$9))^2+(U5+'Inputs-Results'!$X$9-'Inputs-Results'!$V$9)^2)+SQRT((('Inputs-Results'!$AA$9-'Inputs-Results'!$Y$9)*(U5+'Inputs-Results'!$X$9-'Inputs-Results'!$Z$9)/('Inputs-Results'!$AB$9-'Inputs-Results'!$Z$9))^2+(U5+'Inputs-Results'!$X$9-'Inputs-Results'!$Z$9)^2),SQRT((('Inputs-Results'!$U$9-'Inputs-Results'!$W$9)*(U5)/('Inputs-Results'!$V$9-'Inputs-Results'!$X$9))^2+U5^2)+SQRT((('Inputs-Results'!$Y$9-'Inputs-Results'!$W$9)*U5/('Inputs-Results'!$Z$9-'Inputs-Results'!$X$9))^2+U5^2))</f>
        <v>#DIV/0!</v>
      </c>
      <c r="X5" s="19" t="e">
        <f t="shared" ref="X5:X30" si="9">V5/W5</f>
        <v>#DIV/0!</v>
      </c>
      <c r="Y5" s="19" t="e">
        <f>1.49/'Inputs-Results'!$AC10*V5*X5^(2/3)*'Inputs-Results'!$AD10^0.5</f>
        <v>#DIV/0!</v>
      </c>
      <c r="Z5" s="27" t="e">
        <f t="shared" ref="Z5:Z30" si="10">Y5/V5</f>
        <v>#DIV/0!</v>
      </c>
      <c r="AA5" s="26">
        <f t="shared" ref="AA5:AA30" si="11">0.6*$C5</f>
        <v>0</v>
      </c>
      <c r="AB5" s="19" t="e">
        <f>IF(AA5&gt;'Inputs-Results'!$V10-'Inputs-Results'!$X10,(0.5*(ABS('Inputs-Results'!$S10-'Inputs-Results'!$U10)/('Inputs-Results'!$T10-'Inputs-Results'!$V10)*(AA5-('Inputs-Results'!$V10-'Inputs-Results'!$X10)))*(AA5-('Inputs-Results'!$V10-'Inputs-Results'!$X10))),0)+IF(AA5&gt;'Inputs-Results'!$V10-'Inputs-Results'!$X10,(0.5*((AA5+'Inputs-Results'!$X10-'Inputs-Results'!$V10)+AA5)*ABS('Inputs-Results'!$U10-'Inputs-Results'!$W10)),0.5*(ABS('Inputs-Results'!$U10-'Inputs-Results'!$W10)/('Inputs-Results'!$V10-'Inputs-Results'!$X10)*AA5)*AA5)+IF(AA5&gt;'Inputs-Results'!$Z10-'Inputs-Results'!$X10,(0.5*((AA5+'Inputs-Results'!$X10-'Inputs-Results'!$Z10)+AA5)*ABS('Inputs-Results'!$Y10-'Inputs-Results'!$W10)),0.5*(ABS('Inputs-Results'!$W10-'Inputs-Results'!$Y10)/('Inputs-Results'!$Z10-'Inputs-Results'!$X10)*AA5)*AA5)+IF(AA5&gt;'Inputs-Results'!$Z10-'Inputs-Results'!$X10,(0.5*(ABS('Inputs-Results'!$Y10-'Inputs-Results'!$AA10)/('Inputs-Results'!$AB10-'Inputs-Results'!$Z10)*(AA5-('Inputs-Results'!$Z10-'Inputs-Results'!$X10)))*(AA5-('Inputs-Results'!$Z10-'Inputs-Results'!$X10))),0)</f>
        <v>#DIV/0!</v>
      </c>
      <c r="AC5" s="19" t="e">
        <f>IF(AA5&gt;'Inputs-Results'!$V$9-'Inputs-Results'!$X$9,SQRT(('Inputs-Results'!$U$9-'Inputs-Results'!$W$9)^2+('Inputs-Results'!$V$9-'Inputs-Results'!$X$9)^2)+SQRT(('Inputs-Results'!$W$9-'Inputs-Results'!$Y$9)^2+('Inputs-Results'!$X$9-'Inputs-Results'!$Z$9)^2)+SQRT((('Inputs-Results'!$S$9-'Inputs-Results'!$U$9)*(AA5+'Inputs-Results'!$X$9-'Inputs-Results'!$V$9)/('Inputs-Results'!$T$9-'Inputs-Results'!$V$9))^2+(AA5+'Inputs-Results'!$X$9-'Inputs-Results'!$V$9)^2)+SQRT((('Inputs-Results'!$AA$9-'Inputs-Results'!$Y$9)*(AA5+'Inputs-Results'!$X$9-'Inputs-Results'!$Z$9)/('Inputs-Results'!$AB$9-'Inputs-Results'!$Z$9))^2+(AA5+'Inputs-Results'!$X$9-'Inputs-Results'!$Z$9)^2),SQRT((('Inputs-Results'!$U$9-'Inputs-Results'!$W$9)*(AA5)/('Inputs-Results'!$V$9-'Inputs-Results'!$X$9))^2+AA5^2)+SQRT((('Inputs-Results'!$Y$9-'Inputs-Results'!$W$9)*AA5/('Inputs-Results'!$Z$9-'Inputs-Results'!$X$9))^2+AA5^2))</f>
        <v>#DIV/0!</v>
      </c>
      <c r="AD5" s="19" t="e">
        <f t="shared" ref="AD5:AD30" si="12">AB5/AC5</f>
        <v>#DIV/0!</v>
      </c>
      <c r="AE5" s="19" t="e">
        <f>1.49/'Inputs-Results'!$AC10*AB5*AD5^(2/3)*'Inputs-Results'!$AD10^0.5</f>
        <v>#DIV/0!</v>
      </c>
      <c r="AF5" s="27" t="e">
        <f t="shared" ref="AF5:AF30" si="13">AE5/AB5</f>
        <v>#DIV/0!</v>
      </c>
      <c r="AG5" s="26">
        <f t="shared" ref="AG5:AG30" si="14">0.5*$C5</f>
        <v>0</v>
      </c>
      <c r="AH5" s="19" t="e">
        <f>IF(AG5&gt;'Inputs-Results'!$V10-'Inputs-Results'!$X10,(0.5*(ABS('Inputs-Results'!$S10-'Inputs-Results'!$U10)/('Inputs-Results'!$T10-'Inputs-Results'!$V10)*(AG5-('Inputs-Results'!$V10-'Inputs-Results'!$X10)))*(AG5-('Inputs-Results'!$V10-'Inputs-Results'!$X10))),0)+IF(AG5&gt;'Inputs-Results'!$V10-'Inputs-Results'!$X10,(0.5*((AG5+'Inputs-Results'!$X10-'Inputs-Results'!$V10)+AG5)*ABS('Inputs-Results'!$U10-'Inputs-Results'!$W10)),0.5*(ABS('Inputs-Results'!$U10-'Inputs-Results'!$W10)/('Inputs-Results'!$V10-'Inputs-Results'!$X10)*AG5)*AG5)+IF(AG5&gt;'Inputs-Results'!$Z10-'Inputs-Results'!$X10,(0.5*((AG5+'Inputs-Results'!$X10-'Inputs-Results'!$Z10)+AG5)*ABS('Inputs-Results'!$Y10-'Inputs-Results'!$W10)),0.5*(ABS('Inputs-Results'!$W10-'Inputs-Results'!$Y10)/('Inputs-Results'!$Z10-'Inputs-Results'!$X10)*AG5)*AG5)+IF(AG5&gt;'Inputs-Results'!$Z10-'Inputs-Results'!$X10,(0.5*(ABS('Inputs-Results'!$Y10-'Inputs-Results'!$AA10)/('Inputs-Results'!$AB10-'Inputs-Results'!$Z10)*(AG5-('Inputs-Results'!$Z10-'Inputs-Results'!$X10)))*(AG5-('Inputs-Results'!$Z10-'Inputs-Results'!$X10))),0)</f>
        <v>#DIV/0!</v>
      </c>
      <c r="AI5" s="19" t="e">
        <f>IF(AG5&gt;'Inputs-Results'!$V$9-'Inputs-Results'!$X$9,SQRT(('Inputs-Results'!$U$9-'Inputs-Results'!$W$9)^2+('Inputs-Results'!$V$9-'Inputs-Results'!$X$9)^2)+SQRT(('Inputs-Results'!$W$9-'Inputs-Results'!$Y$9)^2+('Inputs-Results'!$X$9-'Inputs-Results'!$Z$9)^2)+SQRT((('Inputs-Results'!$S$9-'Inputs-Results'!$U$9)*(AG5+'Inputs-Results'!$X$9-'Inputs-Results'!$V$9)/('Inputs-Results'!$T$9-'Inputs-Results'!$V$9))^2+(AG5+'Inputs-Results'!$X$9-'Inputs-Results'!$V$9)^2)+SQRT((('Inputs-Results'!$AA$9-'Inputs-Results'!$Y$9)*(AG5+'Inputs-Results'!$X$9-'Inputs-Results'!$Z$9)/('Inputs-Results'!$AB$9-'Inputs-Results'!$Z$9))^2+(AG5+'Inputs-Results'!$X$9-'Inputs-Results'!$Z$9)^2),SQRT((('Inputs-Results'!$U$9-'Inputs-Results'!$W$9)*(AG5)/('Inputs-Results'!$V$9-'Inputs-Results'!$X$9))^2+AG5^2)+SQRT((('Inputs-Results'!$Y$9-'Inputs-Results'!$W$9)*AG5/('Inputs-Results'!$Z$9-'Inputs-Results'!$X$9))^2+AG5^2))</f>
        <v>#DIV/0!</v>
      </c>
      <c r="AJ5" s="19" t="e">
        <f t="shared" ref="AJ5:AJ30" si="15">AH5/AI5</f>
        <v>#DIV/0!</v>
      </c>
      <c r="AK5" s="19" t="e">
        <f>1.49/'Inputs-Results'!$AC10*AH5*AJ5^(2/3)*'Inputs-Results'!$AD10^0.5</f>
        <v>#DIV/0!</v>
      </c>
      <c r="AL5" s="27" t="e">
        <f t="shared" ref="AL5:AL30" si="16">AK5/AH5</f>
        <v>#DIV/0!</v>
      </c>
      <c r="AM5" s="26">
        <f t="shared" ref="AM5:AM30" si="17">0.4*$C5</f>
        <v>0</v>
      </c>
      <c r="AN5" s="19" t="e">
        <f>IF(AM5&gt;'Inputs-Results'!$V10-'Inputs-Results'!$X10,(0.5*(ABS('Inputs-Results'!$S10-'Inputs-Results'!$U10)/('Inputs-Results'!$T10-'Inputs-Results'!$V10)*(AM5-('Inputs-Results'!$V10-'Inputs-Results'!$X10)))*(AM5-('Inputs-Results'!$V10-'Inputs-Results'!$X10))),0)+IF(AM5&gt;'Inputs-Results'!$V10-'Inputs-Results'!$X10,(0.5*((AM5+'Inputs-Results'!$X10-'Inputs-Results'!$V10)+AM5)*ABS('Inputs-Results'!$U10-'Inputs-Results'!$W10)),0.5*(ABS('Inputs-Results'!$U10-'Inputs-Results'!$W10)/('Inputs-Results'!$V10-'Inputs-Results'!$X10)*AM5)*AM5)+IF(AM5&gt;'Inputs-Results'!$Z10-'Inputs-Results'!$X10,(0.5*((AM5+'Inputs-Results'!$X10-'Inputs-Results'!$Z10)+AM5)*ABS('Inputs-Results'!$Y10-'Inputs-Results'!$W10)),0.5*(ABS('Inputs-Results'!$W10-'Inputs-Results'!$Y10)/('Inputs-Results'!$Z10-'Inputs-Results'!$X10)*AM5)*AM5)+IF(AM5&gt;'Inputs-Results'!$Z10-'Inputs-Results'!$X10,(0.5*(ABS('Inputs-Results'!$Y10-'Inputs-Results'!$AA10)/('Inputs-Results'!$AB10-'Inputs-Results'!$Z10)*(AM5-('Inputs-Results'!$Z10-'Inputs-Results'!$X10)))*(AM5-('Inputs-Results'!$Z10-'Inputs-Results'!$X10))),0)</f>
        <v>#DIV/0!</v>
      </c>
      <c r="AO5" s="19" t="e">
        <f>IF(AM5&gt;'Inputs-Results'!$V$9-'Inputs-Results'!$X$9,SQRT(('Inputs-Results'!$U$9-'Inputs-Results'!$W$9)^2+('Inputs-Results'!$V$9-'Inputs-Results'!$X$9)^2)+SQRT(('Inputs-Results'!$W$9-'Inputs-Results'!$Y$9)^2+('Inputs-Results'!$X$9-'Inputs-Results'!$Z$9)^2)+SQRT((('Inputs-Results'!$S$9-'Inputs-Results'!$U$9)*(AM5+'Inputs-Results'!$X$9-'Inputs-Results'!$V$9)/('Inputs-Results'!$T$9-'Inputs-Results'!$V$9))^2+(AM5+'Inputs-Results'!$X$9-'Inputs-Results'!$V$9)^2)+SQRT((('Inputs-Results'!$AA$9-'Inputs-Results'!$Y$9)*(AM5+'Inputs-Results'!$X$9-'Inputs-Results'!$Z$9)/('Inputs-Results'!$AB$9-'Inputs-Results'!$Z$9))^2+(AM5+'Inputs-Results'!$X$9-'Inputs-Results'!$Z$9)^2),SQRT((('Inputs-Results'!$U$9-'Inputs-Results'!$W$9)*(AM5)/('Inputs-Results'!$V$9-'Inputs-Results'!$X$9))^2+AM5^2)+SQRT((('Inputs-Results'!$Y$9-'Inputs-Results'!$W$9)*AM5/('Inputs-Results'!$Z$9-'Inputs-Results'!$X$9))^2+AM5^2))</f>
        <v>#DIV/0!</v>
      </c>
      <c r="AP5" s="19" t="e">
        <f t="shared" ref="AP5:AP30" si="18">AN5/AO5</f>
        <v>#DIV/0!</v>
      </c>
      <c r="AQ5" s="19" t="e">
        <f>1.49/'Inputs-Results'!$AC10*AN5*AP5^(2/3)*'Inputs-Results'!$AD10^0.5</f>
        <v>#DIV/0!</v>
      </c>
      <c r="AR5" s="27" t="e">
        <f t="shared" ref="AR5:AR30" si="19">AQ5/AN5</f>
        <v>#DIV/0!</v>
      </c>
      <c r="AS5" s="26">
        <f t="shared" ref="AS5:AS30" si="20">0.3*$C5</f>
        <v>0</v>
      </c>
      <c r="AT5" s="19" t="e">
        <f>IF(AS5&gt;'Inputs-Results'!$V10-'Inputs-Results'!$X10,(0.5*(ABS('Inputs-Results'!$S10-'Inputs-Results'!$U10)/('Inputs-Results'!$T10-'Inputs-Results'!$V10)*(AS5-('Inputs-Results'!$V10-'Inputs-Results'!$X10)))*(AS5-('Inputs-Results'!$V10-'Inputs-Results'!$X10))),0)+IF(AS5&gt;'Inputs-Results'!$V10-'Inputs-Results'!$X10,(0.5*((AS5+'Inputs-Results'!$X10-'Inputs-Results'!$V10)+AS5)*ABS('Inputs-Results'!$U10-'Inputs-Results'!$W10)),0.5*(ABS('Inputs-Results'!$U10-'Inputs-Results'!$W10)/('Inputs-Results'!$V10-'Inputs-Results'!$X10)*AS5)*AS5)+IF(AS5&gt;'Inputs-Results'!$Z10-'Inputs-Results'!$X10,(0.5*((AS5+'Inputs-Results'!$X10-'Inputs-Results'!$Z10)+AS5)*ABS('Inputs-Results'!$Y10-'Inputs-Results'!$W10)),0.5*(ABS('Inputs-Results'!$W10-'Inputs-Results'!$Y10)/('Inputs-Results'!$Z10-'Inputs-Results'!$X10)*AS5)*AS5)+IF(AS5&gt;'Inputs-Results'!$Z10-'Inputs-Results'!$X10,(0.5*(ABS('Inputs-Results'!$Y10-'Inputs-Results'!$AA10)/('Inputs-Results'!$AB10-'Inputs-Results'!$Z10)*(AS5-('Inputs-Results'!$Z10-'Inputs-Results'!$X10)))*(AS5-('Inputs-Results'!$Z10-'Inputs-Results'!$X10))),0)</f>
        <v>#DIV/0!</v>
      </c>
      <c r="AU5" s="19" t="e">
        <f>IF(AS5&gt;'Inputs-Results'!$V$9-'Inputs-Results'!$X$9,SQRT(('Inputs-Results'!$U$9-'Inputs-Results'!$W$9)^2+('Inputs-Results'!$V$9-'Inputs-Results'!$X$9)^2)+SQRT(('Inputs-Results'!$W$9-'Inputs-Results'!$Y$9)^2+('Inputs-Results'!$X$9-'Inputs-Results'!$Z$9)^2)+SQRT((('Inputs-Results'!$S$9-'Inputs-Results'!$U$9)*(AS5+'Inputs-Results'!$X$9-'Inputs-Results'!$V$9)/('Inputs-Results'!$T$9-'Inputs-Results'!$V$9))^2+(AS5+'Inputs-Results'!$X$9-'Inputs-Results'!$V$9)^2)+SQRT((('Inputs-Results'!$AA$9-'Inputs-Results'!$Y$9)*(AS5+'Inputs-Results'!$X$9-'Inputs-Results'!$Z$9)/('Inputs-Results'!$AB$9-'Inputs-Results'!$Z$9))^2+(AS5+'Inputs-Results'!$X$9-'Inputs-Results'!$Z$9)^2),SQRT((('Inputs-Results'!$U$9-'Inputs-Results'!$W$9)*(AS5)/('Inputs-Results'!$V$9-'Inputs-Results'!$X$9))^2+AS5^2)+SQRT((('Inputs-Results'!$Y$9-'Inputs-Results'!$W$9)*AS5/('Inputs-Results'!$Z$9-'Inputs-Results'!$X$9))^2+AS5^2))</f>
        <v>#DIV/0!</v>
      </c>
      <c r="AV5" s="19" t="e">
        <f t="shared" ref="AV5:AV30" si="21">AT5/AU5</f>
        <v>#DIV/0!</v>
      </c>
      <c r="AW5" s="19" t="e">
        <f>1.49/'Inputs-Results'!$AC10*AT5*AV5^(2/3)*'Inputs-Results'!$AD10^0.5</f>
        <v>#DIV/0!</v>
      </c>
      <c r="AX5" s="27" t="e">
        <f t="shared" ref="AX5:AX30" si="22">AW5/AT5</f>
        <v>#DIV/0!</v>
      </c>
      <c r="AY5" s="26">
        <f t="shared" ref="AY5:AY30" si="23">0.2*$C5</f>
        <v>0</v>
      </c>
      <c r="AZ5" s="19" t="e">
        <f>IF(AY5&gt;'Inputs-Results'!$V10-'Inputs-Results'!$X10,(0.5*(ABS('Inputs-Results'!$S10-'Inputs-Results'!$U10)/('Inputs-Results'!$T10-'Inputs-Results'!$V10)*(AY5-('Inputs-Results'!$V10-'Inputs-Results'!$X10)))*(AY5-('Inputs-Results'!$V10-'Inputs-Results'!$X10))),0)+IF(AY5&gt;'Inputs-Results'!$V10-'Inputs-Results'!$X10,(0.5*((AY5+'Inputs-Results'!$X10-'Inputs-Results'!$V10)+AY5)*ABS('Inputs-Results'!$U10-'Inputs-Results'!$W10)),0.5*(ABS('Inputs-Results'!$U10-'Inputs-Results'!$W10)/('Inputs-Results'!$V10-'Inputs-Results'!$X10)*AY5)*AY5)+IF(AY5&gt;'Inputs-Results'!$Z10-'Inputs-Results'!$X10,(0.5*((AY5+'Inputs-Results'!$X10-'Inputs-Results'!$Z10)+AY5)*ABS('Inputs-Results'!$Y10-'Inputs-Results'!$W10)),0.5*(ABS('Inputs-Results'!$W10-'Inputs-Results'!$Y10)/('Inputs-Results'!$Z10-'Inputs-Results'!$X10)*AY5)*AY5)+IF(AY5&gt;'Inputs-Results'!$Z10-'Inputs-Results'!$X10,(0.5*(ABS('Inputs-Results'!$Y10-'Inputs-Results'!$AA10)/('Inputs-Results'!$AB10-'Inputs-Results'!$Z10)*(AY5-('Inputs-Results'!$Z10-'Inputs-Results'!$X10)))*(AY5-('Inputs-Results'!$Z10-'Inputs-Results'!$X10))),0)</f>
        <v>#DIV/0!</v>
      </c>
      <c r="BA5" s="19" t="e">
        <f>IF(AY5&gt;'Inputs-Results'!$V$9-'Inputs-Results'!$X$9,SQRT(('Inputs-Results'!$U$9-'Inputs-Results'!$W$9)^2+('Inputs-Results'!$V$9-'Inputs-Results'!$X$9)^2)+SQRT(('Inputs-Results'!$W$9-'Inputs-Results'!$Y$9)^2+('Inputs-Results'!$X$9-'Inputs-Results'!$Z$9)^2)+SQRT((('Inputs-Results'!$S$9-'Inputs-Results'!$U$9)*(AY5+'Inputs-Results'!$X$9-'Inputs-Results'!$V$9)/('Inputs-Results'!$T$9-'Inputs-Results'!$V$9))^2+(AY5+'Inputs-Results'!$X$9-'Inputs-Results'!$V$9)^2)+SQRT((('Inputs-Results'!$AA$9-'Inputs-Results'!$Y$9)*(AY5+'Inputs-Results'!$X$9-'Inputs-Results'!$Z$9)/('Inputs-Results'!$AB$9-'Inputs-Results'!$Z$9))^2+(AY5+'Inputs-Results'!$X$9-'Inputs-Results'!$Z$9)^2),SQRT((('Inputs-Results'!$U$9-'Inputs-Results'!$W$9)*(AY5)/('Inputs-Results'!$V$9-'Inputs-Results'!$X$9))^2+AY5^2)+SQRT((('Inputs-Results'!$Y$9-'Inputs-Results'!$W$9)*AY5/('Inputs-Results'!$Z$9-'Inputs-Results'!$X$9))^2+AY5^2))</f>
        <v>#DIV/0!</v>
      </c>
      <c r="BB5" s="19" t="e">
        <f t="shared" ref="BB5:BB30" si="24">AZ5/BA5</f>
        <v>#DIV/0!</v>
      </c>
      <c r="BC5" s="19" t="e">
        <f>1.49/'Inputs-Results'!$AC10*AZ5*BB5^(2/3)*'Inputs-Results'!$AD10^0.5</f>
        <v>#DIV/0!</v>
      </c>
      <c r="BD5" s="27" t="e">
        <f t="shared" ref="BD5:BD30" si="25">BC5/AZ5</f>
        <v>#DIV/0!</v>
      </c>
      <c r="BE5" s="26">
        <f t="shared" ref="BE5:BE30" si="26">0.1*$C5</f>
        <v>0</v>
      </c>
      <c r="BF5" s="19" t="e">
        <f>IF(BE5&gt;'Inputs-Results'!$V10-'Inputs-Results'!$X10,(0.5*(ABS('Inputs-Results'!$S10-'Inputs-Results'!$U10)/('Inputs-Results'!$T10-'Inputs-Results'!$V10)*(BE5-('Inputs-Results'!$V10-'Inputs-Results'!$X10)))*(BE5-('Inputs-Results'!$V10-'Inputs-Results'!$X10))),0)+IF(BE5&gt;'Inputs-Results'!$V10-'Inputs-Results'!$X10,(0.5*((BE5+'Inputs-Results'!$X10-'Inputs-Results'!$V10)+BE5)*ABS('Inputs-Results'!$U10-'Inputs-Results'!$W10)),0.5*(ABS('Inputs-Results'!$U10-'Inputs-Results'!$W10)/('Inputs-Results'!$V10-'Inputs-Results'!$X10)*BE5)*BE5)+IF(BE5&gt;'Inputs-Results'!$Z10-'Inputs-Results'!$X10,(0.5*((BE5+'Inputs-Results'!$X10-'Inputs-Results'!$Z10)+BE5)*ABS('Inputs-Results'!$Y10-'Inputs-Results'!$W10)),0.5*(ABS('Inputs-Results'!$W10-'Inputs-Results'!$Y10)/('Inputs-Results'!$Z10-'Inputs-Results'!$X10)*BE5)*BE5)+IF(BE5&gt;'Inputs-Results'!$Z10-'Inputs-Results'!$X10,(0.5*(ABS('Inputs-Results'!$Y10-'Inputs-Results'!$AA10)/('Inputs-Results'!$AB10-'Inputs-Results'!$Z10)*(BE5-('Inputs-Results'!$Z10-'Inputs-Results'!$X10)))*(BE5-('Inputs-Results'!$Z10-'Inputs-Results'!$X10))),0)</f>
        <v>#DIV/0!</v>
      </c>
      <c r="BG5" s="19" t="e">
        <f>IF(BE5&gt;'Inputs-Results'!$V$9-'Inputs-Results'!$X$9,SQRT(('Inputs-Results'!$U$9-'Inputs-Results'!$W$9)^2+('Inputs-Results'!$V$9-'Inputs-Results'!$X$9)^2)+SQRT(('Inputs-Results'!$W$9-'Inputs-Results'!$Y$9)^2+('Inputs-Results'!$X$9-'Inputs-Results'!$Z$9)^2)+SQRT((('Inputs-Results'!$S$9-'Inputs-Results'!$U$9)*(BE5+'Inputs-Results'!$X$9-'Inputs-Results'!$V$9)/('Inputs-Results'!$T$9-'Inputs-Results'!$V$9))^2+(BE5+'Inputs-Results'!$X$9-'Inputs-Results'!$V$9)^2)+SQRT((('Inputs-Results'!$AA$9-'Inputs-Results'!$Y$9)*(BE5+'Inputs-Results'!$X$9-'Inputs-Results'!$Z$9)/('Inputs-Results'!$AB$9-'Inputs-Results'!$Z$9))^2+(BE5+'Inputs-Results'!$X$9-'Inputs-Results'!$Z$9)^2),SQRT((('Inputs-Results'!$U$9-'Inputs-Results'!$W$9)*(BE5)/('Inputs-Results'!$V$9-'Inputs-Results'!$X$9))^2+BE5^2)+SQRT((('Inputs-Results'!$Y$9-'Inputs-Results'!$W$9)*BE5/('Inputs-Results'!$Z$9-'Inputs-Results'!$X$9))^2+BE5^2))</f>
        <v>#DIV/0!</v>
      </c>
      <c r="BH5" s="19" t="e">
        <f t="shared" ref="BH5:BH30" si="27">BF5/BG5</f>
        <v>#DIV/0!</v>
      </c>
      <c r="BI5" s="19" t="e">
        <f>1.49/'Inputs-Results'!$AC10*BF5*BH5^(2/3)*'Inputs-Results'!$AD10^0.5</f>
        <v>#DIV/0!</v>
      </c>
      <c r="BJ5" s="27" t="e">
        <f t="shared" ref="BJ5:BJ30" si="28">BI5/BF5</f>
        <v>#DIV/0!</v>
      </c>
    </row>
    <row r="6" spans="1:62" x14ac:dyDescent="0.25">
      <c r="A6" s="2">
        <v>0</v>
      </c>
      <c r="B6" s="17"/>
      <c r="C6" s="26">
        <f>MIN('Inputs-Results'!T11-'Inputs-Results'!X11,'Inputs-Results'!AB11-'Inputs-Results'!X11)</f>
        <v>0</v>
      </c>
      <c r="D6" s="19" t="e">
        <f>IF(C6&gt;'Inputs-Results'!$V11-'Inputs-Results'!$X11,(0.5*(ABS('Inputs-Results'!$S11-'Inputs-Results'!$U11)/('Inputs-Results'!$T11-'Inputs-Results'!$V11)*(C6-('Inputs-Results'!$V11-'Inputs-Results'!$X11)))*(C6-('Inputs-Results'!$V11-'Inputs-Results'!$X11))),0)+IF(C6&gt;'Inputs-Results'!$V11-'Inputs-Results'!$X11,(0.5*((C6+'Inputs-Results'!$X11-'Inputs-Results'!$V11)+C6)*ABS('Inputs-Results'!$U11-'Inputs-Results'!$W11)),0.5*(ABS('Inputs-Results'!$U11-'Inputs-Results'!$W11)/('Inputs-Results'!$V11-'Inputs-Results'!$X11)*C6)*C6)+IF(C6&gt;'Inputs-Results'!$Z11-'Inputs-Results'!$X11,(0.5*((C6+'Inputs-Results'!$X11-'Inputs-Results'!$Z11)+C6)*ABS('Inputs-Results'!$Y11-'Inputs-Results'!$W11)),0.5*(ABS('Inputs-Results'!$W11-'Inputs-Results'!$Y11)/('Inputs-Results'!$Z11-'Inputs-Results'!$X11)*C6)*C6)+IF(C6&gt;'Inputs-Results'!$Z11-'Inputs-Results'!$X11,(0.5*(ABS('Inputs-Results'!$Y11-'Inputs-Results'!$AA11)/('Inputs-Results'!$AB11-'Inputs-Results'!$Z11)*(C6-('Inputs-Results'!$Z11-'Inputs-Results'!$X11)))*(C6-('Inputs-Results'!$Z11-'Inputs-Results'!$X11))),0)</f>
        <v>#DIV/0!</v>
      </c>
      <c r="E6" s="19" t="e">
        <f>IF(C6&gt;'Inputs-Results'!$V$9-'Inputs-Results'!$X$9,SQRT(('Inputs-Results'!$U$9-'Inputs-Results'!$W$9)^2+('Inputs-Results'!$V$9-'Inputs-Results'!$X$9)^2)+SQRT(('Inputs-Results'!$W$9-'Inputs-Results'!$Y$9)^2+('Inputs-Results'!$X$9-'Inputs-Results'!$Z$9)^2)+SQRT((('Inputs-Results'!$S$9-'Inputs-Results'!$U$9)*(C6+'Inputs-Results'!$X$9-'Inputs-Results'!$V$9)/('Inputs-Results'!$T$9-'Inputs-Results'!$V$9))^2+(C6+'Inputs-Results'!$X$9-'Inputs-Results'!$V$9)^2)+SQRT((('Inputs-Results'!$AA$9-'Inputs-Results'!$Y$9)*(C6+'Inputs-Results'!$X$9-'Inputs-Results'!$Z$9)/('Inputs-Results'!$AB$9-'Inputs-Results'!$Z$9))^2+(C6+'Inputs-Results'!$X$9-'Inputs-Results'!$Z$9)^2),SQRT((('Inputs-Results'!$U$9-'Inputs-Results'!$W$9)*(C6)/('Inputs-Results'!$V$9-'Inputs-Results'!$X$9))^2+C6^2)+SQRT((('Inputs-Results'!$Y$9-'Inputs-Results'!$W$9)*C6/('Inputs-Results'!$Z$9-'Inputs-Results'!$X$9))^2+C6^2))</f>
        <v>#DIV/0!</v>
      </c>
      <c r="F6" s="19" t="e">
        <f t="shared" si="0"/>
        <v>#DIV/0!</v>
      </c>
      <c r="G6" s="19" t="e">
        <f>1.49/'Inputs-Results'!AC11*D6*F6^(2/3)*'Inputs-Results'!AD11^0.5</f>
        <v>#DIV/0!</v>
      </c>
      <c r="H6" s="27" t="e">
        <f t="shared" si="1"/>
        <v>#DIV/0!</v>
      </c>
      <c r="I6" s="26">
        <f t="shared" si="2"/>
        <v>0</v>
      </c>
      <c r="J6" s="19" t="e">
        <f>IF(I6&gt;'Inputs-Results'!$V11-'Inputs-Results'!$X11,(0.5*(ABS('Inputs-Results'!$S11-'Inputs-Results'!$U11)/('Inputs-Results'!$T11-'Inputs-Results'!$V11)*(I6-('Inputs-Results'!$V11-'Inputs-Results'!$X11)))*(I6-('Inputs-Results'!$V11-'Inputs-Results'!$X11))),0)+IF(I6&gt;'Inputs-Results'!$V11-'Inputs-Results'!$X11,(0.5*((I6+'Inputs-Results'!$X11-'Inputs-Results'!$V11)+I6)*ABS('Inputs-Results'!$U11-'Inputs-Results'!$W11)),0.5*(ABS('Inputs-Results'!$U11-'Inputs-Results'!$W11)/('Inputs-Results'!$V11-'Inputs-Results'!$X11)*I6)*I6)+IF(I6&gt;'Inputs-Results'!$Z11-'Inputs-Results'!$X11,(0.5*((I6+'Inputs-Results'!$X11-'Inputs-Results'!$Z11)+I6)*ABS('Inputs-Results'!$Y11-'Inputs-Results'!$W11)),0.5*(ABS('Inputs-Results'!$W11-'Inputs-Results'!$Y11)/('Inputs-Results'!$Z11-'Inputs-Results'!$X11)*I6)*I6)+IF(I6&gt;'Inputs-Results'!$Z11-'Inputs-Results'!$X11,(0.5*(ABS('Inputs-Results'!$Y11-'Inputs-Results'!$AA11)/('Inputs-Results'!$AB11-'Inputs-Results'!$Z11)*(I6-('Inputs-Results'!$Z11-'Inputs-Results'!$X11)))*(I6-('Inputs-Results'!$Z11-'Inputs-Results'!$X11))),0)</f>
        <v>#DIV/0!</v>
      </c>
      <c r="K6" s="19" t="e">
        <f>IF(I6&gt;'Inputs-Results'!$V$9-'Inputs-Results'!$X$9,SQRT(('Inputs-Results'!$U$9-'Inputs-Results'!$W$9)^2+('Inputs-Results'!$V$9-'Inputs-Results'!$X$9)^2)+SQRT(('Inputs-Results'!$W$9-'Inputs-Results'!$Y$9)^2+('Inputs-Results'!$X$9-'Inputs-Results'!$Z$9)^2)+SQRT((('Inputs-Results'!$S$9-'Inputs-Results'!$U$9)*(I6+'Inputs-Results'!$X$9-'Inputs-Results'!$V$9)/('Inputs-Results'!$T$9-'Inputs-Results'!$V$9))^2+(I6+'Inputs-Results'!$X$9-'Inputs-Results'!$V$9)^2)+SQRT((('Inputs-Results'!$AA$9-'Inputs-Results'!$Y$9)*(I6+'Inputs-Results'!$X$9-'Inputs-Results'!$Z$9)/('Inputs-Results'!$AB$9-'Inputs-Results'!$Z$9))^2+(I6+'Inputs-Results'!$X$9-'Inputs-Results'!$Z$9)^2),SQRT((('Inputs-Results'!$U$9-'Inputs-Results'!$W$9)*(I6)/('Inputs-Results'!$V$9-'Inputs-Results'!$X$9))^2+I6^2)+SQRT((('Inputs-Results'!$Y$9-'Inputs-Results'!$W$9)*I6/('Inputs-Results'!$Z$9-'Inputs-Results'!$X$9))^2+I6^2))</f>
        <v>#DIV/0!</v>
      </c>
      <c r="L6" s="19" t="e">
        <f t="shared" si="3"/>
        <v>#DIV/0!</v>
      </c>
      <c r="M6" s="19" t="e">
        <f>1.49/'Inputs-Results'!$AC11*J6*L6^(2/3)*'Inputs-Results'!$AD11^0.5</f>
        <v>#DIV/0!</v>
      </c>
      <c r="N6" s="27" t="e">
        <f t="shared" si="4"/>
        <v>#DIV/0!</v>
      </c>
      <c r="O6" s="26">
        <f t="shared" si="5"/>
        <v>0</v>
      </c>
      <c r="P6" s="19" t="e">
        <f>IF(O6&gt;'Inputs-Results'!$V11-'Inputs-Results'!$X11,(0.5*(ABS('Inputs-Results'!$S11-'Inputs-Results'!$U11)/('Inputs-Results'!$T11-'Inputs-Results'!$V11)*(O6-('Inputs-Results'!$V11-'Inputs-Results'!$X11)))*(O6-('Inputs-Results'!$V11-'Inputs-Results'!$X11))),0)+IF(O6&gt;'Inputs-Results'!$V11-'Inputs-Results'!$X11,(0.5*((O6+'Inputs-Results'!$X11-'Inputs-Results'!$V11)+O6)*ABS('Inputs-Results'!$U11-'Inputs-Results'!$W11)),0.5*(ABS('Inputs-Results'!$U11-'Inputs-Results'!$W11)/('Inputs-Results'!$V11-'Inputs-Results'!$X11)*O6)*O6)+IF(O6&gt;'Inputs-Results'!$Z11-'Inputs-Results'!$X11,(0.5*((O6+'Inputs-Results'!$X11-'Inputs-Results'!$Z11)+O6)*ABS('Inputs-Results'!$Y11-'Inputs-Results'!$W11)),0.5*(ABS('Inputs-Results'!$W11-'Inputs-Results'!$Y11)/('Inputs-Results'!$Z11-'Inputs-Results'!$X11)*O6)*O6)+IF(O6&gt;'Inputs-Results'!$Z11-'Inputs-Results'!$X11,(0.5*(ABS('Inputs-Results'!$Y11-'Inputs-Results'!$AA11)/('Inputs-Results'!$AB11-'Inputs-Results'!$Z11)*(O6-('Inputs-Results'!$Z11-'Inputs-Results'!$X11)))*(O6-('Inputs-Results'!$Z11-'Inputs-Results'!$X11))),0)</f>
        <v>#DIV/0!</v>
      </c>
      <c r="Q6" s="19" t="e">
        <f>IF(O6&gt;'Inputs-Results'!$V$9-'Inputs-Results'!$X$9,SQRT(('Inputs-Results'!$U$9-'Inputs-Results'!$W$9)^2+('Inputs-Results'!$V$9-'Inputs-Results'!$X$9)^2)+SQRT(('Inputs-Results'!$W$9-'Inputs-Results'!$Y$9)^2+('Inputs-Results'!$X$9-'Inputs-Results'!$Z$9)^2)+SQRT((('Inputs-Results'!$S$9-'Inputs-Results'!$U$9)*(O6+'Inputs-Results'!$X$9-'Inputs-Results'!$V$9)/('Inputs-Results'!$T$9-'Inputs-Results'!$V$9))^2+(O6+'Inputs-Results'!$X$9-'Inputs-Results'!$V$9)^2)+SQRT((('Inputs-Results'!$AA$9-'Inputs-Results'!$Y$9)*(O6+'Inputs-Results'!$X$9-'Inputs-Results'!$Z$9)/('Inputs-Results'!$AB$9-'Inputs-Results'!$Z$9))^2+(O6+'Inputs-Results'!$X$9-'Inputs-Results'!$Z$9)^2),SQRT((('Inputs-Results'!$U$9-'Inputs-Results'!$W$9)*(O6)/('Inputs-Results'!$V$9-'Inputs-Results'!$X$9))^2+O6^2)+SQRT((('Inputs-Results'!$Y$9-'Inputs-Results'!$W$9)*O6/('Inputs-Results'!$Z$9-'Inputs-Results'!$X$9))^2+O6^2))</f>
        <v>#DIV/0!</v>
      </c>
      <c r="R6" s="19" t="e">
        <f t="shared" si="6"/>
        <v>#DIV/0!</v>
      </c>
      <c r="S6" s="19" t="e">
        <f>1.49/'Inputs-Results'!$AC11*P6*R6^(2/3)*'Inputs-Results'!$AD11^0.5</f>
        <v>#DIV/0!</v>
      </c>
      <c r="T6" s="27" t="e">
        <f t="shared" si="7"/>
        <v>#DIV/0!</v>
      </c>
      <c r="U6" s="26">
        <f t="shared" si="8"/>
        <v>0</v>
      </c>
      <c r="V6" s="19" t="e">
        <f>IF(U6&gt;'Inputs-Results'!$V11-'Inputs-Results'!$X11,(0.5*(ABS('Inputs-Results'!$S11-'Inputs-Results'!$U11)/('Inputs-Results'!$T11-'Inputs-Results'!$V11)*(U6-('Inputs-Results'!$V11-'Inputs-Results'!$X11)))*(U6-('Inputs-Results'!$V11-'Inputs-Results'!$X11))),0)+IF(U6&gt;'Inputs-Results'!$V11-'Inputs-Results'!$X11,(0.5*((U6+'Inputs-Results'!$X11-'Inputs-Results'!$V11)+U6)*ABS('Inputs-Results'!$U11-'Inputs-Results'!$W11)),0.5*(ABS('Inputs-Results'!$U11-'Inputs-Results'!$W11)/('Inputs-Results'!$V11-'Inputs-Results'!$X11)*U6)*U6)+IF(U6&gt;'Inputs-Results'!$Z11-'Inputs-Results'!$X11,(0.5*((U6+'Inputs-Results'!$X11-'Inputs-Results'!$Z11)+U6)*ABS('Inputs-Results'!$Y11-'Inputs-Results'!$W11)),0.5*(ABS('Inputs-Results'!$W11-'Inputs-Results'!$Y11)/('Inputs-Results'!$Z11-'Inputs-Results'!$X11)*U6)*U6)+IF(U6&gt;'Inputs-Results'!$Z11-'Inputs-Results'!$X11,(0.5*(ABS('Inputs-Results'!$Y11-'Inputs-Results'!$AA11)/('Inputs-Results'!$AB11-'Inputs-Results'!$Z11)*(U6-('Inputs-Results'!$Z11-'Inputs-Results'!$X11)))*(U6-('Inputs-Results'!$Z11-'Inputs-Results'!$X11))),0)</f>
        <v>#DIV/0!</v>
      </c>
      <c r="W6" s="19" t="e">
        <f>IF(U6&gt;'Inputs-Results'!$V$9-'Inputs-Results'!$X$9,SQRT(('Inputs-Results'!$U$9-'Inputs-Results'!$W$9)^2+('Inputs-Results'!$V$9-'Inputs-Results'!$X$9)^2)+SQRT(('Inputs-Results'!$W$9-'Inputs-Results'!$Y$9)^2+('Inputs-Results'!$X$9-'Inputs-Results'!$Z$9)^2)+SQRT((('Inputs-Results'!$S$9-'Inputs-Results'!$U$9)*(U6+'Inputs-Results'!$X$9-'Inputs-Results'!$V$9)/('Inputs-Results'!$T$9-'Inputs-Results'!$V$9))^2+(U6+'Inputs-Results'!$X$9-'Inputs-Results'!$V$9)^2)+SQRT((('Inputs-Results'!$AA$9-'Inputs-Results'!$Y$9)*(U6+'Inputs-Results'!$X$9-'Inputs-Results'!$Z$9)/('Inputs-Results'!$AB$9-'Inputs-Results'!$Z$9))^2+(U6+'Inputs-Results'!$X$9-'Inputs-Results'!$Z$9)^2),SQRT((('Inputs-Results'!$U$9-'Inputs-Results'!$W$9)*(U6)/('Inputs-Results'!$V$9-'Inputs-Results'!$X$9))^2+U6^2)+SQRT((('Inputs-Results'!$Y$9-'Inputs-Results'!$W$9)*U6/('Inputs-Results'!$Z$9-'Inputs-Results'!$X$9))^2+U6^2))</f>
        <v>#DIV/0!</v>
      </c>
      <c r="X6" s="19" t="e">
        <f t="shared" si="9"/>
        <v>#DIV/0!</v>
      </c>
      <c r="Y6" s="19" t="e">
        <f>1.49/'Inputs-Results'!$AC11*V6*X6^(2/3)*'Inputs-Results'!$AD11^0.5</f>
        <v>#DIV/0!</v>
      </c>
      <c r="Z6" s="27" t="e">
        <f t="shared" si="10"/>
        <v>#DIV/0!</v>
      </c>
      <c r="AA6" s="26">
        <f t="shared" si="11"/>
        <v>0</v>
      </c>
      <c r="AB6" s="19" t="e">
        <f>IF(AA6&gt;'Inputs-Results'!$V11-'Inputs-Results'!$X11,(0.5*(ABS('Inputs-Results'!$S11-'Inputs-Results'!$U11)/('Inputs-Results'!$T11-'Inputs-Results'!$V11)*(AA6-('Inputs-Results'!$V11-'Inputs-Results'!$X11)))*(AA6-('Inputs-Results'!$V11-'Inputs-Results'!$X11))),0)+IF(AA6&gt;'Inputs-Results'!$V11-'Inputs-Results'!$X11,(0.5*((AA6+'Inputs-Results'!$X11-'Inputs-Results'!$V11)+AA6)*ABS('Inputs-Results'!$U11-'Inputs-Results'!$W11)),0.5*(ABS('Inputs-Results'!$U11-'Inputs-Results'!$W11)/('Inputs-Results'!$V11-'Inputs-Results'!$X11)*AA6)*AA6)+IF(AA6&gt;'Inputs-Results'!$Z11-'Inputs-Results'!$X11,(0.5*((AA6+'Inputs-Results'!$X11-'Inputs-Results'!$Z11)+AA6)*ABS('Inputs-Results'!$Y11-'Inputs-Results'!$W11)),0.5*(ABS('Inputs-Results'!$W11-'Inputs-Results'!$Y11)/('Inputs-Results'!$Z11-'Inputs-Results'!$X11)*AA6)*AA6)+IF(AA6&gt;'Inputs-Results'!$Z11-'Inputs-Results'!$X11,(0.5*(ABS('Inputs-Results'!$Y11-'Inputs-Results'!$AA11)/('Inputs-Results'!$AB11-'Inputs-Results'!$Z11)*(AA6-('Inputs-Results'!$Z11-'Inputs-Results'!$X11)))*(AA6-('Inputs-Results'!$Z11-'Inputs-Results'!$X11))),0)</f>
        <v>#DIV/0!</v>
      </c>
      <c r="AC6" s="19" t="e">
        <f>IF(AA6&gt;'Inputs-Results'!$V$9-'Inputs-Results'!$X$9,SQRT(('Inputs-Results'!$U$9-'Inputs-Results'!$W$9)^2+('Inputs-Results'!$V$9-'Inputs-Results'!$X$9)^2)+SQRT(('Inputs-Results'!$W$9-'Inputs-Results'!$Y$9)^2+('Inputs-Results'!$X$9-'Inputs-Results'!$Z$9)^2)+SQRT((('Inputs-Results'!$S$9-'Inputs-Results'!$U$9)*(AA6+'Inputs-Results'!$X$9-'Inputs-Results'!$V$9)/('Inputs-Results'!$T$9-'Inputs-Results'!$V$9))^2+(AA6+'Inputs-Results'!$X$9-'Inputs-Results'!$V$9)^2)+SQRT((('Inputs-Results'!$AA$9-'Inputs-Results'!$Y$9)*(AA6+'Inputs-Results'!$X$9-'Inputs-Results'!$Z$9)/('Inputs-Results'!$AB$9-'Inputs-Results'!$Z$9))^2+(AA6+'Inputs-Results'!$X$9-'Inputs-Results'!$Z$9)^2),SQRT((('Inputs-Results'!$U$9-'Inputs-Results'!$W$9)*(AA6)/('Inputs-Results'!$V$9-'Inputs-Results'!$X$9))^2+AA6^2)+SQRT((('Inputs-Results'!$Y$9-'Inputs-Results'!$W$9)*AA6/('Inputs-Results'!$Z$9-'Inputs-Results'!$X$9))^2+AA6^2))</f>
        <v>#DIV/0!</v>
      </c>
      <c r="AD6" s="19" t="e">
        <f t="shared" si="12"/>
        <v>#DIV/0!</v>
      </c>
      <c r="AE6" s="19" t="e">
        <f>1.49/'Inputs-Results'!$AC11*AB6*AD6^(2/3)*'Inputs-Results'!$AD11^0.5</f>
        <v>#DIV/0!</v>
      </c>
      <c r="AF6" s="27" t="e">
        <f t="shared" si="13"/>
        <v>#DIV/0!</v>
      </c>
      <c r="AG6" s="26">
        <f t="shared" si="14"/>
        <v>0</v>
      </c>
      <c r="AH6" s="19" t="e">
        <f>IF(AG6&gt;'Inputs-Results'!$V11-'Inputs-Results'!$X11,(0.5*(ABS('Inputs-Results'!$S11-'Inputs-Results'!$U11)/('Inputs-Results'!$T11-'Inputs-Results'!$V11)*(AG6-('Inputs-Results'!$V11-'Inputs-Results'!$X11)))*(AG6-('Inputs-Results'!$V11-'Inputs-Results'!$X11))),0)+IF(AG6&gt;'Inputs-Results'!$V11-'Inputs-Results'!$X11,(0.5*((AG6+'Inputs-Results'!$X11-'Inputs-Results'!$V11)+AG6)*ABS('Inputs-Results'!$U11-'Inputs-Results'!$W11)),0.5*(ABS('Inputs-Results'!$U11-'Inputs-Results'!$W11)/('Inputs-Results'!$V11-'Inputs-Results'!$X11)*AG6)*AG6)+IF(AG6&gt;'Inputs-Results'!$Z11-'Inputs-Results'!$X11,(0.5*((AG6+'Inputs-Results'!$X11-'Inputs-Results'!$Z11)+AG6)*ABS('Inputs-Results'!$Y11-'Inputs-Results'!$W11)),0.5*(ABS('Inputs-Results'!$W11-'Inputs-Results'!$Y11)/('Inputs-Results'!$Z11-'Inputs-Results'!$X11)*AG6)*AG6)+IF(AG6&gt;'Inputs-Results'!$Z11-'Inputs-Results'!$X11,(0.5*(ABS('Inputs-Results'!$Y11-'Inputs-Results'!$AA11)/('Inputs-Results'!$AB11-'Inputs-Results'!$Z11)*(AG6-('Inputs-Results'!$Z11-'Inputs-Results'!$X11)))*(AG6-('Inputs-Results'!$Z11-'Inputs-Results'!$X11))),0)</f>
        <v>#DIV/0!</v>
      </c>
      <c r="AI6" s="19" t="e">
        <f>IF(AG6&gt;'Inputs-Results'!$V$9-'Inputs-Results'!$X$9,SQRT(('Inputs-Results'!$U$9-'Inputs-Results'!$W$9)^2+('Inputs-Results'!$V$9-'Inputs-Results'!$X$9)^2)+SQRT(('Inputs-Results'!$W$9-'Inputs-Results'!$Y$9)^2+('Inputs-Results'!$X$9-'Inputs-Results'!$Z$9)^2)+SQRT((('Inputs-Results'!$S$9-'Inputs-Results'!$U$9)*(AG6+'Inputs-Results'!$X$9-'Inputs-Results'!$V$9)/('Inputs-Results'!$T$9-'Inputs-Results'!$V$9))^2+(AG6+'Inputs-Results'!$X$9-'Inputs-Results'!$V$9)^2)+SQRT((('Inputs-Results'!$AA$9-'Inputs-Results'!$Y$9)*(AG6+'Inputs-Results'!$X$9-'Inputs-Results'!$Z$9)/('Inputs-Results'!$AB$9-'Inputs-Results'!$Z$9))^2+(AG6+'Inputs-Results'!$X$9-'Inputs-Results'!$Z$9)^2),SQRT((('Inputs-Results'!$U$9-'Inputs-Results'!$W$9)*(AG6)/('Inputs-Results'!$V$9-'Inputs-Results'!$X$9))^2+AG6^2)+SQRT((('Inputs-Results'!$Y$9-'Inputs-Results'!$W$9)*AG6/('Inputs-Results'!$Z$9-'Inputs-Results'!$X$9))^2+AG6^2))</f>
        <v>#DIV/0!</v>
      </c>
      <c r="AJ6" s="19" t="e">
        <f t="shared" si="15"/>
        <v>#DIV/0!</v>
      </c>
      <c r="AK6" s="19" t="e">
        <f>1.49/'Inputs-Results'!$AC11*AH6*AJ6^(2/3)*'Inputs-Results'!$AD11^0.5</f>
        <v>#DIV/0!</v>
      </c>
      <c r="AL6" s="27" t="e">
        <f t="shared" si="16"/>
        <v>#DIV/0!</v>
      </c>
      <c r="AM6" s="26">
        <f t="shared" si="17"/>
        <v>0</v>
      </c>
      <c r="AN6" s="19" t="e">
        <f>IF(AM6&gt;'Inputs-Results'!$V11-'Inputs-Results'!$X11,(0.5*(ABS('Inputs-Results'!$S11-'Inputs-Results'!$U11)/('Inputs-Results'!$T11-'Inputs-Results'!$V11)*(AM6-('Inputs-Results'!$V11-'Inputs-Results'!$X11)))*(AM6-('Inputs-Results'!$V11-'Inputs-Results'!$X11))),0)+IF(AM6&gt;'Inputs-Results'!$V11-'Inputs-Results'!$X11,(0.5*((AM6+'Inputs-Results'!$X11-'Inputs-Results'!$V11)+AM6)*ABS('Inputs-Results'!$U11-'Inputs-Results'!$W11)),0.5*(ABS('Inputs-Results'!$U11-'Inputs-Results'!$W11)/('Inputs-Results'!$V11-'Inputs-Results'!$X11)*AM6)*AM6)+IF(AM6&gt;'Inputs-Results'!$Z11-'Inputs-Results'!$X11,(0.5*((AM6+'Inputs-Results'!$X11-'Inputs-Results'!$Z11)+AM6)*ABS('Inputs-Results'!$Y11-'Inputs-Results'!$W11)),0.5*(ABS('Inputs-Results'!$W11-'Inputs-Results'!$Y11)/('Inputs-Results'!$Z11-'Inputs-Results'!$X11)*AM6)*AM6)+IF(AM6&gt;'Inputs-Results'!$Z11-'Inputs-Results'!$X11,(0.5*(ABS('Inputs-Results'!$Y11-'Inputs-Results'!$AA11)/('Inputs-Results'!$AB11-'Inputs-Results'!$Z11)*(AM6-('Inputs-Results'!$Z11-'Inputs-Results'!$X11)))*(AM6-('Inputs-Results'!$Z11-'Inputs-Results'!$X11))),0)</f>
        <v>#DIV/0!</v>
      </c>
      <c r="AO6" s="19" t="e">
        <f>IF(AM6&gt;'Inputs-Results'!$V$9-'Inputs-Results'!$X$9,SQRT(('Inputs-Results'!$U$9-'Inputs-Results'!$W$9)^2+('Inputs-Results'!$V$9-'Inputs-Results'!$X$9)^2)+SQRT(('Inputs-Results'!$W$9-'Inputs-Results'!$Y$9)^2+('Inputs-Results'!$X$9-'Inputs-Results'!$Z$9)^2)+SQRT((('Inputs-Results'!$S$9-'Inputs-Results'!$U$9)*(AM6+'Inputs-Results'!$X$9-'Inputs-Results'!$V$9)/('Inputs-Results'!$T$9-'Inputs-Results'!$V$9))^2+(AM6+'Inputs-Results'!$X$9-'Inputs-Results'!$V$9)^2)+SQRT((('Inputs-Results'!$AA$9-'Inputs-Results'!$Y$9)*(AM6+'Inputs-Results'!$X$9-'Inputs-Results'!$Z$9)/('Inputs-Results'!$AB$9-'Inputs-Results'!$Z$9))^2+(AM6+'Inputs-Results'!$X$9-'Inputs-Results'!$Z$9)^2),SQRT((('Inputs-Results'!$U$9-'Inputs-Results'!$W$9)*(AM6)/('Inputs-Results'!$V$9-'Inputs-Results'!$X$9))^2+AM6^2)+SQRT((('Inputs-Results'!$Y$9-'Inputs-Results'!$W$9)*AM6/('Inputs-Results'!$Z$9-'Inputs-Results'!$X$9))^2+AM6^2))</f>
        <v>#DIV/0!</v>
      </c>
      <c r="AP6" s="19" t="e">
        <f t="shared" si="18"/>
        <v>#DIV/0!</v>
      </c>
      <c r="AQ6" s="19" t="e">
        <f>1.49/'Inputs-Results'!$AC11*AN6*AP6^(2/3)*'Inputs-Results'!$AD11^0.5</f>
        <v>#DIV/0!</v>
      </c>
      <c r="AR6" s="27" t="e">
        <f t="shared" si="19"/>
        <v>#DIV/0!</v>
      </c>
      <c r="AS6" s="26">
        <f t="shared" si="20"/>
        <v>0</v>
      </c>
      <c r="AT6" s="19" t="e">
        <f>IF(AS6&gt;'Inputs-Results'!$V11-'Inputs-Results'!$X11,(0.5*(ABS('Inputs-Results'!$S11-'Inputs-Results'!$U11)/('Inputs-Results'!$T11-'Inputs-Results'!$V11)*(AS6-('Inputs-Results'!$V11-'Inputs-Results'!$X11)))*(AS6-('Inputs-Results'!$V11-'Inputs-Results'!$X11))),0)+IF(AS6&gt;'Inputs-Results'!$V11-'Inputs-Results'!$X11,(0.5*((AS6+'Inputs-Results'!$X11-'Inputs-Results'!$V11)+AS6)*ABS('Inputs-Results'!$U11-'Inputs-Results'!$W11)),0.5*(ABS('Inputs-Results'!$U11-'Inputs-Results'!$W11)/('Inputs-Results'!$V11-'Inputs-Results'!$X11)*AS6)*AS6)+IF(AS6&gt;'Inputs-Results'!$Z11-'Inputs-Results'!$X11,(0.5*((AS6+'Inputs-Results'!$X11-'Inputs-Results'!$Z11)+AS6)*ABS('Inputs-Results'!$Y11-'Inputs-Results'!$W11)),0.5*(ABS('Inputs-Results'!$W11-'Inputs-Results'!$Y11)/('Inputs-Results'!$Z11-'Inputs-Results'!$X11)*AS6)*AS6)+IF(AS6&gt;'Inputs-Results'!$Z11-'Inputs-Results'!$X11,(0.5*(ABS('Inputs-Results'!$Y11-'Inputs-Results'!$AA11)/('Inputs-Results'!$AB11-'Inputs-Results'!$Z11)*(AS6-('Inputs-Results'!$Z11-'Inputs-Results'!$X11)))*(AS6-('Inputs-Results'!$Z11-'Inputs-Results'!$X11))),0)</f>
        <v>#DIV/0!</v>
      </c>
      <c r="AU6" s="19" t="e">
        <f>IF(AS6&gt;'Inputs-Results'!$V$9-'Inputs-Results'!$X$9,SQRT(('Inputs-Results'!$U$9-'Inputs-Results'!$W$9)^2+('Inputs-Results'!$V$9-'Inputs-Results'!$X$9)^2)+SQRT(('Inputs-Results'!$W$9-'Inputs-Results'!$Y$9)^2+('Inputs-Results'!$X$9-'Inputs-Results'!$Z$9)^2)+SQRT((('Inputs-Results'!$S$9-'Inputs-Results'!$U$9)*(AS6+'Inputs-Results'!$X$9-'Inputs-Results'!$V$9)/('Inputs-Results'!$T$9-'Inputs-Results'!$V$9))^2+(AS6+'Inputs-Results'!$X$9-'Inputs-Results'!$V$9)^2)+SQRT((('Inputs-Results'!$AA$9-'Inputs-Results'!$Y$9)*(AS6+'Inputs-Results'!$X$9-'Inputs-Results'!$Z$9)/('Inputs-Results'!$AB$9-'Inputs-Results'!$Z$9))^2+(AS6+'Inputs-Results'!$X$9-'Inputs-Results'!$Z$9)^2),SQRT((('Inputs-Results'!$U$9-'Inputs-Results'!$W$9)*(AS6)/('Inputs-Results'!$V$9-'Inputs-Results'!$X$9))^2+AS6^2)+SQRT((('Inputs-Results'!$Y$9-'Inputs-Results'!$W$9)*AS6/('Inputs-Results'!$Z$9-'Inputs-Results'!$X$9))^2+AS6^2))</f>
        <v>#DIV/0!</v>
      </c>
      <c r="AV6" s="19" t="e">
        <f t="shared" si="21"/>
        <v>#DIV/0!</v>
      </c>
      <c r="AW6" s="19" t="e">
        <f>1.49/'Inputs-Results'!$AC11*AT6*AV6^(2/3)*'Inputs-Results'!$AD11^0.5</f>
        <v>#DIV/0!</v>
      </c>
      <c r="AX6" s="27" t="e">
        <f t="shared" si="22"/>
        <v>#DIV/0!</v>
      </c>
      <c r="AY6" s="26">
        <f t="shared" si="23"/>
        <v>0</v>
      </c>
      <c r="AZ6" s="19" t="e">
        <f>IF(AY6&gt;'Inputs-Results'!$V11-'Inputs-Results'!$X11,(0.5*(ABS('Inputs-Results'!$S11-'Inputs-Results'!$U11)/('Inputs-Results'!$T11-'Inputs-Results'!$V11)*(AY6-('Inputs-Results'!$V11-'Inputs-Results'!$X11)))*(AY6-('Inputs-Results'!$V11-'Inputs-Results'!$X11))),0)+IF(AY6&gt;'Inputs-Results'!$V11-'Inputs-Results'!$X11,(0.5*((AY6+'Inputs-Results'!$X11-'Inputs-Results'!$V11)+AY6)*ABS('Inputs-Results'!$U11-'Inputs-Results'!$W11)),0.5*(ABS('Inputs-Results'!$U11-'Inputs-Results'!$W11)/('Inputs-Results'!$V11-'Inputs-Results'!$X11)*AY6)*AY6)+IF(AY6&gt;'Inputs-Results'!$Z11-'Inputs-Results'!$X11,(0.5*((AY6+'Inputs-Results'!$X11-'Inputs-Results'!$Z11)+AY6)*ABS('Inputs-Results'!$Y11-'Inputs-Results'!$W11)),0.5*(ABS('Inputs-Results'!$W11-'Inputs-Results'!$Y11)/('Inputs-Results'!$Z11-'Inputs-Results'!$X11)*AY6)*AY6)+IF(AY6&gt;'Inputs-Results'!$Z11-'Inputs-Results'!$X11,(0.5*(ABS('Inputs-Results'!$Y11-'Inputs-Results'!$AA11)/('Inputs-Results'!$AB11-'Inputs-Results'!$Z11)*(AY6-('Inputs-Results'!$Z11-'Inputs-Results'!$X11)))*(AY6-('Inputs-Results'!$Z11-'Inputs-Results'!$X11))),0)</f>
        <v>#DIV/0!</v>
      </c>
      <c r="BA6" s="19" t="e">
        <f>IF(AY6&gt;'Inputs-Results'!$V$9-'Inputs-Results'!$X$9,SQRT(('Inputs-Results'!$U$9-'Inputs-Results'!$W$9)^2+('Inputs-Results'!$V$9-'Inputs-Results'!$X$9)^2)+SQRT(('Inputs-Results'!$W$9-'Inputs-Results'!$Y$9)^2+('Inputs-Results'!$X$9-'Inputs-Results'!$Z$9)^2)+SQRT((('Inputs-Results'!$S$9-'Inputs-Results'!$U$9)*(AY6+'Inputs-Results'!$X$9-'Inputs-Results'!$V$9)/('Inputs-Results'!$T$9-'Inputs-Results'!$V$9))^2+(AY6+'Inputs-Results'!$X$9-'Inputs-Results'!$V$9)^2)+SQRT((('Inputs-Results'!$AA$9-'Inputs-Results'!$Y$9)*(AY6+'Inputs-Results'!$X$9-'Inputs-Results'!$Z$9)/('Inputs-Results'!$AB$9-'Inputs-Results'!$Z$9))^2+(AY6+'Inputs-Results'!$X$9-'Inputs-Results'!$Z$9)^2),SQRT((('Inputs-Results'!$U$9-'Inputs-Results'!$W$9)*(AY6)/('Inputs-Results'!$V$9-'Inputs-Results'!$X$9))^2+AY6^2)+SQRT((('Inputs-Results'!$Y$9-'Inputs-Results'!$W$9)*AY6/('Inputs-Results'!$Z$9-'Inputs-Results'!$X$9))^2+AY6^2))</f>
        <v>#DIV/0!</v>
      </c>
      <c r="BB6" s="19" t="e">
        <f t="shared" si="24"/>
        <v>#DIV/0!</v>
      </c>
      <c r="BC6" s="19" t="e">
        <f>1.49/'Inputs-Results'!$AC11*AZ6*BB6^(2/3)*'Inputs-Results'!$AD11^0.5</f>
        <v>#DIV/0!</v>
      </c>
      <c r="BD6" s="27" t="e">
        <f t="shared" si="25"/>
        <v>#DIV/0!</v>
      </c>
      <c r="BE6" s="26">
        <f t="shared" si="26"/>
        <v>0</v>
      </c>
      <c r="BF6" s="19" t="e">
        <f>IF(BE6&gt;'Inputs-Results'!$V11-'Inputs-Results'!$X11,(0.5*(ABS('Inputs-Results'!$S11-'Inputs-Results'!$U11)/('Inputs-Results'!$T11-'Inputs-Results'!$V11)*(BE6-('Inputs-Results'!$V11-'Inputs-Results'!$X11)))*(BE6-('Inputs-Results'!$V11-'Inputs-Results'!$X11))),0)+IF(BE6&gt;'Inputs-Results'!$V11-'Inputs-Results'!$X11,(0.5*((BE6+'Inputs-Results'!$X11-'Inputs-Results'!$V11)+BE6)*ABS('Inputs-Results'!$U11-'Inputs-Results'!$W11)),0.5*(ABS('Inputs-Results'!$U11-'Inputs-Results'!$W11)/('Inputs-Results'!$V11-'Inputs-Results'!$X11)*BE6)*BE6)+IF(BE6&gt;'Inputs-Results'!$Z11-'Inputs-Results'!$X11,(0.5*((BE6+'Inputs-Results'!$X11-'Inputs-Results'!$Z11)+BE6)*ABS('Inputs-Results'!$Y11-'Inputs-Results'!$W11)),0.5*(ABS('Inputs-Results'!$W11-'Inputs-Results'!$Y11)/('Inputs-Results'!$Z11-'Inputs-Results'!$X11)*BE6)*BE6)+IF(BE6&gt;'Inputs-Results'!$Z11-'Inputs-Results'!$X11,(0.5*(ABS('Inputs-Results'!$Y11-'Inputs-Results'!$AA11)/('Inputs-Results'!$AB11-'Inputs-Results'!$Z11)*(BE6-('Inputs-Results'!$Z11-'Inputs-Results'!$X11)))*(BE6-('Inputs-Results'!$Z11-'Inputs-Results'!$X11))),0)</f>
        <v>#DIV/0!</v>
      </c>
      <c r="BG6" s="19" t="e">
        <f>IF(BE6&gt;'Inputs-Results'!$V$9-'Inputs-Results'!$X$9,SQRT(('Inputs-Results'!$U$9-'Inputs-Results'!$W$9)^2+('Inputs-Results'!$V$9-'Inputs-Results'!$X$9)^2)+SQRT(('Inputs-Results'!$W$9-'Inputs-Results'!$Y$9)^2+('Inputs-Results'!$X$9-'Inputs-Results'!$Z$9)^2)+SQRT((('Inputs-Results'!$S$9-'Inputs-Results'!$U$9)*(BE6+'Inputs-Results'!$X$9-'Inputs-Results'!$V$9)/('Inputs-Results'!$T$9-'Inputs-Results'!$V$9))^2+(BE6+'Inputs-Results'!$X$9-'Inputs-Results'!$V$9)^2)+SQRT((('Inputs-Results'!$AA$9-'Inputs-Results'!$Y$9)*(BE6+'Inputs-Results'!$X$9-'Inputs-Results'!$Z$9)/('Inputs-Results'!$AB$9-'Inputs-Results'!$Z$9))^2+(BE6+'Inputs-Results'!$X$9-'Inputs-Results'!$Z$9)^2),SQRT((('Inputs-Results'!$U$9-'Inputs-Results'!$W$9)*(BE6)/('Inputs-Results'!$V$9-'Inputs-Results'!$X$9))^2+BE6^2)+SQRT((('Inputs-Results'!$Y$9-'Inputs-Results'!$W$9)*BE6/('Inputs-Results'!$Z$9-'Inputs-Results'!$X$9))^2+BE6^2))</f>
        <v>#DIV/0!</v>
      </c>
      <c r="BH6" s="19" t="e">
        <f t="shared" si="27"/>
        <v>#DIV/0!</v>
      </c>
      <c r="BI6" s="19" t="e">
        <f>1.49/'Inputs-Results'!$AC11*BF6*BH6^(2/3)*'Inputs-Results'!$AD11^0.5</f>
        <v>#DIV/0!</v>
      </c>
      <c r="BJ6" s="27" t="e">
        <f t="shared" si="28"/>
        <v>#DIV/0!</v>
      </c>
    </row>
    <row r="7" spans="1:62" x14ac:dyDescent="0.25">
      <c r="A7" s="2">
        <v>0</v>
      </c>
      <c r="B7" s="17"/>
      <c r="C7" s="26">
        <f>MIN('Inputs-Results'!T12-'Inputs-Results'!X12,'Inputs-Results'!AB12-'Inputs-Results'!X12)</f>
        <v>0</v>
      </c>
      <c r="D7" s="19" t="e">
        <f>IF(C7&gt;'Inputs-Results'!$V12-'Inputs-Results'!$X12,(0.5*(ABS('Inputs-Results'!$S12-'Inputs-Results'!$U12)/('Inputs-Results'!$T12-'Inputs-Results'!$V12)*(C7-('Inputs-Results'!$V12-'Inputs-Results'!$X12)))*(C7-('Inputs-Results'!$V12-'Inputs-Results'!$X12))),0)+IF(C7&gt;'Inputs-Results'!$V12-'Inputs-Results'!$X12,(0.5*((C7+'Inputs-Results'!$X12-'Inputs-Results'!$V12)+C7)*ABS('Inputs-Results'!$U12-'Inputs-Results'!$W12)),0.5*(ABS('Inputs-Results'!$U12-'Inputs-Results'!$W12)/('Inputs-Results'!$V12-'Inputs-Results'!$X12)*C7)*C7)+IF(C7&gt;'Inputs-Results'!$Z12-'Inputs-Results'!$X12,(0.5*((C7+'Inputs-Results'!$X12-'Inputs-Results'!$Z12)+C7)*ABS('Inputs-Results'!$Y12-'Inputs-Results'!$W12)),0.5*(ABS('Inputs-Results'!$W12-'Inputs-Results'!$Y12)/('Inputs-Results'!$Z12-'Inputs-Results'!$X12)*C7)*C7)+IF(C7&gt;'Inputs-Results'!$Z12-'Inputs-Results'!$X12,(0.5*(ABS('Inputs-Results'!$Y12-'Inputs-Results'!$AA12)/('Inputs-Results'!$AB12-'Inputs-Results'!$Z12)*(C7-('Inputs-Results'!$Z12-'Inputs-Results'!$X12)))*(C7-('Inputs-Results'!$Z12-'Inputs-Results'!$X12))),0)</f>
        <v>#DIV/0!</v>
      </c>
      <c r="E7" s="19" t="e">
        <f>IF(C7&gt;'Inputs-Results'!$V$9-'Inputs-Results'!$X$9,SQRT(('Inputs-Results'!$U$9-'Inputs-Results'!$W$9)^2+('Inputs-Results'!$V$9-'Inputs-Results'!$X$9)^2)+SQRT(('Inputs-Results'!$W$9-'Inputs-Results'!$Y$9)^2+('Inputs-Results'!$X$9-'Inputs-Results'!$Z$9)^2)+SQRT((('Inputs-Results'!$S$9-'Inputs-Results'!$U$9)*(C7+'Inputs-Results'!$X$9-'Inputs-Results'!$V$9)/('Inputs-Results'!$T$9-'Inputs-Results'!$V$9))^2+(C7+'Inputs-Results'!$X$9-'Inputs-Results'!$V$9)^2)+SQRT((('Inputs-Results'!$AA$9-'Inputs-Results'!$Y$9)*(C7+'Inputs-Results'!$X$9-'Inputs-Results'!$Z$9)/('Inputs-Results'!$AB$9-'Inputs-Results'!$Z$9))^2+(C7+'Inputs-Results'!$X$9-'Inputs-Results'!$Z$9)^2),SQRT((('Inputs-Results'!$U$9-'Inputs-Results'!$W$9)*(C7)/('Inputs-Results'!$V$9-'Inputs-Results'!$X$9))^2+C7^2)+SQRT((('Inputs-Results'!$Y$9-'Inputs-Results'!$W$9)*C7/('Inputs-Results'!$Z$9-'Inputs-Results'!$X$9))^2+C7^2))</f>
        <v>#DIV/0!</v>
      </c>
      <c r="F7" s="19" t="e">
        <f t="shared" si="0"/>
        <v>#DIV/0!</v>
      </c>
      <c r="G7" s="19" t="e">
        <f>1.49/'Inputs-Results'!AC12*D7*F7^(2/3)*'Inputs-Results'!AD12^0.5</f>
        <v>#DIV/0!</v>
      </c>
      <c r="H7" s="27" t="e">
        <f t="shared" si="1"/>
        <v>#DIV/0!</v>
      </c>
      <c r="I7" s="26">
        <f t="shared" si="2"/>
        <v>0</v>
      </c>
      <c r="J7" s="19" t="e">
        <f>IF(I7&gt;'Inputs-Results'!$V12-'Inputs-Results'!$X12,(0.5*(ABS('Inputs-Results'!$S12-'Inputs-Results'!$U12)/('Inputs-Results'!$T12-'Inputs-Results'!$V12)*(I7-('Inputs-Results'!$V12-'Inputs-Results'!$X12)))*(I7-('Inputs-Results'!$V12-'Inputs-Results'!$X12))),0)+IF(I7&gt;'Inputs-Results'!$V12-'Inputs-Results'!$X12,(0.5*((I7+'Inputs-Results'!$X12-'Inputs-Results'!$V12)+I7)*ABS('Inputs-Results'!$U12-'Inputs-Results'!$W12)),0.5*(ABS('Inputs-Results'!$U12-'Inputs-Results'!$W12)/('Inputs-Results'!$V12-'Inputs-Results'!$X12)*I7)*I7)+IF(I7&gt;'Inputs-Results'!$Z12-'Inputs-Results'!$X12,(0.5*((I7+'Inputs-Results'!$X12-'Inputs-Results'!$Z12)+I7)*ABS('Inputs-Results'!$Y12-'Inputs-Results'!$W12)),0.5*(ABS('Inputs-Results'!$W12-'Inputs-Results'!$Y12)/('Inputs-Results'!$Z12-'Inputs-Results'!$X12)*I7)*I7)+IF(I7&gt;'Inputs-Results'!$Z12-'Inputs-Results'!$X12,(0.5*(ABS('Inputs-Results'!$Y12-'Inputs-Results'!$AA12)/('Inputs-Results'!$AB12-'Inputs-Results'!$Z12)*(I7-('Inputs-Results'!$Z12-'Inputs-Results'!$X12)))*(I7-('Inputs-Results'!$Z12-'Inputs-Results'!$X12))),0)</f>
        <v>#DIV/0!</v>
      </c>
      <c r="K7" s="19" t="e">
        <f>IF(I7&gt;'Inputs-Results'!$V$9-'Inputs-Results'!$X$9,SQRT(('Inputs-Results'!$U$9-'Inputs-Results'!$W$9)^2+('Inputs-Results'!$V$9-'Inputs-Results'!$X$9)^2)+SQRT(('Inputs-Results'!$W$9-'Inputs-Results'!$Y$9)^2+('Inputs-Results'!$X$9-'Inputs-Results'!$Z$9)^2)+SQRT((('Inputs-Results'!$S$9-'Inputs-Results'!$U$9)*(I7+'Inputs-Results'!$X$9-'Inputs-Results'!$V$9)/('Inputs-Results'!$T$9-'Inputs-Results'!$V$9))^2+(I7+'Inputs-Results'!$X$9-'Inputs-Results'!$V$9)^2)+SQRT((('Inputs-Results'!$AA$9-'Inputs-Results'!$Y$9)*(I7+'Inputs-Results'!$X$9-'Inputs-Results'!$Z$9)/('Inputs-Results'!$AB$9-'Inputs-Results'!$Z$9))^2+(I7+'Inputs-Results'!$X$9-'Inputs-Results'!$Z$9)^2),SQRT((('Inputs-Results'!$U$9-'Inputs-Results'!$W$9)*(I7)/('Inputs-Results'!$V$9-'Inputs-Results'!$X$9))^2+I7^2)+SQRT((('Inputs-Results'!$Y$9-'Inputs-Results'!$W$9)*I7/('Inputs-Results'!$Z$9-'Inputs-Results'!$X$9))^2+I7^2))</f>
        <v>#DIV/0!</v>
      </c>
      <c r="L7" s="19" t="e">
        <f t="shared" si="3"/>
        <v>#DIV/0!</v>
      </c>
      <c r="M7" s="19" t="e">
        <f>1.49/'Inputs-Results'!$AC12*J7*L7^(2/3)*'Inputs-Results'!$AD12^0.5</f>
        <v>#DIV/0!</v>
      </c>
      <c r="N7" s="27" t="e">
        <f t="shared" si="4"/>
        <v>#DIV/0!</v>
      </c>
      <c r="O7" s="26">
        <f t="shared" si="5"/>
        <v>0</v>
      </c>
      <c r="P7" s="19" t="e">
        <f>IF(O7&gt;'Inputs-Results'!$V12-'Inputs-Results'!$X12,(0.5*(ABS('Inputs-Results'!$S12-'Inputs-Results'!$U12)/('Inputs-Results'!$T12-'Inputs-Results'!$V12)*(O7-('Inputs-Results'!$V12-'Inputs-Results'!$X12)))*(O7-('Inputs-Results'!$V12-'Inputs-Results'!$X12))),0)+IF(O7&gt;'Inputs-Results'!$V12-'Inputs-Results'!$X12,(0.5*((O7+'Inputs-Results'!$X12-'Inputs-Results'!$V12)+O7)*ABS('Inputs-Results'!$U12-'Inputs-Results'!$W12)),0.5*(ABS('Inputs-Results'!$U12-'Inputs-Results'!$W12)/('Inputs-Results'!$V12-'Inputs-Results'!$X12)*O7)*O7)+IF(O7&gt;'Inputs-Results'!$Z12-'Inputs-Results'!$X12,(0.5*((O7+'Inputs-Results'!$X12-'Inputs-Results'!$Z12)+O7)*ABS('Inputs-Results'!$Y12-'Inputs-Results'!$W12)),0.5*(ABS('Inputs-Results'!$W12-'Inputs-Results'!$Y12)/('Inputs-Results'!$Z12-'Inputs-Results'!$X12)*O7)*O7)+IF(O7&gt;'Inputs-Results'!$Z12-'Inputs-Results'!$X12,(0.5*(ABS('Inputs-Results'!$Y12-'Inputs-Results'!$AA12)/('Inputs-Results'!$AB12-'Inputs-Results'!$Z12)*(O7-('Inputs-Results'!$Z12-'Inputs-Results'!$X12)))*(O7-('Inputs-Results'!$Z12-'Inputs-Results'!$X12))),0)</f>
        <v>#DIV/0!</v>
      </c>
      <c r="Q7" s="19" t="e">
        <f>IF(O7&gt;'Inputs-Results'!$V$9-'Inputs-Results'!$X$9,SQRT(('Inputs-Results'!$U$9-'Inputs-Results'!$W$9)^2+('Inputs-Results'!$V$9-'Inputs-Results'!$X$9)^2)+SQRT(('Inputs-Results'!$W$9-'Inputs-Results'!$Y$9)^2+('Inputs-Results'!$X$9-'Inputs-Results'!$Z$9)^2)+SQRT((('Inputs-Results'!$S$9-'Inputs-Results'!$U$9)*(O7+'Inputs-Results'!$X$9-'Inputs-Results'!$V$9)/('Inputs-Results'!$T$9-'Inputs-Results'!$V$9))^2+(O7+'Inputs-Results'!$X$9-'Inputs-Results'!$V$9)^2)+SQRT((('Inputs-Results'!$AA$9-'Inputs-Results'!$Y$9)*(O7+'Inputs-Results'!$X$9-'Inputs-Results'!$Z$9)/('Inputs-Results'!$AB$9-'Inputs-Results'!$Z$9))^2+(O7+'Inputs-Results'!$X$9-'Inputs-Results'!$Z$9)^2),SQRT((('Inputs-Results'!$U$9-'Inputs-Results'!$W$9)*(O7)/('Inputs-Results'!$V$9-'Inputs-Results'!$X$9))^2+O7^2)+SQRT((('Inputs-Results'!$Y$9-'Inputs-Results'!$W$9)*O7/('Inputs-Results'!$Z$9-'Inputs-Results'!$X$9))^2+O7^2))</f>
        <v>#DIV/0!</v>
      </c>
      <c r="R7" s="19" t="e">
        <f t="shared" si="6"/>
        <v>#DIV/0!</v>
      </c>
      <c r="S7" s="19" t="e">
        <f>1.49/'Inputs-Results'!$AC12*P7*R7^(2/3)*'Inputs-Results'!$AD12^0.5</f>
        <v>#DIV/0!</v>
      </c>
      <c r="T7" s="27" t="e">
        <f t="shared" si="7"/>
        <v>#DIV/0!</v>
      </c>
      <c r="U7" s="26">
        <f t="shared" si="8"/>
        <v>0</v>
      </c>
      <c r="V7" s="19" t="e">
        <f>IF(U7&gt;'Inputs-Results'!$V12-'Inputs-Results'!$X12,(0.5*(ABS('Inputs-Results'!$S12-'Inputs-Results'!$U12)/('Inputs-Results'!$T12-'Inputs-Results'!$V12)*(U7-('Inputs-Results'!$V12-'Inputs-Results'!$X12)))*(U7-('Inputs-Results'!$V12-'Inputs-Results'!$X12))),0)+IF(U7&gt;'Inputs-Results'!$V12-'Inputs-Results'!$X12,(0.5*((U7+'Inputs-Results'!$X12-'Inputs-Results'!$V12)+U7)*ABS('Inputs-Results'!$U12-'Inputs-Results'!$W12)),0.5*(ABS('Inputs-Results'!$U12-'Inputs-Results'!$W12)/('Inputs-Results'!$V12-'Inputs-Results'!$X12)*U7)*U7)+IF(U7&gt;'Inputs-Results'!$Z12-'Inputs-Results'!$X12,(0.5*((U7+'Inputs-Results'!$X12-'Inputs-Results'!$Z12)+U7)*ABS('Inputs-Results'!$Y12-'Inputs-Results'!$W12)),0.5*(ABS('Inputs-Results'!$W12-'Inputs-Results'!$Y12)/('Inputs-Results'!$Z12-'Inputs-Results'!$X12)*U7)*U7)+IF(U7&gt;'Inputs-Results'!$Z12-'Inputs-Results'!$X12,(0.5*(ABS('Inputs-Results'!$Y12-'Inputs-Results'!$AA12)/('Inputs-Results'!$AB12-'Inputs-Results'!$Z12)*(U7-('Inputs-Results'!$Z12-'Inputs-Results'!$X12)))*(U7-('Inputs-Results'!$Z12-'Inputs-Results'!$X12))),0)</f>
        <v>#DIV/0!</v>
      </c>
      <c r="W7" s="19" t="e">
        <f>IF(U7&gt;'Inputs-Results'!$V$9-'Inputs-Results'!$X$9,SQRT(('Inputs-Results'!$U$9-'Inputs-Results'!$W$9)^2+('Inputs-Results'!$V$9-'Inputs-Results'!$X$9)^2)+SQRT(('Inputs-Results'!$W$9-'Inputs-Results'!$Y$9)^2+('Inputs-Results'!$X$9-'Inputs-Results'!$Z$9)^2)+SQRT((('Inputs-Results'!$S$9-'Inputs-Results'!$U$9)*(U7+'Inputs-Results'!$X$9-'Inputs-Results'!$V$9)/('Inputs-Results'!$T$9-'Inputs-Results'!$V$9))^2+(U7+'Inputs-Results'!$X$9-'Inputs-Results'!$V$9)^2)+SQRT((('Inputs-Results'!$AA$9-'Inputs-Results'!$Y$9)*(U7+'Inputs-Results'!$X$9-'Inputs-Results'!$Z$9)/('Inputs-Results'!$AB$9-'Inputs-Results'!$Z$9))^2+(U7+'Inputs-Results'!$X$9-'Inputs-Results'!$Z$9)^2),SQRT((('Inputs-Results'!$U$9-'Inputs-Results'!$W$9)*(U7)/('Inputs-Results'!$V$9-'Inputs-Results'!$X$9))^2+U7^2)+SQRT((('Inputs-Results'!$Y$9-'Inputs-Results'!$W$9)*U7/('Inputs-Results'!$Z$9-'Inputs-Results'!$X$9))^2+U7^2))</f>
        <v>#DIV/0!</v>
      </c>
      <c r="X7" s="19" t="e">
        <f t="shared" si="9"/>
        <v>#DIV/0!</v>
      </c>
      <c r="Y7" s="19" t="e">
        <f>1.49/'Inputs-Results'!$AC12*V7*X7^(2/3)*'Inputs-Results'!$AD12^0.5</f>
        <v>#DIV/0!</v>
      </c>
      <c r="Z7" s="27" t="e">
        <f t="shared" si="10"/>
        <v>#DIV/0!</v>
      </c>
      <c r="AA7" s="26">
        <f t="shared" si="11"/>
        <v>0</v>
      </c>
      <c r="AB7" s="19" t="e">
        <f>IF(AA7&gt;'Inputs-Results'!$V12-'Inputs-Results'!$X12,(0.5*(ABS('Inputs-Results'!$S12-'Inputs-Results'!$U12)/('Inputs-Results'!$T12-'Inputs-Results'!$V12)*(AA7-('Inputs-Results'!$V12-'Inputs-Results'!$X12)))*(AA7-('Inputs-Results'!$V12-'Inputs-Results'!$X12))),0)+IF(AA7&gt;'Inputs-Results'!$V12-'Inputs-Results'!$X12,(0.5*((AA7+'Inputs-Results'!$X12-'Inputs-Results'!$V12)+AA7)*ABS('Inputs-Results'!$U12-'Inputs-Results'!$W12)),0.5*(ABS('Inputs-Results'!$U12-'Inputs-Results'!$W12)/('Inputs-Results'!$V12-'Inputs-Results'!$X12)*AA7)*AA7)+IF(AA7&gt;'Inputs-Results'!$Z12-'Inputs-Results'!$X12,(0.5*((AA7+'Inputs-Results'!$X12-'Inputs-Results'!$Z12)+AA7)*ABS('Inputs-Results'!$Y12-'Inputs-Results'!$W12)),0.5*(ABS('Inputs-Results'!$W12-'Inputs-Results'!$Y12)/('Inputs-Results'!$Z12-'Inputs-Results'!$X12)*AA7)*AA7)+IF(AA7&gt;'Inputs-Results'!$Z12-'Inputs-Results'!$X12,(0.5*(ABS('Inputs-Results'!$Y12-'Inputs-Results'!$AA12)/('Inputs-Results'!$AB12-'Inputs-Results'!$Z12)*(AA7-('Inputs-Results'!$Z12-'Inputs-Results'!$X12)))*(AA7-('Inputs-Results'!$Z12-'Inputs-Results'!$X12))),0)</f>
        <v>#DIV/0!</v>
      </c>
      <c r="AC7" s="19" t="e">
        <f>IF(AA7&gt;'Inputs-Results'!$V$9-'Inputs-Results'!$X$9,SQRT(('Inputs-Results'!$U$9-'Inputs-Results'!$W$9)^2+('Inputs-Results'!$V$9-'Inputs-Results'!$X$9)^2)+SQRT(('Inputs-Results'!$W$9-'Inputs-Results'!$Y$9)^2+('Inputs-Results'!$X$9-'Inputs-Results'!$Z$9)^2)+SQRT((('Inputs-Results'!$S$9-'Inputs-Results'!$U$9)*(AA7+'Inputs-Results'!$X$9-'Inputs-Results'!$V$9)/('Inputs-Results'!$T$9-'Inputs-Results'!$V$9))^2+(AA7+'Inputs-Results'!$X$9-'Inputs-Results'!$V$9)^2)+SQRT((('Inputs-Results'!$AA$9-'Inputs-Results'!$Y$9)*(AA7+'Inputs-Results'!$X$9-'Inputs-Results'!$Z$9)/('Inputs-Results'!$AB$9-'Inputs-Results'!$Z$9))^2+(AA7+'Inputs-Results'!$X$9-'Inputs-Results'!$Z$9)^2),SQRT((('Inputs-Results'!$U$9-'Inputs-Results'!$W$9)*(AA7)/('Inputs-Results'!$V$9-'Inputs-Results'!$X$9))^2+AA7^2)+SQRT((('Inputs-Results'!$Y$9-'Inputs-Results'!$W$9)*AA7/('Inputs-Results'!$Z$9-'Inputs-Results'!$X$9))^2+AA7^2))</f>
        <v>#DIV/0!</v>
      </c>
      <c r="AD7" s="19" t="e">
        <f t="shared" si="12"/>
        <v>#DIV/0!</v>
      </c>
      <c r="AE7" s="19" t="e">
        <f>1.49/'Inputs-Results'!$AC12*AB7*AD7^(2/3)*'Inputs-Results'!$AD12^0.5</f>
        <v>#DIV/0!</v>
      </c>
      <c r="AF7" s="27" t="e">
        <f t="shared" si="13"/>
        <v>#DIV/0!</v>
      </c>
      <c r="AG7" s="26">
        <f t="shared" si="14"/>
        <v>0</v>
      </c>
      <c r="AH7" s="19" t="e">
        <f>IF(AG7&gt;'Inputs-Results'!$V12-'Inputs-Results'!$X12,(0.5*(ABS('Inputs-Results'!$S12-'Inputs-Results'!$U12)/('Inputs-Results'!$T12-'Inputs-Results'!$V12)*(AG7-('Inputs-Results'!$V12-'Inputs-Results'!$X12)))*(AG7-('Inputs-Results'!$V12-'Inputs-Results'!$X12))),0)+IF(AG7&gt;'Inputs-Results'!$V12-'Inputs-Results'!$X12,(0.5*((AG7+'Inputs-Results'!$X12-'Inputs-Results'!$V12)+AG7)*ABS('Inputs-Results'!$U12-'Inputs-Results'!$W12)),0.5*(ABS('Inputs-Results'!$U12-'Inputs-Results'!$W12)/('Inputs-Results'!$V12-'Inputs-Results'!$X12)*AG7)*AG7)+IF(AG7&gt;'Inputs-Results'!$Z12-'Inputs-Results'!$X12,(0.5*((AG7+'Inputs-Results'!$X12-'Inputs-Results'!$Z12)+AG7)*ABS('Inputs-Results'!$Y12-'Inputs-Results'!$W12)),0.5*(ABS('Inputs-Results'!$W12-'Inputs-Results'!$Y12)/('Inputs-Results'!$Z12-'Inputs-Results'!$X12)*AG7)*AG7)+IF(AG7&gt;'Inputs-Results'!$Z12-'Inputs-Results'!$X12,(0.5*(ABS('Inputs-Results'!$Y12-'Inputs-Results'!$AA12)/('Inputs-Results'!$AB12-'Inputs-Results'!$Z12)*(AG7-('Inputs-Results'!$Z12-'Inputs-Results'!$X12)))*(AG7-('Inputs-Results'!$Z12-'Inputs-Results'!$X12))),0)</f>
        <v>#DIV/0!</v>
      </c>
      <c r="AI7" s="19" t="e">
        <f>IF(AG7&gt;'Inputs-Results'!$V$9-'Inputs-Results'!$X$9,SQRT(('Inputs-Results'!$U$9-'Inputs-Results'!$W$9)^2+('Inputs-Results'!$V$9-'Inputs-Results'!$X$9)^2)+SQRT(('Inputs-Results'!$W$9-'Inputs-Results'!$Y$9)^2+('Inputs-Results'!$X$9-'Inputs-Results'!$Z$9)^2)+SQRT((('Inputs-Results'!$S$9-'Inputs-Results'!$U$9)*(AG7+'Inputs-Results'!$X$9-'Inputs-Results'!$V$9)/('Inputs-Results'!$T$9-'Inputs-Results'!$V$9))^2+(AG7+'Inputs-Results'!$X$9-'Inputs-Results'!$V$9)^2)+SQRT((('Inputs-Results'!$AA$9-'Inputs-Results'!$Y$9)*(AG7+'Inputs-Results'!$X$9-'Inputs-Results'!$Z$9)/('Inputs-Results'!$AB$9-'Inputs-Results'!$Z$9))^2+(AG7+'Inputs-Results'!$X$9-'Inputs-Results'!$Z$9)^2),SQRT((('Inputs-Results'!$U$9-'Inputs-Results'!$W$9)*(AG7)/('Inputs-Results'!$V$9-'Inputs-Results'!$X$9))^2+AG7^2)+SQRT((('Inputs-Results'!$Y$9-'Inputs-Results'!$W$9)*AG7/('Inputs-Results'!$Z$9-'Inputs-Results'!$X$9))^2+AG7^2))</f>
        <v>#DIV/0!</v>
      </c>
      <c r="AJ7" s="19" t="e">
        <f t="shared" si="15"/>
        <v>#DIV/0!</v>
      </c>
      <c r="AK7" s="19" t="e">
        <f>1.49/'Inputs-Results'!$AC12*AH7*AJ7^(2/3)*'Inputs-Results'!$AD12^0.5</f>
        <v>#DIV/0!</v>
      </c>
      <c r="AL7" s="27" t="e">
        <f t="shared" si="16"/>
        <v>#DIV/0!</v>
      </c>
      <c r="AM7" s="26">
        <f t="shared" si="17"/>
        <v>0</v>
      </c>
      <c r="AN7" s="19" t="e">
        <f>IF(AM7&gt;'Inputs-Results'!$V12-'Inputs-Results'!$X12,(0.5*(ABS('Inputs-Results'!$S12-'Inputs-Results'!$U12)/('Inputs-Results'!$T12-'Inputs-Results'!$V12)*(AM7-('Inputs-Results'!$V12-'Inputs-Results'!$X12)))*(AM7-('Inputs-Results'!$V12-'Inputs-Results'!$X12))),0)+IF(AM7&gt;'Inputs-Results'!$V12-'Inputs-Results'!$X12,(0.5*((AM7+'Inputs-Results'!$X12-'Inputs-Results'!$V12)+AM7)*ABS('Inputs-Results'!$U12-'Inputs-Results'!$W12)),0.5*(ABS('Inputs-Results'!$U12-'Inputs-Results'!$W12)/('Inputs-Results'!$V12-'Inputs-Results'!$X12)*AM7)*AM7)+IF(AM7&gt;'Inputs-Results'!$Z12-'Inputs-Results'!$X12,(0.5*((AM7+'Inputs-Results'!$X12-'Inputs-Results'!$Z12)+AM7)*ABS('Inputs-Results'!$Y12-'Inputs-Results'!$W12)),0.5*(ABS('Inputs-Results'!$W12-'Inputs-Results'!$Y12)/('Inputs-Results'!$Z12-'Inputs-Results'!$X12)*AM7)*AM7)+IF(AM7&gt;'Inputs-Results'!$Z12-'Inputs-Results'!$X12,(0.5*(ABS('Inputs-Results'!$Y12-'Inputs-Results'!$AA12)/('Inputs-Results'!$AB12-'Inputs-Results'!$Z12)*(AM7-('Inputs-Results'!$Z12-'Inputs-Results'!$X12)))*(AM7-('Inputs-Results'!$Z12-'Inputs-Results'!$X12))),0)</f>
        <v>#DIV/0!</v>
      </c>
      <c r="AO7" s="19" t="e">
        <f>IF(AM7&gt;'Inputs-Results'!$V$9-'Inputs-Results'!$X$9,SQRT(('Inputs-Results'!$U$9-'Inputs-Results'!$W$9)^2+('Inputs-Results'!$V$9-'Inputs-Results'!$X$9)^2)+SQRT(('Inputs-Results'!$W$9-'Inputs-Results'!$Y$9)^2+('Inputs-Results'!$X$9-'Inputs-Results'!$Z$9)^2)+SQRT((('Inputs-Results'!$S$9-'Inputs-Results'!$U$9)*(AM7+'Inputs-Results'!$X$9-'Inputs-Results'!$V$9)/('Inputs-Results'!$T$9-'Inputs-Results'!$V$9))^2+(AM7+'Inputs-Results'!$X$9-'Inputs-Results'!$V$9)^2)+SQRT((('Inputs-Results'!$AA$9-'Inputs-Results'!$Y$9)*(AM7+'Inputs-Results'!$X$9-'Inputs-Results'!$Z$9)/('Inputs-Results'!$AB$9-'Inputs-Results'!$Z$9))^2+(AM7+'Inputs-Results'!$X$9-'Inputs-Results'!$Z$9)^2),SQRT((('Inputs-Results'!$U$9-'Inputs-Results'!$W$9)*(AM7)/('Inputs-Results'!$V$9-'Inputs-Results'!$X$9))^2+AM7^2)+SQRT((('Inputs-Results'!$Y$9-'Inputs-Results'!$W$9)*AM7/('Inputs-Results'!$Z$9-'Inputs-Results'!$X$9))^2+AM7^2))</f>
        <v>#DIV/0!</v>
      </c>
      <c r="AP7" s="19" t="e">
        <f t="shared" si="18"/>
        <v>#DIV/0!</v>
      </c>
      <c r="AQ7" s="19" t="e">
        <f>1.49/'Inputs-Results'!$AC12*AN7*AP7^(2/3)*'Inputs-Results'!$AD12^0.5</f>
        <v>#DIV/0!</v>
      </c>
      <c r="AR7" s="27" t="e">
        <f t="shared" si="19"/>
        <v>#DIV/0!</v>
      </c>
      <c r="AS7" s="26">
        <f t="shared" si="20"/>
        <v>0</v>
      </c>
      <c r="AT7" s="19" t="e">
        <f>IF(AS7&gt;'Inputs-Results'!$V12-'Inputs-Results'!$X12,(0.5*(ABS('Inputs-Results'!$S12-'Inputs-Results'!$U12)/('Inputs-Results'!$T12-'Inputs-Results'!$V12)*(AS7-('Inputs-Results'!$V12-'Inputs-Results'!$X12)))*(AS7-('Inputs-Results'!$V12-'Inputs-Results'!$X12))),0)+IF(AS7&gt;'Inputs-Results'!$V12-'Inputs-Results'!$X12,(0.5*((AS7+'Inputs-Results'!$X12-'Inputs-Results'!$V12)+AS7)*ABS('Inputs-Results'!$U12-'Inputs-Results'!$W12)),0.5*(ABS('Inputs-Results'!$U12-'Inputs-Results'!$W12)/('Inputs-Results'!$V12-'Inputs-Results'!$X12)*AS7)*AS7)+IF(AS7&gt;'Inputs-Results'!$Z12-'Inputs-Results'!$X12,(0.5*((AS7+'Inputs-Results'!$X12-'Inputs-Results'!$Z12)+AS7)*ABS('Inputs-Results'!$Y12-'Inputs-Results'!$W12)),0.5*(ABS('Inputs-Results'!$W12-'Inputs-Results'!$Y12)/('Inputs-Results'!$Z12-'Inputs-Results'!$X12)*AS7)*AS7)+IF(AS7&gt;'Inputs-Results'!$Z12-'Inputs-Results'!$X12,(0.5*(ABS('Inputs-Results'!$Y12-'Inputs-Results'!$AA12)/('Inputs-Results'!$AB12-'Inputs-Results'!$Z12)*(AS7-('Inputs-Results'!$Z12-'Inputs-Results'!$X12)))*(AS7-('Inputs-Results'!$Z12-'Inputs-Results'!$X12))),0)</f>
        <v>#DIV/0!</v>
      </c>
      <c r="AU7" s="19" t="e">
        <f>IF(AS7&gt;'Inputs-Results'!$V$9-'Inputs-Results'!$X$9,SQRT(('Inputs-Results'!$U$9-'Inputs-Results'!$W$9)^2+('Inputs-Results'!$V$9-'Inputs-Results'!$X$9)^2)+SQRT(('Inputs-Results'!$W$9-'Inputs-Results'!$Y$9)^2+('Inputs-Results'!$X$9-'Inputs-Results'!$Z$9)^2)+SQRT((('Inputs-Results'!$S$9-'Inputs-Results'!$U$9)*(AS7+'Inputs-Results'!$X$9-'Inputs-Results'!$V$9)/('Inputs-Results'!$T$9-'Inputs-Results'!$V$9))^2+(AS7+'Inputs-Results'!$X$9-'Inputs-Results'!$V$9)^2)+SQRT((('Inputs-Results'!$AA$9-'Inputs-Results'!$Y$9)*(AS7+'Inputs-Results'!$X$9-'Inputs-Results'!$Z$9)/('Inputs-Results'!$AB$9-'Inputs-Results'!$Z$9))^2+(AS7+'Inputs-Results'!$X$9-'Inputs-Results'!$Z$9)^2),SQRT((('Inputs-Results'!$U$9-'Inputs-Results'!$W$9)*(AS7)/('Inputs-Results'!$V$9-'Inputs-Results'!$X$9))^2+AS7^2)+SQRT((('Inputs-Results'!$Y$9-'Inputs-Results'!$W$9)*AS7/('Inputs-Results'!$Z$9-'Inputs-Results'!$X$9))^2+AS7^2))</f>
        <v>#DIV/0!</v>
      </c>
      <c r="AV7" s="19" t="e">
        <f t="shared" si="21"/>
        <v>#DIV/0!</v>
      </c>
      <c r="AW7" s="19" t="e">
        <f>1.49/'Inputs-Results'!$AC12*AT7*AV7^(2/3)*'Inputs-Results'!$AD12^0.5</f>
        <v>#DIV/0!</v>
      </c>
      <c r="AX7" s="27" t="e">
        <f t="shared" si="22"/>
        <v>#DIV/0!</v>
      </c>
      <c r="AY7" s="26">
        <f t="shared" si="23"/>
        <v>0</v>
      </c>
      <c r="AZ7" s="19" t="e">
        <f>IF(AY7&gt;'Inputs-Results'!$V12-'Inputs-Results'!$X12,(0.5*(ABS('Inputs-Results'!$S12-'Inputs-Results'!$U12)/('Inputs-Results'!$T12-'Inputs-Results'!$V12)*(AY7-('Inputs-Results'!$V12-'Inputs-Results'!$X12)))*(AY7-('Inputs-Results'!$V12-'Inputs-Results'!$X12))),0)+IF(AY7&gt;'Inputs-Results'!$V12-'Inputs-Results'!$X12,(0.5*((AY7+'Inputs-Results'!$X12-'Inputs-Results'!$V12)+AY7)*ABS('Inputs-Results'!$U12-'Inputs-Results'!$W12)),0.5*(ABS('Inputs-Results'!$U12-'Inputs-Results'!$W12)/('Inputs-Results'!$V12-'Inputs-Results'!$X12)*AY7)*AY7)+IF(AY7&gt;'Inputs-Results'!$Z12-'Inputs-Results'!$X12,(0.5*((AY7+'Inputs-Results'!$X12-'Inputs-Results'!$Z12)+AY7)*ABS('Inputs-Results'!$Y12-'Inputs-Results'!$W12)),0.5*(ABS('Inputs-Results'!$W12-'Inputs-Results'!$Y12)/('Inputs-Results'!$Z12-'Inputs-Results'!$X12)*AY7)*AY7)+IF(AY7&gt;'Inputs-Results'!$Z12-'Inputs-Results'!$X12,(0.5*(ABS('Inputs-Results'!$Y12-'Inputs-Results'!$AA12)/('Inputs-Results'!$AB12-'Inputs-Results'!$Z12)*(AY7-('Inputs-Results'!$Z12-'Inputs-Results'!$X12)))*(AY7-('Inputs-Results'!$Z12-'Inputs-Results'!$X12))),0)</f>
        <v>#DIV/0!</v>
      </c>
      <c r="BA7" s="19" t="e">
        <f>IF(AY7&gt;'Inputs-Results'!$V$9-'Inputs-Results'!$X$9,SQRT(('Inputs-Results'!$U$9-'Inputs-Results'!$W$9)^2+('Inputs-Results'!$V$9-'Inputs-Results'!$X$9)^2)+SQRT(('Inputs-Results'!$W$9-'Inputs-Results'!$Y$9)^2+('Inputs-Results'!$X$9-'Inputs-Results'!$Z$9)^2)+SQRT((('Inputs-Results'!$S$9-'Inputs-Results'!$U$9)*(AY7+'Inputs-Results'!$X$9-'Inputs-Results'!$V$9)/('Inputs-Results'!$T$9-'Inputs-Results'!$V$9))^2+(AY7+'Inputs-Results'!$X$9-'Inputs-Results'!$V$9)^2)+SQRT((('Inputs-Results'!$AA$9-'Inputs-Results'!$Y$9)*(AY7+'Inputs-Results'!$X$9-'Inputs-Results'!$Z$9)/('Inputs-Results'!$AB$9-'Inputs-Results'!$Z$9))^2+(AY7+'Inputs-Results'!$X$9-'Inputs-Results'!$Z$9)^2),SQRT((('Inputs-Results'!$U$9-'Inputs-Results'!$W$9)*(AY7)/('Inputs-Results'!$V$9-'Inputs-Results'!$X$9))^2+AY7^2)+SQRT((('Inputs-Results'!$Y$9-'Inputs-Results'!$W$9)*AY7/('Inputs-Results'!$Z$9-'Inputs-Results'!$X$9))^2+AY7^2))</f>
        <v>#DIV/0!</v>
      </c>
      <c r="BB7" s="19" t="e">
        <f t="shared" si="24"/>
        <v>#DIV/0!</v>
      </c>
      <c r="BC7" s="19" t="e">
        <f>1.49/'Inputs-Results'!$AC12*AZ7*BB7^(2/3)*'Inputs-Results'!$AD12^0.5</f>
        <v>#DIV/0!</v>
      </c>
      <c r="BD7" s="27" t="e">
        <f t="shared" si="25"/>
        <v>#DIV/0!</v>
      </c>
      <c r="BE7" s="26">
        <f t="shared" si="26"/>
        <v>0</v>
      </c>
      <c r="BF7" s="19" t="e">
        <f>IF(BE7&gt;'Inputs-Results'!$V12-'Inputs-Results'!$X12,(0.5*(ABS('Inputs-Results'!$S12-'Inputs-Results'!$U12)/('Inputs-Results'!$T12-'Inputs-Results'!$V12)*(BE7-('Inputs-Results'!$V12-'Inputs-Results'!$X12)))*(BE7-('Inputs-Results'!$V12-'Inputs-Results'!$X12))),0)+IF(BE7&gt;'Inputs-Results'!$V12-'Inputs-Results'!$X12,(0.5*((BE7+'Inputs-Results'!$X12-'Inputs-Results'!$V12)+BE7)*ABS('Inputs-Results'!$U12-'Inputs-Results'!$W12)),0.5*(ABS('Inputs-Results'!$U12-'Inputs-Results'!$W12)/('Inputs-Results'!$V12-'Inputs-Results'!$X12)*BE7)*BE7)+IF(BE7&gt;'Inputs-Results'!$Z12-'Inputs-Results'!$X12,(0.5*((BE7+'Inputs-Results'!$X12-'Inputs-Results'!$Z12)+BE7)*ABS('Inputs-Results'!$Y12-'Inputs-Results'!$W12)),0.5*(ABS('Inputs-Results'!$W12-'Inputs-Results'!$Y12)/('Inputs-Results'!$Z12-'Inputs-Results'!$X12)*BE7)*BE7)+IF(BE7&gt;'Inputs-Results'!$Z12-'Inputs-Results'!$X12,(0.5*(ABS('Inputs-Results'!$Y12-'Inputs-Results'!$AA12)/('Inputs-Results'!$AB12-'Inputs-Results'!$Z12)*(BE7-('Inputs-Results'!$Z12-'Inputs-Results'!$X12)))*(BE7-('Inputs-Results'!$Z12-'Inputs-Results'!$X12))),0)</f>
        <v>#DIV/0!</v>
      </c>
      <c r="BG7" s="19" t="e">
        <f>IF(BE7&gt;'Inputs-Results'!$V$9-'Inputs-Results'!$X$9,SQRT(('Inputs-Results'!$U$9-'Inputs-Results'!$W$9)^2+('Inputs-Results'!$V$9-'Inputs-Results'!$X$9)^2)+SQRT(('Inputs-Results'!$W$9-'Inputs-Results'!$Y$9)^2+('Inputs-Results'!$X$9-'Inputs-Results'!$Z$9)^2)+SQRT((('Inputs-Results'!$S$9-'Inputs-Results'!$U$9)*(BE7+'Inputs-Results'!$X$9-'Inputs-Results'!$V$9)/('Inputs-Results'!$T$9-'Inputs-Results'!$V$9))^2+(BE7+'Inputs-Results'!$X$9-'Inputs-Results'!$V$9)^2)+SQRT((('Inputs-Results'!$AA$9-'Inputs-Results'!$Y$9)*(BE7+'Inputs-Results'!$X$9-'Inputs-Results'!$Z$9)/('Inputs-Results'!$AB$9-'Inputs-Results'!$Z$9))^2+(BE7+'Inputs-Results'!$X$9-'Inputs-Results'!$Z$9)^2),SQRT((('Inputs-Results'!$U$9-'Inputs-Results'!$W$9)*(BE7)/('Inputs-Results'!$V$9-'Inputs-Results'!$X$9))^2+BE7^2)+SQRT((('Inputs-Results'!$Y$9-'Inputs-Results'!$W$9)*BE7/('Inputs-Results'!$Z$9-'Inputs-Results'!$X$9))^2+BE7^2))</f>
        <v>#DIV/0!</v>
      </c>
      <c r="BH7" s="19" t="e">
        <f t="shared" si="27"/>
        <v>#DIV/0!</v>
      </c>
      <c r="BI7" s="19" t="e">
        <f>1.49/'Inputs-Results'!$AC12*BF7*BH7^(2/3)*'Inputs-Results'!$AD12^0.5</f>
        <v>#DIV/0!</v>
      </c>
      <c r="BJ7" s="27" t="e">
        <f t="shared" si="28"/>
        <v>#DIV/0!</v>
      </c>
    </row>
    <row r="8" spans="1:62" x14ac:dyDescent="0.25">
      <c r="A8" s="2">
        <v>0</v>
      </c>
      <c r="B8" s="17"/>
      <c r="C8" s="26">
        <f>MIN('Inputs-Results'!T13-'Inputs-Results'!X13,'Inputs-Results'!AB13-'Inputs-Results'!X13)</f>
        <v>0</v>
      </c>
      <c r="D8" s="19" t="e">
        <f>IF(C8&gt;'Inputs-Results'!$V13-'Inputs-Results'!$X13,(0.5*(ABS('Inputs-Results'!$S13-'Inputs-Results'!$U13)/('Inputs-Results'!$T13-'Inputs-Results'!$V13)*(C8-('Inputs-Results'!$V13-'Inputs-Results'!$X13)))*(C8-('Inputs-Results'!$V13-'Inputs-Results'!$X13))),0)+IF(C8&gt;'Inputs-Results'!$V13-'Inputs-Results'!$X13,(0.5*((C8+'Inputs-Results'!$X13-'Inputs-Results'!$V13)+C8)*ABS('Inputs-Results'!$U13-'Inputs-Results'!$W13)),0.5*(ABS('Inputs-Results'!$U13-'Inputs-Results'!$W13)/('Inputs-Results'!$V13-'Inputs-Results'!$X13)*C8)*C8)+IF(C8&gt;'Inputs-Results'!$Z13-'Inputs-Results'!$X13,(0.5*((C8+'Inputs-Results'!$X13-'Inputs-Results'!$Z13)+C8)*ABS('Inputs-Results'!$Y13-'Inputs-Results'!$W13)),0.5*(ABS('Inputs-Results'!$W13-'Inputs-Results'!$Y13)/('Inputs-Results'!$Z13-'Inputs-Results'!$X13)*C8)*C8)+IF(C8&gt;'Inputs-Results'!$Z13-'Inputs-Results'!$X13,(0.5*(ABS('Inputs-Results'!$Y13-'Inputs-Results'!$AA13)/('Inputs-Results'!$AB13-'Inputs-Results'!$Z13)*(C8-('Inputs-Results'!$Z13-'Inputs-Results'!$X13)))*(C8-('Inputs-Results'!$Z13-'Inputs-Results'!$X13))),0)</f>
        <v>#DIV/0!</v>
      </c>
      <c r="E8" s="19" t="e">
        <f>IF(C8&gt;'Inputs-Results'!$V$9-'Inputs-Results'!$X$9,SQRT(('Inputs-Results'!$U$9-'Inputs-Results'!$W$9)^2+('Inputs-Results'!$V$9-'Inputs-Results'!$X$9)^2)+SQRT(('Inputs-Results'!$W$9-'Inputs-Results'!$Y$9)^2+('Inputs-Results'!$X$9-'Inputs-Results'!$Z$9)^2)+SQRT((('Inputs-Results'!$S$9-'Inputs-Results'!$U$9)*(C8+'Inputs-Results'!$X$9-'Inputs-Results'!$V$9)/('Inputs-Results'!$T$9-'Inputs-Results'!$V$9))^2+(C8+'Inputs-Results'!$X$9-'Inputs-Results'!$V$9)^2)+SQRT((('Inputs-Results'!$AA$9-'Inputs-Results'!$Y$9)*(C8+'Inputs-Results'!$X$9-'Inputs-Results'!$Z$9)/('Inputs-Results'!$AB$9-'Inputs-Results'!$Z$9))^2+(C8+'Inputs-Results'!$X$9-'Inputs-Results'!$Z$9)^2),SQRT((('Inputs-Results'!$U$9-'Inputs-Results'!$W$9)*(C8)/('Inputs-Results'!$V$9-'Inputs-Results'!$X$9))^2+C8^2)+SQRT((('Inputs-Results'!$Y$9-'Inputs-Results'!$W$9)*C8/('Inputs-Results'!$Z$9-'Inputs-Results'!$X$9))^2+C8^2))</f>
        <v>#DIV/0!</v>
      </c>
      <c r="F8" s="19" t="e">
        <f t="shared" si="0"/>
        <v>#DIV/0!</v>
      </c>
      <c r="G8" s="19" t="e">
        <f>1.49/'Inputs-Results'!AC13*D8*F8^(2/3)*'Inputs-Results'!AD13^0.5</f>
        <v>#DIV/0!</v>
      </c>
      <c r="H8" s="27" t="e">
        <f t="shared" si="1"/>
        <v>#DIV/0!</v>
      </c>
      <c r="I8" s="26">
        <f t="shared" si="2"/>
        <v>0</v>
      </c>
      <c r="J8" s="19" t="e">
        <f>IF(I8&gt;'Inputs-Results'!$V13-'Inputs-Results'!$X13,(0.5*(ABS('Inputs-Results'!$S13-'Inputs-Results'!$U13)/('Inputs-Results'!$T13-'Inputs-Results'!$V13)*(I8-('Inputs-Results'!$V13-'Inputs-Results'!$X13)))*(I8-('Inputs-Results'!$V13-'Inputs-Results'!$X13))),0)+IF(I8&gt;'Inputs-Results'!$V13-'Inputs-Results'!$X13,(0.5*((I8+'Inputs-Results'!$X13-'Inputs-Results'!$V13)+I8)*ABS('Inputs-Results'!$U13-'Inputs-Results'!$W13)),0.5*(ABS('Inputs-Results'!$U13-'Inputs-Results'!$W13)/('Inputs-Results'!$V13-'Inputs-Results'!$X13)*I8)*I8)+IF(I8&gt;'Inputs-Results'!$Z13-'Inputs-Results'!$X13,(0.5*((I8+'Inputs-Results'!$X13-'Inputs-Results'!$Z13)+I8)*ABS('Inputs-Results'!$Y13-'Inputs-Results'!$W13)),0.5*(ABS('Inputs-Results'!$W13-'Inputs-Results'!$Y13)/('Inputs-Results'!$Z13-'Inputs-Results'!$X13)*I8)*I8)+IF(I8&gt;'Inputs-Results'!$Z13-'Inputs-Results'!$X13,(0.5*(ABS('Inputs-Results'!$Y13-'Inputs-Results'!$AA13)/('Inputs-Results'!$AB13-'Inputs-Results'!$Z13)*(I8-('Inputs-Results'!$Z13-'Inputs-Results'!$X13)))*(I8-('Inputs-Results'!$Z13-'Inputs-Results'!$X13))),0)</f>
        <v>#DIV/0!</v>
      </c>
      <c r="K8" s="19" t="e">
        <f>IF(I8&gt;'Inputs-Results'!$V$9-'Inputs-Results'!$X$9,SQRT(('Inputs-Results'!$U$9-'Inputs-Results'!$W$9)^2+('Inputs-Results'!$V$9-'Inputs-Results'!$X$9)^2)+SQRT(('Inputs-Results'!$W$9-'Inputs-Results'!$Y$9)^2+('Inputs-Results'!$X$9-'Inputs-Results'!$Z$9)^2)+SQRT((('Inputs-Results'!$S$9-'Inputs-Results'!$U$9)*(I8+'Inputs-Results'!$X$9-'Inputs-Results'!$V$9)/('Inputs-Results'!$T$9-'Inputs-Results'!$V$9))^2+(I8+'Inputs-Results'!$X$9-'Inputs-Results'!$V$9)^2)+SQRT((('Inputs-Results'!$AA$9-'Inputs-Results'!$Y$9)*(I8+'Inputs-Results'!$X$9-'Inputs-Results'!$Z$9)/('Inputs-Results'!$AB$9-'Inputs-Results'!$Z$9))^2+(I8+'Inputs-Results'!$X$9-'Inputs-Results'!$Z$9)^2),SQRT((('Inputs-Results'!$U$9-'Inputs-Results'!$W$9)*(I8)/('Inputs-Results'!$V$9-'Inputs-Results'!$X$9))^2+I8^2)+SQRT((('Inputs-Results'!$Y$9-'Inputs-Results'!$W$9)*I8/('Inputs-Results'!$Z$9-'Inputs-Results'!$X$9))^2+I8^2))</f>
        <v>#DIV/0!</v>
      </c>
      <c r="L8" s="19" t="e">
        <f t="shared" si="3"/>
        <v>#DIV/0!</v>
      </c>
      <c r="M8" s="19" t="e">
        <f>1.49/'Inputs-Results'!$AC13*J8*L8^(2/3)*'Inputs-Results'!$AD13^0.5</f>
        <v>#DIV/0!</v>
      </c>
      <c r="N8" s="27" t="e">
        <f t="shared" si="4"/>
        <v>#DIV/0!</v>
      </c>
      <c r="O8" s="26">
        <f t="shared" si="5"/>
        <v>0</v>
      </c>
      <c r="P8" s="19" t="e">
        <f>IF(O8&gt;'Inputs-Results'!$V13-'Inputs-Results'!$X13,(0.5*(ABS('Inputs-Results'!$S13-'Inputs-Results'!$U13)/('Inputs-Results'!$T13-'Inputs-Results'!$V13)*(O8-('Inputs-Results'!$V13-'Inputs-Results'!$X13)))*(O8-('Inputs-Results'!$V13-'Inputs-Results'!$X13))),0)+IF(O8&gt;'Inputs-Results'!$V13-'Inputs-Results'!$X13,(0.5*((O8+'Inputs-Results'!$X13-'Inputs-Results'!$V13)+O8)*ABS('Inputs-Results'!$U13-'Inputs-Results'!$W13)),0.5*(ABS('Inputs-Results'!$U13-'Inputs-Results'!$W13)/('Inputs-Results'!$V13-'Inputs-Results'!$X13)*O8)*O8)+IF(O8&gt;'Inputs-Results'!$Z13-'Inputs-Results'!$X13,(0.5*((O8+'Inputs-Results'!$X13-'Inputs-Results'!$Z13)+O8)*ABS('Inputs-Results'!$Y13-'Inputs-Results'!$W13)),0.5*(ABS('Inputs-Results'!$W13-'Inputs-Results'!$Y13)/('Inputs-Results'!$Z13-'Inputs-Results'!$X13)*O8)*O8)+IF(O8&gt;'Inputs-Results'!$Z13-'Inputs-Results'!$X13,(0.5*(ABS('Inputs-Results'!$Y13-'Inputs-Results'!$AA13)/('Inputs-Results'!$AB13-'Inputs-Results'!$Z13)*(O8-('Inputs-Results'!$Z13-'Inputs-Results'!$X13)))*(O8-('Inputs-Results'!$Z13-'Inputs-Results'!$X13))),0)</f>
        <v>#DIV/0!</v>
      </c>
      <c r="Q8" s="19" t="e">
        <f>IF(O8&gt;'Inputs-Results'!$V$9-'Inputs-Results'!$X$9,SQRT(('Inputs-Results'!$U$9-'Inputs-Results'!$W$9)^2+('Inputs-Results'!$V$9-'Inputs-Results'!$X$9)^2)+SQRT(('Inputs-Results'!$W$9-'Inputs-Results'!$Y$9)^2+('Inputs-Results'!$X$9-'Inputs-Results'!$Z$9)^2)+SQRT((('Inputs-Results'!$S$9-'Inputs-Results'!$U$9)*(O8+'Inputs-Results'!$X$9-'Inputs-Results'!$V$9)/('Inputs-Results'!$T$9-'Inputs-Results'!$V$9))^2+(O8+'Inputs-Results'!$X$9-'Inputs-Results'!$V$9)^2)+SQRT((('Inputs-Results'!$AA$9-'Inputs-Results'!$Y$9)*(O8+'Inputs-Results'!$X$9-'Inputs-Results'!$Z$9)/('Inputs-Results'!$AB$9-'Inputs-Results'!$Z$9))^2+(O8+'Inputs-Results'!$X$9-'Inputs-Results'!$Z$9)^2),SQRT((('Inputs-Results'!$U$9-'Inputs-Results'!$W$9)*(O8)/('Inputs-Results'!$V$9-'Inputs-Results'!$X$9))^2+O8^2)+SQRT((('Inputs-Results'!$Y$9-'Inputs-Results'!$W$9)*O8/('Inputs-Results'!$Z$9-'Inputs-Results'!$X$9))^2+O8^2))</f>
        <v>#DIV/0!</v>
      </c>
      <c r="R8" s="19" t="e">
        <f t="shared" si="6"/>
        <v>#DIV/0!</v>
      </c>
      <c r="S8" s="19" t="e">
        <f>1.49/'Inputs-Results'!$AC13*P8*R8^(2/3)*'Inputs-Results'!$AD13^0.5</f>
        <v>#DIV/0!</v>
      </c>
      <c r="T8" s="27" t="e">
        <f t="shared" si="7"/>
        <v>#DIV/0!</v>
      </c>
      <c r="U8" s="26">
        <f t="shared" si="8"/>
        <v>0</v>
      </c>
      <c r="V8" s="19" t="e">
        <f>IF(U8&gt;'Inputs-Results'!$V13-'Inputs-Results'!$X13,(0.5*(ABS('Inputs-Results'!$S13-'Inputs-Results'!$U13)/('Inputs-Results'!$T13-'Inputs-Results'!$V13)*(U8-('Inputs-Results'!$V13-'Inputs-Results'!$X13)))*(U8-('Inputs-Results'!$V13-'Inputs-Results'!$X13))),0)+IF(U8&gt;'Inputs-Results'!$V13-'Inputs-Results'!$X13,(0.5*((U8+'Inputs-Results'!$X13-'Inputs-Results'!$V13)+U8)*ABS('Inputs-Results'!$U13-'Inputs-Results'!$W13)),0.5*(ABS('Inputs-Results'!$U13-'Inputs-Results'!$W13)/('Inputs-Results'!$V13-'Inputs-Results'!$X13)*U8)*U8)+IF(U8&gt;'Inputs-Results'!$Z13-'Inputs-Results'!$X13,(0.5*((U8+'Inputs-Results'!$X13-'Inputs-Results'!$Z13)+U8)*ABS('Inputs-Results'!$Y13-'Inputs-Results'!$W13)),0.5*(ABS('Inputs-Results'!$W13-'Inputs-Results'!$Y13)/('Inputs-Results'!$Z13-'Inputs-Results'!$X13)*U8)*U8)+IF(U8&gt;'Inputs-Results'!$Z13-'Inputs-Results'!$X13,(0.5*(ABS('Inputs-Results'!$Y13-'Inputs-Results'!$AA13)/('Inputs-Results'!$AB13-'Inputs-Results'!$Z13)*(U8-('Inputs-Results'!$Z13-'Inputs-Results'!$X13)))*(U8-('Inputs-Results'!$Z13-'Inputs-Results'!$X13))),0)</f>
        <v>#DIV/0!</v>
      </c>
      <c r="W8" s="19" t="e">
        <f>IF(U8&gt;'Inputs-Results'!$V$9-'Inputs-Results'!$X$9,SQRT(('Inputs-Results'!$U$9-'Inputs-Results'!$W$9)^2+('Inputs-Results'!$V$9-'Inputs-Results'!$X$9)^2)+SQRT(('Inputs-Results'!$W$9-'Inputs-Results'!$Y$9)^2+('Inputs-Results'!$X$9-'Inputs-Results'!$Z$9)^2)+SQRT((('Inputs-Results'!$S$9-'Inputs-Results'!$U$9)*(U8+'Inputs-Results'!$X$9-'Inputs-Results'!$V$9)/('Inputs-Results'!$T$9-'Inputs-Results'!$V$9))^2+(U8+'Inputs-Results'!$X$9-'Inputs-Results'!$V$9)^2)+SQRT((('Inputs-Results'!$AA$9-'Inputs-Results'!$Y$9)*(U8+'Inputs-Results'!$X$9-'Inputs-Results'!$Z$9)/('Inputs-Results'!$AB$9-'Inputs-Results'!$Z$9))^2+(U8+'Inputs-Results'!$X$9-'Inputs-Results'!$Z$9)^2),SQRT((('Inputs-Results'!$U$9-'Inputs-Results'!$W$9)*(U8)/('Inputs-Results'!$V$9-'Inputs-Results'!$X$9))^2+U8^2)+SQRT((('Inputs-Results'!$Y$9-'Inputs-Results'!$W$9)*U8/('Inputs-Results'!$Z$9-'Inputs-Results'!$X$9))^2+U8^2))</f>
        <v>#DIV/0!</v>
      </c>
      <c r="X8" s="19" t="e">
        <f t="shared" si="9"/>
        <v>#DIV/0!</v>
      </c>
      <c r="Y8" s="19" t="e">
        <f>1.49/'Inputs-Results'!$AC13*V8*X8^(2/3)*'Inputs-Results'!$AD13^0.5</f>
        <v>#DIV/0!</v>
      </c>
      <c r="Z8" s="27" t="e">
        <f t="shared" si="10"/>
        <v>#DIV/0!</v>
      </c>
      <c r="AA8" s="26">
        <f t="shared" si="11"/>
        <v>0</v>
      </c>
      <c r="AB8" s="19" t="e">
        <f>IF(AA8&gt;'Inputs-Results'!$V13-'Inputs-Results'!$X13,(0.5*(ABS('Inputs-Results'!$S13-'Inputs-Results'!$U13)/('Inputs-Results'!$T13-'Inputs-Results'!$V13)*(AA8-('Inputs-Results'!$V13-'Inputs-Results'!$X13)))*(AA8-('Inputs-Results'!$V13-'Inputs-Results'!$X13))),0)+IF(AA8&gt;'Inputs-Results'!$V13-'Inputs-Results'!$X13,(0.5*((AA8+'Inputs-Results'!$X13-'Inputs-Results'!$V13)+AA8)*ABS('Inputs-Results'!$U13-'Inputs-Results'!$W13)),0.5*(ABS('Inputs-Results'!$U13-'Inputs-Results'!$W13)/('Inputs-Results'!$V13-'Inputs-Results'!$X13)*AA8)*AA8)+IF(AA8&gt;'Inputs-Results'!$Z13-'Inputs-Results'!$X13,(0.5*((AA8+'Inputs-Results'!$X13-'Inputs-Results'!$Z13)+AA8)*ABS('Inputs-Results'!$Y13-'Inputs-Results'!$W13)),0.5*(ABS('Inputs-Results'!$W13-'Inputs-Results'!$Y13)/('Inputs-Results'!$Z13-'Inputs-Results'!$X13)*AA8)*AA8)+IF(AA8&gt;'Inputs-Results'!$Z13-'Inputs-Results'!$X13,(0.5*(ABS('Inputs-Results'!$Y13-'Inputs-Results'!$AA13)/('Inputs-Results'!$AB13-'Inputs-Results'!$Z13)*(AA8-('Inputs-Results'!$Z13-'Inputs-Results'!$X13)))*(AA8-('Inputs-Results'!$Z13-'Inputs-Results'!$X13))),0)</f>
        <v>#DIV/0!</v>
      </c>
      <c r="AC8" s="19" t="e">
        <f>IF(AA8&gt;'Inputs-Results'!$V$9-'Inputs-Results'!$X$9,SQRT(('Inputs-Results'!$U$9-'Inputs-Results'!$W$9)^2+('Inputs-Results'!$V$9-'Inputs-Results'!$X$9)^2)+SQRT(('Inputs-Results'!$W$9-'Inputs-Results'!$Y$9)^2+('Inputs-Results'!$X$9-'Inputs-Results'!$Z$9)^2)+SQRT((('Inputs-Results'!$S$9-'Inputs-Results'!$U$9)*(AA8+'Inputs-Results'!$X$9-'Inputs-Results'!$V$9)/('Inputs-Results'!$T$9-'Inputs-Results'!$V$9))^2+(AA8+'Inputs-Results'!$X$9-'Inputs-Results'!$V$9)^2)+SQRT((('Inputs-Results'!$AA$9-'Inputs-Results'!$Y$9)*(AA8+'Inputs-Results'!$X$9-'Inputs-Results'!$Z$9)/('Inputs-Results'!$AB$9-'Inputs-Results'!$Z$9))^2+(AA8+'Inputs-Results'!$X$9-'Inputs-Results'!$Z$9)^2),SQRT((('Inputs-Results'!$U$9-'Inputs-Results'!$W$9)*(AA8)/('Inputs-Results'!$V$9-'Inputs-Results'!$X$9))^2+AA8^2)+SQRT((('Inputs-Results'!$Y$9-'Inputs-Results'!$W$9)*AA8/('Inputs-Results'!$Z$9-'Inputs-Results'!$X$9))^2+AA8^2))</f>
        <v>#DIV/0!</v>
      </c>
      <c r="AD8" s="19" t="e">
        <f t="shared" si="12"/>
        <v>#DIV/0!</v>
      </c>
      <c r="AE8" s="19" t="e">
        <f>1.49/'Inputs-Results'!$AC13*AB8*AD8^(2/3)*'Inputs-Results'!$AD13^0.5</f>
        <v>#DIV/0!</v>
      </c>
      <c r="AF8" s="27" t="e">
        <f t="shared" si="13"/>
        <v>#DIV/0!</v>
      </c>
      <c r="AG8" s="26">
        <f t="shared" si="14"/>
        <v>0</v>
      </c>
      <c r="AH8" s="19" t="e">
        <f>IF(AG8&gt;'Inputs-Results'!$V13-'Inputs-Results'!$X13,(0.5*(ABS('Inputs-Results'!$S13-'Inputs-Results'!$U13)/('Inputs-Results'!$T13-'Inputs-Results'!$V13)*(AG8-('Inputs-Results'!$V13-'Inputs-Results'!$X13)))*(AG8-('Inputs-Results'!$V13-'Inputs-Results'!$X13))),0)+IF(AG8&gt;'Inputs-Results'!$V13-'Inputs-Results'!$X13,(0.5*((AG8+'Inputs-Results'!$X13-'Inputs-Results'!$V13)+AG8)*ABS('Inputs-Results'!$U13-'Inputs-Results'!$W13)),0.5*(ABS('Inputs-Results'!$U13-'Inputs-Results'!$W13)/('Inputs-Results'!$V13-'Inputs-Results'!$X13)*AG8)*AG8)+IF(AG8&gt;'Inputs-Results'!$Z13-'Inputs-Results'!$X13,(0.5*((AG8+'Inputs-Results'!$X13-'Inputs-Results'!$Z13)+AG8)*ABS('Inputs-Results'!$Y13-'Inputs-Results'!$W13)),0.5*(ABS('Inputs-Results'!$W13-'Inputs-Results'!$Y13)/('Inputs-Results'!$Z13-'Inputs-Results'!$X13)*AG8)*AG8)+IF(AG8&gt;'Inputs-Results'!$Z13-'Inputs-Results'!$X13,(0.5*(ABS('Inputs-Results'!$Y13-'Inputs-Results'!$AA13)/('Inputs-Results'!$AB13-'Inputs-Results'!$Z13)*(AG8-('Inputs-Results'!$Z13-'Inputs-Results'!$X13)))*(AG8-('Inputs-Results'!$Z13-'Inputs-Results'!$X13))),0)</f>
        <v>#DIV/0!</v>
      </c>
      <c r="AI8" s="19" t="e">
        <f>IF(AG8&gt;'Inputs-Results'!$V$9-'Inputs-Results'!$X$9,SQRT(('Inputs-Results'!$U$9-'Inputs-Results'!$W$9)^2+('Inputs-Results'!$V$9-'Inputs-Results'!$X$9)^2)+SQRT(('Inputs-Results'!$W$9-'Inputs-Results'!$Y$9)^2+('Inputs-Results'!$X$9-'Inputs-Results'!$Z$9)^2)+SQRT((('Inputs-Results'!$S$9-'Inputs-Results'!$U$9)*(AG8+'Inputs-Results'!$X$9-'Inputs-Results'!$V$9)/('Inputs-Results'!$T$9-'Inputs-Results'!$V$9))^2+(AG8+'Inputs-Results'!$X$9-'Inputs-Results'!$V$9)^2)+SQRT((('Inputs-Results'!$AA$9-'Inputs-Results'!$Y$9)*(AG8+'Inputs-Results'!$X$9-'Inputs-Results'!$Z$9)/('Inputs-Results'!$AB$9-'Inputs-Results'!$Z$9))^2+(AG8+'Inputs-Results'!$X$9-'Inputs-Results'!$Z$9)^2),SQRT((('Inputs-Results'!$U$9-'Inputs-Results'!$W$9)*(AG8)/('Inputs-Results'!$V$9-'Inputs-Results'!$X$9))^2+AG8^2)+SQRT((('Inputs-Results'!$Y$9-'Inputs-Results'!$W$9)*AG8/('Inputs-Results'!$Z$9-'Inputs-Results'!$X$9))^2+AG8^2))</f>
        <v>#DIV/0!</v>
      </c>
      <c r="AJ8" s="19" t="e">
        <f t="shared" si="15"/>
        <v>#DIV/0!</v>
      </c>
      <c r="AK8" s="19" t="e">
        <f>1.49/'Inputs-Results'!$AC13*AH8*AJ8^(2/3)*'Inputs-Results'!$AD13^0.5</f>
        <v>#DIV/0!</v>
      </c>
      <c r="AL8" s="27" t="e">
        <f t="shared" si="16"/>
        <v>#DIV/0!</v>
      </c>
      <c r="AM8" s="26">
        <f t="shared" si="17"/>
        <v>0</v>
      </c>
      <c r="AN8" s="19" t="e">
        <f>IF(AM8&gt;'Inputs-Results'!$V13-'Inputs-Results'!$X13,(0.5*(ABS('Inputs-Results'!$S13-'Inputs-Results'!$U13)/('Inputs-Results'!$T13-'Inputs-Results'!$V13)*(AM8-('Inputs-Results'!$V13-'Inputs-Results'!$X13)))*(AM8-('Inputs-Results'!$V13-'Inputs-Results'!$X13))),0)+IF(AM8&gt;'Inputs-Results'!$V13-'Inputs-Results'!$X13,(0.5*((AM8+'Inputs-Results'!$X13-'Inputs-Results'!$V13)+AM8)*ABS('Inputs-Results'!$U13-'Inputs-Results'!$W13)),0.5*(ABS('Inputs-Results'!$U13-'Inputs-Results'!$W13)/('Inputs-Results'!$V13-'Inputs-Results'!$X13)*AM8)*AM8)+IF(AM8&gt;'Inputs-Results'!$Z13-'Inputs-Results'!$X13,(0.5*((AM8+'Inputs-Results'!$X13-'Inputs-Results'!$Z13)+AM8)*ABS('Inputs-Results'!$Y13-'Inputs-Results'!$W13)),0.5*(ABS('Inputs-Results'!$W13-'Inputs-Results'!$Y13)/('Inputs-Results'!$Z13-'Inputs-Results'!$X13)*AM8)*AM8)+IF(AM8&gt;'Inputs-Results'!$Z13-'Inputs-Results'!$X13,(0.5*(ABS('Inputs-Results'!$Y13-'Inputs-Results'!$AA13)/('Inputs-Results'!$AB13-'Inputs-Results'!$Z13)*(AM8-('Inputs-Results'!$Z13-'Inputs-Results'!$X13)))*(AM8-('Inputs-Results'!$Z13-'Inputs-Results'!$X13))),0)</f>
        <v>#DIV/0!</v>
      </c>
      <c r="AO8" s="19" t="e">
        <f>IF(AM8&gt;'Inputs-Results'!$V$9-'Inputs-Results'!$X$9,SQRT(('Inputs-Results'!$U$9-'Inputs-Results'!$W$9)^2+('Inputs-Results'!$V$9-'Inputs-Results'!$X$9)^2)+SQRT(('Inputs-Results'!$W$9-'Inputs-Results'!$Y$9)^2+('Inputs-Results'!$X$9-'Inputs-Results'!$Z$9)^2)+SQRT((('Inputs-Results'!$S$9-'Inputs-Results'!$U$9)*(AM8+'Inputs-Results'!$X$9-'Inputs-Results'!$V$9)/('Inputs-Results'!$T$9-'Inputs-Results'!$V$9))^2+(AM8+'Inputs-Results'!$X$9-'Inputs-Results'!$V$9)^2)+SQRT((('Inputs-Results'!$AA$9-'Inputs-Results'!$Y$9)*(AM8+'Inputs-Results'!$X$9-'Inputs-Results'!$Z$9)/('Inputs-Results'!$AB$9-'Inputs-Results'!$Z$9))^2+(AM8+'Inputs-Results'!$X$9-'Inputs-Results'!$Z$9)^2),SQRT((('Inputs-Results'!$U$9-'Inputs-Results'!$W$9)*(AM8)/('Inputs-Results'!$V$9-'Inputs-Results'!$X$9))^2+AM8^2)+SQRT((('Inputs-Results'!$Y$9-'Inputs-Results'!$W$9)*AM8/('Inputs-Results'!$Z$9-'Inputs-Results'!$X$9))^2+AM8^2))</f>
        <v>#DIV/0!</v>
      </c>
      <c r="AP8" s="19" t="e">
        <f t="shared" si="18"/>
        <v>#DIV/0!</v>
      </c>
      <c r="AQ8" s="19" t="e">
        <f>1.49/'Inputs-Results'!$AC13*AN8*AP8^(2/3)*'Inputs-Results'!$AD13^0.5</f>
        <v>#DIV/0!</v>
      </c>
      <c r="AR8" s="27" t="e">
        <f t="shared" si="19"/>
        <v>#DIV/0!</v>
      </c>
      <c r="AS8" s="26">
        <f t="shared" si="20"/>
        <v>0</v>
      </c>
      <c r="AT8" s="19" t="e">
        <f>IF(AS8&gt;'Inputs-Results'!$V13-'Inputs-Results'!$X13,(0.5*(ABS('Inputs-Results'!$S13-'Inputs-Results'!$U13)/('Inputs-Results'!$T13-'Inputs-Results'!$V13)*(AS8-('Inputs-Results'!$V13-'Inputs-Results'!$X13)))*(AS8-('Inputs-Results'!$V13-'Inputs-Results'!$X13))),0)+IF(AS8&gt;'Inputs-Results'!$V13-'Inputs-Results'!$X13,(0.5*((AS8+'Inputs-Results'!$X13-'Inputs-Results'!$V13)+AS8)*ABS('Inputs-Results'!$U13-'Inputs-Results'!$W13)),0.5*(ABS('Inputs-Results'!$U13-'Inputs-Results'!$W13)/('Inputs-Results'!$V13-'Inputs-Results'!$X13)*AS8)*AS8)+IF(AS8&gt;'Inputs-Results'!$Z13-'Inputs-Results'!$X13,(0.5*((AS8+'Inputs-Results'!$X13-'Inputs-Results'!$Z13)+AS8)*ABS('Inputs-Results'!$Y13-'Inputs-Results'!$W13)),0.5*(ABS('Inputs-Results'!$W13-'Inputs-Results'!$Y13)/('Inputs-Results'!$Z13-'Inputs-Results'!$X13)*AS8)*AS8)+IF(AS8&gt;'Inputs-Results'!$Z13-'Inputs-Results'!$X13,(0.5*(ABS('Inputs-Results'!$Y13-'Inputs-Results'!$AA13)/('Inputs-Results'!$AB13-'Inputs-Results'!$Z13)*(AS8-('Inputs-Results'!$Z13-'Inputs-Results'!$X13)))*(AS8-('Inputs-Results'!$Z13-'Inputs-Results'!$X13))),0)</f>
        <v>#DIV/0!</v>
      </c>
      <c r="AU8" s="19" t="e">
        <f>IF(AS8&gt;'Inputs-Results'!$V$9-'Inputs-Results'!$X$9,SQRT(('Inputs-Results'!$U$9-'Inputs-Results'!$W$9)^2+('Inputs-Results'!$V$9-'Inputs-Results'!$X$9)^2)+SQRT(('Inputs-Results'!$W$9-'Inputs-Results'!$Y$9)^2+('Inputs-Results'!$X$9-'Inputs-Results'!$Z$9)^2)+SQRT((('Inputs-Results'!$S$9-'Inputs-Results'!$U$9)*(AS8+'Inputs-Results'!$X$9-'Inputs-Results'!$V$9)/('Inputs-Results'!$T$9-'Inputs-Results'!$V$9))^2+(AS8+'Inputs-Results'!$X$9-'Inputs-Results'!$V$9)^2)+SQRT((('Inputs-Results'!$AA$9-'Inputs-Results'!$Y$9)*(AS8+'Inputs-Results'!$X$9-'Inputs-Results'!$Z$9)/('Inputs-Results'!$AB$9-'Inputs-Results'!$Z$9))^2+(AS8+'Inputs-Results'!$X$9-'Inputs-Results'!$Z$9)^2),SQRT((('Inputs-Results'!$U$9-'Inputs-Results'!$W$9)*(AS8)/('Inputs-Results'!$V$9-'Inputs-Results'!$X$9))^2+AS8^2)+SQRT((('Inputs-Results'!$Y$9-'Inputs-Results'!$W$9)*AS8/('Inputs-Results'!$Z$9-'Inputs-Results'!$X$9))^2+AS8^2))</f>
        <v>#DIV/0!</v>
      </c>
      <c r="AV8" s="19" t="e">
        <f t="shared" si="21"/>
        <v>#DIV/0!</v>
      </c>
      <c r="AW8" s="19" t="e">
        <f>1.49/'Inputs-Results'!$AC13*AT8*AV8^(2/3)*'Inputs-Results'!$AD13^0.5</f>
        <v>#DIV/0!</v>
      </c>
      <c r="AX8" s="27" t="e">
        <f t="shared" si="22"/>
        <v>#DIV/0!</v>
      </c>
      <c r="AY8" s="26">
        <f t="shared" si="23"/>
        <v>0</v>
      </c>
      <c r="AZ8" s="19" t="e">
        <f>IF(AY8&gt;'Inputs-Results'!$V13-'Inputs-Results'!$X13,(0.5*(ABS('Inputs-Results'!$S13-'Inputs-Results'!$U13)/('Inputs-Results'!$T13-'Inputs-Results'!$V13)*(AY8-('Inputs-Results'!$V13-'Inputs-Results'!$X13)))*(AY8-('Inputs-Results'!$V13-'Inputs-Results'!$X13))),0)+IF(AY8&gt;'Inputs-Results'!$V13-'Inputs-Results'!$X13,(0.5*((AY8+'Inputs-Results'!$X13-'Inputs-Results'!$V13)+AY8)*ABS('Inputs-Results'!$U13-'Inputs-Results'!$W13)),0.5*(ABS('Inputs-Results'!$U13-'Inputs-Results'!$W13)/('Inputs-Results'!$V13-'Inputs-Results'!$X13)*AY8)*AY8)+IF(AY8&gt;'Inputs-Results'!$Z13-'Inputs-Results'!$X13,(0.5*((AY8+'Inputs-Results'!$X13-'Inputs-Results'!$Z13)+AY8)*ABS('Inputs-Results'!$Y13-'Inputs-Results'!$W13)),0.5*(ABS('Inputs-Results'!$W13-'Inputs-Results'!$Y13)/('Inputs-Results'!$Z13-'Inputs-Results'!$X13)*AY8)*AY8)+IF(AY8&gt;'Inputs-Results'!$Z13-'Inputs-Results'!$X13,(0.5*(ABS('Inputs-Results'!$Y13-'Inputs-Results'!$AA13)/('Inputs-Results'!$AB13-'Inputs-Results'!$Z13)*(AY8-('Inputs-Results'!$Z13-'Inputs-Results'!$X13)))*(AY8-('Inputs-Results'!$Z13-'Inputs-Results'!$X13))),0)</f>
        <v>#DIV/0!</v>
      </c>
      <c r="BA8" s="19" t="e">
        <f>IF(AY8&gt;'Inputs-Results'!$V$9-'Inputs-Results'!$X$9,SQRT(('Inputs-Results'!$U$9-'Inputs-Results'!$W$9)^2+('Inputs-Results'!$V$9-'Inputs-Results'!$X$9)^2)+SQRT(('Inputs-Results'!$W$9-'Inputs-Results'!$Y$9)^2+('Inputs-Results'!$X$9-'Inputs-Results'!$Z$9)^2)+SQRT((('Inputs-Results'!$S$9-'Inputs-Results'!$U$9)*(AY8+'Inputs-Results'!$X$9-'Inputs-Results'!$V$9)/('Inputs-Results'!$T$9-'Inputs-Results'!$V$9))^2+(AY8+'Inputs-Results'!$X$9-'Inputs-Results'!$V$9)^2)+SQRT((('Inputs-Results'!$AA$9-'Inputs-Results'!$Y$9)*(AY8+'Inputs-Results'!$X$9-'Inputs-Results'!$Z$9)/('Inputs-Results'!$AB$9-'Inputs-Results'!$Z$9))^2+(AY8+'Inputs-Results'!$X$9-'Inputs-Results'!$Z$9)^2),SQRT((('Inputs-Results'!$U$9-'Inputs-Results'!$W$9)*(AY8)/('Inputs-Results'!$V$9-'Inputs-Results'!$X$9))^2+AY8^2)+SQRT((('Inputs-Results'!$Y$9-'Inputs-Results'!$W$9)*AY8/('Inputs-Results'!$Z$9-'Inputs-Results'!$X$9))^2+AY8^2))</f>
        <v>#DIV/0!</v>
      </c>
      <c r="BB8" s="19" t="e">
        <f t="shared" si="24"/>
        <v>#DIV/0!</v>
      </c>
      <c r="BC8" s="19" t="e">
        <f>1.49/'Inputs-Results'!$AC13*AZ8*BB8^(2/3)*'Inputs-Results'!$AD13^0.5</f>
        <v>#DIV/0!</v>
      </c>
      <c r="BD8" s="27" t="e">
        <f t="shared" si="25"/>
        <v>#DIV/0!</v>
      </c>
      <c r="BE8" s="26">
        <f t="shared" si="26"/>
        <v>0</v>
      </c>
      <c r="BF8" s="19" t="e">
        <f>IF(BE8&gt;'Inputs-Results'!$V13-'Inputs-Results'!$X13,(0.5*(ABS('Inputs-Results'!$S13-'Inputs-Results'!$U13)/('Inputs-Results'!$T13-'Inputs-Results'!$V13)*(BE8-('Inputs-Results'!$V13-'Inputs-Results'!$X13)))*(BE8-('Inputs-Results'!$V13-'Inputs-Results'!$X13))),0)+IF(BE8&gt;'Inputs-Results'!$V13-'Inputs-Results'!$X13,(0.5*((BE8+'Inputs-Results'!$X13-'Inputs-Results'!$V13)+BE8)*ABS('Inputs-Results'!$U13-'Inputs-Results'!$W13)),0.5*(ABS('Inputs-Results'!$U13-'Inputs-Results'!$W13)/('Inputs-Results'!$V13-'Inputs-Results'!$X13)*BE8)*BE8)+IF(BE8&gt;'Inputs-Results'!$Z13-'Inputs-Results'!$X13,(0.5*((BE8+'Inputs-Results'!$X13-'Inputs-Results'!$Z13)+BE8)*ABS('Inputs-Results'!$Y13-'Inputs-Results'!$W13)),0.5*(ABS('Inputs-Results'!$W13-'Inputs-Results'!$Y13)/('Inputs-Results'!$Z13-'Inputs-Results'!$X13)*BE8)*BE8)+IF(BE8&gt;'Inputs-Results'!$Z13-'Inputs-Results'!$X13,(0.5*(ABS('Inputs-Results'!$Y13-'Inputs-Results'!$AA13)/('Inputs-Results'!$AB13-'Inputs-Results'!$Z13)*(BE8-('Inputs-Results'!$Z13-'Inputs-Results'!$X13)))*(BE8-('Inputs-Results'!$Z13-'Inputs-Results'!$X13))),0)</f>
        <v>#DIV/0!</v>
      </c>
      <c r="BG8" s="19" t="e">
        <f>IF(BE8&gt;'Inputs-Results'!$V$9-'Inputs-Results'!$X$9,SQRT(('Inputs-Results'!$U$9-'Inputs-Results'!$W$9)^2+('Inputs-Results'!$V$9-'Inputs-Results'!$X$9)^2)+SQRT(('Inputs-Results'!$W$9-'Inputs-Results'!$Y$9)^2+('Inputs-Results'!$X$9-'Inputs-Results'!$Z$9)^2)+SQRT((('Inputs-Results'!$S$9-'Inputs-Results'!$U$9)*(BE8+'Inputs-Results'!$X$9-'Inputs-Results'!$V$9)/('Inputs-Results'!$T$9-'Inputs-Results'!$V$9))^2+(BE8+'Inputs-Results'!$X$9-'Inputs-Results'!$V$9)^2)+SQRT((('Inputs-Results'!$AA$9-'Inputs-Results'!$Y$9)*(BE8+'Inputs-Results'!$X$9-'Inputs-Results'!$Z$9)/('Inputs-Results'!$AB$9-'Inputs-Results'!$Z$9))^2+(BE8+'Inputs-Results'!$X$9-'Inputs-Results'!$Z$9)^2),SQRT((('Inputs-Results'!$U$9-'Inputs-Results'!$W$9)*(BE8)/('Inputs-Results'!$V$9-'Inputs-Results'!$X$9))^2+BE8^2)+SQRT((('Inputs-Results'!$Y$9-'Inputs-Results'!$W$9)*BE8/('Inputs-Results'!$Z$9-'Inputs-Results'!$X$9))^2+BE8^2))</f>
        <v>#DIV/0!</v>
      </c>
      <c r="BH8" s="19" t="e">
        <f t="shared" si="27"/>
        <v>#DIV/0!</v>
      </c>
      <c r="BI8" s="19" t="e">
        <f>1.49/'Inputs-Results'!$AC13*BF8*BH8^(2/3)*'Inputs-Results'!$AD13^0.5</f>
        <v>#DIV/0!</v>
      </c>
      <c r="BJ8" s="27" t="e">
        <f t="shared" si="28"/>
        <v>#DIV/0!</v>
      </c>
    </row>
    <row r="9" spans="1:62" x14ac:dyDescent="0.25">
      <c r="A9" s="2">
        <v>0</v>
      </c>
      <c r="B9" s="17"/>
      <c r="C9" s="26">
        <f>MIN('Inputs-Results'!T14-'Inputs-Results'!X14,'Inputs-Results'!AB14-'Inputs-Results'!X14)</f>
        <v>0</v>
      </c>
      <c r="D9" s="19" t="e">
        <f>IF(C9&gt;'Inputs-Results'!$V14-'Inputs-Results'!$X14,(0.5*(ABS('Inputs-Results'!$S14-'Inputs-Results'!$U14)/('Inputs-Results'!$T14-'Inputs-Results'!$V14)*(C9-('Inputs-Results'!$V14-'Inputs-Results'!$X14)))*(C9-('Inputs-Results'!$V14-'Inputs-Results'!$X14))),0)+IF(C9&gt;'Inputs-Results'!$V14-'Inputs-Results'!$X14,(0.5*((C9+'Inputs-Results'!$X14-'Inputs-Results'!$V14)+C9)*ABS('Inputs-Results'!$U14-'Inputs-Results'!$W14)),0.5*(ABS('Inputs-Results'!$U14-'Inputs-Results'!$W14)/('Inputs-Results'!$V14-'Inputs-Results'!$X14)*C9)*C9)+IF(C9&gt;'Inputs-Results'!$Z14-'Inputs-Results'!$X14,(0.5*((C9+'Inputs-Results'!$X14-'Inputs-Results'!$Z14)+C9)*ABS('Inputs-Results'!$Y14-'Inputs-Results'!$W14)),0.5*(ABS('Inputs-Results'!$W14-'Inputs-Results'!$Y14)/('Inputs-Results'!$Z14-'Inputs-Results'!$X14)*C9)*C9)+IF(C9&gt;'Inputs-Results'!$Z14-'Inputs-Results'!$X14,(0.5*(ABS('Inputs-Results'!$Y14-'Inputs-Results'!$AA14)/('Inputs-Results'!$AB14-'Inputs-Results'!$Z14)*(C9-('Inputs-Results'!$Z14-'Inputs-Results'!$X14)))*(C9-('Inputs-Results'!$Z14-'Inputs-Results'!$X14))),0)</f>
        <v>#DIV/0!</v>
      </c>
      <c r="E9" s="19" t="e">
        <f>IF(C9&gt;'Inputs-Results'!$V$9-'Inputs-Results'!$X$9,SQRT(('Inputs-Results'!$U$9-'Inputs-Results'!$W$9)^2+('Inputs-Results'!$V$9-'Inputs-Results'!$X$9)^2)+SQRT(('Inputs-Results'!$W$9-'Inputs-Results'!$Y$9)^2+('Inputs-Results'!$X$9-'Inputs-Results'!$Z$9)^2)+SQRT((('Inputs-Results'!$S$9-'Inputs-Results'!$U$9)*(C9+'Inputs-Results'!$X$9-'Inputs-Results'!$V$9)/('Inputs-Results'!$T$9-'Inputs-Results'!$V$9))^2+(C9+'Inputs-Results'!$X$9-'Inputs-Results'!$V$9)^2)+SQRT((('Inputs-Results'!$AA$9-'Inputs-Results'!$Y$9)*(C9+'Inputs-Results'!$X$9-'Inputs-Results'!$Z$9)/('Inputs-Results'!$AB$9-'Inputs-Results'!$Z$9))^2+(C9+'Inputs-Results'!$X$9-'Inputs-Results'!$Z$9)^2),SQRT((('Inputs-Results'!$U$9-'Inputs-Results'!$W$9)*(C9)/('Inputs-Results'!$V$9-'Inputs-Results'!$X$9))^2+C9^2)+SQRT((('Inputs-Results'!$Y$9-'Inputs-Results'!$W$9)*C9/('Inputs-Results'!$Z$9-'Inputs-Results'!$X$9))^2+C9^2))</f>
        <v>#DIV/0!</v>
      </c>
      <c r="F9" s="19" t="e">
        <f t="shared" si="0"/>
        <v>#DIV/0!</v>
      </c>
      <c r="G9" s="19" t="e">
        <f>1.49/'Inputs-Results'!AC14*D9*F9^(2/3)*'Inputs-Results'!AD14^0.5</f>
        <v>#DIV/0!</v>
      </c>
      <c r="H9" s="27" t="e">
        <f t="shared" si="1"/>
        <v>#DIV/0!</v>
      </c>
      <c r="I9" s="26">
        <f t="shared" si="2"/>
        <v>0</v>
      </c>
      <c r="J9" s="19" t="e">
        <f>IF(I9&gt;'Inputs-Results'!$V14-'Inputs-Results'!$X14,(0.5*(ABS('Inputs-Results'!$S14-'Inputs-Results'!$U14)/('Inputs-Results'!$T14-'Inputs-Results'!$V14)*(I9-('Inputs-Results'!$V14-'Inputs-Results'!$X14)))*(I9-('Inputs-Results'!$V14-'Inputs-Results'!$X14))),0)+IF(I9&gt;'Inputs-Results'!$V14-'Inputs-Results'!$X14,(0.5*((I9+'Inputs-Results'!$X14-'Inputs-Results'!$V14)+I9)*ABS('Inputs-Results'!$U14-'Inputs-Results'!$W14)),0.5*(ABS('Inputs-Results'!$U14-'Inputs-Results'!$W14)/('Inputs-Results'!$V14-'Inputs-Results'!$X14)*I9)*I9)+IF(I9&gt;'Inputs-Results'!$Z14-'Inputs-Results'!$X14,(0.5*((I9+'Inputs-Results'!$X14-'Inputs-Results'!$Z14)+I9)*ABS('Inputs-Results'!$Y14-'Inputs-Results'!$W14)),0.5*(ABS('Inputs-Results'!$W14-'Inputs-Results'!$Y14)/('Inputs-Results'!$Z14-'Inputs-Results'!$X14)*I9)*I9)+IF(I9&gt;'Inputs-Results'!$Z14-'Inputs-Results'!$X14,(0.5*(ABS('Inputs-Results'!$Y14-'Inputs-Results'!$AA14)/('Inputs-Results'!$AB14-'Inputs-Results'!$Z14)*(I9-('Inputs-Results'!$Z14-'Inputs-Results'!$X14)))*(I9-('Inputs-Results'!$Z14-'Inputs-Results'!$X14))),0)</f>
        <v>#DIV/0!</v>
      </c>
      <c r="K9" s="19" t="e">
        <f>IF(I9&gt;'Inputs-Results'!$V$9-'Inputs-Results'!$X$9,SQRT(('Inputs-Results'!$U$9-'Inputs-Results'!$W$9)^2+('Inputs-Results'!$V$9-'Inputs-Results'!$X$9)^2)+SQRT(('Inputs-Results'!$W$9-'Inputs-Results'!$Y$9)^2+('Inputs-Results'!$X$9-'Inputs-Results'!$Z$9)^2)+SQRT((('Inputs-Results'!$S$9-'Inputs-Results'!$U$9)*(I9+'Inputs-Results'!$X$9-'Inputs-Results'!$V$9)/('Inputs-Results'!$T$9-'Inputs-Results'!$V$9))^2+(I9+'Inputs-Results'!$X$9-'Inputs-Results'!$V$9)^2)+SQRT((('Inputs-Results'!$AA$9-'Inputs-Results'!$Y$9)*(I9+'Inputs-Results'!$X$9-'Inputs-Results'!$Z$9)/('Inputs-Results'!$AB$9-'Inputs-Results'!$Z$9))^2+(I9+'Inputs-Results'!$X$9-'Inputs-Results'!$Z$9)^2),SQRT((('Inputs-Results'!$U$9-'Inputs-Results'!$W$9)*(I9)/('Inputs-Results'!$V$9-'Inputs-Results'!$X$9))^2+I9^2)+SQRT((('Inputs-Results'!$Y$9-'Inputs-Results'!$W$9)*I9/('Inputs-Results'!$Z$9-'Inputs-Results'!$X$9))^2+I9^2))</f>
        <v>#DIV/0!</v>
      </c>
      <c r="L9" s="19" t="e">
        <f t="shared" si="3"/>
        <v>#DIV/0!</v>
      </c>
      <c r="M9" s="19" t="e">
        <f>1.49/'Inputs-Results'!$AC14*J9*L9^(2/3)*'Inputs-Results'!$AD14^0.5</f>
        <v>#DIV/0!</v>
      </c>
      <c r="N9" s="27" t="e">
        <f t="shared" si="4"/>
        <v>#DIV/0!</v>
      </c>
      <c r="O9" s="26">
        <f t="shared" si="5"/>
        <v>0</v>
      </c>
      <c r="P9" s="19" t="e">
        <f>IF(O9&gt;'Inputs-Results'!$V14-'Inputs-Results'!$X14,(0.5*(ABS('Inputs-Results'!$S14-'Inputs-Results'!$U14)/('Inputs-Results'!$T14-'Inputs-Results'!$V14)*(O9-('Inputs-Results'!$V14-'Inputs-Results'!$X14)))*(O9-('Inputs-Results'!$V14-'Inputs-Results'!$X14))),0)+IF(O9&gt;'Inputs-Results'!$V14-'Inputs-Results'!$X14,(0.5*((O9+'Inputs-Results'!$X14-'Inputs-Results'!$V14)+O9)*ABS('Inputs-Results'!$U14-'Inputs-Results'!$W14)),0.5*(ABS('Inputs-Results'!$U14-'Inputs-Results'!$W14)/('Inputs-Results'!$V14-'Inputs-Results'!$X14)*O9)*O9)+IF(O9&gt;'Inputs-Results'!$Z14-'Inputs-Results'!$X14,(0.5*((O9+'Inputs-Results'!$X14-'Inputs-Results'!$Z14)+O9)*ABS('Inputs-Results'!$Y14-'Inputs-Results'!$W14)),0.5*(ABS('Inputs-Results'!$W14-'Inputs-Results'!$Y14)/('Inputs-Results'!$Z14-'Inputs-Results'!$X14)*O9)*O9)+IF(O9&gt;'Inputs-Results'!$Z14-'Inputs-Results'!$X14,(0.5*(ABS('Inputs-Results'!$Y14-'Inputs-Results'!$AA14)/('Inputs-Results'!$AB14-'Inputs-Results'!$Z14)*(O9-('Inputs-Results'!$Z14-'Inputs-Results'!$X14)))*(O9-('Inputs-Results'!$Z14-'Inputs-Results'!$X14))),0)</f>
        <v>#DIV/0!</v>
      </c>
      <c r="Q9" s="19" t="e">
        <f>IF(O9&gt;'Inputs-Results'!$V$9-'Inputs-Results'!$X$9,SQRT(('Inputs-Results'!$U$9-'Inputs-Results'!$W$9)^2+('Inputs-Results'!$V$9-'Inputs-Results'!$X$9)^2)+SQRT(('Inputs-Results'!$W$9-'Inputs-Results'!$Y$9)^2+('Inputs-Results'!$X$9-'Inputs-Results'!$Z$9)^2)+SQRT((('Inputs-Results'!$S$9-'Inputs-Results'!$U$9)*(O9+'Inputs-Results'!$X$9-'Inputs-Results'!$V$9)/('Inputs-Results'!$T$9-'Inputs-Results'!$V$9))^2+(O9+'Inputs-Results'!$X$9-'Inputs-Results'!$V$9)^2)+SQRT((('Inputs-Results'!$AA$9-'Inputs-Results'!$Y$9)*(O9+'Inputs-Results'!$X$9-'Inputs-Results'!$Z$9)/('Inputs-Results'!$AB$9-'Inputs-Results'!$Z$9))^2+(O9+'Inputs-Results'!$X$9-'Inputs-Results'!$Z$9)^2),SQRT((('Inputs-Results'!$U$9-'Inputs-Results'!$W$9)*(O9)/('Inputs-Results'!$V$9-'Inputs-Results'!$X$9))^2+O9^2)+SQRT((('Inputs-Results'!$Y$9-'Inputs-Results'!$W$9)*O9/('Inputs-Results'!$Z$9-'Inputs-Results'!$X$9))^2+O9^2))</f>
        <v>#DIV/0!</v>
      </c>
      <c r="R9" s="19" t="e">
        <f t="shared" si="6"/>
        <v>#DIV/0!</v>
      </c>
      <c r="S9" s="19" t="e">
        <f>1.49/'Inputs-Results'!$AC14*P9*R9^(2/3)*'Inputs-Results'!$AD14^0.5</f>
        <v>#DIV/0!</v>
      </c>
      <c r="T9" s="27" t="e">
        <f t="shared" si="7"/>
        <v>#DIV/0!</v>
      </c>
      <c r="U9" s="26">
        <f t="shared" si="8"/>
        <v>0</v>
      </c>
      <c r="V9" s="19" t="e">
        <f>IF(U9&gt;'Inputs-Results'!$V14-'Inputs-Results'!$X14,(0.5*(ABS('Inputs-Results'!$S14-'Inputs-Results'!$U14)/('Inputs-Results'!$T14-'Inputs-Results'!$V14)*(U9-('Inputs-Results'!$V14-'Inputs-Results'!$X14)))*(U9-('Inputs-Results'!$V14-'Inputs-Results'!$X14))),0)+IF(U9&gt;'Inputs-Results'!$V14-'Inputs-Results'!$X14,(0.5*((U9+'Inputs-Results'!$X14-'Inputs-Results'!$V14)+U9)*ABS('Inputs-Results'!$U14-'Inputs-Results'!$W14)),0.5*(ABS('Inputs-Results'!$U14-'Inputs-Results'!$W14)/('Inputs-Results'!$V14-'Inputs-Results'!$X14)*U9)*U9)+IF(U9&gt;'Inputs-Results'!$Z14-'Inputs-Results'!$X14,(0.5*((U9+'Inputs-Results'!$X14-'Inputs-Results'!$Z14)+U9)*ABS('Inputs-Results'!$Y14-'Inputs-Results'!$W14)),0.5*(ABS('Inputs-Results'!$W14-'Inputs-Results'!$Y14)/('Inputs-Results'!$Z14-'Inputs-Results'!$X14)*U9)*U9)+IF(U9&gt;'Inputs-Results'!$Z14-'Inputs-Results'!$X14,(0.5*(ABS('Inputs-Results'!$Y14-'Inputs-Results'!$AA14)/('Inputs-Results'!$AB14-'Inputs-Results'!$Z14)*(U9-('Inputs-Results'!$Z14-'Inputs-Results'!$X14)))*(U9-('Inputs-Results'!$Z14-'Inputs-Results'!$X14))),0)</f>
        <v>#DIV/0!</v>
      </c>
      <c r="W9" s="19" t="e">
        <f>IF(U9&gt;'Inputs-Results'!$V$9-'Inputs-Results'!$X$9,SQRT(('Inputs-Results'!$U$9-'Inputs-Results'!$W$9)^2+('Inputs-Results'!$V$9-'Inputs-Results'!$X$9)^2)+SQRT(('Inputs-Results'!$W$9-'Inputs-Results'!$Y$9)^2+('Inputs-Results'!$X$9-'Inputs-Results'!$Z$9)^2)+SQRT((('Inputs-Results'!$S$9-'Inputs-Results'!$U$9)*(U9+'Inputs-Results'!$X$9-'Inputs-Results'!$V$9)/('Inputs-Results'!$T$9-'Inputs-Results'!$V$9))^2+(U9+'Inputs-Results'!$X$9-'Inputs-Results'!$V$9)^2)+SQRT((('Inputs-Results'!$AA$9-'Inputs-Results'!$Y$9)*(U9+'Inputs-Results'!$X$9-'Inputs-Results'!$Z$9)/('Inputs-Results'!$AB$9-'Inputs-Results'!$Z$9))^2+(U9+'Inputs-Results'!$X$9-'Inputs-Results'!$Z$9)^2),SQRT((('Inputs-Results'!$U$9-'Inputs-Results'!$W$9)*(U9)/('Inputs-Results'!$V$9-'Inputs-Results'!$X$9))^2+U9^2)+SQRT((('Inputs-Results'!$Y$9-'Inputs-Results'!$W$9)*U9/('Inputs-Results'!$Z$9-'Inputs-Results'!$X$9))^2+U9^2))</f>
        <v>#DIV/0!</v>
      </c>
      <c r="X9" s="19" t="e">
        <f t="shared" si="9"/>
        <v>#DIV/0!</v>
      </c>
      <c r="Y9" s="19" t="e">
        <f>1.49/'Inputs-Results'!$AC14*V9*X9^(2/3)*'Inputs-Results'!$AD14^0.5</f>
        <v>#DIV/0!</v>
      </c>
      <c r="Z9" s="27" t="e">
        <f t="shared" si="10"/>
        <v>#DIV/0!</v>
      </c>
      <c r="AA9" s="26">
        <f t="shared" si="11"/>
        <v>0</v>
      </c>
      <c r="AB9" s="19" t="e">
        <f>IF(AA9&gt;'Inputs-Results'!$V14-'Inputs-Results'!$X14,(0.5*(ABS('Inputs-Results'!$S14-'Inputs-Results'!$U14)/('Inputs-Results'!$T14-'Inputs-Results'!$V14)*(AA9-('Inputs-Results'!$V14-'Inputs-Results'!$X14)))*(AA9-('Inputs-Results'!$V14-'Inputs-Results'!$X14))),0)+IF(AA9&gt;'Inputs-Results'!$V14-'Inputs-Results'!$X14,(0.5*((AA9+'Inputs-Results'!$X14-'Inputs-Results'!$V14)+AA9)*ABS('Inputs-Results'!$U14-'Inputs-Results'!$W14)),0.5*(ABS('Inputs-Results'!$U14-'Inputs-Results'!$W14)/('Inputs-Results'!$V14-'Inputs-Results'!$X14)*AA9)*AA9)+IF(AA9&gt;'Inputs-Results'!$Z14-'Inputs-Results'!$X14,(0.5*((AA9+'Inputs-Results'!$X14-'Inputs-Results'!$Z14)+AA9)*ABS('Inputs-Results'!$Y14-'Inputs-Results'!$W14)),0.5*(ABS('Inputs-Results'!$W14-'Inputs-Results'!$Y14)/('Inputs-Results'!$Z14-'Inputs-Results'!$X14)*AA9)*AA9)+IF(AA9&gt;'Inputs-Results'!$Z14-'Inputs-Results'!$X14,(0.5*(ABS('Inputs-Results'!$Y14-'Inputs-Results'!$AA14)/('Inputs-Results'!$AB14-'Inputs-Results'!$Z14)*(AA9-('Inputs-Results'!$Z14-'Inputs-Results'!$X14)))*(AA9-('Inputs-Results'!$Z14-'Inputs-Results'!$X14))),0)</f>
        <v>#DIV/0!</v>
      </c>
      <c r="AC9" s="19" t="e">
        <f>IF(AA9&gt;'Inputs-Results'!$V$9-'Inputs-Results'!$X$9,SQRT(('Inputs-Results'!$U$9-'Inputs-Results'!$W$9)^2+('Inputs-Results'!$V$9-'Inputs-Results'!$X$9)^2)+SQRT(('Inputs-Results'!$W$9-'Inputs-Results'!$Y$9)^2+('Inputs-Results'!$X$9-'Inputs-Results'!$Z$9)^2)+SQRT((('Inputs-Results'!$S$9-'Inputs-Results'!$U$9)*(AA9+'Inputs-Results'!$X$9-'Inputs-Results'!$V$9)/('Inputs-Results'!$T$9-'Inputs-Results'!$V$9))^2+(AA9+'Inputs-Results'!$X$9-'Inputs-Results'!$V$9)^2)+SQRT((('Inputs-Results'!$AA$9-'Inputs-Results'!$Y$9)*(AA9+'Inputs-Results'!$X$9-'Inputs-Results'!$Z$9)/('Inputs-Results'!$AB$9-'Inputs-Results'!$Z$9))^2+(AA9+'Inputs-Results'!$X$9-'Inputs-Results'!$Z$9)^2),SQRT((('Inputs-Results'!$U$9-'Inputs-Results'!$W$9)*(AA9)/('Inputs-Results'!$V$9-'Inputs-Results'!$X$9))^2+AA9^2)+SQRT((('Inputs-Results'!$Y$9-'Inputs-Results'!$W$9)*AA9/('Inputs-Results'!$Z$9-'Inputs-Results'!$X$9))^2+AA9^2))</f>
        <v>#DIV/0!</v>
      </c>
      <c r="AD9" s="19" t="e">
        <f t="shared" si="12"/>
        <v>#DIV/0!</v>
      </c>
      <c r="AE9" s="19" t="e">
        <f>1.49/'Inputs-Results'!$AC14*AB9*AD9^(2/3)*'Inputs-Results'!$AD14^0.5</f>
        <v>#DIV/0!</v>
      </c>
      <c r="AF9" s="27" t="e">
        <f t="shared" si="13"/>
        <v>#DIV/0!</v>
      </c>
      <c r="AG9" s="26">
        <f t="shared" si="14"/>
        <v>0</v>
      </c>
      <c r="AH9" s="19" t="e">
        <f>IF(AG9&gt;'Inputs-Results'!$V14-'Inputs-Results'!$X14,(0.5*(ABS('Inputs-Results'!$S14-'Inputs-Results'!$U14)/('Inputs-Results'!$T14-'Inputs-Results'!$V14)*(AG9-('Inputs-Results'!$V14-'Inputs-Results'!$X14)))*(AG9-('Inputs-Results'!$V14-'Inputs-Results'!$X14))),0)+IF(AG9&gt;'Inputs-Results'!$V14-'Inputs-Results'!$X14,(0.5*((AG9+'Inputs-Results'!$X14-'Inputs-Results'!$V14)+AG9)*ABS('Inputs-Results'!$U14-'Inputs-Results'!$W14)),0.5*(ABS('Inputs-Results'!$U14-'Inputs-Results'!$W14)/('Inputs-Results'!$V14-'Inputs-Results'!$X14)*AG9)*AG9)+IF(AG9&gt;'Inputs-Results'!$Z14-'Inputs-Results'!$X14,(0.5*((AG9+'Inputs-Results'!$X14-'Inputs-Results'!$Z14)+AG9)*ABS('Inputs-Results'!$Y14-'Inputs-Results'!$W14)),0.5*(ABS('Inputs-Results'!$W14-'Inputs-Results'!$Y14)/('Inputs-Results'!$Z14-'Inputs-Results'!$X14)*AG9)*AG9)+IF(AG9&gt;'Inputs-Results'!$Z14-'Inputs-Results'!$X14,(0.5*(ABS('Inputs-Results'!$Y14-'Inputs-Results'!$AA14)/('Inputs-Results'!$AB14-'Inputs-Results'!$Z14)*(AG9-('Inputs-Results'!$Z14-'Inputs-Results'!$X14)))*(AG9-('Inputs-Results'!$Z14-'Inputs-Results'!$X14))),0)</f>
        <v>#DIV/0!</v>
      </c>
      <c r="AI9" s="19" t="e">
        <f>IF(AG9&gt;'Inputs-Results'!$V$9-'Inputs-Results'!$X$9,SQRT(('Inputs-Results'!$U$9-'Inputs-Results'!$W$9)^2+('Inputs-Results'!$V$9-'Inputs-Results'!$X$9)^2)+SQRT(('Inputs-Results'!$W$9-'Inputs-Results'!$Y$9)^2+('Inputs-Results'!$X$9-'Inputs-Results'!$Z$9)^2)+SQRT((('Inputs-Results'!$S$9-'Inputs-Results'!$U$9)*(AG9+'Inputs-Results'!$X$9-'Inputs-Results'!$V$9)/('Inputs-Results'!$T$9-'Inputs-Results'!$V$9))^2+(AG9+'Inputs-Results'!$X$9-'Inputs-Results'!$V$9)^2)+SQRT((('Inputs-Results'!$AA$9-'Inputs-Results'!$Y$9)*(AG9+'Inputs-Results'!$X$9-'Inputs-Results'!$Z$9)/('Inputs-Results'!$AB$9-'Inputs-Results'!$Z$9))^2+(AG9+'Inputs-Results'!$X$9-'Inputs-Results'!$Z$9)^2),SQRT((('Inputs-Results'!$U$9-'Inputs-Results'!$W$9)*(AG9)/('Inputs-Results'!$V$9-'Inputs-Results'!$X$9))^2+AG9^2)+SQRT((('Inputs-Results'!$Y$9-'Inputs-Results'!$W$9)*AG9/('Inputs-Results'!$Z$9-'Inputs-Results'!$X$9))^2+AG9^2))</f>
        <v>#DIV/0!</v>
      </c>
      <c r="AJ9" s="19" t="e">
        <f t="shared" si="15"/>
        <v>#DIV/0!</v>
      </c>
      <c r="AK9" s="19" t="e">
        <f>1.49/'Inputs-Results'!$AC14*AH9*AJ9^(2/3)*'Inputs-Results'!$AD14^0.5</f>
        <v>#DIV/0!</v>
      </c>
      <c r="AL9" s="27" t="e">
        <f t="shared" si="16"/>
        <v>#DIV/0!</v>
      </c>
      <c r="AM9" s="26">
        <f t="shared" si="17"/>
        <v>0</v>
      </c>
      <c r="AN9" s="19" t="e">
        <f>IF(AM9&gt;'Inputs-Results'!$V14-'Inputs-Results'!$X14,(0.5*(ABS('Inputs-Results'!$S14-'Inputs-Results'!$U14)/('Inputs-Results'!$T14-'Inputs-Results'!$V14)*(AM9-('Inputs-Results'!$V14-'Inputs-Results'!$X14)))*(AM9-('Inputs-Results'!$V14-'Inputs-Results'!$X14))),0)+IF(AM9&gt;'Inputs-Results'!$V14-'Inputs-Results'!$X14,(0.5*((AM9+'Inputs-Results'!$X14-'Inputs-Results'!$V14)+AM9)*ABS('Inputs-Results'!$U14-'Inputs-Results'!$W14)),0.5*(ABS('Inputs-Results'!$U14-'Inputs-Results'!$W14)/('Inputs-Results'!$V14-'Inputs-Results'!$X14)*AM9)*AM9)+IF(AM9&gt;'Inputs-Results'!$Z14-'Inputs-Results'!$X14,(0.5*((AM9+'Inputs-Results'!$X14-'Inputs-Results'!$Z14)+AM9)*ABS('Inputs-Results'!$Y14-'Inputs-Results'!$W14)),0.5*(ABS('Inputs-Results'!$W14-'Inputs-Results'!$Y14)/('Inputs-Results'!$Z14-'Inputs-Results'!$X14)*AM9)*AM9)+IF(AM9&gt;'Inputs-Results'!$Z14-'Inputs-Results'!$X14,(0.5*(ABS('Inputs-Results'!$Y14-'Inputs-Results'!$AA14)/('Inputs-Results'!$AB14-'Inputs-Results'!$Z14)*(AM9-('Inputs-Results'!$Z14-'Inputs-Results'!$X14)))*(AM9-('Inputs-Results'!$Z14-'Inputs-Results'!$X14))),0)</f>
        <v>#DIV/0!</v>
      </c>
      <c r="AO9" s="19" t="e">
        <f>IF(AM9&gt;'Inputs-Results'!$V$9-'Inputs-Results'!$X$9,SQRT(('Inputs-Results'!$U$9-'Inputs-Results'!$W$9)^2+('Inputs-Results'!$V$9-'Inputs-Results'!$X$9)^2)+SQRT(('Inputs-Results'!$W$9-'Inputs-Results'!$Y$9)^2+('Inputs-Results'!$X$9-'Inputs-Results'!$Z$9)^2)+SQRT((('Inputs-Results'!$S$9-'Inputs-Results'!$U$9)*(AM9+'Inputs-Results'!$X$9-'Inputs-Results'!$V$9)/('Inputs-Results'!$T$9-'Inputs-Results'!$V$9))^2+(AM9+'Inputs-Results'!$X$9-'Inputs-Results'!$V$9)^2)+SQRT((('Inputs-Results'!$AA$9-'Inputs-Results'!$Y$9)*(AM9+'Inputs-Results'!$X$9-'Inputs-Results'!$Z$9)/('Inputs-Results'!$AB$9-'Inputs-Results'!$Z$9))^2+(AM9+'Inputs-Results'!$X$9-'Inputs-Results'!$Z$9)^2),SQRT((('Inputs-Results'!$U$9-'Inputs-Results'!$W$9)*(AM9)/('Inputs-Results'!$V$9-'Inputs-Results'!$X$9))^2+AM9^2)+SQRT((('Inputs-Results'!$Y$9-'Inputs-Results'!$W$9)*AM9/('Inputs-Results'!$Z$9-'Inputs-Results'!$X$9))^2+AM9^2))</f>
        <v>#DIV/0!</v>
      </c>
      <c r="AP9" s="19" t="e">
        <f t="shared" si="18"/>
        <v>#DIV/0!</v>
      </c>
      <c r="AQ9" s="19" t="e">
        <f>1.49/'Inputs-Results'!$AC14*AN9*AP9^(2/3)*'Inputs-Results'!$AD14^0.5</f>
        <v>#DIV/0!</v>
      </c>
      <c r="AR9" s="27" t="e">
        <f t="shared" si="19"/>
        <v>#DIV/0!</v>
      </c>
      <c r="AS9" s="26">
        <f t="shared" si="20"/>
        <v>0</v>
      </c>
      <c r="AT9" s="19" t="e">
        <f>IF(AS9&gt;'Inputs-Results'!$V14-'Inputs-Results'!$X14,(0.5*(ABS('Inputs-Results'!$S14-'Inputs-Results'!$U14)/('Inputs-Results'!$T14-'Inputs-Results'!$V14)*(AS9-('Inputs-Results'!$V14-'Inputs-Results'!$X14)))*(AS9-('Inputs-Results'!$V14-'Inputs-Results'!$X14))),0)+IF(AS9&gt;'Inputs-Results'!$V14-'Inputs-Results'!$X14,(0.5*((AS9+'Inputs-Results'!$X14-'Inputs-Results'!$V14)+AS9)*ABS('Inputs-Results'!$U14-'Inputs-Results'!$W14)),0.5*(ABS('Inputs-Results'!$U14-'Inputs-Results'!$W14)/('Inputs-Results'!$V14-'Inputs-Results'!$X14)*AS9)*AS9)+IF(AS9&gt;'Inputs-Results'!$Z14-'Inputs-Results'!$X14,(0.5*((AS9+'Inputs-Results'!$X14-'Inputs-Results'!$Z14)+AS9)*ABS('Inputs-Results'!$Y14-'Inputs-Results'!$W14)),0.5*(ABS('Inputs-Results'!$W14-'Inputs-Results'!$Y14)/('Inputs-Results'!$Z14-'Inputs-Results'!$X14)*AS9)*AS9)+IF(AS9&gt;'Inputs-Results'!$Z14-'Inputs-Results'!$X14,(0.5*(ABS('Inputs-Results'!$Y14-'Inputs-Results'!$AA14)/('Inputs-Results'!$AB14-'Inputs-Results'!$Z14)*(AS9-('Inputs-Results'!$Z14-'Inputs-Results'!$X14)))*(AS9-('Inputs-Results'!$Z14-'Inputs-Results'!$X14))),0)</f>
        <v>#DIV/0!</v>
      </c>
      <c r="AU9" s="19" t="e">
        <f>IF(AS9&gt;'Inputs-Results'!$V$9-'Inputs-Results'!$X$9,SQRT(('Inputs-Results'!$U$9-'Inputs-Results'!$W$9)^2+('Inputs-Results'!$V$9-'Inputs-Results'!$X$9)^2)+SQRT(('Inputs-Results'!$W$9-'Inputs-Results'!$Y$9)^2+('Inputs-Results'!$X$9-'Inputs-Results'!$Z$9)^2)+SQRT((('Inputs-Results'!$S$9-'Inputs-Results'!$U$9)*(AS9+'Inputs-Results'!$X$9-'Inputs-Results'!$V$9)/('Inputs-Results'!$T$9-'Inputs-Results'!$V$9))^2+(AS9+'Inputs-Results'!$X$9-'Inputs-Results'!$V$9)^2)+SQRT((('Inputs-Results'!$AA$9-'Inputs-Results'!$Y$9)*(AS9+'Inputs-Results'!$X$9-'Inputs-Results'!$Z$9)/('Inputs-Results'!$AB$9-'Inputs-Results'!$Z$9))^2+(AS9+'Inputs-Results'!$X$9-'Inputs-Results'!$Z$9)^2),SQRT((('Inputs-Results'!$U$9-'Inputs-Results'!$W$9)*(AS9)/('Inputs-Results'!$V$9-'Inputs-Results'!$X$9))^2+AS9^2)+SQRT((('Inputs-Results'!$Y$9-'Inputs-Results'!$W$9)*AS9/('Inputs-Results'!$Z$9-'Inputs-Results'!$X$9))^2+AS9^2))</f>
        <v>#DIV/0!</v>
      </c>
      <c r="AV9" s="19" t="e">
        <f t="shared" si="21"/>
        <v>#DIV/0!</v>
      </c>
      <c r="AW9" s="19" t="e">
        <f>1.49/'Inputs-Results'!$AC14*AT9*AV9^(2/3)*'Inputs-Results'!$AD14^0.5</f>
        <v>#DIV/0!</v>
      </c>
      <c r="AX9" s="27" t="e">
        <f t="shared" si="22"/>
        <v>#DIV/0!</v>
      </c>
      <c r="AY9" s="26">
        <f t="shared" si="23"/>
        <v>0</v>
      </c>
      <c r="AZ9" s="19" t="e">
        <f>IF(AY9&gt;'Inputs-Results'!$V14-'Inputs-Results'!$X14,(0.5*(ABS('Inputs-Results'!$S14-'Inputs-Results'!$U14)/('Inputs-Results'!$T14-'Inputs-Results'!$V14)*(AY9-('Inputs-Results'!$V14-'Inputs-Results'!$X14)))*(AY9-('Inputs-Results'!$V14-'Inputs-Results'!$X14))),0)+IF(AY9&gt;'Inputs-Results'!$V14-'Inputs-Results'!$X14,(0.5*((AY9+'Inputs-Results'!$X14-'Inputs-Results'!$V14)+AY9)*ABS('Inputs-Results'!$U14-'Inputs-Results'!$W14)),0.5*(ABS('Inputs-Results'!$U14-'Inputs-Results'!$W14)/('Inputs-Results'!$V14-'Inputs-Results'!$X14)*AY9)*AY9)+IF(AY9&gt;'Inputs-Results'!$Z14-'Inputs-Results'!$X14,(0.5*((AY9+'Inputs-Results'!$X14-'Inputs-Results'!$Z14)+AY9)*ABS('Inputs-Results'!$Y14-'Inputs-Results'!$W14)),0.5*(ABS('Inputs-Results'!$W14-'Inputs-Results'!$Y14)/('Inputs-Results'!$Z14-'Inputs-Results'!$X14)*AY9)*AY9)+IF(AY9&gt;'Inputs-Results'!$Z14-'Inputs-Results'!$X14,(0.5*(ABS('Inputs-Results'!$Y14-'Inputs-Results'!$AA14)/('Inputs-Results'!$AB14-'Inputs-Results'!$Z14)*(AY9-('Inputs-Results'!$Z14-'Inputs-Results'!$X14)))*(AY9-('Inputs-Results'!$Z14-'Inputs-Results'!$X14))),0)</f>
        <v>#DIV/0!</v>
      </c>
      <c r="BA9" s="19" t="e">
        <f>IF(AY9&gt;'Inputs-Results'!$V$9-'Inputs-Results'!$X$9,SQRT(('Inputs-Results'!$U$9-'Inputs-Results'!$W$9)^2+('Inputs-Results'!$V$9-'Inputs-Results'!$X$9)^2)+SQRT(('Inputs-Results'!$W$9-'Inputs-Results'!$Y$9)^2+('Inputs-Results'!$X$9-'Inputs-Results'!$Z$9)^2)+SQRT((('Inputs-Results'!$S$9-'Inputs-Results'!$U$9)*(AY9+'Inputs-Results'!$X$9-'Inputs-Results'!$V$9)/('Inputs-Results'!$T$9-'Inputs-Results'!$V$9))^2+(AY9+'Inputs-Results'!$X$9-'Inputs-Results'!$V$9)^2)+SQRT((('Inputs-Results'!$AA$9-'Inputs-Results'!$Y$9)*(AY9+'Inputs-Results'!$X$9-'Inputs-Results'!$Z$9)/('Inputs-Results'!$AB$9-'Inputs-Results'!$Z$9))^2+(AY9+'Inputs-Results'!$X$9-'Inputs-Results'!$Z$9)^2),SQRT((('Inputs-Results'!$U$9-'Inputs-Results'!$W$9)*(AY9)/('Inputs-Results'!$V$9-'Inputs-Results'!$X$9))^2+AY9^2)+SQRT((('Inputs-Results'!$Y$9-'Inputs-Results'!$W$9)*AY9/('Inputs-Results'!$Z$9-'Inputs-Results'!$X$9))^2+AY9^2))</f>
        <v>#DIV/0!</v>
      </c>
      <c r="BB9" s="19" t="e">
        <f t="shared" si="24"/>
        <v>#DIV/0!</v>
      </c>
      <c r="BC9" s="19" t="e">
        <f>1.49/'Inputs-Results'!$AC14*AZ9*BB9^(2/3)*'Inputs-Results'!$AD14^0.5</f>
        <v>#DIV/0!</v>
      </c>
      <c r="BD9" s="27" t="e">
        <f t="shared" si="25"/>
        <v>#DIV/0!</v>
      </c>
      <c r="BE9" s="26">
        <f t="shared" si="26"/>
        <v>0</v>
      </c>
      <c r="BF9" s="19" t="e">
        <f>IF(BE9&gt;'Inputs-Results'!$V14-'Inputs-Results'!$X14,(0.5*(ABS('Inputs-Results'!$S14-'Inputs-Results'!$U14)/('Inputs-Results'!$T14-'Inputs-Results'!$V14)*(BE9-('Inputs-Results'!$V14-'Inputs-Results'!$X14)))*(BE9-('Inputs-Results'!$V14-'Inputs-Results'!$X14))),0)+IF(BE9&gt;'Inputs-Results'!$V14-'Inputs-Results'!$X14,(0.5*((BE9+'Inputs-Results'!$X14-'Inputs-Results'!$V14)+BE9)*ABS('Inputs-Results'!$U14-'Inputs-Results'!$W14)),0.5*(ABS('Inputs-Results'!$U14-'Inputs-Results'!$W14)/('Inputs-Results'!$V14-'Inputs-Results'!$X14)*BE9)*BE9)+IF(BE9&gt;'Inputs-Results'!$Z14-'Inputs-Results'!$X14,(0.5*((BE9+'Inputs-Results'!$X14-'Inputs-Results'!$Z14)+BE9)*ABS('Inputs-Results'!$Y14-'Inputs-Results'!$W14)),0.5*(ABS('Inputs-Results'!$W14-'Inputs-Results'!$Y14)/('Inputs-Results'!$Z14-'Inputs-Results'!$X14)*BE9)*BE9)+IF(BE9&gt;'Inputs-Results'!$Z14-'Inputs-Results'!$X14,(0.5*(ABS('Inputs-Results'!$Y14-'Inputs-Results'!$AA14)/('Inputs-Results'!$AB14-'Inputs-Results'!$Z14)*(BE9-('Inputs-Results'!$Z14-'Inputs-Results'!$X14)))*(BE9-('Inputs-Results'!$Z14-'Inputs-Results'!$X14))),0)</f>
        <v>#DIV/0!</v>
      </c>
      <c r="BG9" s="19" t="e">
        <f>IF(BE9&gt;'Inputs-Results'!$V$9-'Inputs-Results'!$X$9,SQRT(('Inputs-Results'!$U$9-'Inputs-Results'!$W$9)^2+('Inputs-Results'!$V$9-'Inputs-Results'!$X$9)^2)+SQRT(('Inputs-Results'!$W$9-'Inputs-Results'!$Y$9)^2+('Inputs-Results'!$X$9-'Inputs-Results'!$Z$9)^2)+SQRT((('Inputs-Results'!$S$9-'Inputs-Results'!$U$9)*(BE9+'Inputs-Results'!$X$9-'Inputs-Results'!$V$9)/('Inputs-Results'!$T$9-'Inputs-Results'!$V$9))^2+(BE9+'Inputs-Results'!$X$9-'Inputs-Results'!$V$9)^2)+SQRT((('Inputs-Results'!$AA$9-'Inputs-Results'!$Y$9)*(BE9+'Inputs-Results'!$X$9-'Inputs-Results'!$Z$9)/('Inputs-Results'!$AB$9-'Inputs-Results'!$Z$9))^2+(BE9+'Inputs-Results'!$X$9-'Inputs-Results'!$Z$9)^2),SQRT((('Inputs-Results'!$U$9-'Inputs-Results'!$W$9)*(BE9)/('Inputs-Results'!$V$9-'Inputs-Results'!$X$9))^2+BE9^2)+SQRT((('Inputs-Results'!$Y$9-'Inputs-Results'!$W$9)*BE9/('Inputs-Results'!$Z$9-'Inputs-Results'!$X$9))^2+BE9^2))</f>
        <v>#DIV/0!</v>
      </c>
      <c r="BH9" s="19" t="e">
        <f t="shared" si="27"/>
        <v>#DIV/0!</v>
      </c>
      <c r="BI9" s="19" t="e">
        <f>1.49/'Inputs-Results'!$AC14*BF9*BH9^(2/3)*'Inputs-Results'!$AD14^0.5</f>
        <v>#DIV/0!</v>
      </c>
      <c r="BJ9" s="27" t="e">
        <f t="shared" si="28"/>
        <v>#DIV/0!</v>
      </c>
    </row>
    <row r="10" spans="1:62" x14ac:dyDescent="0.25">
      <c r="A10" s="2">
        <v>0</v>
      </c>
      <c r="B10" s="17"/>
      <c r="C10" s="26">
        <f>MIN('Inputs-Results'!T15-'Inputs-Results'!X15,'Inputs-Results'!AB15-'Inputs-Results'!X15)</f>
        <v>0</v>
      </c>
      <c r="D10" s="19" t="e">
        <f>IF(C10&gt;'Inputs-Results'!$V15-'Inputs-Results'!$X15,(0.5*(ABS('Inputs-Results'!$S15-'Inputs-Results'!$U15)/('Inputs-Results'!$T15-'Inputs-Results'!$V15)*(C10-('Inputs-Results'!$V15-'Inputs-Results'!$X15)))*(C10-('Inputs-Results'!$V15-'Inputs-Results'!$X15))),0)+IF(C10&gt;'Inputs-Results'!$V15-'Inputs-Results'!$X15,(0.5*((C10+'Inputs-Results'!$X15-'Inputs-Results'!$V15)+C10)*ABS('Inputs-Results'!$U15-'Inputs-Results'!$W15)),0.5*(ABS('Inputs-Results'!$U15-'Inputs-Results'!$W15)/('Inputs-Results'!$V15-'Inputs-Results'!$X15)*C10)*C10)+IF(C10&gt;'Inputs-Results'!$Z15-'Inputs-Results'!$X15,(0.5*((C10+'Inputs-Results'!$X15-'Inputs-Results'!$Z15)+C10)*ABS('Inputs-Results'!$Y15-'Inputs-Results'!$W15)),0.5*(ABS('Inputs-Results'!$W15-'Inputs-Results'!$Y15)/('Inputs-Results'!$Z15-'Inputs-Results'!$X15)*C10)*C10)+IF(C10&gt;'Inputs-Results'!$Z15-'Inputs-Results'!$X15,(0.5*(ABS('Inputs-Results'!$Y15-'Inputs-Results'!$AA15)/('Inputs-Results'!$AB15-'Inputs-Results'!$Z15)*(C10-('Inputs-Results'!$Z15-'Inputs-Results'!$X15)))*(C10-('Inputs-Results'!$Z15-'Inputs-Results'!$X15))),0)</f>
        <v>#DIV/0!</v>
      </c>
      <c r="E10" s="19" t="e">
        <f>IF(C10&gt;'Inputs-Results'!$V$9-'Inputs-Results'!$X$9,SQRT(('Inputs-Results'!$U$9-'Inputs-Results'!$W$9)^2+('Inputs-Results'!$V$9-'Inputs-Results'!$X$9)^2)+SQRT(('Inputs-Results'!$W$9-'Inputs-Results'!$Y$9)^2+('Inputs-Results'!$X$9-'Inputs-Results'!$Z$9)^2)+SQRT((('Inputs-Results'!$S$9-'Inputs-Results'!$U$9)*(C10+'Inputs-Results'!$X$9-'Inputs-Results'!$V$9)/('Inputs-Results'!$T$9-'Inputs-Results'!$V$9))^2+(C10+'Inputs-Results'!$X$9-'Inputs-Results'!$V$9)^2)+SQRT((('Inputs-Results'!$AA$9-'Inputs-Results'!$Y$9)*(C10+'Inputs-Results'!$X$9-'Inputs-Results'!$Z$9)/('Inputs-Results'!$AB$9-'Inputs-Results'!$Z$9))^2+(C10+'Inputs-Results'!$X$9-'Inputs-Results'!$Z$9)^2),SQRT((('Inputs-Results'!$U$9-'Inputs-Results'!$W$9)*(C10)/('Inputs-Results'!$V$9-'Inputs-Results'!$X$9))^2+C10^2)+SQRT((('Inputs-Results'!$Y$9-'Inputs-Results'!$W$9)*C10/('Inputs-Results'!$Z$9-'Inputs-Results'!$X$9))^2+C10^2))</f>
        <v>#DIV/0!</v>
      </c>
      <c r="F10" s="19" t="e">
        <f t="shared" si="0"/>
        <v>#DIV/0!</v>
      </c>
      <c r="G10" s="19" t="e">
        <f>1.49/'Inputs-Results'!AC15*D10*F10^(2/3)*'Inputs-Results'!AD15^0.5</f>
        <v>#DIV/0!</v>
      </c>
      <c r="H10" s="27" t="e">
        <f t="shared" si="1"/>
        <v>#DIV/0!</v>
      </c>
      <c r="I10" s="26">
        <f t="shared" si="2"/>
        <v>0</v>
      </c>
      <c r="J10" s="19" t="e">
        <f>IF(I10&gt;'Inputs-Results'!$V15-'Inputs-Results'!$X15,(0.5*(ABS('Inputs-Results'!$S15-'Inputs-Results'!$U15)/('Inputs-Results'!$T15-'Inputs-Results'!$V15)*(I10-('Inputs-Results'!$V15-'Inputs-Results'!$X15)))*(I10-('Inputs-Results'!$V15-'Inputs-Results'!$X15))),0)+IF(I10&gt;'Inputs-Results'!$V15-'Inputs-Results'!$X15,(0.5*((I10+'Inputs-Results'!$X15-'Inputs-Results'!$V15)+I10)*ABS('Inputs-Results'!$U15-'Inputs-Results'!$W15)),0.5*(ABS('Inputs-Results'!$U15-'Inputs-Results'!$W15)/('Inputs-Results'!$V15-'Inputs-Results'!$X15)*I10)*I10)+IF(I10&gt;'Inputs-Results'!$Z15-'Inputs-Results'!$X15,(0.5*((I10+'Inputs-Results'!$X15-'Inputs-Results'!$Z15)+I10)*ABS('Inputs-Results'!$Y15-'Inputs-Results'!$W15)),0.5*(ABS('Inputs-Results'!$W15-'Inputs-Results'!$Y15)/('Inputs-Results'!$Z15-'Inputs-Results'!$X15)*I10)*I10)+IF(I10&gt;'Inputs-Results'!$Z15-'Inputs-Results'!$X15,(0.5*(ABS('Inputs-Results'!$Y15-'Inputs-Results'!$AA15)/('Inputs-Results'!$AB15-'Inputs-Results'!$Z15)*(I10-('Inputs-Results'!$Z15-'Inputs-Results'!$X15)))*(I10-('Inputs-Results'!$Z15-'Inputs-Results'!$X15))),0)</f>
        <v>#DIV/0!</v>
      </c>
      <c r="K10" s="19" t="e">
        <f>IF(I10&gt;'Inputs-Results'!$V$9-'Inputs-Results'!$X$9,SQRT(('Inputs-Results'!$U$9-'Inputs-Results'!$W$9)^2+('Inputs-Results'!$V$9-'Inputs-Results'!$X$9)^2)+SQRT(('Inputs-Results'!$W$9-'Inputs-Results'!$Y$9)^2+('Inputs-Results'!$X$9-'Inputs-Results'!$Z$9)^2)+SQRT((('Inputs-Results'!$S$9-'Inputs-Results'!$U$9)*(I10+'Inputs-Results'!$X$9-'Inputs-Results'!$V$9)/('Inputs-Results'!$T$9-'Inputs-Results'!$V$9))^2+(I10+'Inputs-Results'!$X$9-'Inputs-Results'!$V$9)^2)+SQRT((('Inputs-Results'!$AA$9-'Inputs-Results'!$Y$9)*(I10+'Inputs-Results'!$X$9-'Inputs-Results'!$Z$9)/('Inputs-Results'!$AB$9-'Inputs-Results'!$Z$9))^2+(I10+'Inputs-Results'!$X$9-'Inputs-Results'!$Z$9)^2),SQRT((('Inputs-Results'!$U$9-'Inputs-Results'!$W$9)*(I10)/('Inputs-Results'!$V$9-'Inputs-Results'!$X$9))^2+I10^2)+SQRT((('Inputs-Results'!$Y$9-'Inputs-Results'!$W$9)*I10/('Inputs-Results'!$Z$9-'Inputs-Results'!$X$9))^2+I10^2))</f>
        <v>#DIV/0!</v>
      </c>
      <c r="L10" s="19" t="e">
        <f t="shared" si="3"/>
        <v>#DIV/0!</v>
      </c>
      <c r="M10" s="19" t="e">
        <f>1.49/'Inputs-Results'!$AC15*J10*L10^(2/3)*'Inputs-Results'!$AD15^0.5</f>
        <v>#DIV/0!</v>
      </c>
      <c r="N10" s="27" t="e">
        <f t="shared" si="4"/>
        <v>#DIV/0!</v>
      </c>
      <c r="O10" s="26">
        <f t="shared" si="5"/>
        <v>0</v>
      </c>
      <c r="P10" s="19" t="e">
        <f>IF(O10&gt;'Inputs-Results'!$V15-'Inputs-Results'!$X15,(0.5*(ABS('Inputs-Results'!$S15-'Inputs-Results'!$U15)/('Inputs-Results'!$T15-'Inputs-Results'!$V15)*(O10-('Inputs-Results'!$V15-'Inputs-Results'!$X15)))*(O10-('Inputs-Results'!$V15-'Inputs-Results'!$X15))),0)+IF(O10&gt;'Inputs-Results'!$V15-'Inputs-Results'!$X15,(0.5*((O10+'Inputs-Results'!$X15-'Inputs-Results'!$V15)+O10)*ABS('Inputs-Results'!$U15-'Inputs-Results'!$W15)),0.5*(ABS('Inputs-Results'!$U15-'Inputs-Results'!$W15)/('Inputs-Results'!$V15-'Inputs-Results'!$X15)*O10)*O10)+IF(O10&gt;'Inputs-Results'!$Z15-'Inputs-Results'!$X15,(0.5*((O10+'Inputs-Results'!$X15-'Inputs-Results'!$Z15)+O10)*ABS('Inputs-Results'!$Y15-'Inputs-Results'!$W15)),0.5*(ABS('Inputs-Results'!$W15-'Inputs-Results'!$Y15)/('Inputs-Results'!$Z15-'Inputs-Results'!$X15)*O10)*O10)+IF(O10&gt;'Inputs-Results'!$Z15-'Inputs-Results'!$X15,(0.5*(ABS('Inputs-Results'!$Y15-'Inputs-Results'!$AA15)/('Inputs-Results'!$AB15-'Inputs-Results'!$Z15)*(O10-('Inputs-Results'!$Z15-'Inputs-Results'!$X15)))*(O10-('Inputs-Results'!$Z15-'Inputs-Results'!$X15))),0)</f>
        <v>#DIV/0!</v>
      </c>
      <c r="Q10" s="19" t="e">
        <f>IF(O10&gt;'Inputs-Results'!$V$9-'Inputs-Results'!$X$9,SQRT(('Inputs-Results'!$U$9-'Inputs-Results'!$W$9)^2+('Inputs-Results'!$V$9-'Inputs-Results'!$X$9)^2)+SQRT(('Inputs-Results'!$W$9-'Inputs-Results'!$Y$9)^2+('Inputs-Results'!$X$9-'Inputs-Results'!$Z$9)^2)+SQRT((('Inputs-Results'!$S$9-'Inputs-Results'!$U$9)*(O10+'Inputs-Results'!$X$9-'Inputs-Results'!$V$9)/('Inputs-Results'!$T$9-'Inputs-Results'!$V$9))^2+(O10+'Inputs-Results'!$X$9-'Inputs-Results'!$V$9)^2)+SQRT((('Inputs-Results'!$AA$9-'Inputs-Results'!$Y$9)*(O10+'Inputs-Results'!$X$9-'Inputs-Results'!$Z$9)/('Inputs-Results'!$AB$9-'Inputs-Results'!$Z$9))^2+(O10+'Inputs-Results'!$X$9-'Inputs-Results'!$Z$9)^2),SQRT((('Inputs-Results'!$U$9-'Inputs-Results'!$W$9)*(O10)/('Inputs-Results'!$V$9-'Inputs-Results'!$X$9))^2+O10^2)+SQRT((('Inputs-Results'!$Y$9-'Inputs-Results'!$W$9)*O10/('Inputs-Results'!$Z$9-'Inputs-Results'!$X$9))^2+O10^2))</f>
        <v>#DIV/0!</v>
      </c>
      <c r="R10" s="19" t="e">
        <f t="shared" si="6"/>
        <v>#DIV/0!</v>
      </c>
      <c r="S10" s="19" t="e">
        <f>1.49/'Inputs-Results'!$AC15*P10*R10^(2/3)*'Inputs-Results'!$AD15^0.5</f>
        <v>#DIV/0!</v>
      </c>
      <c r="T10" s="27" t="e">
        <f t="shared" si="7"/>
        <v>#DIV/0!</v>
      </c>
      <c r="U10" s="26">
        <f t="shared" si="8"/>
        <v>0</v>
      </c>
      <c r="V10" s="19" t="e">
        <f>IF(U10&gt;'Inputs-Results'!$V15-'Inputs-Results'!$X15,(0.5*(ABS('Inputs-Results'!$S15-'Inputs-Results'!$U15)/('Inputs-Results'!$T15-'Inputs-Results'!$V15)*(U10-('Inputs-Results'!$V15-'Inputs-Results'!$X15)))*(U10-('Inputs-Results'!$V15-'Inputs-Results'!$X15))),0)+IF(U10&gt;'Inputs-Results'!$V15-'Inputs-Results'!$X15,(0.5*((U10+'Inputs-Results'!$X15-'Inputs-Results'!$V15)+U10)*ABS('Inputs-Results'!$U15-'Inputs-Results'!$W15)),0.5*(ABS('Inputs-Results'!$U15-'Inputs-Results'!$W15)/('Inputs-Results'!$V15-'Inputs-Results'!$X15)*U10)*U10)+IF(U10&gt;'Inputs-Results'!$Z15-'Inputs-Results'!$X15,(0.5*((U10+'Inputs-Results'!$X15-'Inputs-Results'!$Z15)+U10)*ABS('Inputs-Results'!$Y15-'Inputs-Results'!$W15)),0.5*(ABS('Inputs-Results'!$W15-'Inputs-Results'!$Y15)/('Inputs-Results'!$Z15-'Inputs-Results'!$X15)*U10)*U10)+IF(U10&gt;'Inputs-Results'!$Z15-'Inputs-Results'!$X15,(0.5*(ABS('Inputs-Results'!$Y15-'Inputs-Results'!$AA15)/('Inputs-Results'!$AB15-'Inputs-Results'!$Z15)*(U10-('Inputs-Results'!$Z15-'Inputs-Results'!$X15)))*(U10-('Inputs-Results'!$Z15-'Inputs-Results'!$X15))),0)</f>
        <v>#DIV/0!</v>
      </c>
      <c r="W10" s="19" t="e">
        <f>IF(U10&gt;'Inputs-Results'!$V$9-'Inputs-Results'!$X$9,SQRT(('Inputs-Results'!$U$9-'Inputs-Results'!$W$9)^2+('Inputs-Results'!$V$9-'Inputs-Results'!$X$9)^2)+SQRT(('Inputs-Results'!$W$9-'Inputs-Results'!$Y$9)^2+('Inputs-Results'!$X$9-'Inputs-Results'!$Z$9)^2)+SQRT((('Inputs-Results'!$S$9-'Inputs-Results'!$U$9)*(U10+'Inputs-Results'!$X$9-'Inputs-Results'!$V$9)/('Inputs-Results'!$T$9-'Inputs-Results'!$V$9))^2+(U10+'Inputs-Results'!$X$9-'Inputs-Results'!$V$9)^2)+SQRT((('Inputs-Results'!$AA$9-'Inputs-Results'!$Y$9)*(U10+'Inputs-Results'!$X$9-'Inputs-Results'!$Z$9)/('Inputs-Results'!$AB$9-'Inputs-Results'!$Z$9))^2+(U10+'Inputs-Results'!$X$9-'Inputs-Results'!$Z$9)^2),SQRT((('Inputs-Results'!$U$9-'Inputs-Results'!$W$9)*(U10)/('Inputs-Results'!$V$9-'Inputs-Results'!$X$9))^2+U10^2)+SQRT((('Inputs-Results'!$Y$9-'Inputs-Results'!$W$9)*U10/('Inputs-Results'!$Z$9-'Inputs-Results'!$X$9))^2+U10^2))</f>
        <v>#DIV/0!</v>
      </c>
      <c r="X10" s="19" t="e">
        <f t="shared" si="9"/>
        <v>#DIV/0!</v>
      </c>
      <c r="Y10" s="19" t="e">
        <f>1.49/'Inputs-Results'!$AC15*V10*X10^(2/3)*'Inputs-Results'!$AD15^0.5</f>
        <v>#DIV/0!</v>
      </c>
      <c r="Z10" s="27" t="e">
        <f t="shared" si="10"/>
        <v>#DIV/0!</v>
      </c>
      <c r="AA10" s="26">
        <f t="shared" si="11"/>
        <v>0</v>
      </c>
      <c r="AB10" s="19" t="e">
        <f>IF(AA10&gt;'Inputs-Results'!$V15-'Inputs-Results'!$X15,(0.5*(ABS('Inputs-Results'!$S15-'Inputs-Results'!$U15)/('Inputs-Results'!$T15-'Inputs-Results'!$V15)*(AA10-('Inputs-Results'!$V15-'Inputs-Results'!$X15)))*(AA10-('Inputs-Results'!$V15-'Inputs-Results'!$X15))),0)+IF(AA10&gt;'Inputs-Results'!$V15-'Inputs-Results'!$X15,(0.5*((AA10+'Inputs-Results'!$X15-'Inputs-Results'!$V15)+AA10)*ABS('Inputs-Results'!$U15-'Inputs-Results'!$W15)),0.5*(ABS('Inputs-Results'!$U15-'Inputs-Results'!$W15)/('Inputs-Results'!$V15-'Inputs-Results'!$X15)*AA10)*AA10)+IF(AA10&gt;'Inputs-Results'!$Z15-'Inputs-Results'!$X15,(0.5*((AA10+'Inputs-Results'!$X15-'Inputs-Results'!$Z15)+AA10)*ABS('Inputs-Results'!$Y15-'Inputs-Results'!$W15)),0.5*(ABS('Inputs-Results'!$W15-'Inputs-Results'!$Y15)/('Inputs-Results'!$Z15-'Inputs-Results'!$X15)*AA10)*AA10)+IF(AA10&gt;'Inputs-Results'!$Z15-'Inputs-Results'!$X15,(0.5*(ABS('Inputs-Results'!$Y15-'Inputs-Results'!$AA15)/('Inputs-Results'!$AB15-'Inputs-Results'!$Z15)*(AA10-('Inputs-Results'!$Z15-'Inputs-Results'!$X15)))*(AA10-('Inputs-Results'!$Z15-'Inputs-Results'!$X15))),0)</f>
        <v>#DIV/0!</v>
      </c>
      <c r="AC10" s="19" t="e">
        <f>IF(AA10&gt;'Inputs-Results'!$V$9-'Inputs-Results'!$X$9,SQRT(('Inputs-Results'!$U$9-'Inputs-Results'!$W$9)^2+('Inputs-Results'!$V$9-'Inputs-Results'!$X$9)^2)+SQRT(('Inputs-Results'!$W$9-'Inputs-Results'!$Y$9)^2+('Inputs-Results'!$X$9-'Inputs-Results'!$Z$9)^2)+SQRT((('Inputs-Results'!$S$9-'Inputs-Results'!$U$9)*(AA10+'Inputs-Results'!$X$9-'Inputs-Results'!$V$9)/('Inputs-Results'!$T$9-'Inputs-Results'!$V$9))^2+(AA10+'Inputs-Results'!$X$9-'Inputs-Results'!$V$9)^2)+SQRT((('Inputs-Results'!$AA$9-'Inputs-Results'!$Y$9)*(AA10+'Inputs-Results'!$X$9-'Inputs-Results'!$Z$9)/('Inputs-Results'!$AB$9-'Inputs-Results'!$Z$9))^2+(AA10+'Inputs-Results'!$X$9-'Inputs-Results'!$Z$9)^2),SQRT((('Inputs-Results'!$U$9-'Inputs-Results'!$W$9)*(AA10)/('Inputs-Results'!$V$9-'Inputs-Results'!$X$9))^2+AA10^2)+SQRT((('Inputs-Results'!$Y$9-'Inputs-Results'!$W$9)*AA10/('Inputs-Results'!$Z$9-'Inputs-Results'!$X$9))^2+AA10^2))</f>
        <v>#DIV/0!</v>
      </c>
      <c r="AD10" s="19" t="e">
        <f t="shared" si="12"/>
        <v>#DIV/0!</v>
      </c>
      <c r="AE10" s="19" t="e">
        <f>1.49/'Inputs-Results'!$AC15*AB10*AD10^(2/3)*'Inputs-Results'!$AD15^0.5</f>
        <v>#DIV/0!</v>
      </c>
      <c r="AF10" s="27" t="e">
        <f t="shared" si="13"/>
        <v>#DIV/0!</v>
      </c>
      <c r="AG10" s="26">
        <f t="shared" si="14"/>
        <v>0</v>
      </c>
      <c r="AH10" s="19" t="e">
        <f>IF(AG10&gt;'Inputs-Results'!$V15-'Inputs-Results'!$X15,(0.5*(ABS('Inputs-Results'!$S15-'Inputs-Results'!$U15)/('Inputs-Results'!$T15-'Inputs-Results'!$V15)*(AG10-('Inputs-Results'!$V15-'Inputs-Results'!$X15)))*(AG10-('Inputs-Results'!$V15-'Inputs-Results'!$X15))),0)+IF(AG10&gt;'Inputs-Results'!$V15-'Inputs-Results'!$X15,(0.5*((AG10+'Inputs-Results'!$X15-'Inputs-Results'!$V15)+AG10)*ABS('Inputs-Results'!$U15-'Inputs-Results'!$W15)),0.5*(ABS('Inputs-Results'!$U15-'Inputs-Results'!$W15)/('Inputs-Results'!$V15-'Inputs-Results'!$X15)*AG10)*AG10)+IF(AG10&gt;'Inputs-Results'!$Z15-'Inputs-Results'!$X15,(0.5*((AG10+'Inputs-Results'!$X15-'Inputs-Results'!$Z15)+AG10)*ABS('Inputs-Results'!$Y15-'Inputs-Results'!$W15)),0.5*(ABS('Inputs-Results'!$W15-'Inputs-Results'!$Y15)/('Inputs-Results'!$Z15-'Inputs-Results'!$X15)*AG10)*AG10)+IF(AG10&gt;'Inputs-Results'!$Z15-'Inputs-Results'!$X15,(0.5*(ABS('Inputs-Results'!$Y15-'Inputs-Results'!$AA15)/('Inputs-Results'!$AB15-'Inputs-Results'!$Z15)*(AG10-('Inputs-Results'!$Z15-'Inputs-Results'!$X15)))*(AG10-('Inputs-Results'!$Z15-'Inputs-Results'!$X15))),0)</f>
        <v>#DIV/0!</v>
      </c>
      <c r="AI10" s="19" t="e">
        <f>IF(AG10&gt;'Inputs-Results'!$V$9-'Inputs-Results'!$X$9,SQRT(('Inputs-Results'!$U$9-'Inputs-Results'!$W$9)^2+('Inputs-Results'!$V$9-'Inputs-Results'!$X$9)^2)+SQRT(('Inputs-Results'!$W$9-'Inputs-Results'!$Y$9)^2+('Inputs-Results'!$X$9-'Inputs-Results'!$Z$9)^2)+SQRT((('Inputs-Results'!$S$9-'Inputs-Results'!$U$9)*(AG10+'Inputs-Results'!$X$9-'Inputs-Results'!$V$9)/('Inputs-Results'!$T$9-'Inputs-Results'!$V$9))^2+(AG10+'Inputs-Results'!$X$9-'Inputs-Results'!$V$9)^2)+SQRT((('Inputs-Results'!$AA$9-'Inputs-Results'!$Y$9)*(AG10+'Inputs-Results'!$X$9-'Inputs-Results'!$Z$9)/('Inputs-Results'!$AB$9-'Inputs-Results'!$Z$9))^2+(AG10+'Inputs-Results'!$X$9-'Inputs-Results'!$Z$9)^2),SQRT((('Inputs-Results'!$U$9-'Inputs-Results'!$W$9)*(AG10)/('Inputs-Results'!$V$9-'Inputs-Results'!$X$9))^2+AG10^2)+SQRT((('Inputs-Results'!$Y$9-'Inputs-Results'!$W$9)*AG10/('Inputs-Results'!$Z$9-'Inputs-Results'!$X$9))^2+AG10^2))</f>
        <v>#DIV/0!</v>
      </c>
      <c r="AJ10" s="19" t="e">
        <f t="shared" si="15"/>
        <v>#DIV/0!</v>
      </c>
      <c r="AK10" s="19" t="e">
        <f>1.49/'Inputs-Results'!$AC15*AH10*AJ10^(2/3)*'Inputs-Results'!$AD15^0.5</f>
        <v>#DIV/0!</v>
      </c>
      <c r="AL10" s="27" t="e">
        <f t="shared" si="16"/>
        <v>#DIV/0!</v>
      </c>
      <c r="AM10" s="26">
        <f t="shared" si="17"/>
        <v>0</v>
      </c>
      <c r="AN10" s="19" t="e">
        <f>IF(AM10&gt;'Inputs-Results'!$V15-'Inputs-Results'!$X15,(0.5*(ABS('Inputs-Results'!$S15-'Inputs-Results'!$U15)/('Inputs-Results'!$T15-'Inputs-Results'!$V15)*(AM10-('Inputs-Results'!$V15-'Inputs-Results'!$X15)))*(AM10-('Inputs-Results'!$V15-'Inputs-Results'!$X15))),0)+IF(AM10&gt;'Inputs-Results'!$V15-'Inputs-Results'!$X15,(0.5*((AM10+'Inputs-Results'!$X15-'Inputs-Results'!$V15)+AM10)*ABS('Inputs-Results'!$U15-'Inputs-Results'!$W15)),0.5*(ABS('Inputs-Results'!$U15-'Inputs-Results'!$W15)/('Inputs-Results'!$V15-'Inputs-Results'!$X15)*AM10)*AM10)+IF(AM10&gt;'Inputs-Results'!$Z15-'Inputs-Results'!$X15,(0.5*((AM10+'Inputs-Results'!$X15-'Inputs-Results'!$Z15)+AM10)*ABS('Inputs-Results'!$Y15-'Inputs-Results'!$W15)),0.5*(ABS('Inputs-Results'!$W15-'Inputs-Results'!$Y15)/('Inputs-Results'!$Z15-'Inputs-Results'!$X15)*AM10)*AM10)+IF(AM10&gt;'Inputs-Results'!$Z15-'Inputs-Results'!$X15,(0.5*(ABS('Inputs-Results'!$Y15-'Inputs-Results'!$AA15)/('Inputs-Results'!$AB15-'Inputs-Results'!$Z15)*(AM10-('Inputs-Results'!$Z15-'Inputs-Results'!$X15)))*(AM10-('Inputs-Results'!$Z15-'Inputs-Results'!$X15))),0)</f>
        <v>#DIV/0!</v>
      </c>
      <c r="AO10" s="19" t="e">
        <f>IF(AM10&gt;'Inputs-Results'!$V$9-'Inputs-Results'!$X$9,SQRT(('Inputs-Results'!$U$9-'Inputs-Results'!$W$9)^2+('Inputs-Results'!$V$9-'Inputs-Results'!$X$9)^2)+SQRT(('Inputs-Results'!$W$9-'Inputs-Results'!$Y$9)^2+('Inputs-Results'!$X$9-'Inputs-Results'!$Z$9)^2)+SQRT((('Inputs-Results'!$S$9-'Inputs-Results'!$U$9)*(AM10+'Inputs-Results'!$X$9-'Inputs-Results'!$V$9)/('Inputs-Results'!$T$9-'Inputs-Results'!$V$9))^2+(AM10+'Inputs-Results'!$X$9-'Inputs-Results'!$V$9)^2)+SQRT((('Inputs-Results'!$AA$9-'Inputs-Results'!$Y$9)*(AM10+'Inputs-Results'!$X$9-'Inputs-Results'!$Z$9)/('Inputs-Results'!$AB$9-'Inputs-Results'!$Z$9))^2+(AM10+'Inputs-Results'!$X$9-'Inputs-Results'!$Z$9)^2),SQRT((('Inputs-Results'!$U$9-'Inputs-Results'!$W$9)*(AM10)/('Inputs-Results'!$V$9-'Inputs-Results'!$X$9))^2+AM10^2)+SQRT((('Inputs-Results'!$Y$9-'Inputs-Results'!$W$9)*AM10/('Inputs-Results'!$Z$9-'Inputs-Results'!$X$9))^2+AM10^2))</f>
        <v>#DIV/0!</v>
      </c>
      <c r="AP10" s="19" t="e">
        <f t="shared" si="18"/>
        <v>#DIV/0!</v>
      </c>
      <c r="AQ10" s="19" t="e">
        <f>1.49/'Inputs-Results'!$AC15*AN10*AP10^(2/3)*'Inputs-Results'!$AD15^0.5</f>
        <v>#DIV/0!</v>
      </c>
      <c r="AR10" s="27" t="e">
        <f t="shared" si="19"/>
        <v>#DIV/0!</v>
      </c>
      <c r="AS10" s="26">
        <f t="shared" si="20"/>
        <v>0</v>
      </c>
      <c r="AT10" s="19" t="e">
        <f>IF(AS10&gt;'Inputs-Results'!$V15-'Inputs-Results'!$X15,(0.5*(ABS('Inputs-Results'!$S15-'Inputs-Results'!$U15)/('Inputs-Results'!$T15-'Inputs-Results'!$V15)*(AS10-('Inputs-Results'!$V15-'Inputs-Results'!$X15)))*(AS10-('Inputs-Results'!$V15-'Inputs-Results'!$X15))),0)+IF(AS10&gt;'Inputs-Results'!$V15-'Inputs-Results'!$X15,(0.5*((AS10+'Inputs-Results'!$X15-'Inputs-Results'!$V15)+AS10)*ABS('Inputs-Results'!$U15-'Inputs-Results'!$W15)),0.5*(ABS('Inputs-Results'!$U15-'Inputs-Results'!$W15)/('Inputs-Results'!$V15-'Inputs-Results'!$X15)*AS10)*AS10)+IF(AS10&gt;'Inputs-Results'!$Z15-'Inputs-Results'!$X15,(0.5*((AS10+'Inputs-Results'!$X15-'Inputs-Results'!$Z15)+AS10)*ABS('Inputs-Results'!$Y15-'Inputs-Results'!$W15)),0.5*(ABS('Inputs-Results'!$W15-'Inputs-Results'!$Y15)/('Inputs-Results'!$Z15-'Inputs-Results'!$X15)*AS10)*AS10)+IF(AS10&gt;'Inputs-Results'!$Z15-'Inputs-Results'!$X15,(0.5*(ABS('Inputs-Results'!$Y15-'Inputs-Results'!$AA15)/('Inputs-Results'!$AB15-'Inputs-Results'!$Z15)*(AS10-('Inputs-Results'!$Z15-'Inputs-Results'!$X15)))*(AS10-('Inputs-Results'!$Z15-'Inputs-Results'!$X15))),0)</f>
        <v>#DIV/0!</v>
      </c>
      <c r="AU10" s="19" t="e">
        <f>IF(AS10&gt;'Inputs-Results'!$V$9-'Inputs-Results'!$X$9,SQRT(('Inputs-Results'!$U$9-'Inputs-Results'!$W$9)^2+('Inputs-Results'!$V$9-'Inputs-Results'!$X$9)^2)+SQRT(('Inputs-Results'!$W$9-'Inputs-Results'!$Y$9)^2+('Inputs-Results'!$X$9-'Inputs-Results'!$Z$9)^2)+SQRT((('Inputs-Results'!$S$9-'Inputs-Results'!$U$9)*(AS10+'Inputs-Results'!$X$9-'Inputs-Results'!$V$9)/('Inputs-Results'!$T$9-'Inputs-Results'!$V$9))^2+(AS10+'Inputs-Results'!$X$9-'Inputs-Results'!$V$9)^2)+SQRT((('Inputs-Results'!$AA$9-'Inputs-Results'!$Y$9)*(AS10+'Inputs-Results'!$X$9-'Inputs-Results'!$Z$9)/('Inputs-Results'!$AB$9-'Inputs-Results'!$Z$9))^2+(AS10+'Inputs-Results'!$X$9-'Inputs-Results'!$Z$9)^2),SQRT((('Inputs-Results'!$U$9-'Inputs-Results'!$W$9)*(AS10)/('Inputs-Results'!$V$9-'Inputs-Results'!$X$9))^2+AS10^2)+SQRT((('Inputs-Results'!$Y$9-'Inputs-Results'!$W$9)*AS10/('Inputs-Results'!$Z$9-'Inputs-Results'!$X$9))^2+AS10^2))</f>
        <v>#DIV/0!</v>
      </c>
      <c r="AV10" s="19" t="e">
        <f t="shared" si="21"/>
        <v>#DIV/0!</v>
      </c>
      <c r="AW10" s="19" t="e">
        <f>1.49/'Inputs-Results'!$AC15*AT10*AV10^(2/3)*'Inputs-Results'!$AD15^0.5</f>
        <v>#DIV/0!</v>
      </c>
      <c r="AX10" s="27" t="e">
        <f t="shared" si="22"/>
        <v>#DIV/0!</v>
      </c>
      <c r="AY10" s="26">
        <f t="shared" si="23"/>
        <v>0</v>
      </c>
      <c r="AZ10" s="19" t="e">
        <f>IF(AY10&gt;'Inputs-Results'!$V15-'Inputs-Results'!$X15,(0.5*(ABS('Inputs-Results'!$S15-'Inputs-Results'!$U15)/('Inputs-Results'!$T15-'Inputs-Results'!$V15)*(AY10-('Inputs-Results'!$V15-'Inputs-Results'!$X15)))*(AY10-('Inputs-Results'!$V15-'Inputs-Results'!$X15))),0)+IF(AY10&gt;'Inputs-Results'!$V15-'Inputs-Results'!$X15,(0.5*((AY10+'Inputs-Results'!$X15-'Inputs-Results'!$V15)+AY10)*ABS('Inputs-Results'!$U15-'Inputs-Results'!$W15)),0.5*(ABS('Inputs-Results'!$U15-'Inputs-Results'!$W15)/('Inputs-Results'!$V15-'Inputs-Results'!$X15)*AY10)*AY10)+IF(AY10&gt;'Inputs-Results'!$Z15-'Inputs-Results'!$X15,(0.5*((AY10+'Inputs-Results'!$X15-'Inputs-Results'!$Z15)+AY10)*ABS('Inputs-Results'!$Y15-'Inputs-Results'!$W15)),0.5*(ABS('Inputs-Results'!$W15-'Inputs-Results'!$Y15)/('Inputs-Results'!$Z15-'Inputs-Results'!$X15)*AY10)*AY10)+IF(AY10&gt;'Inputs-Results'!$Z15-'Inputs-Results'!$X15,(0.5*(ABS('Inputs-Results'!$Y15-'Inputs-Results'!$AA15)/('Inputs-Results'!$AB15-'Inputs-Results'!$Z15)*(AY10-('Inputs-Results'!$Z15-'Inputs-Results'!$X15)))*(AY10-('Inputs-Results'!$Z15-'Inputs-Results'!$X15))),0)</f>
        <v>#DIV/0!</v>
      </c>
      <c r="BA10" s="19" t="e">
        <f>IF(AY10&gt;'Inputs-Results'!$V$9-'Inputs-Results'!$X$9,SQRT(('Inputs-Results'!$U$9-'Inputs-Results'!$W$9)^2+('Inputs-Results'!$V$9-'Inputs-Results'!$X$9)^2)+SQRT(('Inputs-Results'!$W$9-'Inputs-Results'!$Y$9)^2+('Inputs-Results'!$X$9-'Inputs-Results'!$Z$9)^2)+SQRT((('Inputs-Results'!$S$9-'Inputs-Results'!$U$9)*(AY10+'Inputs-Results'!$X$9-'Inputs-Results'!$V$9)/('Inputs-Results'!$T$9-'Inputs-Results'!$V$9))^2+(AY10+'Inputs-Results'!$X$9-'Inputs-Results'!$V$9)^2)+SQRT((('Inputs-Results'!$AA$9-'Inputs-Results'!$Y$9)*(AY10+'Inputs-Results'!$X$9-'Inputs-Results'!$Z$9)/('Inputs-Results'!$AB$9-'Inputs-Results'!$Z$9))^2+(AY10+'Inputs-Results'!$X$9-'Inputs-Results'!$Z$9)^2),SQRT((('Inputs-Results'!$U$9-'Inputs-Results'!$W$9)*(AY10)/('Inputs-Results'!$V$9-'Inputs-Results'!$X$9))^2+AY10^2)+SQRT((('Inputs-Results'!$Y$9-'Inputs-Results'!$W$9)*AY10/('Inputs-Results'!$Z$9-'Inputs-Results'!$X$9))^2+AY10^2))</f>
        <v>#DIV/0!</v>
      </c>
      <c r="BB10" s="19" t="e">
        <f t="shared" si="24"/>
        <v>#DIV/0!</v>
      </c>
      <c r="BC10" s="19" t="e">
        <f>1.49/'Inputs-Results'!$AC15*AZ10*BB10^(2/3)*'Inputs-Results'!$AD15^0.5</f>
        <v>#DIV/0!</v>
      </c>
      <c r="BD10" s="27" t="e">
        <f t="shared" si="25"/>
        <v>#DIV/0!</v>
      </c>
      <c r="BE10" s="26">
        <f t="shared" si="26"/>
        <v>0</v>
      </c>
      <c r="BF10" s="19" t="e">
        <f>IF(BE10&gt;'Inputs-Results'!$V15-'Inputs-Results'!$X15,(0.5*(ABS('Inputs-Results'!$S15-'Inputs-Results'!$U15)/('Inputs-Results'!$T15-'Inputs-Results'!$V15)*(BE10-('Inputs-Results'!$V15-'Inputs-Results'!$X15)))*(BE10-('Inputs-Results'!$V15-'Inputs-Results'!$X15))),0)+IF(BE10&gt;'Inputs-Results'!$V15-'Inputs-Results'!$X15,(0.5*((BE10+'Inputs-Results'!$X15-'Inputs-Results'!$V15)+BE10)*ABS('Inputs-Results'!$U15-'Inputs-Results'!$W15)),0.5*(ABS('Inputs-Results'!$U15-'Inputs-Results'!$W15)/('Inputs-Results'!$V15-'Inputs-Results'!$X15)*BE10)*BE10)+IF(BE10&gt;'Inputs-Results'!$Z15-'Inputs-Results'!$X15,(0.5*((BE10+'Inputs-Results'!$X15-'Inputs-Results'!$Z15)+BE10)*ABS('Inputs-Results'!$Y15-'Inputs-Results'!$W15)),0.5*(ABS('Inputs-Results'!$W15-'Inputs-Results'!$Y15)/('Inputs-Results'!$Z15-'Inputs-Results'!$X15)*BE10)*BE10)+IF(BE10&gt;'Inputs-Results'!$Z15-'Inputs-Results'!$X15,(0.5*(ABS('Inputs-Results'!$Y15-'Inputs-Results'!$AA15)/('Inputs-Results'!$AB15-'Inputs-Results'!$Z15)*(BE10-('Inputs-Results'!$Z15-'Inputs-Results'!$X15)))*(BE10-('Inputs-Results'!$Z15-'Inputs-Results'!$X15))),0)</f>
        <v>#DIV/0!</v>
      </c>
      <c r="BG10" s="19" t="e">
        <f>IF(BE10&gt;'Inputs-Results'!$V$9-'Inputs-Results'!$X$9,SQRT(('Inputs-Results'!$U$9-'Inputs-Results'!$W$9)^2+('Inputs-Results'!$V$9-'Inputs-Results'!$X$9)^2)+SQRT(('Inputs-Results'!$W$9-'Inputs-Results'!$Y$9)^2+('Inputs-Results'!$X$9-'Inputs-Results'!$Z$9)^2)+SQRT((('Inputs-Results'!$S$9-'Inputs-Results'!$U$9)*(BE10+'Inputs-Results'!$X$9-'Inputs-Results'!$V$9)/('Inputs-Results'!$T$9-'Inputs-Results'!$V$9))^2+(BE10+'Inputs-Results'!$X$9-'Inputs-Results'!$V$9)^2)+SQRT((('Inputs-Results'!$AA$9-'Inputs-Results'!$Y$9)*(BE10+'Inputs-Results'!$X$9-'Inputs-Results'!$Z$9)/('Inputs-Results'!$AB$9-'Inputs-Results'!$Z$9))^2+(BE10+'Inputs-Results'!$X$9-'Inputs-Results'!$Z$9)^2),SQRT((('Inputs-Results'!$U$9-'Inputs-Results'!$W$9)*(BE10)/('Inputs-Results'!$V$9-'Inputs-Results'!$X$9))^2+BE10^2)+SQRT((('Inputs-Results'!$Y$9-'Inputs-Results'!$W$9)*BE10/('Inputs-Results'!$Z$9-'Inputs-Results'!$X$9))^2+BE10^2))</f>
        <v>#DIV/0!</v>
      </c>
      <c r="BH10" s="19" t="e">
        <f t="shared" si="27"/>
        <v>#DIV/0!</v>
      </c>
      <c r="BI10" s="19" t="e">
        <f>1.49/'Inputs-Results'!$AC15*BF10*BH10^(2/3)*'Inputs-Results'!$AD15^0.5</f>
        <v>#DIV/0!</v>
      </c>
      <c r="BJ10" s="27" t="e">
        <f t="shared" si="28"/>
        <v>#DIV/0!</v>
      </c>
    </row>
    <row r="11" spans="1:62" x14ac:dyDescent="0.25">
      <c r="A11" s="2">
        <v>0</v>
      </c>
      <c r="B11" s="17"/>
      <c r="C11" s="26">
        <f>MIN('Inputs-Results'!T16-'Inputs-Results'!X16,'Inputs-Results'!AB16-'Inputs-Results'!X16)</f>
        <v>0</v>
      </c>
      <c r="D11" s="19" t="e">
        <f>IF(C11&gt;'Inputs-Results'!$V16-'Inputs-Results'!$X16,(0.5*(ABS('Inputs-Results'!$S16-'Inputs-Results'!$U16)/('Inputs-Results'!$T16-'Inputs-Results'!$V16)*(C11-('Inputs-Results'!$V16-'Inputs-Results'!$X16)))*(C11-('Inputs-Results'!$V16-'Inputs-Results'!$X16))),0)+IF(C11&gt;'Inputs-Results'!$V16-'Inputs-Results'!$X16,(0.5*((C11+'Inputs-Results'!$X16-'Inputs-Results'!$V16)+C11)*ABS('Inputs-Results'!$U16-'Inputs-Results'!$W16)),0.5*(ABS('Inputs-Results'!$U16-'Inputs-Results'!$W16)/('Inputs-Results'!$V16-'Inputs-Results'!$X16)*C11)*C11)+IF(C11&gt;'Inputs-Results'!$Z16-'Inputs-Results'!$X16,(0.5*((C11+'Inputs-Results'!$X16-'Inputs-Results'!$Z16)+C11)*ABS('Inputs-Results'!$Y16-'Inputs-Results'!$W16)),0.5*(ABS('Inputs-Results'!$W16-'Inputs-Results'!$Y16)/('Inputs-Results'!$Z16-'Inputs-Results'!$X16)*C11)*C11)+IF(C11&gt;'Inputs-Results'!$Z16-'Inputs-Results'!$X16,(0.5*(ABS('Inputs-Results'!$Y16-'Inputs-Results'!$AA16)/('Inputs-Results'!$AB16-'Inputs-Results'!$Z16)*(C11-('Inputs-Results'!$Z16-'Inputs-Results'!$X16)))*(C11-('Inputs-Results'!$Z16-'Inputs-Results'!$X16))),0)</f>
        <v>#DIV/0!</v>
      </c>
      <c r="E11" s="19" t="e">
        <f>IF(C11&gt;'Inputs-Results'!$V$9-'Inputs-Results'!$X$9,SQRT(('Inputs-Results'!$U$9-'Inputs-Results'!$W$9)^2+('Inputs-Results'!$V$9-'Inputs-Results'!$X$9)^2)+SQRT(('Inputs-Results'!$W$9-'Inputs-Results'!$Y$9)^2+('Inputs-Results'!$X$9-'Inputs-Results'!$Z$9)^2)+SQRT((('Inputs-Results'!$S$9-'Inputs-Results'!$U$9)*(C11+'Inputs-Results'!$X$9-'Inputs-Results'!$V$9)/('Inputs-Results'!$T$9-'Inputs-Results'!$V$9))^2+(C11+'Inputs-Results'!$X$9-'Inputs-Results'!$V$9)^2)+SQRT((('Inputs-Results'!$AA$9-'Inputs-Results'!$Y$9)*(C11+'Inputs-Results'!$X$9-'Inputs-Results'!$Z$9)/('Inputs-Results'!$AB$9-'Inputs-Results'!$Z$9))^2+(C11+'Inputs-Results'!$X$9-'Inputs-Results'!$Z$9)^2),SQRT((('Inputs-Results'!$U$9-'Inputs-Results'!$W$9)*(C11)/('Inputs-Results'!$V$9-'Inputs-Results'!$X$9))^2+C11^2)+SQRT((('Inputs-Results'!$Y$9-'Inputs-Results'!$W$9)*C11/('Inputs-Results'!$Z$9-'Inputs-Results'!$X$9))^2+C11^2))</f>
        <v>#DIV/0!</v>
      </c>
      <c r="F11" s="19" t="e">
        <f t="shared" si="0"/>
        <v>#DIV/0!</v>
      </c>
      <c r="G11" s="19" t="e">
        <f>1.49/'Inputs-Results'!AC16*D11*F11^(2/3)*'Inputs-Results'!AD16^0.5</f>
        <v>#DIV/0!</v>
      </c>
      <c r="H11" s="27" t="e">
        <f t="shared" si="1"/>
        <v>#DIV/0!</v>
      </c>
      <c r="I11" s="26">
        <f t="shared" si="2"/>
        <v>0</v>
      </c>
      <c r="J11" s="19" t="e">
        <f>IF(I11&gt;'Inputs-Results'!$V16-'Inputs-Results'!$X16,(0.5*(ABS('Inputs-Results'!$S16-'Inputs-Results'!$U16)/('Inputs-Results'!$T16-'Inputs-Results'!$V16)*(I11-('Inputs-Results'!$V16-'Inputs-Results'!$X16)))*(I11-('Inputs-Results'!$V16-'Inputs-Results'!$X16))),0)+IF(I11&gt;'Inputs-Results'!$V16-'Inputs-Results'!$X16,(0.5*((I11+'Inputs-Results'!$X16-'Inputs-Results'!$V16)+I11)*ABS('Inputs-Results'!$U16-'Inputs-Results'!$W16)),0.5*(ABS('Inputs-Results'!$U16-'Inputs-Results'!$W16)/('Inputs-Results'!$V16-'Inputs-Results'!$X16)*I11)*I11)+IF(I11&gt;'Inputs-Results'!$Z16-'Inputs-Results'!$X16,(0.5*((I11+'Inputs-Results'!$X16-'Inputs-Results'!$Z16)+I11)*ABS('Inputs-Results'!$Y16-'Inputs-Results'!$W16)),0.5*(ABS('Inputs-Results'!$W16-'Inputs-Results'!$Y16)/('Inputs-Results'!$Z16-'Inputs-Results'!$X16)*I11)*I11)+IF(I11&gt;'Inputs-Results'!$Z16-'Inputs-Results'!$X16,(0.5*(ABS('Inputs-Results'!$Y16-'Inputs-Results'!$AA16)/('Inputs-Results'!$AB16-'Inputs-Results'!$Z16)*(I11-('Inputs-Results'!$Z16-'Inputs-Results'!$X16)))*(I11-('Inputs-Results'!$Z16-'Inputs-Results'!$X16))),0)</f>
        <v>#DIV/0!</v>
      </c>
      <c r="K11" s="19" t="e">
        <f>IF(I11&gt;'Inputs-Results'!$V$9-'Inputs-Results'!$X$9,SQRT(('Inputs-Results'!$U$9-'Inputs-Results'!$W$9)^2+('Inputs-Results'!$V$9-'Inputs-Results'!$X$9)^2)+SQRT(('Inputs-Results'!$W$9-'Inputs-Results'!$Y$9)^2+('Inputs-Results'!$X$9-'Inputs-Results'!$Z$9)^2)+SQRT((('Inputs-Results'!$S$9-'Inputs-Results'!$U$9)*(I11+'Inputs-Results'!$X$9-'Inputs-Results'!$V$9)/('Inputs-Results'!$T$9-'Inputs-Results'!$V$9))^2+(I11+'Inputs-Results'!$X$9-'Inputs-Results'!$V$9)^2)+SQRT((('Inputs-Results'!$AA$9-'Inputs-Results'!$Y$9)*(I11+'Inputs-Results'!$X$9-'Inputs-Results'!$Z$9)/('Inputs-Results'!$AB$9-'Inputs-Results'!$Z$9))^2+(I11+'Inputs-Results'!$X$9-'Inputs-Results'!$Z$9)^2),SQRT((('Inputs-Results'!$U$9-'Inputs-Results'!$W$9)*(I11)/('Inputs-Results'!$V$9-'Inputs-Results'!$X$9))^2+I11^2)+SQRT((('Inputs-Results'!$Y$9-'Inputs-Results'!$W$9)*I11/('Inputs-Results'!$Z$9-'Inputs-Results'!$X$9))^2+I11^2))</f>
        <v>#DIV/0!</v>
      </c>
      <c r="L11" s="19" t="e">
        <f t="shared" si="3"/>
        <v>#DIV/0!</v>
      </c>
      <c r="M11" s="19" t="e">
        <f>1.49/'Inputs-Results'!$AC16*J11*L11^(2/3)*'Inputs-Results'!$AD16^0.5</f>
        <v>#DIV/0!</v>
      </c>
      <c r="N11" s="27" t="e">
        <f t="shared" si="4"/>
        <v>#DIV/0!</v>
      </c>
      <c r="O11" s="26">
        <f t="shared" si="5"/>
        <v>0</v>
      </c>
      <c r="P11" s="19" t="e">
        <f>IF(O11&gt;'Inputs-Results'!$V16-'Inputs-Results'!$X16,(0.5*(ABS('Inputs-Results'!$S16-'Inputs-Results'!$U16)/('Inputs-Results'!$T16-'Inputs-Results'!$V16)*(O11-('Inputs-Results'!$V16-'Inputs-Results'!$X16)))*(O11-('Inputs-Results'!$V16-'Inputs-Results'!$X16))),0)+IF(O11&gt;'Inputs-Results'!$V16-'Inputs-Results'!$X16,(0.5*((O11+'Inputs-Results'!$X16-'Inputs-Results'!$V16)+O11)*ABS('Inputs-Results'!$U16-'Inputs-Results'!$W16)),0.5*(ABS('Inputs-Results'!$U16-'Inputs-Results'!$W16)/('Inputs-Results'!$V16-'Inputs-Results'!$X16)*O11)*O11)+IF(O11&gt;'Inputs-Results'!$Z16-'Inputs-Results'!$X16,(0.5*((O11+'Inputs-Results'!$X16-'Inputs-Results'!$Z16)+O11)*ABS('Inputs-Results'!$Y16-'Inputs-Results'!$W16)),0.5*(ABS('Inputs-Results'!$W16-'Inputs-Results'!$Y16)/('Inputs-Results'!$Z16-'Inputs-Results'!$X16)*O11)*O11)+IF(O11&gt;'Inputs-Results'!$Z16-'Inputs-Results'!$X16,(0.5*(ABS('Inputs-Results'!$Y16-'Inputs-Results'!$AA16)/('Inputs-Results'!$AB16-'Inputs-Results'!$Z16)*(O11-('Inputs-Results'!$Z16-'Inputs-Results'!$X16)))*(O11-('Inputs-Results'!$Z16-'Inputs-Results'!$X16))),0)</f>
        <v>#DIV/0!</v>
      </c>
      <c r="Q11" s="19" t="e">
        <f>IF(O11&gt;'Inputs-Results'!$V$9-'Inputs-Results'!$X$9,SQRT(('Inputs-Results'!$U$9-'Inputs-Results'!$W$9)^2+('Inputs-Results'!$V$9-'Inputs-Results'!$X$9)^2)+SQRT(('Inputs-Results'!$W$9-'Inputs-Results'!$Y$9)^2+('Inputs-Results'!$X$9-'Inputs-Results'!$Z$9)^2)+SQRT((('Inputs-Results'!$S$9-'Inputs-Results'!$U$9)*(O11+'Inputs-Results'!$X$9-'Inputs-Results'!$V$9)/('Inputs-Results'!$T$9-'Inputs-Results'!$V$9))^2+(O11+'Inputs-Results'!$X$9-'Inputs-Results'!$V$9)^2)+SQRT((('Inputs-Results'!$AA$9-'Inputs-Results'!$Y$9)*(O11+'Inputs-Results'!$X$9-'Inputs-Results'!$Z$9)/('Inputs-Results'!$AB$9-'Inputs-Results'!$Z$9))^2+(O11+'Inputs-Results'!$X$9-'Inputs-Results'!$Z$9)^2),SQRT((('Inputs-Results'!$U$9-'Inputs-Results'!$W$9)*(O11)/('Inputs-Results'!$V$9-'Inputs-Results'!$X$9))^2+O11^2)+SQRT((('Inputs-Results'!$Y$9-'Inputs-Results'!$W$9)*O11/('Inputs-Results'!$Z$9-'Inputs-Results'!$X$9))^2+O11^2))</f>
        <v>#DIV/0!</v>
      </c>
      <c r="R11" s="19" t="e">
        <f t="shared" si="6"/>
        <v>#DIV/0!</v>
      </c>
      <c r="S11" s="19" t="e">
        <f>1.49/'Inputs-Results'!$AC16*P11*R11^(2/3)*'Inputs-Results'!$AD16^0.5</f>
        <v>#DIV/0!</v>
      </c>
      <c r="T11" s="27" t="e">
        <f t="shared" si="7"/>
        <v>#DIV/0!</v>
      </c>
      <c r="U11" s="26">
        <f t="shared" si="8"/>
        <v>0</v>
      </c>
      <c r="V11" s="19" t="e">
        <f>IF(U11&gt;'Inputs-Results'!$V16-'Inputs-Results'!$X16,(0.5*(ABS('Inputs-Results'!$S16-'Inputs-Results'!$U16)/('Inputs-Results'!$T16-'Inputs-Results'!$V16)*(U11-('Inputs-Results'!$V16-'Inputs-Results'!$X16)))*(U11-('Inputs-Results'!$V16-'Inputs-Results'!$X16))),0)+IF(U11&gt;'Inputs-Results'!$V16-'Inputs-Results'!$X16,(0.5*((U11+'Inputs-Results'!$X16-'Inputs-Results'!$V16)+U11)*ABS('Inputs-Results'!$U16-'Inputs-Results'!$W16)),0.5*(ABS('Inputs-Results'!$U16-'Inputs-Results'!$W16)/('Inputs-Results'!$V16-'Inputs-Results'!$X16)*U11)*U11)+IF(U11&gt;'Inputs-Results'!$Z16-'Inputs-Results'!$X16,(0.5*((U11+'Inputs-Results'!$X16-'Inputs-Results'!$Z16)+U11)*ABS('Inputs-Results'!$Y16-'Inputs-Results'!$W16)),0.5*(ABS('Inputs-Results'!$W16-'Inputs-Results'!$Y16)/('Inputs-Results'!$Z16-'Inputs-Results'!$X16)*U11)*U11)+IF(U11&gt;'Inputs-Results'!$Z16-'Inputs-Results'!$X16,(0.5*(ABS('Inputs-Results'!$Y16-'Inputs-Results'!$AA16)/('Inputs-Results'!$AB16-'Inputs-Results'!$Z16)*(U11-('Inputs-Results'!$Z16-'Inputs-Results'!$X16)))*(U11-('Inputs-Results'!$Z16-'Inputs-Results'!$X16))),0)</f>
        <v>#DIV/0!</v>
      </c>
      <c r="W11" s="19" t="e">
        <f>IF(U11&gt;'Inputs-Results'!$V$9-'Inputs-Results'!$X$9,SQRT(('Inputs-Results'!$U$9-'Inputs-Results'!$W$9)^2+('Inputs-Results'!$V$9-'Inputs-Results'!$X$9)^2)+SQRT(('Inputs-Results'!$W$9-'Inputs-Results'!$Y$9)^2+('Inputs-Results'!$X$9-'Inputs-Results'!$Z$9)^2)+SQRT((('Inputs-Results'!$S$9-'Inputs-Results'!$U$9)*(U11+'Inputs-Results'!$X$9-'Inputs-Results'!$V$9)/('Inputs-Results'!$T$9-'Inputs-Results'!$V$9))^2+(U11+'Inputs-Results'!$X$9-'Inputs-Results'!$V$9)^2)+SQRT((('Inputs-Results'!$AA$9-'Inputs-Results'!$Y$9)*(U11+'Inputs-Results'!$X$9-'Inputs-Results'!$Z$9)/('Inputs-Results'!$AB$9-'Inputs-Results'!$Z$9))^2+(U11+'Inputs-Results'!$X$9-'Inputs-Results'!$Z$9)^2),SQRT((('Inputs-Results'!$U$9-'Inputs-Results'!$W$9)*(U11)/('Inputs-Results'!$V$9-'Inputs-Results'!$X$9))^2+U11^2)+SQRT((('Inputs-Results'!$Y$9-'Inputs-Results'!$W$9)*U11/('Inputs-Results'!$Z$9-'Inputs-Results'!$X$9))^2+U11^2))</f>
        <v>#DIV/0!</v>
      </c>
      <c r="X11" s="19" t="e">
        <f t="shared" si="9"/>
        <v>#DIV/0!</v>
      </c>
      <c r="Y11" s="19" t="e">
        <f>1.49/'Inputs-Results'!$AC16*V11*X11^(2/3)*'Inputs-Results'!$AD16^0.5</f>
        <v>#DIV/0!</v>
      </c>
      <c r="Z11" s="27" t="e">
        <f t="shared" si="10"/>
        <v>#DIV/0!</v>
      </c>
      <c r="AA11" s="26">
        <f t="shared" si="11"/>
        <v>0</v>
      </c>
      <c r="AB11" s="19" t="e">
        <f>IF(AA11&gt;'Inputs-Results'!$V16-'Inputs-Results'!$X16,(0.5*(ABS('Inputs-Results'!$S16-'Inputs-Results'!$U16)/('Inputs-Results'!$T16-'Inputs-Results'!$V16)*(AA11-('Inputs-Results'!$V16-'Inputs-Results'!$X16)))*(AA11-('Inputs-Results'!$V16-'Inputs-Results'!$X16))),0)+IF(AA11&gt;'Inputs-Results'!$V16-'Inputs-Results'!$X16,(0.5*((AA11+'Inputs-Results'!$X16-'Inputs-Results'!$V16)+AA11)*ABS('Inputs-Results'!$U16-'Inputs-Results'!$W16)),0.5*(ABS('Inputs-Results'!$U16-'Inputs-Results'!$W16)/('Inputs-Results'!$V16-'Inputs-Results'!$X16)*AA11)*AA11)+IF(AA11&gt;'Inputs-Results'!$Z16-'Inputs-Results'!$X16,(0.5*((AA11+'Inputs-Results'!$X16-'Inputs-Results'!$Z16)+AA11)*ABS('Inputs-Results'!$Y16-'Inputs-Results'!$W16)),0.5*(ABS('Inputs-Results'!$W16-'Inputs-Results'!$Y16)/('Inputs-Results'!$Z16-'Inputs-Results'!$X16)*AA11)*AA11)+IF(AA11&gt;'Inputs-Results'!$Z16-'Inputs-Results'!$X16,(0.5*(ABS('Inputs-Results'!$Y16-'Inputs-Results'!$AA16)/('Inputs-Results'!$AB16-'Inputs-Results'!$Z16)*(AA11-('Inputs-Results'!$Z16-'Inputs-Results'!$X16)))*(AA11-('Inputs-Results'!$Z16-'Inputs-Results'!$X16))),0)</f>
        <v>#DIV/0!</v>
      </c>
      <c r="AC11" s="19" t="e">
        <f>IF(AA11&gt;'Inputs-Results'!$V$9-'Inputs-Results'!$X$9,SQRT(('Inputs-Results'!$U$9-'Inputs-Results'!$W$9)^2+('Inputs-Results'!$V$9-'Inputs-Results'!$X$9)^2)+SQRT(('Inputs-Results'!$W$9-'Inputs-Results'!$Y$9)^2+('Inputs-Results'!$X$9-'Inputs-Results'!$Z$9)^2)+SQRT((('Inputs-Results'!$S$9-'Inputs-Results'!$U$9)*(AA11+'Inputs-Results'!$X$9-'Inputs-Results'!$V$9)/('Inputs-Results'!$T$9-'Inputs-Results'!$V$9))^2+(AA11+'Inputs-Results'!$X$9-'Inputs-Results'!$V$9)^2)+SQRT((('Inputs-Results'!$AA$9-'Inputs-Results'!$Y$9)*(AA11+'Inputs-Results'!$X$9-'Inputs-Results'!$Z$9)/('Inputs-Results'!$AB$9-'Inputs-Results'!$Z$9))^2+(AA11+'Inputs-Results'!$X$9-'Inputs-Results'!$Z$9)^2),SQRT((('Inputs-Results'!$U$9-'Inputs-Results'!$W$9)*(AA11)/('Inputs-Results'!$V$9-'Inputs-Results'!$X$9))^2+AA11^2)+SQRT((('Inputs-Results'!$Y$9-'Inputs-Results'!$W$9)*AA11/('Inputs-Results'!$Z$9-'Inputs-Results'!$X$9))^2+AA11^2))</f>
        <v>#DIV/0!</v>
      </c>
      <c r="AD11" s="19" t="e">
        <f t="shared" si="12"/>
        <v>#DIV/0!</v>
      </c>
      <c r="AE11" s="19" t="e">
        <f>1.49/'Inputs-Results'!$AC16*AB11*AD11^(2/3)*'Inputs-Results'!$AD16^0.5</f>
        <v>#DIV/0!</v>
      </c>
      <c r="AF11" s="27" t="e">
        <f t="shared" si="13"/>
        <v>#DIV/0!</v>
      </c>
      <c r="AG11" s="26">
        <f t="shared" si="14"/>
        <v>0</v>
      </c>
      <c r="AH11" s="19" t="e">
        <f>IF(AG11&gt;'Inputs-Results'!$V16-'Inputs-Results'!$X16,(0.5*(ABS('Inputs-Results'!$S16-'Inputs-Results'!$U16)/('Inputs-Results'!$T16-'Inputs-Results'!$V16)*(AG11-('Inputs-Results'!$V16-'Inputs-Results'!$X16)))*(AG11-('Inputs-Results'!$V16-'Inputs-Results'!$X16))),0)+IF(AG11&gt;'Inputs-Results'!$V16-'Inputs-Results'!$X16,(0.5*((AG11+'Inputs-Results'!$X16-'Inputs-Results'!$V16)+AG11)*ABS('Inputs-Results'!$U16-'Inputs-Results'!$W16)),0.5*(ABS('Inputs-Results'!$U16-'Inputs-Results'!$W16)/('Inputs-Results'!$V16-'Inputs-Results'!$X16)*AG11)*AG11)+IF(AG11&gt;'Inputs-Results'!$Z16-'Inputs-Results'!$X16,(0.5*((AG11+'Inputs-Results'!$X16-'Inputs-Results'!$Z16)+AG11)*ABS('Inputs-Results'!$Y16-'Inputs-Results'!$W16)),0.5*(ABS('Inputs-Results'!$W16-'Inputs-Results'!$Y16)/('Inputs-Results'!$Z16-'Inputs-Results'!$X16)*AG11)*AG11)+IF(AG11&gt;'Inputs-Results'!$Z16-'Inputs-Results'!$X16,(0.5*(ABS('Inputs-Results'!$Y16-'Inputs-Results'!$AA16)/('Inputs-Results'!$AB16-'Inputs-Results'!$Z16)*(AG11-('Inputs-Results'!$Z16-'Inputs-Results'!$X16)))*(AG11-('Inputs-Results'!$Z16-'Inputs-Results'!$X16))),0)</f>
        <v>#DIV/0!</v>
      </c>
      <c r="AI11" s="19" t="e">
        <f>IF(AG11&gt;'Inputs-Results'!$V$9-'Inputs-Results'!$X$9,SQRT(('Inputs-Results'!$U$9-'Inputs-Results'!$W$9)^2+('Inputs-Results'!$V$9-'Inputs-Results'!$X$9)^2)+SQRT(('Inputs-Results'!$W$9-'Inputs-Results'!$Y$9)^2+('Inputs-Results'!$X$9-'Inputs-Results'!$Z$9)^2)+SQRT((('Inputs-Results'!$S$9-'Inputs-Results'!$U$9)*(AG11+'Inputs-Results'!$X$9-'Inputs-Results'!$V$9)/('Inputs-Results'!$T$9-'Inputs-Results'!$V$9))^2+(AG11+'Inputs-Results'!$X$9-'Inputs-Results'!$V$9)^2)+SQRT((('Inputs-Results'!$AA$9-'Inputs-Results'!$Y$9)*(AG11+'Inputs-Results'!$X$9-'Inputs-Results'!$Z$9)/('Inputs-Results'!$AB$9-'Inputs-Results'!$Z$9))^2+(AG11+'Inputs-Results'!$X$9-'Inputs-Results'!$Z$9)^2),SQRT((('Inputs-Results'!$U$9-'Inputs-Results'!$W$9)*(AG11)/('Inputs-Results'!$V$9-'Inputs-Results'!$X$9))^2+AG11^2)+SQRT((('Inputs-Results'!$Y$9-'Inputs-Results'!$W$9)*AG11/('Inputs-Results'!$Z$9-'Inputs-Results'!$X$9))^2+AG11^2))</f>
        <v>#DIV/0!</v>
      </c>
      <c r="AJ11" s="19" t="e">
        <f t="shared" si="15"/>
        <v>#DIV/0!</v>
      </c>
      <c r="AK11" s="19" t="e">
        <f>1.49/'Inputs-Results'!$AC16*AH11*AJ11^(2/3)*'Inputs-Results'!$AD16^0.5</f>
        <v>#DIV/0!</v>
      </c>
      <c r="AL11" s="27" t="e">
        <f t="shared" si="16"/>
        <v>#DIV/0!</v>
      </c>
      <c r="AM11" s="26">
        <f t="shared" si="17"/>
        <v>0</v>
      </c>
      <c r="AN11" s="19" t="e">
        <f>IF(AM11&gt;'Inputs-Results'!$V16-'Inputs-Results'!$X16,(0.5*(ABS('Inputs-Results'!$S16-'Inputs-Results'!$U16)/('Inputs-Results'!$T16-'Inputs-Results'!$V16)*(AM11-('Inputs-Results'!$V16-'Inputs-Results'!$X16)))*(AM11-('Inputs-Results'!$V16-'Inputs-Results'!$X16))),0)+IF(AM11&gt;'Inputs-Results'!$V16-'Inputs-Results'!$X16,(0.5*((AM11+'Inputs-Results'!$X16-'Inputs-Results'!$V16)+AM11)*ABS('Inputs-Results'!$U16-'Inputs-Results'!$W16)),0.5*(ABS('Inputs-Results'!$U16-'Inputs-Results'!$W16)/('Inputs-Results'!$V16-'Inputs-Results'!$X16)*AM11)*AM11)+IF(AM11&gt;'Inputs-Results'!$Z16-'Inputs-Results'!$X16,(0.5*((AM11+'Inputs-Results'!$X16-'Inputs-Results'!$Z16)+AM11)*ABS('Inputs-Results'!$Y16-'Inputs-Results'!$W16)),0.5*(ABS('Inputs-Results'!$W16-'Inputs-Results'!$Y16)/('Inputs-Results'!$Z16-'Inputs-Results'!$X16)*AM11)*AM11)+IF(AM11&gt;'Inputs-Results'!$Z16-'Inputs-Results'!$X16,(0.5*(ABS('Inputs-Results'!$Y16-'Inputs-Results'!$AA16)/('Inputs-Results'!$AB16-'Inputs-Results'!$Z16)*(AM11-('Inputs-Results'!$Z16-'Inputs-Results'!$X16)))*(AM11-('Inputs-Results'!$Z16-'Inputs-Results'!$X16))),0)</f>
        <v>#DIV/0!</v>
      </c>
      <c r="AO11" s="19" t="e">
        <f>IF(AM11&gt;'Inputs-Results'!$V$9-'Inputs-Results'!$X$9,SQRT(('Inputs-Results'!$U$9-'Inputs-Results'!$W$9)^2+('Inputs-Results'!$V$9-'Inputs-Results'!$X$9)^2)+SQRT(('Inputs-Results'!$W$9-'Inputs-Results'!$Y$9)^2+('Inputs-Results'!$X$9-'Inputs-Results'!$Z$9)^2)+SQRT((('Inputs-Results'!$S$9-'Inputs-Results'!$U$9)*(AM11+'Inputs-Results'!$X$9-'Inputs-Results'!$V$9)/('Inputs-Results'!$T$9-'Inputs-Results'!$V$9))^2+(AM11+'Inputs-Results'!$X$9-'Inputs-Results'!$V$9)^2)+SQRT((('Inputs-Results'!$AA$9-'Inputs-Results'!$Y$9)*(AM11+'Inputs-Results'!$X$9-'Inputs-Results'!$Z$9)/('Inputs-Results'!$AB$9-'Inputs-Results'!$Z$9))^2+(AM11+'Inputs-Results'!$X$9-'Inputs-Results'!$Z$9)^2),SQRT((('Inputs-Results'!$U$9-'Inputs-Results'!$W$9)*(AM11)/('Inputs-Results'!$V$9-'Inputs-Results'!$X$9))^2+AM11^2)+SQRT((('Inputs-Results'!$Y$9-'Inputs-Results'!$W$9)*AM11/('Inputs-Results'!$Z$9-'Inputs-Results'!$X$9))^2+AM11^2))</f>
        <v>#DIV/0!</v>
      </c>
      <c r="AP11" s="19" t="e">
        <f t="shared" si="18"/>
        <v>#DIV/0!</v>
      </c>
      <c r="AQ11" s="19" t="e">
        <f>1.49/'Inputs-Results'!$AC16*AN11*AP11^(2/3)*'Inputs-Results'!$AD16^0.5</f>
        <v>#DIV/0!</v>
      </c>
      <c r="AR11" s="27" t="e">
        <f t="shared" si="19"/>
        <v>#DIV/0!</v>
      </c>
      <c r="AS11" s="26">
        <f t="shared" si="20"/>
        <v>0</v>
      </c>
      <c r="AT11" s="19" t="e">
        <f>IF(AS11&gt;'Inputs-Results'!$V16-'Inputs-Results'!$X16,(0.5*(ABS('Inputs-Results'!$S16-'Inputs-Results'!$U16)/('Inputs-Results'!$T16-'Inputs-Results'!$V16)*(AS11-('Inputs-Results'!$V16-'Inputs-Results'!$X16)))*(AS11-('Inputs-Results'!$V16-'Inputs-Results'!$X16))),0)+IF(AS11&gt;'Inputs-Results'!$V16-'Inputs-Results'!$X16,(0.5*((AS11+'Inputs-Results'!$X16-'Inputs-Results'!$V16)+AS11)*ABS('Inputs-Results'!$U16-'Inputs-Results'!$W16)),0.5*(ABS('Inputs-Results'!$U16-'Inputs-Results'!$W16)/('Inputs-Results'!$V16-'Inputs-Results'!$X16)*AS11)*AS11)+IF(AS11&gt;'Inputs-Results'!$Z16-'Inputs-Results'!$X16,(0.5*((AS11+'Inputs-Results'!$X16-'Inputs-Results'!$Z16)+AS11)*ABS('Inputs-Results'!$Y16-'Inputs-Results'!$W16)),0.5*(ABS('Inputs-Results'!$W16-'Inputs-Results'!$Y16)/('Inputs-Results'!$Z16-'Inputs-Results'!$X16)*AS11)*AS11)+IF(AS11&gt;'Inputs-Results'!$Z16-'Inputs-Results'!$X16,(0.5*(ABS('Inputs-Results'!$Y16-'Inputs-Results'!$AA16)/('Inputs-Results'!$AB16-'Inputs-Results'!$Z16)*(AS11-('Inputs-Results'!$Z16-'Inputs-Results'!$X16)))*(AS11-('Inputs-Results'!$Z16-'Inputs-Results'!$X16))),0)</f>
        <v>#DIV/0!</v>
      </c>
      <c r="AU11" s="19" t="e">
        <f>IF(AS11&gt;'Inputs-Results'!$V$9-'Inputs-Results'!$X$9,SQRT(('Inputs-Results'!$U$9-'Inputs-Results'!$W$9)^2+('Inputs-Results'!$V$9-'Inputs-Results'!$X$9)^2)+SQRT(('Inputs-Results'!$W$9-'Inputs-Results'!$Y$9)^2+('Inputs-Results'!$X$9-'Inputs-Results'!$Z$9)^2)+SQRT((('Inputs-Results'!$S$9-'Inputs-Results'!$U$9)*(AS11+'Inputs-Results'!$X$9-'Inputs-Results'!$V$9)/('Inputs-Results'!$T$9-'Inputs-Results'!$V$9))^2+(AS11+'Inputs-Results'!$X$9-'Inputs-Results'!$V$9)^2)+SQRT((('Inputs-Results'!$AA$9-'Inputs-Results'!$Y$9)*(AS11+'Inputs-Results'!$X$9-'Inputs-Results'!$Z$9)/('Inputs-Results'!$AB$9-'Inputs-Results'!$Z$9))^2+(AS11+'Inputs-Results'!$X$9-'Inputs-Results'!$Z$9)^2),SQRT((('Inputs-Results'!$U$9-'Inputs-Results'!$W$9)*(AS11)/('Inputs-Results'!$V$9-'Inputs-Results'!$X$9))^2+AS11^2)+SQRT((('Inputs-Results'!$Y$9-'Inputs-Results'!$W$9)*AS11/('Inputs-Results'!$Z$9-'Inputs-Results'!$X$9))^2+AS11^2))</f>
        <v>#DIV/0!</v>
      </c>
      <c r="AV11" s="19" t="e">
        <f t="shared" si="21"/>
        <v>#DIV/0!</v>
      </c>
      <c r="AW11" s="19" t="e">
        <f>1.49/'Inputs-Results'!$AC16*AT11*AV11^(2/3)*'Inputs-Results'!$AD16^0.5</f>
        <v>#DIV/0!</v>
      </c>
      <c r="AX11" s="27" t="e">
        <f t="shared" si="22"/>
        <v>#DIV/0!</v>
      </c>
      <c r="AY11" s="26">
        <f t="shared" si="23"/>
        <v>0</v>
      </c>
      <c r="AZ11" s="19" t="e">
        <f>IF(AY11&gt;'Inputs-Results'!$V16-'Inputs-Results'!$X16,(0.5*(ABS('Inputs-Results'!$S16-'Inputs-Results'!$U16)/('Inputs-Results'!$T16-'Inputs-Results'!$V16)*(AY11-('Inputs-Results'!$V16-'Inputs-Results'!$X16)))*(AY11-('Inputs-Results'!$V16-'Inputs-Results'!$X16))),0)+IF(AY11&gt;'Inputs-Results'!$V16-'Inputs-Results'!$X16,(0.5*((AY11+'Inputs-Results'!$X16-'Inputs-Results'!$V16)+AY11)*ABS('Inputs-Results'!$U16-'Inputs-Results'!$W16)),0.5*(ABS('Inputs-Results'!$U16-'Inputs-Results'!$W16)/('Inputs-Results'!$V16-'Inputs-Results'!$X16)*AY11)*AY11)+IF(AY11&gt;'Inputs-Results'!$Z16-'Inputs-Results'!$X16,(0.5*((AY11+'Inputs-Results'!$X16-'Inputs-Results'!$Z16)+AY11)*ABS('Inputs-Results'!$Y16-'Inputs-Results'!$W16)),0.5*(ABS('Inputs-Results'!$W16-'Inputs-Results'!$Y16)/('Inputs-Results'!$Z16-'Inputs-Results'!$X16)*AY11)*AY11)+IF(AY11&gt;'Inputs-Results'!$Z16-'Inputs-Results'!$X16,(0.5*(ABS('Inputs-Results'!$Y16-'Inputs-Results'!$AA16)/('Inputs-Results'!$AB16-'Inputs-Results'!$Z16)*(AY11-('Inputs-Results'!$Z16-'Inputs-Results'!$X16)))*(AY11-('Inputs-Results'!$Z16-'Inputs-Results'!$X16))),0)</f>
        <v>#DIV/0!</v>
      </c>
      <c r="BA11" s="19" t="e">
        <f>IF(AY11&gt;'Inputs-Results'!$V$9-'Inputs-Results'!$X$9,SQRT(('Inputs-Results'!$U$9-'Inputs-Results'!$W$9)^2+('Inputs-Results'!$V$9-'Inputs-Results'!$X$9)^2)+SQRT(('Inputs-Results'!$W$9-'Inputs-Results'!$Y$9)^2+('Inputs-Results'!$X$9-'Inputs-Results'!$Z$9)^2)+SQRT((('Inputs-Results'!$S$9-'Inputs-Results'!$U$9)*(AY11+'Inputs-Results'!$X$9-'Inputs-Results'!$V$9)/('Inputs-Results'!$T$9-'Inputs-Results'!$V$9))^2+(AY11+'Inputs-Results'!$X$9-'Inputs-Results'!$V$9)^2)+SQRT((('Inputs-Results'!$AA$9-'Inputs-Results'!$Y$9)*(AY11+'Inputs-Results'!$X$9-'Inputs-Results'!$Z$9)/('Inputs-Results'!$AB$9-'Inputs-Results'!$Z$9))^2+(AY11+'Inputs-Results'!$X$9-'Inputs-Results'!$Z$9)^2),SQRT((('Inputs-Results'!$U$9-'Inputs-Results'!$W$9)*(AY11)/('Inputs-Results'!$V$9-'Inputs-Results'!$X$9))^2+AY11^2)+SQRT((('Inputs-Results'!$Y$9-'Inputs-Results'!$W$9)*AY11/('Inputs-Results'!$Z$9-'Inputs-Results'!$X$9))^2+AY11^2))</f>
        <v>#DIV/0!</v>
      </c>
      <c r="BB11" s="19" t="e">
        <f t="shared" si="24"/>
        <v>#DIV/0!</v>
      </c>
      <c r="BC11" s="19" t="e">
        <f>1.49/'Inputs-Results'!$AC16*AZ11*BB11^(2/3)*'Inputs-Results'!$AD16^0.5</f>
        <v>#DIV/0!</v>
      </c>
      <c r="BD11" s="27" t="e">
        <f t="shared" si="25"/>
        <v>#DIV/0!</v>
      </c>
      <c r="BE11" s="26">
        <f t="shared" si="26"/>
        <v>0</v>
      </c>
      <c r="BF11" s="19" t="e">
        <f>IF(BE11&gt;'Inputs-Results'!$V16-'Inputs-Results'!$X16,(0.5*(ABS('Inputs-Results'!$S16-'Inputs-Results'!$U16)/('Inputs-Results'!$T16-'Inputs-Results'!$V16)*(BE11-('Inputs-Results'!$V16-'Inputs-Results'!$X16)))*(BE11-('Inputs-Results'!$V16-'Inputs-Results'!$X16))),0)+IF(BE11&gt;'Inputs-Results'!$V16-'Inputs-Results'!$X16,(0.5*((BE11+'Inputs-Results'!$X16-'Inputs-Results'!$V16)+BE11)*ABS('Inputs-Results'!$U16-'Inputs-Results'!$W16)),0.5*(ABS('Inputs-Results'!$U16-'Inputs-Results'!$W16)/('Inputs-Results'!$V16-'Inputs-Results'!$X16)*BE11)*BE11)+IF(BE11&gt;'Inputs-Results'!$Z16-'Inputs-Results'!$X16,(0.5*((BE11+'Inputs-Results'!$X16-'Inputs-Results'!$Z16)+BE11)*ABS('Inputs-Results'!$Y16-'Inputs-Results'!$W16)),0.5*(ABS('Inputs-Results'!$W16-'Inputs-Results'!$Y16)/('Inputs-Results'!$Z16-'Inputs-Results'!$X16)*BE11)*BE11)+IF(BE11&gt;'Inputs-Results'!$Z16-'Inputs-Results'!$X16,(0.5*(ABS('Inputs-Results'!$Y16-'Inputs-Results'!$AA16)/('Inputs-Results'!$AB16-'Inputs-Results'!$Z16)*(BE11-('Inputs-Results'!$Z16-'Inputs-Results'!$X16)))*(BE11-('Inputs-Results'!$Z16-'Inputs-Results'!$X16))),0)</f>
        <v>#DIV/0!</v>
      </c>
      <c r="BG11" s="19" t="e">
        <f>IF(BE11&gt;'Inputs-Results'!$V$9-'Inputs-Results'!$X$9,SQRT(('Inputs-Results'!$U$9-'Inputs-Results'!$W$9)^2+('Inputs-Results'!$V$9-'Inputs-Results'!$X$9)^2)+SQRT(('Inputs-Results'!$W$9-'Inputs-Results'!$Y$9)^2+('Inputs-Results'!$X$9-'Inputs-Results'!$Z$9)^2)+SQRT((('Inputs-Results'!$S$9-'Inputs-Results'!$U$9)*(BE11+'Inputs-Results'!$X$9-'Inputs-Results'!$V$9)/('Inputs-Results'!$T$9-'Inputs-Results'!$V$9))^2+(BE11+'Inputs-Results'!$X$9-'Inputs-Results'!$V$9)^2)+SQRT((('Inputs-Results'!$AA$9-'Inputs-Results'!$Y$9)*(BE11+'Inputs-Results'!$X$9-'Inputs-Results'!$Z$9)/('Inputs-Results'!$AB$9-'Inputs-Results'!$Z$9))^2+(BE11+'Inputs-Results'!$X$9-'Inputs-Results'!$Z$9)^2),SQRT((('Inputs-Results'!$U$9-'Inputs-Results'!$W$9)*(BE11)/('Inputs-Results'!$V$9-'Inputs-Results'!$X$9))^2+BE11^2)+SQRT((('Inputs-Results'!$Y$9-'Inputs-Results'!$W$9)*BE11/('Inputs-Results'!$Z$9-'Inputs-Results'!$X$9))^2+BE11^2))</f>
        <v>#DIV/0!</v>
      </c>
      <c r="BH11" s="19" t="e">
        <f t="shared" si="27"/>
        <v>#DIV/0!</v>
      </c>
      <c r="BI11" s="19" t="e">
        <f>1.49/'Inputs-Results'!$AC16*BF11*BH11^(2/3)*'Inputs-Results'!$AD16^0.5</f>
        <v>#DIV/0!</v>
      </c>
      <c r="BJ11" s="27" t="e">
        <f t="shared" si="28"/>
        <v>#DIV/0!</v>
      </c>
    </row>
    <row r="12" spans="1:62" x14ac:dyDescent="0.25">
      <c r="A12" s="2">
        <v>0</v>
      </c>
      <c r="B12" s="17"/>
      <c r="C12" s="26">
        <f>MIN('Inputs-Results'!T17-'Inputs-Results'!X17,'Inputs-Results'!AB17-'Inputs-Results'!X17)</f>
        <v>0</v>
      </c>
      <c r="D12" s="19" t="e">
        <f>IF(C12&gt;'Inputs-Results'!$V17-'Inputs-Results'!$X17,(0.5*(ABS('Inputs-Results'!$S17-'Inputs-Results'!$U17)/('Inputs-Results'!$T17-'Inputs-Results'!$V17)*(C12-('Inputs-Results'!$V17-'Inputs-Results'!$X17)))*(C12-('Inputs-Results'!$V17-'Inputs-Results'!$X17))),0)+IF(C12&gt;'Inputs-Results'!$V17-'Inputs-Results'!$X17,(0.5*((C12+'Inputs-Results'!$X17-'Inputs-Results'!$V17)+C12)*ABS('Inputs-Results'!$U17-'Inputs-Results'!$W17)),0.5*(ABS('Inputs-Results'!$U17-'Inputs-Results'!$W17)/('Inputs-Results'!$V17-'Inputs-Results'!$X17)*C12)*C12)+IF(C12&gt;'Inputs-Results'!$Z17-'Inputs-Results'!$X17,(0.5*((C12+'Inputs-Results'!$X17-'Inputs-Results'!$Z17)+C12)*ABS('Inputs-Results'!$Y17-'Inputs-Results'!$W17)),0.5*(ABS('Inputs-Results'!$W17-'Inputs-Results'!$Y17)/('Inputs-Results'!$Z17-'Inputs-Results'!$X17)*C12)*C12)+IF(C12&gt;'Inputs-Results'!$Z17-'Inputs-Results'!$X17,(0.5*(ABS('Inputs-Results'!$Y17-'Inputs-Results'!$AA17)/('Inputs-Results'!$AB17-'Inputs-Results'!$Z17)*(C12-('Inputs-Results'!$Z17-'Inputs-Results'!$X17)))*(C12-('Inputs-Results'!$Z17-'Inputs-Results'!$X17))),0)</f>
        <v>#DIV/0!</v>
      </c>
      <c r="E12" s="19" t="e">
        <f>IF(C12&gt;'Inputs-Results'!$V$9-'Inputs-Results'!$X$9,SQRT(('Inputs-Results'!$U$9-'Inputs-Results'!$W$9)^2+('Inputs-Results'!$V$9-'Inputs-Results'!$X$9)^2)+SQRT(('Inputs-Results'!$W$9-'Inputs-Results'!$Y$9)^2+('Inputs-Results'!$X$9-'Inputs-Results'!$Z$9)^2)+SQRT((('Inputs-Results'!$S$9-'Inputs-Results'!$U$9)*(C12+'Inputs-Results'!$X$9-'Inputs-Results'!$V$9)/('Inputs-Results'!$T$9-'Inputs-Results'!$V$9))^2+(C12+'Inputs-Results'!$X$9-'Inputs-Results'!$V$9)^2)+SQRT((('Inputs-Results'!$AA$9-'Inputs-Results'!$Y$9)*(C12+'Inputs-Results'!$X$9-'Inputs-Results'!$Z$9)/('Inputs-Results'!$AB$9-'Inputs-Results'!$Z$9))^2+(C12+'Inputs-Results'!$X$9-'Inputs-Results'!$Z$9)^2),SQRT((('Inputs-Results'!$U$9-'Inputs-Results'!$W$9)*(C12)/('Inputs-Results'!$V$9-'Inputs-Results'!$X$9))^2+C12^2)+SQRT((('Inputs-Results'!$Y$9-'Inputs-Results'!$W$9)*C12/('Inputs-Results'!$Z$9-'Inputs-Results'!$X$9))^2+C12^2))</f>
        <v>#DIV/0!</v>
      </c>
      <c r="F12" s="19" t="e">
        <f t="shared" si="0"/>
        <v>#DIV/0!</v>
      </c>
      <c r="G12" s="19" t="e">
        <f>1.49/'Inputs-Results'!AC17*D12*F12^(2/3)*'Inputs-Results'!AD17^0.5</f>
        <v>#DIV/0!</v>
      </c>
      <c r="H12" s="27" t="e">
        <f t="shared" si="1"/>
        <v>#DIV/0!</v>
      </c>
      <c r="I12" s="26">
        <f t="shared" si="2"/>
        <v>0</v>
      </c>
      <c r="J12" s="19" t="e">
        <f>IF(I12&gt;'Inputs-Results'!$V17-'Inputs-Results'!$X17,(0.5*(ABS('Inputs-Results'!$S17-'Inputs-Results'!$U17)/('Inputs-Results'!$T17-'Inputs-Results'!$V17)*(I12-('Inputs-Results'!$V17-'Inputs-Results'!$X17)))*(I12-('Inputs-Results'!$V17-'Inputs-Results'!$X17))),0)+IF(I12&gt;'Inputs-Results'!$V17-'Inputs-Results'!$X17,(0.5*((I12+'Inputs-Results'!$X17-'Inputs-Results'!$V17)+I12)*ABS('Inputs-Results'!$U17-'Inputs-Results'!$W17)),0.5*(ABS('Inputs-Results'!$U17-'Inputs-Results'!$W17)/('Inputs-Results'!$V17-'Inputs-Results'!$X17)*I12)*I12)+IF(I12&gt;'Inputs-Results'!$Z17-'Inputs-Results'!$X17,(0.5*((I12+'Inputs-Results'!$X17-'Inputs-Results'!$Z17)+I12)*ABS('Inputs-Results'!$Y17-'Inputs-Results'!$W17)),0.5*(ABS('Inputs-Results'!$W17-'Inputs-Results'!$Y17)/('Inputs-Results'!$Z17-'Inputs-Results'!$X17)*I12)*I12)+IF(I12&gt;'Inputs-Results'!$Z17-'Inputs-Results'!$X17,(0.5*(ABS('Inputs-Results'!$Y17-'Inputs-Results'!$AA17)/('Inputs-Results'!$AB17-'Inputs-Results'!$Z17)*(I12-('Inputs-Results'!$Z17-'Inputs-Results'!$X17)))*(I12-('Inputs-Results'!$Z17-'Inputs-Results'!$X17))),0)</f>
        <v>#DIV/0!</v>
      </c>
      <c r="K12" s="19" t="e">
        <f>IF(I12&gt;'Inputs-Results'!$V$9-'Inputs-Results'!$X$9,SQRT(('Inputs-Results'!$U$9-'Inputs-Results'!$W$9)^2+('Inputs-Results'!$V$9-'Inputs-Results'!$X$9)^2)+SQRT(('Inputs-Results'!$W$9-'Inputs-Results'!$Y$9)^2+('Inputs-Results'!$X$9-'Inputs-Results'!$Z$9)^2)+SQRT((('Inputs-Results'!$S$9-'Inputs-Results'!$U$9)*(I12+'Inputs-Results'!$X$9-'Inputs-Results'!$V$9)/('Inputs-Results'!$T$9-'Inputs-Results'!$V$9))^2+(I12+'Inputs-Results'!$X$9-'Inputs-Results'!$V$9)^2)+SQRT((('Inputs-Results'!$AA$9-'Inputs-Results'!$Y$9)*(I12+'Inputs-Results'!$X$9-'Inputs-Results'!$Z$9)/('Inputs-Results'!$AB$9-'Inputs-Results'!$Z$9))^2+(I12+'Inputs-Results'!$X$9-'Inputs-Results'!$Z$9)^2),SQRT((('Inputs-Results'!$U$9-'Inputs-Results'!$W$9)*(I12)/('Inputs-Results'!$V$9-'Inputs-Results'!$X$9))^2+I12^2)+SQRT((('Inputs-Results'!$Y$9-'Inputs-Results'!$W$9)*I12/('Inputs-Results'!$Z$9-'Inputs-Results'!$X$9))^2+I12^2))</f>
        <v>#DIV/0!</v>
      </c>
      <c r="L12" s="19" t="e">
        <f t="shared" si="3"/>
        <v>#DIV/0!</v>
      </c>
      <c r="M12" s="19" t="e">
        <f>1.49/'Inputs-Results'!$AC17*J12*L12^(2/3)*'Inputs-Results'!$AD17^0.5</f>
        <v>#DIV/0!</v>
      </c>
      <c r="N12" s="27" t="e">
        <f t="shared" si="4"/>
        <v>#DIV/0!</v>
      </c>
      <c r="O12" s="26">
        <f t="shared" si="5"/>
        <v>0</v>
      </c>
      <c r="P12" s="19" t="e">
        <f>IF(O12&gt;'Inputs-Results'!$V17-'Inputs-Results'!$X17,(0.5*(ABS('Inputs-Results'!$S17-'Inputs-Results'!$U17)/('Inputs-Results'!$T17-'Inputs-Results'!$V17)*(O12-('Inputs-Results'!$V17-'Inputs-Results'!$X17)))*(O12-('Inputs-Results'!$V17-'Inputs-Results'!$X17))),0)+IF(O12&gt;'Inputs-Results'!$V17-'Inputs-Results'!$X17,(0.5*((O12+'Inputs-Results'!$X17-'Inputs-Results'!$V17)+O12)*ABS('Inputs-Results'!$U17-'Inputs-Results'!$W17)),0.5*(ABS('Inputs-Results'!$U17-'Inputs-Results'!$W17)/('Inputs-Results'!$V17-'Inputs-Results'!$X17)*O12)*O12)+IF(O12&gt;'Inputs-Results'!$Z17-'Inputs-Results'!$X17,(0.5*((O12+'Inputs-Results'!$X17-'Inputs-Results'!$Z17)+O12)*ABS('Inputs-Results'!$Y17-'Inputs-Results'!$W17)),0.5*(ABS('Inputs-Results'!$W17-'Inputs-Results'!$Y17)/('Inputs-Results'!$Z17-'Inputs-Results'!$X17)*O12)*O12)+IF(O12&gt;'Inputs-Results'!$Z17-'Inputs-Results'!$X17,(0.5*(ABS('Inputs-Results'!$Y17-'Inputs-Results'!$AA17)/('Inputs-Results'!$AB17-'Inputs-Results'!$Z17)*(O12-('Inputs-Results'!$Z17-'Inputs-Results'!$X17)))*(O12-('Inputs-Results'!$Z17-'Inputs-Results'!$X17))),0)</f>
        <v>#DIV/0!</v>
      </c>
      <c r="Q12" s="19" t="e">
        <f>IF(O12&gt;'Inputs-Results'!$V$9-'Inputs-Results'!$X$9,SQRT(('Inputs-Results'!$U$9-'Inputs-Results'!$W$9)^2+('Inputs-Results'!$V$9-'Inputs-Results'!$X$9)^2)+SQRT(('Inputs-Results'!$W$9-'Inputs-Results'!$Y$9)^2+('Inputs-Results'!$X$9-'Inputs-Results'!$Z$9)^2)+SQRT((('Inputs-Results'!$S$9-'Inputs-Results'!$U$9)*(O12+'Inputs-Results'!$X$9-'Inputs-Results'!$V$9)/('Inputs-Results'!$T$9-'Inputs-Results'!$V$9))^2+(O12+'Inputs-Results'!$X$9-'Inputs-Results'!$V$9)^2)+SQRT((('Inputs-Results'!$AA$9-'Inputs-Results'!$Y$9)*(O12+'Inputs-Results'!$X$9-'Inputs-Results'!$Z$9)/('Inputs-Results'!$AB$9-'Inputs-Results'!$Z$9))^2+(O12+'Inputs-Results'!$X$9-'Inputs-Results'!$Z$9)^2),SQRT((('Inputs-Results'!$U$9-'Inputs-Results'!$W$9)*(O12)/('Inputs-Results'!$V$9-'Inputs-Results'!$X$9))^2+O12^2)+SQRT((('Inputs-Results'!$Y$9-'Inputs-Results'!$W$9)*O12/('Inputs-Results'!$Z$9-'Inputs-Results'!$X$9))^2+O12^2))</f>
        <v>#DIV/0!</v>
      </c>
      <c r="R12" s="19" t="e">
        <f t="shared" si="6"/>
        <v>#DIV/0!</v>
      </c>
      <c r="S12" s="19" t="e">
        <f>1.49/'Inputs-Results'!$AC17*P12*R12^(2/3)*'Inputs-Results'!$AD17^0.5</f>
        <v>#DIV/0!</v>
      </c>
      <c r="T12" s="27" t="e">
        <f t="shared" si="7"/>
        <v>#DIV/0!</v>
      </c>
      <c r="U12" s="26">
        <f t="shared" si="8"/>
        <v>0</v>
      </c>
      <c r="V12" s="19" t="e">
        <f>IF(U12&gt;'Inputs-Results'!$V17-'Inputs-Results'!$X17,(0.5*(ABS('Inputs-Results'!$S17-'Inputs-Results'!$U17)/('Inputs-Results'!$T17-'Inputs-Results'!$V17)*(U12-('Inputs-Results'!$V17-'Inputs-Results'!$X17)))*(U12-('Inputs-Results'!$V17-'Inputs-Results'!$X17))),0)+IF(U12&gt;'Inputs-Results'!$V17-'Inputs-Results'!$X17,(0.5*((U12+'Inputs-Results'!$X17-'Inputs-Results'!$V17)+U12)*ABS('Inputs-Results'!$U17-'Inputs-Results'!$W17)),0.5*(ABS('Inputs-Results'!$U17-'Inputs-Results'!$W17)/('Inputs-Results'!$V17-'Inputs-Results'!$X17)*U12)*U12)+IF(U12&gt;'Inputs-Results'!$Z17-'Inputs-Results'!$X17,(0.5*((U12+'Inputs-Results'!$X17-'Inputs-Results'!$Z17)+U12)*ABS('Inputs-Results'!$Y17-'Inputs-Results'!$W17)),0.5*(ABS('Inputs-Results'!$W17-'Inputs-Results'!$Y17)/('Inputs-Results'!$Z17-'Inputs-Results'!$X17)*U12)*U12)+IF(U12&gt;'Inputs-Results'!$Z17-'Inputs-Results'!$X17,(0.5*(ABS('Inputs-Results'!$Y17-'Inputs-Results'!$AA17)/('Inputs-Results'!$AB17-'Inputs-Results'!$Z17)*(U12-('Inputs-Results'!$Z17-'Inputs-Results'!$X17)))*(U12-('Inputs-Results'!$Z17-'Inputs-Results'!$X17))),0)</f>
        <v>#DIV/0!</v>
      </c>
      <c r="W12" s="19" t="e">
        <f>IF(U12&gt;'Inputs-Results'!$V$9-'Inputs-Results'!$X$9,SQRT(('Inputs-Results'!$U$9-'Inputs-Results'!$W$9)^2+('Inputs-Results'!$V$9-'Inputs-Results'!$X$9)^2)+SQRT(('Inputs-Results'!$W$9-'Inputs-Results'!$Y$9)^2+('Inputs-Results'!$X$9-'Inputs-Results'!$Z$9)^2)+SQRT((('Inputs-Results'!$S$9-'Inputs-Results'!$U$9)*(U12+'Inputs-Results'!$X$9-'Inputs-Results'!$V$9)/('Inputs-Results'!$T$9-'Inputs-Results'!$V$9))^2+(U12+'Inputs-Results'!$X$9-'Inputs-Results'!$V$9)^2)+SQRT((('Inputs-Results'!$AA$9-'Inputs-Results'!$Y$9)*(U12+'Inputs-Results'!$X$9-'Inputs-Results'!$Z$9)/('Inputs-Results'!$AB$9-'Inputs-Results'!$Z$9))^2+(U12+'Inputs-Results'!$X$9-'Inputs-Results'!$Z$9)^2),SQRT((('Inputs-Results'!$U$9-'Inputs-Results'!$W$9)*(U12)/('Inputs-Results'!$V$9-'Inputs-Results'!$X$9))^2+U12^2)+SQRT((('Inputs-Results'!$Y$9-'Inputs-Results'!$W$9)*U12/('Inputs-Results'!$Z$9-'Inputs-Results'!$X$9))^2+U12^2))</f>
        <v>#DIV/0!</v>
      </c>
      <c r="X12" s="19" t="e">
        <f t="shared" si="9"/>
        <v>#DIV/0!</v>
      </c>
      <c r="Y12" s="19" t="e">
        <f>1.49/'Inputs-Results'!$AC17*V12*X12^(2/3)*'Inputs-Results'!$AD17^0.5</f>
        <v>#DIV/0!</v>
      </c>
      <c r="Z12" s="27" t="e">
        <f t="shared" si="10"/>
        <v>#DIV/0!</v>
      </c>
      <c r="AA12" s="26">
        <f t="shared" si="11"/>
        <v>0</v>
      </c>
      <c r="AB12" s="19" t="e">
        <f>IF(AA12&gt;'Inputs-Results'!$V17-'Inputs-Results'!$X17,(0.5*(ABS('Inputs-Results'!$S17-'Inputs-Results'!$U17)/('Inputs-Results'!$T17-'Inputs-Results'!$V17)*(AA12-('Inputs-Results'!$V17-'Inputs-Results'!$X17)))*(AA12-('Inputs-Results'!$V17-'Inputs-Results'!$X17))),0)+IF(AA12&gt;'Inputs-Results'!$V17-'Inputs-Results'!$X17,(0.5*((AA12+'Inputs-Results'!$X17-'Inputs-Results'!$V17)+AA12)*ABS('Inputs-Results'!$U17-'Inputs-Results'!$W17)),0.5*(ABS('Inputs-Results'!$U17-'Inputs-Results'!$W17)/('Inputs-Results'!$V17-'Inputs-Results'!$X17)*AA12)*AA12)+IF(AA12&gt;'Inputs-Results'!$Z17-'Inputs-Results'!$X17,(0.5*((AA12+'Inputs-Results'!$X17-'Inputs-Results'!$Z17)+AA12)*ABS('Inputs-Results'!$Y17-'Inputs-Results'!$W17)),0.5*(ABS('Inputs-Results'!$W17-'Inputs-Results'!$Y17)/('Inputs-Results'!$Z17-'Inputs-Results'!$X17)*AA12)*AA12)+IF(AA12&gt;'Inputs-Results'!$Z17-'Inputs-Results'!$X17,(0.5*(ABS('Inputs-Results'!$Y17-'Inputs-Results'!$AA17)/('Inputs-Results'!$AB17-'Inputs-Results'!$Z17)*(AA12-('Inputs-Results'!$Z17-'Inputs-Results'!$X17)))*(AA12-('Inputs-Results'!$Z17-'Inputs-Results'!$X17))),0)</f>
        <v>#DIV/0!</v>
      </c>
      <c r="AC12" s="19" t="e">
        <f>IF(AA12&gt;'Inputs-Results'!$V$9-'Inputs-Results'!$X$9,SQRT(('Inputs-Results'!$U$9-'Inputs-Results'!$W$9)^2+('Inputs-Results'!$V$9-'Inputs-Results'!$X$9)^2)+SQRT(('Inputs-Results'!$W$9-'Inputs-Results'!$Y$9)^2+('Inputs-Results'!$X$9-'Inputs-Results'!$Z$9)^2)+SQRT((('Inputs-Results'!$S$9-'Inputs-Results'!$U$9)*(AA12+'Inputs-Results'!$X$9-'Inputs-Results'!$V$9)/('Inputs-Results'!$T$9-'Inputs-Results'!$V$9))^2+(AA12+'Inputs-Results'!$X$9-'Inputs-Results'!$V$9)^2)+SQRT((('Inputs-Results'!$AA$9-'Inputs-Results'!$Y$9)*(AA12+'Inputs-Results'!$X$9-'Inputs-Results'!$Z$9)/('Inputs-Results'!$AB$9-'Inputs-Results'!$Z$9))^2+(AA12+'Inputs-Results'!$X$9-'Inputs-Results'!$Z$9)^2),SQRT((('Inputs-Results'!$U$9-'Inputs-Results'!$W$9)*(AA12)/('Inputs-Results'!$V$9-'Inputs-Results'!$X$9))^2+AA12^2)+SQRT((('Inputs-Results'!$Y$9-'Inputs-Results'!$W$9)*AA12/('Inputs-Results'!$Z$9-'Inputs-Results'!$X$9))^2+AA12^2))</f>
        <v>#DIV/0!</v>
      </c>
      <c r="AD12" s="19" t="e">
        <f t="shared" si="12"/>
        <v>#DIV/0!</v>
      </c>
      <c r="AE12" s="19" t="e">
        <f>1.49/'Inputs-Results'!$AC17*AB12*AD12^(2/3)*'Inputs-Results'!$AD17^0.5</f>
        <v>#DIV/0!</v>
      </c>
      <c r="AF12" s="27" t="e">
        <f t="shared" si="13"/>
        <v>#DIV/0!</v>
      </c>
      <c r="AG12" s="26">
        <f t="shared" si="14"/>
        <v>0</v>
      </c>
      <c r="AH12" s="19" t="e">
        <f>IF(AG12&gt;'Inputs-Results'!$V17-'Inputs-Results'!$X17,(0.5*(ABS('Inputs-Results'!$S17-'Inputs-Results'!$U17)/('Inputs-Results'!$T17-'Inputs-Results'!$V17)*(AG12-('Inputs-Results'!$V17-'Inputs-Results'!$X17)))*(AG12-('Inputs-Results'!$V17-'Inputs-Results'!$X17))),0)+IF(AG12&gt;'Inputs-Results'!$V17-'Inputs-Results'!$X17,(0.5*((AG12+'Inputs-Results'!$X17-'Inputs-Results'!$V17)+AG12)*ABS('Inputs-Results'!$U17-'Inputs-Results'!$W17)),0.5*(ABS('Inputs-Results'!$U17-'Inputs-Results'!$W17)/('Inputs-Results'!$V17-'Inputs-Results'!$X17)*AG12)*AG12)+IF(AG12&gt;'Inputs-Results'!$Z17-'Inputs-Results'!$X17,(0.5*((AG12+'Inputs-Results'!$X17-'Inputs-Results'!$Z17)+AG12)*ABS('Inputs-Results'!$Y17-'Inputs-Results'!$W17)),0.5*(ABS('Inputs-Results'!$W17-'Inputs-Results'!$Y17)/('Inputs-Results'!$Z17-'Inputs-Results'!$X17)*AG12)*AG12)+IF(AG12&gt;'Inputs-Results'!$Z17-'Inputs-Results'!$X17,(0.5*(ABS('Inputs-Results'!$Y17-'Inputs-Results'!$AA17)/('Inputs-Results'!$AB17-'Inputs-Results'!$Z17)*(AG12-('Inputs-Results'!$Z17-'Inputs-Results'!$X17)))*(AG12-('Inputs-Results'!$Z17-'Inputs-Results'!$X17))),0)</f>
        <v>#DIV/0!</v>
      </c>
      <c r="AI12" s="19" t="e">
        <f>IF(AG12&gt;'Inputs-Results'!$V$9-'Inputs-Results'!$X$9,SQRT(('Inputs-Results'!$U$9-'Inputs-Results'!$W$9)^2+('Inputs-Results'!$V$9-'Inputs-Results'!$X$9)^2)+SQRT(('Inputs-Results'!$W$9-'Inputs-Results'!$Y$9)^2+('Inputs-Results'!$X$9-'Inputs-Results'!$Z$9)^2)+SQRT((('Inputs-Results'!$S$9-'Inputs-Results'!$U$9)*(AG12+'Inputs-Results'!$X$9-'Inputs-Results'!$V$9)/('Inputs-Results'!$T$9-'Inputs-Results'!$V$9))^2+(AG12+'Inputs-Results'!$X$9-'Inputs-Results'!$V$9)^2)+SQRT((('Inputs-Results'!$AA$9-'Inputs-Results'!$Y$9)*(AG12+'Inputs-Results'!$X$9-'Inputs-Results'!$Z$9)/('Inputs-Results'!$AB$9-'Inputs-Results'!$Z$9))^2+(AG12+'Inputs-Results'!$X$9-'Inputs-Results'!$Z$9)^2),SQRT((('Inputs-Results'!$U$9-'Inputs-Results'!$W$9)*(AG12)/('Inputs-Results'!$V$9-'Inputs-Results'!$X$9))^2+AG12^2)+SQRT((('Inputs-Results'!$Y$9-'Inputs-Results'!$W$9)*AG12/('Inputs-Results'!$Z$9-'Inputs-Results'!$X$9))^2+AG12^2))</f>
        <v>#DIV/0!</v>
      </c>
      <c r="AJ12" s="19" t="e">
        <f t="shared" si="15"/>
        <v>#DIV/0!</v>
      </c>
      <c r="AK12" s="19" t="e">
        <f>1.49/'Inputs-Results'!$AC17*AH12*AJ12^(2/3)*'Inputs-Results'!$AD17^0.5</f>
        <v>#DIV/0!</v>
      </c>
      <c r="AL12" s="27" t="e">
        <f t="shared" si="16"/>
        <v>#DIV/0!</v>
      </c>
      <c r="AM12" s="26">
        <f t="shared" si="17"/>
        <v>0</v>
      </c>
      <c r="AN12" s="19" t="e">
        <f>IF(AM12&gt;'Inputs-Results'!$V17-'Inputs-Results'!$X17,(0.5*(ABS('Inputs-Results'!$S17-'Inputs-Results'!$U17)/('Inputs-Results'!$T17-'Inputs-Results'!$V17)*(AM12-('Inputs-Results'!$V17-'Inputs-Results'!$X17)))*(AM12-('Inputs-Results'!$V17-'Inputs-Results'!$X17))),0)+IF(AM12&gt;'Inputs-Results'!$V17-'Inputs-Results'!$X17,(0.5*((AM12+'Inputs-Results'!$X17-'Inputs-Results'!$V17)+AM12)*ABS('Inputs-Results'!$U17-'Inputs-Results'!$W17)),0.5*(ABS('Inputs-Results'!$U17-'Inputs-Results'!$W17)/('Inputs-Results'!$V17-'Inputs-Results'!$X17)*AM12)*AM12)+IF(AM12&gt;'Inputs-Results'!$Z17-'Inputs-Results'!$X17,(0.5*((AM12+'Inputs-Results'!$X17-'Inputs-Results'!$Z17)+AM12)*ABS('Inputs-Results'!$Y17-'Inputs-Results'!$W17)),0.5*(ABS('Inputs-Results'!$W17-'Inputs-Results'!$Y17)/('Inputs-Results'!$Z17-'Inputs-Results'!$X17)*AM12)*AM12)+IF(AM12&gt;'Inputs-Results'!$Z17-'Inputs-Results'!$X17,(0.5*(ABS('Inputs-Results'!$Y17-'Inputs-Results'!$AA17)/('Inputs-Results'!$AB17-'Inputs-Results'!$Z17)*(AM12-('Inputs-Results'!$Z17-'Inputs-Results'!$X17)))*(AM12-('Inputs-Results'!$Z17-'Inputs-Results'!$X17))),0)</f>
        <v>#DIV/0!</v>
      </c>
      <c r="AO12" s="19" t="e">
        <f>IF(AM12&gt;'Inputs-Results'!$V$9-'Inputs-Results'!$X$9,SQRT(('Inputs-Results'!$U$9-'Inputs-Results'!$W$9)^2+('Inputs-Results'!$V$9-'Inputs-Results'!$X$9)^2)+SQRT(('Inputs-Results'!$W$9-'Inputs-Results'!$Y$9)^2+('Inputs-Results'!$X$9-'Inputs-Results'!$Z$9)^2)+SQRT((('Inputs-Results'!$S$9-'Inputs-Results'!$U$9)*(AM12+'Inputs-Results'!$X$9-'Inputs-Results'!$V$9)/('Inputs-Results'!$T$9-'Inputs-Results'!$V$9))^2+(AM12+'Inputs-Results'!$X$9-'Inputs-Results'!$V$9)^2)+SQRT((('Inputs-Results'!$AA$9-'Inputs-Results'!$Y$9)*(AM12+'Inputs-Results'!$X$9-'Inputs-Results'!$Z$9)/('Inputs-Results'!$AB$9-'Inputs-Results'!$Z$9))^2+(AM12+'Inputs-Results'!$X$9-'Inputs-Results'!$Z$9)^2),SQRT((('Inputs-Results'!$U$9-'Inputs-Results'!$W$9)*(AM12)/('Inputs-Results'!$V$9-'Inputs-Results'!$X$9))^2+AM12^2)+SQRT((('Inputs-Results'!$Y$9-'Inputs-Results'!$W$9)*AM12/('Inputs-Results'!$Z$9-'Inputs-Results'!$X$9))^2+AM12^2))</f>
        <v>#DIV/0!</v>
      </c>
      <c r="AP12" s="19" t="e">
        <f t="shared" si="18"/>
        <v>#DIV/0!</v>
      </c>
      <c r="AQ12" s="19" t="e">
        <f>1.49/'Inputs-Results'!$AC17*AN12*AP12^(2/3)*'Inputs-Results'!$AD17^0.5</f>
        <v>#DIV/0!</v>
      </c>
      <c r="AR12" s="27" t="e">
        <f t="shared" si="19"/>
        <v>#DIV/0!</v>
      </c>
      <c r="AS12" s="26">
        <f t="shared" si="20"/>
        <v>0</v>
      </c>
      <c r="AT12" s="19" t="e">
        <f>IF(AS12&gt;'Inputs-Results'!$V17-'Inputs-Results'!$X17,(0.5*(ABS('Inputs-Results'!$S17-'Inputs-Results'!$U17)/('Inputs-Results'!$T17-'Inputs-Results'!$V17)*(AS12-('Inputs-Results'!$V17-'Inputs-Results'!$X17)))*(AS12-('Inputs-Results'!$V17-'Inputs-Results'!$X17))),0)+IF(AS12&gt;'Inputs-Results'!$V17-'Inputs-Results'!$X17,(0.5*((AS12+'Inputs-Results'!$X17-'Inputs-Results'!$V17)+AS12)*ABS('Inputs-Results'!$U17-'Inputs-Results'!$W17)),0.5*(ABS('Inputs-Results'!$U17-'Inputs-Results'!$W17)/('Inputs-Results'!$V17-'Inputs-Results'!$X17)*AS12)*AS12)+IF(AS12&gt;'Inputs-Results'!$Z17-'Inputs-Results'!$X17,(0.5*((AS12+'Inputs-Results'!$X17-'Inputs-Results'!$Z17)+AS12)*ABS('Inputs-Results'!$Y17-'Inputs-Results'!$W17)),0.5*(ABS('Inputs-Results'!$W17-'Inputs-Results'!$Y17)/('Inputs-Results'!$Z17-'Inputs-Results'!$X17)*AS12)*AS12)+IF(AS12&gt;'Inputs-Results'!$Z17-'Inputs-Results'!$X17,(0.5*(ABS('Inputs-Results'!$Y17-'Inputs-Results'!$AA17)/('Inputs-Results'!$AB17-'Inputs-Results'!$Z17)*(AS12-('Inputs-Results'!$Z17-'Inputs-Results'!$X17)))*(AS12-('Inputs-Results'!$Z17-'Inputs-Results'!$X17))),0)</f>
        <v>#DIV/0!</v>
      </c>
      <c r="AU12" s="19" t="e">
        <f>IF(AS12&gt;'Inputs-Results'!$V$9-'Inputs-Results'!$X$9,SQRT(('Inputs-Results'!$U$9-'Inputs-Results'!$W$9)^2+('Inputs-Results'!$V$9-'Inputs-Results'!$X$9)^2)+SQRT(('Inputs-Results'!$W$9-'Inputs-Results'!$Y$9)^2+('Inputs-Results'!$X$9-'Inputs-Results'!$Z$9)^2)+SQRT((('Inputs-Results'!$S$9-'Inputs-Results'!$U$9)*(AS12+'Inputs-Results'!$X$9-'Inputs-Results'!$V$9)/('Inputs-Results'!$T$9-'Inputs-Results'!$V$9))^2+(AS12+'Inputs-Results'!$X$9-'Inputs-Results'!$V$9)^2)+SQRT((('Inputs-Results'!$AA$9-'Inputs-Results'!$Y$9)*(AS12+'Inputs-Results'!$X$9-'Inputs-Results'!$Z$9)/('Inputs-Results'!$AB$9-'Inputs-Results'!$Z$9))^2+(AS12+'Inputs-Results'!$X$9-'Inputs-Results'!$Z$9)^2),SQRT((('Inputs-Results'!$U$9-'Inputs-Results'!$W$9)*(AS12)/('Inputs-Results'!$V$9-'Inputs-Results'!$X$9))^2+AS12^2)+SQRT((('Inputs-Results'!$Y$9-'Inputs-Results'!$W$9)*AS12/('Inputs-Results'!$Z$9-'Inputs-Results'!$X$9))^2+AS12^2))</f>
        <v>#DIV/0!</v>
      </c>
      <c r="AV12" s="19" t="e">
        <f t="shared" si="21"/>
        <v>#DIV/0!</v>
      </c>
      <c r="AW12" s="19" t="e">
        <f>1.49/'Inputs-Results'!$AC17*AT12*AV12^(2/3)*'Inputs-Results'!$AD17^0.5</f>
        <v>#DIV/0!</v>
      </c>
      <c r="AX12" s="27" t="e">
        <f t="shared" si="22"/>
        <v>#DIV/0!</v>
      </c>
      <c r="AY12" s="26">
        <f t="shared" si="23"/>
        <v>0</v>
      </c>
      <c r="AZ12" s="19" t="e">
        <f>IF(AY12&gt;'Inputs-Results'!$V17-'Inputs-Results'!$X17,(0.5*(ABS('Inputs-Results'!$S17-'Inputs-Results'!$U17)/('Inputs-Results'!$T17-'Inputs-Results'!$V17)*(AY12-('Inputs-Results'!$V17-'Inputs-Results'!$X17)))*(AY12-('Inputs-Results'!$V17-'Inputs-Results'!$X17))),0)+IF(AY12&gt;'Inputs-Results'!$V17-'Inputs-Results'!$X17,(0.5*((AY12+'Inputs-Results'!$X17-'Inputs-Results'!$V17)+AY12)*ABS('Inputs-Results'!$U17-'Inputs-Results'!$W17)),0.5*(ABS('Inputs-Results'!$U17-'Inputs-Results'!$W17)/('Inputs-Results'!$V17-'Inputs-Results'!$X17)*AY12)*AY12)+IF(AY12&gt;'Inputs-Results'!$Z17-'Inputs-Results'!$X17,(0.5*((AY12+'Inputs-Results'!$X17-'Inputs-Results'!$Z17)+AY12)*ABS('Inputs-Results'!$Y17-'Inputs-Results'!$W17)),0.5*(ABS('Inputs-Results'!$W17-'Inputs-Results'!$Y17)/('Inputs-Results'!$Z17-'Inputs-Results'!$X17)*AY12)*AY12)+IF(AY12&gt;'Inputs-Results'!$Z17-'Inputs-Results'!$X17,(0.5*(ABS('Inputs-Results'!$Y17-'Inputs-Results'!$AA17)/('Inputs-Results'!$AB17-'Inputs-Results'!$Z17)*(AY12-('Inputs-Results'!$Z17-'Inputs-Results'!$X17)))*(AY12-('Inputs-Results'!$Z17-'Inputs-Results'!$X17))),0)</f>
        <v>#DIV/0!</v>
      </c>
      <c r="BA12" s="19" t="e">
        <f>IF(AY12&gt;'Inputs-Results'!$V$9-'Inputs-Results'!$X$9,SQRT(('Inputs-Results'!$U$9-'Inputs-Results'!$W$9)^2+('Inputs-Results'!$V$9-'Inputs-Results'!$X$9)^2)+SQRT(('Inputs-Results'!$W$9-'Inputs-Results'!$Y$9)^2+('Inputs-Results'!$X$9-'Inputs-Results'!$Z$9)^2)+SQRT((('Inputs-Results'!$S$9-'Inputs-Results'!$U$9)*(AY12+'Inputs-Results'!$X$9-'Inputs-Results'!$V$9)/('Inputs-Results'!$T$9-'Inputs-Results'!$V$9))^2+(AY12+'Inputs-Results'!$X$9-'Inputs-Results'!$V$9)^2)+SQRT((('Inputs-Results'!$AA$9-'Inputs-Results'!$Y$9)*(AY12+'Inputs-Results'!$X$9-'Inputs-Results'!$Z$9)/('Inputs-Results'!$AB$9-'Inputs-Results'!$Z$9))^2+(AY12+'Inputs-Results'!$X$9-'Inputs-Results'!$Z$9)^2),SQRT((('Inputs-Results'!$U$9-'Inputs-Results'!$W$9)*(AY12)/('Inputs-Results'!$V$9-'Inputs-Results'!$X$9))^2+AY12^2)+SQRT((('Inputs-Results'!$Y$9-'Inputs-Results'!$W$9)*AY12/('Inputs-Results'!$Z$9-'Inputs-Results'!$X$9))^2+AY12^2))</f>
        <v>#DIV/0!</v>
      </c>
      <c r="BB12" s="19" t="e">
        <f t="shared" si="24"/>
        <v>#DIV/0!</v>
      </c>
      <c r="BC12" s="19" t="e">
        <f>1.49/'Inputs-Results'!$AC17*AZ12*BB12^(2/3)*'Inputs-Results'!$AD17^0.5</f>
        <v>#DIV/0!</v>
      </c>
      <c r="BD12" s="27" t="e">
        <f t="shared" si="25"/>
        <v>#DIV/0!</v>
      </c>
      <c r="BE12" s="26">
        <f t="shared" si="26"/>
        <v>0</v>
      </c>
      <c r="BF12" s="19" t="e">
        <f>IF(BE12&gt;'Inputs-Results'!$V17-'Inputs-Results'!$X17,(0.5*(ABS('Inputs-Results'!$S17-'Inputs-Results'!$U17)/('Inputs-Results'!$T17-'Inputs-Results'!$V17)*(BE12-('Inputs-Results'!$V17-'Inputs-Results'!$X17)))*(BE12-('Inputs-Results'!$V17-'Inputs-Results'!$X17))),0)+IF(BE12&gt;'Inputs-Results'!$V17-'Inputs-Results'!$X17,(0.5*((BE12+'Inputs-Results'!$X17-'Inputs-Results'!$V17)+BE12)*ABS('Inputs-Results'!$U17-'Inputs-Results'!$W17)),0.5*(ABS('Inputs-Results'!$U17-'Inputs-Results'!$W17)/('Inputs-Results'!$V17-'Inputs-Results'!$X17)*BE12)*BE12)+IF(BE12&gt;'Inputs-Results'!$Z17-'Inputs-Results'!$X17,(0.5*((BE12+'Inputs-Results'!$X17-'Inputs-Results'!$Z17)+BE12)*ABS('Inputs-Results'!$Y17-'Inputs-Results'!$W17)),0.5*(ABS('Inputs-Results'!$W17-'Inputs-Results'!$Y17)/('Inputs-Results'!$Z17-'Inputs-Results'!$X17)*BE12)*BE12)+IF(BE12&gt;'Inputs-Results'!$Z17-'Inputs-Results'!$X17,(0.5*(ABS('Inputs-Results'!$Y17-'Inputs-Results'!$AA17)/('Inputs-Results'!$AB17-'Inputs-Results'!$Z17)*(BE12-('Inputs-Results'!$Z17-'Inputs-Results'!$X17)))*(BE12-('Inputs-Results'!$Z17-'Inputs-Results'!$X17))),0)</f>
        <v>#DIV/0!</v>
      </c>
      <c r="BG12" s="19" t="e">
        <f>IF(BE12&gt;'Inputs-Results'!$V$9-'Inputs-Results'!$X$9,SQRT(('Inputs-Results'!$U$9-'Inputs-Results'!$W$9)^2+('Inputs-Results'!$V$9-'Inputs-Results'!$X$9)^2)+SQRT(('Inputs-Results'!$W$9-'Inputs-Results'!$Y$9)^2+('Inputs-Results'!$X$9-'Inputs-Results'!$Z$9)^2)+SQRT((('Inputs-Results'!$S$9-'Inputs-Results'!$U$9)*(BE12+'Inputs-Results'!$X$9-'Inputs-Results'!$V$9)/('Inputs-Results'!$T$9-'Inputs-Results'!$V$9))^2+(BE12+'Inputs-Results'!$X$9-'Inputs-Results'!$V$9)^2)+SQRT((('Inputs-Results'!$AA$9-'Inputs-Results'!$Y$9)*(BE12+'Inputs-Results'!$X$9-'Inputs-Results'!$Z$9)/('Inputs-Results'!$AB$9-'Inputs-Results'!$Z$9))^2+(BE12+'Inputs-Results'!$X$9-'Inputs-Results'!$Z$9)^2),SQRT((('Inputs-Results'!$U$9-'Inputs-Results'!$W$9)*(BE12)/('Inputs-Results'!$V$9-'Inputs-Results'!$X$9))^2+BE12^2)+SQRT((('Inputs-Results'!$Y$9-'Inputs-Results'!$W$9)*BE12/('Inputs-Results'!$Z$9-'Inputs-Results'!$X$9))^2+BE12^2))</f>
        <v>#DIV/0!</v>
      </c>
      <c r="BH12" s="19" t="e">
        <f t="shared" si="27"/>
        <v>#DIV/0!</v>
      </c>
      <c r="BI12" s="19" t="e">
        <f>1.49/'Inputs-Results'!$AC17*BF12*BH12^(2/3)*'Inputs-Results'!$AD17^0.5</f>
        <v>#DIV/0!</v>
      </c>
      <c r="BJ12" s="27" t="e">
        <f t="shared" si="28"/>
        <v>#DIV/0!</v>
      </c>
    </row>
    <row r="13" spans="1:62" x14ac:dyDescent="0.25">
      <c r="A13" s="2">
        <v>0</v>
      </c>
      <c r="B13" s="17"/>
      <c r="C13" s="26">
        <f>MIN('Inputs-Results'!T18-'Inputs-Results'!X18,'Inputs-Results'!AB18-'Inputs-Results'!X18)</f>
        <v>0</v>
      </c>
      <c r="D13" s="19" t="e">
        <f>IF(C13&gt;'Inputs-Results'!$V18-'Inputs-Results'!$X18,(0.5*(ABS('Inputs-Results'!$S18-'Inputs-Results'!$U18)/('Inputs-Results'!$T18-'Inputs-Results'!$V18)*(C13-('Inputs-Results'!$V18-'Inputs-Results'!$X18)))*(C13-('Inputs-Results'!$V18-'Inputs-Results'!$X18))),0)+IF(C13&gt;'Inputs-Results'!$V18-'Inputs-Results'!$X18,(0.5*((C13+'Inputs-Results'!$X18-'Inputs-Results'!$V18)+C13)*ABS('Inputs-Results'!$U18-'Inputs-Results'!$W18)),0.5*(ABS('Inputs-Results'!$U18-'Inputs-Results'!$W18)/('Inputs-Results'!$V18-'Inputs-Results'!$X18)*C13)*C13)+IF(C13&gt;'Inputs-Results'!$Z18-'Inputs-Results'!$X18,(0.5*((C13+'Inputs-Results'!$X18-'Inputs-Results'!$Z18)+C13)*ABS('Inputs-Results'!$Y18-'Inputs-Results'!$W18)),0.5*(ABS('Inputs-Results'!$W18-'Inputs-Results'!$Y18)/('Inputs-Results'!$Z18-'Inputs-Results'!$X18)*C13)*C13)+IF(C13&gt;'Inputs-Results'!$Z18-'Inputs-Results'!$X18,(0.5*(ABS('Inputs-Results'!$Y18-'Inputs-Results'!$AA18)/('Inputs-Results'!$AB18-'Inputs-Results'!$Z18)*(C13-('Inputs-Results'!$Z18-'Inputs-Results'!$X18)))*(C13-('Inputs-Results'!$Z18-'Inputs-Results'!$X18))),0)</f>
        <v>#DIV/0!</v>
      </c>
      <c r="E13" s="19" t="e">
        <f>IF(C13&gt;'Inputs-Results'!$V$9-'Inputs-Results'!$X$9,SQRT(('Inputs-Results'!$U$9-'Inputs-Results'!$W$9)^2+('Inputs-Results'!$V$9-'Inputs-Results'!$X$9)^2)+SQRT(('Inputs-Results'!$W$9-'Inputs-Results'!$Y$9)^2+('Inputs-Results'!$X$9-'Inputs-Results'!$Z$9)^2)+SQRT((('Inputs-Results'!$S$9-'Inputs-Results'!$U$9)*(C13+'Inputs-Results'!$X$9-'Inputs-Results'!$V$9)/('Inputs-Results'!$T$9-'Inputs-Results'!$V$9))^2+(C13+'Inputs-Results'!$X$9-'Inputs-Results'!$V$9)^2)+SQRT((('Inputs-Results'!$AA$9-'Inputs-Results'!$Y$9)*(C13+'Inputs-Results'!$X$9-'Inputs-Results'!$Z$9)/('Inputs-Results'!$AB$9-'Inputs-Results'!$Z$9))^2+(C13+'Inputs-Results'!$X$9-'Inputs-Results'!$Z$9)^2),SQRT((('Inputs-Results'!$U$9-'Inputs-Results'!$W$9)*(C13)/('Inputs-Results'!$V$9-'Inputs-Results'!$X$9))^2+C13^2)+SQRT((('Inputs-Results'!$Y$9-'Inputs-Results'!$W$9)*C13/('Inputs-Results'!$Z$9-'Inputs-Results'!$X$9))^2+C13^2))</f>
        <v>#DIV/0!</v>
      </c>
      <c r="F13" s="19" t="e">
        <f t="shared" si="0"/>
        <v>#DIV/0!</v>
      </c>
      <c r="G13" s="19" t="e">
        <f>1.49/'Inputs-Results'!AC18*D13*F13^(2/3)*'Inputs-Results'!AD18^0.5</f>
        <v>#DIV/0!</v>
      </c>
      <c r="H13" s="27" t="e">
        <f t="shared" si="1"/>
        <v>#DIV/0!</v>
      </c>
      <c r="I13" s="26">
        <f t="shared" si="2"/>
        <v>0</v>
      </c>
      <c r="J13" s="19" t="e">
        <f>IF(I13&gt;'Inputs-Results'!$V18-'Inputs-Results'!$X18,(0.5*(ABS('Inputs-Results'!$S18-'Inputs-Results'!$U18)/('Inputs-Results'!$T18-'Inputs-Results'!$V18)*(I13-('Inputs-Results'!$V18-'Inputs-Results'!$X18)))*(I13-('Inputs-Results'!$V18-'Inputs-Results'!$X18))),0)+IF(I13&gt;'Inputs-Results'!$V18-'Inputs-Results'!$X18,(0.5*((I13+'Inputs-Results'!$X18-'Inputs-Results'!$V18)+I13)*ABS('Inputs-Results'!$U18-'Inputs-Results'!$W18)),0.5*(ABS('Inputs-Results'!$U18-'Inputs-Results'!$W18)/('Inputs-Results'!$V18-'Inputs-Results'!$X18)*I13)*I13)+IF(I13&gt;'Inputs-Results'!$Z18-'Inputs-Results'!$X18,(0.5*((I13+'Inputs-Results'!$X18-'Inputs-Results'!$Z18)+I13)*ABS('Inputs-Results'!$Y18-'Inputs-Results'!$W18)),0.5*(ABS('Inputs-Results'!$W18-'Inputs-Results'!$Y18)/('Inputs-Results'!$Z18-'Inputs-Results'!$X18)*I13)*I13)+IF(I13&gt;'Inputs-Results'!$Z18-'Inputs-Results'!$X18,(0.5*(ABS('Inputs-Results'!$Y18-'Inputs-Results'!$AA18)/('Inputs-Results'!$AB18-'Inputs-Results'!$Z18)*(I13-('Inputs-Results'!$Z18-'Inputs-Results'!$X18)))*(I13-('Inputs-Results'!$Z18-'Inputs-Results'!$X18))),0)</f>
        <v>#DIV/0!</v>
      </c>
      <c r="K13" s="19" t="e">
        <f>IF(I13&gt;'Inputs-Results'!$V$9-'Inputs-Results'!$X$9,SQRT(('Inputs-Results'!$U$9-'Inputs-Results'!$W$9)^2+('Inputs-Results'!$V$9-'Inputs-Results'!$X$9)^2)+SQRT(('Inputs-Results'!$W$9-'Inputs-Results'!$Y$9)^2+('Inputs-Results'!$X$9-'Inputs-Results'!$Z$9)^2)+SQRT((('Inputs-Results'!$S$9-'Inputs-Results'!$U$9)*(I13+'Inputs-Results'!$X$9-'Inputs-Results'!$V$9)/('Inputs-Results'!$T$9-'Inputs-Results'!$V$9))^2+(I13+'Inputs-Results'!$X$9-'Inputs-Results'!$V$9)^2)+SQRT((('Inputs-Results'!$AA$9-'Inputs-Results'!$Y$9)*(I13+'Inputs-Results'!$X$9-'Inputs-Results'!$Z$9)/('Inputs-Results'!$AB$9-'Inputs-Results'!$Z$9))^2+(I13+'Inputs-Results'!$X$9-'Inputs-Results'!$Z$9)^2),SQRT((('Inputs-Results'!$U$9-'Inputs-Results'!$W$9)*(I13)/('Inputs-Results'!$V$9-'Inputs-Results'!$X$9))^2+I13^2)+SQRT((('Inputs-Results'!$Y$9-'Inputs-Results'!$W$9)*I13/('Inputs-Results'!$Z$9-'Inputs-Results'!$X$9))^2+I13^2))</f>
        <v>#DIV/0!</v>
      </c>
      <c r="L13" s="19" t="e">
        <f t="shared" si="3"/>
        <v>#DIV/0!</v>
      </c>
      <c r="M13" s="19" t="e">
        <f>1.49/'Inputs-Results'!$AC18*J13*L13^(2/3)*'Inputs-Results'!$AD18^0.5</f>
        <v>#DIV/0!</v>
      </c>
      <c r="N13" s="27" t="e">
        <f t="shared" si="4"/>
        <v>#DIV/0!</v>
      </c>
      <c r="O13" s="26">
        <f t="shared" si="5"/>
        <v>0</v>
      </c>
      <c r="P13" s="19" t="e">
        <f>IF(O13&gt;'Inputs-Results'!$V18-'Inputs-Results'!$X18,(0.5*(ABS('Inputs-Results'!$S18-'Inputs-Results'!$U18)/('Inputs-Results'!$T18-'Inputs-Results'!$V18)*(O13-('Inputs-Results'!$V18-'Inputs-Results'!$X18)))*(O13-('Inputs-Results'!$V18-'Inputs-Results'!$X18))),0)+IF(O13&gt;'Inputs-Results'!$V18-'Inputs-Results'!$X18,(0.5*((O13+'Inputs-Results'!$X18-'Inputs-Results'!$V18)+O13)*ABS('Inputs-Results'!$U18-'Inputs-Results'!$W18)),0.5*(ABS('Inputs-Results'!$U18-'Inputs-Results'!$W18)/('Inputs-Results'!$V18-'Inputs-Results'!$X18)*O13)*O13)+IF(O13&gt;'Inputs-Results'!$Z18-'Inputs-Results'!$X18,(0.5*((O13+'Inputs-Results'!$X18-'Inputs-Results'!$Z18)+O13)*ABS('Inputs-Results'!$Y18-'Inputs-Results'!$W18)),0.5*(ABS('Inputs-Results'!$W18-'Inputs-Results'!$Y18)/('Inputs-Results'!$Z18-'Inputs-Results'!$X18)*O13)*O13)+IF(O13&gt;'Inputs-Results'!$Z18-'Inputs-Results'!$X18,(0.5*(ABS('Inputs-Results'!$Y18-'Inputs-Results'!$AA18)/('Inputs-Results'!$AB18-'Inputs-Results'!$Z18)*(O13-('Inputs-Results'!$Z18-'Inputs-Results'!$X18)))*(O13-('Inputs-Results'!$Z18-'Inputs-Results'!$X18))),0)</f>
        <v>#DIV/0!</v>
      </c>
      <c r="Q13" s="19" t="e">
        <f>IF(O13&gt;'Inputs-Results'!$V$9-'Inputs-Results'!$X$9,SQRT(('Inputs-Results'!$U$9-'Inputs-Results'!$W$9)^2+('Inputs-Results'!$V$9-'Inputs-Results'!$X$9)^2)+SQRT(('Inputs-Results'!$W$9-'Inputs-Results'!$Y$9)^2+('Inputs-Results'!$X$9-'Inputs-Results'!$Z$9)^2)+SQRT((('Inputs-Results'!$S$9-'Inputs-Results'!$U$9)*(O13+'Inputs-Results'!$X$9-'Inputs-Results'!$V$9)/('Inputs-Results'!$T$9-'Inputs-Results'!$V$9))^2+(O13+'Inputs-Results'!$X$9-'Inputs-Results'!$V$9)^2)+SQRT((('Inputs-Results'!$AA$9-'Inputs-Results'!$Y$9)*(O13+'Inputs-Results'!$X$9-'Inputs-Results'!$Z$9)/('Inputs-Results'!$AB$9-'Inputs-Results'!$Z$9))^2+(O13+'Inputs-Results'!$X$9-'Inputs-Results'!$Z$9)^2),SQRT((('Inputs-Results'!$U$9-'Inputs-Results'!$W$9)*(O13)/('Inputs-Results'!$V$9-'Inputs-Results'!$X$9))^2+O13^2)+SQRT((('Inputs-Results'!$Y$9-'Inputs-Results'!$W$9)*O13/('Inputs-Results'!$Z$9-'Inputs-Results'!$X$9))^2+O13^2))</f>
        <v>#DIV/0!</v>
      </c>
      <c r="R13" s="19" t="e">
        <f t="shared" si="6"/>
        <v>#DIV/0!</v>
      </c>
      <c r="S13" s="19" t="e">
        <f>1.49/'Inputs-Results'!$AC18*P13*R13^(2/3)*'Inputs-Results'!$AD18^0.5</f>
        <v>#DIV/0!</v>
      </c>
      <c r="T13" s="27" t="e">
        <f t="shared" si="7"/>
        <v>#DIV/0!</v>
      </c>
      <c r="U13" s="26">
        <f t="shared" si="8"/>
        <v>0</v>
      </c>
      <c r="V13" s="19" t="e">
        <f>IF(U13&gt;'Inputs-Results'!$V18-'Inputs-Results'!$X18,(0.5*(ABS('Inputs-Results'!$S18-'Inputs-Results'!$U18)/('Inputs-Results'!$T18-'Inputs-Results'!$V18)*(U13-('Inputs-Results'!$V18-'Inputs-Results'!$X18)))*(U13-('Inputs-Results'!$V18-'Inputs-Results'!$X18))),0)+IF(U13&gt;'Inputs-Results'!$V18-'Inputs-Results'!$X18,(0.5*((U13+'Inputs-Results'!$X18-'Inputs-Results'!$V18)+U13)*ABS('Inputs-Results'!$U18-'Inputs-Results'!$W18)),0.5*(ABS('Inputs-Results'!$U18-'Inputs-Results'!$W18)/('Inputs-Results'!$V18-'Inputs-Results'!$X18)*U13)*U13)+IF(U13&gt;'Inputs-Results'!$Z18-'Inputs-Results'!$X18,(0.5*((U13+'Inputs-Results'!$X18-'Inputs-Results'!$Z18)+U13)*ABS('Inputs-Results'!$Y18-'Inputs-Results'!$W18)),0.5*(ABS('Inputs-Results'!$W18-'Inputs-Results'!$Y18)/('Inputs-Results'!$Z18-'Inputs-Results'!$X18)*U13)*U13)+IF(U13&gt;'Inputs-Results'!$Z18-'Inputs-Results'!$X18,(0.5*(ABS('Inputs-Results'!$Y18-'Inputs-Results'!$AA18)/('Inputs-Results'!$AB18-'Inputs-Results'!$Z18)*(U13-('Inputs-Results'!$Z18-'Inputs-Results'!$X18)))*(U13-('Inputs-Results'!$Z18-'Inputs-Results'!$X18))),0)</f>
        <v>#DIV/0!</v>
      </c>
      <c r="W13" s="19" t="e">
        <f>IF(U13&gt;'Inputs-Results'!$V$9-'Inputs-Results'!$X$9,SQRT(('Inputs-Results'!$U$9-'Inputs-Results'!$W$9)^2+('Inputs-Results'!$V$9-'Inputs-Results'!$X$9)^2)+SQRT(('Inputs-Results'!$W$9-'Inputs-Results'!$Y$9)^2+('Inputs-Results'!$X$9-'Inputs-Results'!$Z$9)^2)+SQRT((('Inputs-Results'!$S$9-'Inputs-Results'!$U$9)*(U13+'Inputs-Results'!$X$9-'Inputs-Results'!$V$9)/('Inputs-Results'!$T$9-'Inputs-Results'!$V$9))^2+(U13+'Inputs-Results'!$X$9-'Inputs-Results'!$V$9)^2)+SQRT((('Inputs-Results'!$AA$9-'Inputs-Results'!$Y$9)*(U13+'Inputs-Results'!$X$9-'Inputs-Results'!$Z$9)/('Inputs-Results'!$AB$9-'Inputs-Results'!$Z$9))^2+(U13+'Inputs-Results'!$X$9-'Inputs-Results'!$Z$9)^2),SQRT((('Inputs-Results'!$U$9-'Inputs-Results'!$W$9)*(U13)/('Inputs-Results'!$V$9-'Inputs-Results'!$X$9))^2+U13^2)+SQRT((('Inputs-Results'!$Y$9-'Inputs-Results'!$W$9)*U13/('Inputs-Results'!$Z$9-'Inputs-Results'!$X$9))^2+U13^2))</f>
        <v>#DIV/0!</v>
      </c>
      <c r="X13" s="19" t="e">
        <f t="shared" si="9"/>
        <v>#DIV/0!</v>
      </c>
      <c r="Y13" s="19" t="e">
        <f>1.49/'Inputs-Results'!$AC18*V13*X13^(2/3)*'Inputs-Results'!$AD18^0.5</f>
        <v>#DIV/0!</v>
      </c>
      <c r="Z13" s="27" t="e">
        <f t="shared" si="10"/>
        <v>#DIV/0!</v>
      </c>
      <c r="AA13" s="26">
        <f t="shared" si="11"/>
        <v>0</v>
      </c>
      <c r="AB13" s="19" t="e">
        <f>IF(AA13&gt;'Inputs-Results'!$V18-'Inputs-Results'!$X18,(0.5*(ABS('Inputs-Results'!$S18-'Inputs-Results'!$U18)/('Inputs-Results'!$T18-'Inputs-Results'!$V18)*(AA13-('Inputs-Results'!$V18-'Inputs-Results'!$X18)))*(AA13-('Inputs-Results'!$V18-'Inputs-Results'!$X18))),0)+IF(AA13&gt;'Inputs-Results'!$V18-'Inputs-Results'!$X18,(0.5*((AA13+'Inputs-Results'!$X18-'Inputs-Results'!$V18)+AA13)*ABS('Inputs-Results'!$U18-'Inputs-Results'!$W18)),0.5*(ABS('Inputs-Results'!$U18-'Inputs-Results'!$W18)/('Inputs-Results'!$V18-'Inputs-Results'!$X18)*AA13)*AA13)+IF(AA13&gt;'Inputs-Results'!$Z18-'Inputs-Results'!$X18,(0.5*((AA13+'Inputs-Results'!$X18-'Inputs-Results'!$Z18)+AA13)*ABS('Inputs-Results'!$Y18-'Inputs-Results'!$W18)),0.5*(ABS('Inputs-Results'!$W18-'Inputs-Results'!$Y18)/('Inputs-Results'!$Z18-'Inputs-Results'!$X18)*AA13)*AA13)+IF(AA13&gt;'Inputs-Results'!$Z18-'Inputs-Results'!$X18,(0.5*(ABS('Inputs-Results'!$Y18-'Inputs-Results'!$AA18)/('Inputs-Results'!$AB18-'Inputs-Results'!$Z18)*(AA13-('Inputs-Results'!$Z18-'Inputs-Results'!$X18)))*(AA13-('Inputs-Results'!$Z18-'Inputs-Results'!$X18))),0)</f>
        <v>#DIV/0!</v>
      </c>
      <c r="AC13" s="19" t="e">
        <f>IF(AA13&gt;'Inputs-Results'!$V$9-'Inputs-Results'!$X$9,SQRT(('Inputs-Results'!$U$9-'Inputs-Results'!$W$9)^2+('Inputs-Results'!$V$9-'Inputs-Results'!$X$9)^2)+SQRT(('Inputs-Results'!$W$9-'Inputs-Results'!$Y$9)^2+('Inputs-Results'!$X$9-'Inputs-Results'!$Z$9)^2)+SQRT((('Inputs-Results'!$S$9-'Inputs-Results'!$U$9)*(AA13+'Inputs-Results'!$X$9-'Inputs-Results'!$V$9)/('Inputs-Results'!$T$9-'Inputs-Results'!$V$9))^2+(AA13+'Inputs-Results'!$X$9-'Inputs-Results'!$V$9)^2)+SQRT((('Inputs-Results'!$AA$9-'Inputs-Results'!$Y$9)*(AA13+'Inputs-Results'!$X$9-'Inputs-Results'!$Z$9)/('Inputs-Results'!$AB$9-'Inputs-Results'!$Z$9))^2+(AA13+'Inputs-Results'!$X$9-'Inputs-Results'!$Z$9)^2),SQRT((('Inputs-Results'!$U$9-'Inputs-Results'!$W$9)*(AA13)/('Inputs-Results'!$V$9-'Inputs-Results'!$X$9))^2+AA13^2)+SQRT((('Inputs-Results'!$Y$9-'Inputs-Results'!$W$9)*AA13/('Inputs-Results'!$Z$9-'Inputs-Results'!$X$9))^2+AA13^2))</f>
        <v>#DIV/0!</v>
      </c>
      <c r="AD13" s="19" t="e">
        <f t="shared" si="12"/>
        <v>#DIV/0!</v>
      </c>
      <c r="AE13" s="19" t="e">
        <f>1.49/'Inputs-Results'!$AC18*AB13*AD13^(2/3)*'Inputs-Results'!$AD18^0.5</f>
        <v>#DIV/0!</v>
      </c>
      <c r="AF13" s="27" t="e">
        <f t="shared" si="13"/>
        <v>#DIV/0!</v>
      </c>
      <c r="AG13" s="26">
        <f t="shared" si="14"/>
        <v>0</v>
      </c>
      <c r="AH13" s="19" t="e">
        <f>IF(AG13&gt;'Inputs-Results'!$V18-'Inputs-Results'!$X18,(0.5*(ABS('Inputs-Results'!$S18-'Inputs-Results'!$U18)/('Inputs-Results'!$T18-'Inputs-Results'!$V18)*(AG13-('Inputs-Results'!$V18-'Inputs-Results'!$X18)))*(AG13-('Inputs-Results'!$V18-'Inputs-Results'!$X18))),0)+IF(AG13&gt;'Inputs-Results'!$V18-'Inputs-Results'!$X18,(0.5*((AG13+'Inputs-Results'!$X18-'Inputs-Results'!$V18)+AG13)*ABS('Inputs-Results'!$U18-'Inputs-Results'!$W18)),0.5*(ABS('Inputs-Results'!$U18-'Inputs-Results'!$W18)/('Inputs-Results'!$V18-'Inputs-Results'!$X18)*AG13)*AG13)+IF(AG13&gt;'Inputs-Results'!$Z18-'Inputs-Results'!$X18,(0.5*((AG13+'Inputs-Results'!$X18-'Inputs-Results'!$Z18)+AG13)*ABS('Inputs-Results'!$Y18-'Inputs-Results'!$W18)),0.5*(ABS('Inputs-Results'!$W18-'Inputs-Results'!$Y18)/('Inputs-Results'!$Z18-'Inputs-Results'!$X18)*AG13)*AG13)+IF(AG13&gt;'Inputs-Results'!$Z18-'Inputs-Results'!$X18,(0.5*(ABS('Inputs-Results'!$Y18-'Inputs-Results'!$AA18)/('Inputs-Results'!$AB18-'Inputs-Results'!$Z18)*(AG13-('Inputs-Results'!$Z18-'Inputs-Results'!$X18)))*(AG13-('Inputs-Results'!$Z18-'Inputs-Results'!$X18))),0)</f>
        <v>#DIV/0!</v>
      </c>
      <c r="AI13" s="19" t="e">
        <f>IF(AG13&gt;'Inputs-Results'!$V$9-'Inputs-Results'!$X$9,SQRT(('Inputs-Results'!$U$9-'Inputs-Results'!$W$9)^2+('Inputs-Results'!$V$9-'Inputs-Results'!$X$9)^2)+SQRT(('Inputs-Results'!$W$9-'Inputs-Results'!$Y$9)^2+('Inputs-Results'!$X$9-'Inputs-Results'!$Z$9)^2)+SQRT((('Inputs-Results'!$S$9-'Inputs-Results'!$U$9)*(AG13+'Inputs-Results'!$X$9-'Inputs-Results'!$V$9)/('Inputs-Results'!$T$9-'Inputs-Results'!$V$9))^2+(AG13+'Inputs-Results'!$X$9-'Inputs-Results'!$V$9)^2)+SQRT((('Inputs-Results'!$AA$9-'Inputs-Results'!$Y$9)*(AG13+'Inputs-Results'!$X$9-'Inputs-Results'!$Z$9)/('Inputs-Results'!$AB$9-'Inputs-Results'!$Z$9))^2+(AG13+'Inputs-Results'!$X$9-'Inputs-Results'!$Z$9)^2),SQRT((('Inputs-Results'!$U$9-'Inputs-Results'!$W$9)*(AG13)/('Inputs-Results'!$V$9-'Inputs-Results'!$X$9))^2+AG13^2)+SQRT((('Inputs-Results'!$Y$9-'Inputs-Results'!$W$9)*AG13/('Inputs-Results'!$Z$9-'Inputs-Results'!$X$9))^2+AG13^2))</f>
        <v>#DIV/0!</v>
      </c>
      <c r="AJ13" s="19" t="e">
        <f t="shared" si="15"/>
        <v>#DIV/0!</v>
      </c>
      <c r="AK13" s="19" t="e">
        <f>1.49/'Inputs-Results'!$AC18*AH13*AJ13^(2/3)*'Inputs-Results'!$AD18^0.5</f>
        <v>#DIV/0!</v>
      </c>
      <c r="AL13" s="27" t="e">
        <f t="shared" si="16"/>
        <v>#DIV/0!</v>
      </c>
      <c r="AM13" s="26">
        <f t="shared" si="17"/>
        <v>0</v>
      </c>
      <c r="AN13" s="19" t="e">
        <f>IF(AM13&gt;'Inputs-Results'!$V18-'Inputs-Results'!$X18,(0.5*(ABS('Inputs-Results'!$S18-'Inputs-Results'!$U18)/('Inputs-Results'!$T18-'Inputs-Results'!$V18)*(AM13-('Inputs-Results'!$V18-'Inputs-Results'!$X18)))*(AM13-('Inputs-Results'!$V18-'Inputs-Results'!$X18))),0)+IF(AM13&gt;'Inputs-Results'!$V18-'Inputs-Results'!$X18,(0.5*((AM13+'Inputs-Results'!$X18-'Inputs-Results'!$V18)+AM13)*ABS('Inputs-Results'!$U18-'Inputs-Results'!$W18)),0.5*(ABS('Inputs-Results'!$U18-'Inputs-Results'!$W18)/('Inputs-Results'!$V18-'Inputs-Results'!$X18)*AM13)*AM13)+IF(AM13&gt;'Inputs-Results'!$Z18-'Inputs-Results'!$X18,(0.5*((AM13+'Inputs-Results'!$X18-'Inputs-Results'!$Z18)+AM13)*ABS('Inputs-Results'!$Y18-'Inputs-Results'!$W18)),0.5*(ABS('Inputs-Results'!$W18-'Inputs-Results'!$Y18)/('Inputs-Results'!$Z18-'Inputs-Results'!$X18)*AM13)*AM13)+IF(AM13&gt;'Inputs-Results'!$Z18-'Inputs-Results'!$X18,(0.5*(ABS('Inputs-Results'!$Y18-'Inputs-Results'!$AA18)/('Inputs-Results'!$AB18-'Inputs-Results'!$Z18)*(AM13-('Inputs-Results'!$Z18-'Inputs-Results'!$X18)))*(AM13-('Inputs-Results'!$Z18-'Inputs-Results'!$X18))),0)</f>
        <v>#DIV/0!</v>
      </c>
      <c r="AO13" s="19" t="e">
        <f>IF(AM13&gt;'Inputs-Results'!$V$9-'Inputs-Results'!$X$9,SQRT(('Inputs-Results'!$U$9-'Inputs-Results'!$W$9)^2+('Inputs-Results'!$V$9-'Inputs-Results'!$X$9)^2)+SQRT(('Inputs-Results'!$W$9-'Inputs-Results'!$Y$9)^2+('Inputs-Results'!$X$9-'Inputs-Results'!$Z$9)^2)+SQRT((('Inputs-Results'!$S$9-'Inputs-Results'!$U$9)*(AM13+'Inputs-Results'!$X$9-'Inputs-Results'!$V$9)/('Inputs-Results'!$T$9-'Inputs-Results'!$V$9))^2+(AM13+'Inputs-Results'!$X$9-'Inputs-Results'!$V$9)^2)+SQRT((('Inputs-Results'!$AA$9-'Inputs-Results'!$Y$9)*(AM13+'Inputs-Results'!$X$9-'Inputs-Results'!$Z$9)/('Inputs-Results'!$AB$9-'Inputs-Results'!$Z$9))^2+(AM13+'Inputs-Results'!$X$9-'Inputs-Results'!$Z$9)^2),SQRT((('Inputs-Results'!$U$9-'Inputs-Results'!$W$9)*(AM13)/('Inputs-Results'!$V$9-'Inputs-Results'!$X$9))^2+AM13^2)+SQRT((('Inputs-Results'!$Y$9-'Inputs-Results'!$W$9)*AM13/('Inputs-Results'!$Z$9-'Inputs-Results'!$X$9))^2+AM13^2))</f>
        <v>#DIV/0!</v>
      </c>
      <c r="AP13" s="19" t="e">
        <f t="shared" si="18"/>
        <v>#DIV/0!</v>
      </c>
      <c r="AQ13" s="19" t="e">
        <f>1.49/'Inputs-Results'!$AC18*AN13*AP13^(2/3)*'Inputs-Results'!$AD18^0.5</f>
        <v>#DIV/0!</v>
      </c>
      <c r="AR13" s="27" t="e">
        <f t="shared" si="19"/>
        <v>#DIV/0!</v>
      </c>
      <c r="AS13" s="26">
        <f t="shared" si="20"/>
        <v>0</v>
      </c>
      <c r="AT13" s="19" t="e">
        <f>IF(AS13&gt;'Inputs-Results'!$V18-'Inputs-Results'!$X18,(0.5*(ABS('Inputs-Results'!$S18-'Inputs-Results'!$U18)/('Inputs-Results'!$T18-'Inputs-Results'!$V18)*(AS13-('Inputs-Results'!$V18-'Inputs-Results'!$X18)))*(AS13-('Inputs-Results'!$V18-'Inputs-Results'!$X18))),0)+IF(AS13&gt;'Inputs-Results'!$V18-'Inputs-Results'!$X18,(0.5*((AS13+'Inputs-Results'!$X18-'Inputs-Results'!$V18)+AS13)*ABS('Inputs-Results'!$U18-'Inputs-Results'!$W18)),0.5*(ABS('Inputs-Results'!$U18-'Inputs-Results'!$W18)/('Inputs-Results'!$V18-'Inputs-Results'!$X18)*AS13)*AS13)+IF(AS13&gt;'Inputs-Results'!$Z18-'Inputs-Results'!$X18,(0.5*((AS13+'Inputs-Results'!$X18-'Inputs-Results'!$Z18)+AS13)*ABS('Inputs-Results'!$Y18-'Inputs-Results'!$W18)),0.5*(ABS('Inputs-Results'!$W18-'Inputs-Results'!$Y18)/('Inputs-Results'!$Z18-'Inputs-Results'!$X18)*AS13)*AS13)+IF(AS13&gt;'Inputs-Results'!$Z18-'Inputs-Results'!$X18,(0.5*(ABS('Inputs-Results'!$Y18-'Inputs-Results'!$AA18)/('Inputs-Results'!$AB18-'Inputs-Results'!$Z18)*(AS13-('Inputs-Results'!$Z18-'Inputs-Results'!$X18)))*(AS13-('Inputs-Results'!$Z18-'Inputs-Results'!$X18))),0)</f>
        <v>#DIV/0!</v>
      </c>
      <c r="AU13" s="19" t="e">
        <f>IF(AS13&gt;'Inputs-Results'!$V$9-'Inputs-Results'!$X$9,SQRT(('Inputs-Results'!$U$9-'Inputs-Results'!$W$9)^2+('Inputs-Results'!$V$9-'Inputs-Results'!$X$9)^2)+SQRT(('Inputs-Results'!$W$9-'Inputs-Results'!$Y$9)^2+('Inputs-Results'!$X$9-'Inputs-Results'!$Z$9)^2)+SQRT((('Inputs-Results'!$S$9-'Inputs-Results'!$U$9)*(AS13+'Inputs-Results'!$X$9-'Inputs-Results'!$V$9)/('Inputs-Results'!$T$9-'Inputs-Results'!$V$9))^2+(AS13+'Inputs-Results'!$X$9-'Inputs-Results'!$V$9)^2)+SQRT((('Inputs-Results'!$AA$9-'Inputs-Results'!$Y$9)*(AS13+'Inputs-Results'!$X$9-'Inputs-Results'!$Z$9)/('Inputs-Results'!$AB$9-'Inputs-Results'!$Z$9))^2+(AS13+'Inputs-Results'!$X$9-'Inputs-Results'!$Z$9)^2),SQRT((('Inputs-Results'!$U$9-'Inputs-Results'!$W$9)*(AS13)/('Inputs-Results'!$V$9-'Inputs-Results'!$X$9))^2+AS13^2)+SQRT((('Inputs-Results'!$Y$9-'Inputs-Results'!$W$9)*AS13/('Inputs-Results'!$Z$9-'Inputs-Results'!$X$9))^2+AS13^2))</f>
        <v>#DIV/0!</v>
      </c>
      <c r="AV13" s="19" t="e">
        <f t="shared" si="21"/>
        <v>#DIV/0!</v>
      </c>
      <c r="AW13" s="19" t="e">
        <f>1.49/'Inputs-Results'!$AC18*AT13*AV13^(2/3)*'Inputs-Results'!$AD18^0.5</f>
        <v>#DIV/0!</v>
      </c>
      <c r="AX13" s="27" t="e">
        <f t="shared" si="22"/>
        <v>#DIV/0!</v>
      </c>
      <c r="AY13" s="26">
        <f t="shared" si="23"/>
        <v>0</v>
      </c>
      <c r="AZ13" s="19" t="e">
        <f>IF(AY13&gt;'Inputs-Results'!$V18-'Inputs-Results'!$X18,(0.5*(ABS('Inputs-Results'!$S18-'Inputs-Results'!$U18)/('Inputs-Results'!$T18-'Inputs-Results'!$V18)*(AY13-('Inputs-Results'!$V18-'Inputs-Results'!$X18)))*(AY13-('Inputs-Results'!$V18-'Inputs-Results'!$X18))),0)+IF(AY13&gt;'Inputs-Results'!$V18-'Inputs-Results'!$X18,(0.5*((AY13+'Inputs-Results'!$X18-'Inputs-Results'!$V18)+AY13)*ABS('Inputs-Results'!$U18-'Inputs-Results'!$W18)),0.5*(ABS('Inputs-Results'!$U18-'Inputs-Results'!$W18)/('Inputs-Results'!$V18-'Inputs-Results'!$X18)*AY13)*AY13)+IF(AY13&gt;'Inputs-Results'!$Z18-'Inputs-Results'!$X18,(0.5*((AY13+'Inputs-Results'!$X18-'Inputs-Results'!$Z18)+AY13)*ABS('Inputs-Results'!$Y18-'Inputs-Results'!$W18)),0.5*(ABS('Inputs-Results'!$W18-'Inputs-Results'!$Y18)/('Inputs-Results'!$Z18-'Inputs-Results'!$X18)*AY13)*AY13)+IF(AY13&gt;'Inputs-Results'!$Z18-'Inputs-Results'!$X18,(0.5*(ABS('Inputs-Results'!$Y18-'Inputs-Results'!$AA18)/('Inputs-Results'!$AB18-'Inputs-Results'!$Z18)*(AY13-('Inputs-Results'!$Z18-'Inputs-Results'!$X18)))*(AY13-('Inputs-Results'!$Z18-'Inputs-Results'!$X18))),0)</f>
        <v>#DIV/0!</v>
      </c>
      <c r="BA13" s="19" t="e">
        <f>IF(AY13&gt;'Inputs-Results'!$V$9-'Inputs-Results'!$X$9,SQRT(('Inputs-Results'!$U$9-'Inputs-Results'!$W$9)^2+('Inputs-Results'!$V$9-'Inputs-Results'!$X$9)^2)+SQRT(('Inputs-Results'!$W$9-'Inputs-Results'!$Y$9)^2+('Inputs-Results'!$X$9-'Inputs-Results'!$Z$9)^2)+SQRT((('Inputs-Results'!$S$9-'Inputs-Results'!$U$9)*(AY13+'Inputs-Results'!$X$9-'Inputs-Results'!$V$9)/('Inputs-Results'!$T$9-'Inputs-Results'!$V$9))^2+(AY13+'Inputs-Results'!$X$9-'Inputs-Results'!$V$9)^2)+SQRT((('Inputs-Results'!$AA$9-'Inputs-Results'!$Y$9)*(AY13+'Inputs-Results'!$X$9-'Inputs-Results'!$Z$9)/('Inputs-Results'!$AB$9-'Inputs-Results'!$Z$9))^2+(AY13+'Inputs-Results'!$X$9-'Inputs-Results'!$Z$9)^2),SQRT((('Inputs-Results'!$U$9-'Inputs-Results'!$W$9)*(AY13)/('Inputs-Results'!$V$9-'Inputs-Results'!$X$9))^2+AY13^2)+SQRT((('Inputs-Results'!$Y$9-'Inputs-Results'!$W$9)*AY13/('Inputs-Results'!$Z$9-'Inputs-Results'!$X$9))^2+AY13^2))</f>
        <v>#DIV/0!</v>
      </c>
      <c r="BB13" s="19" t="e">
        <f t="shared" si="24"/>
        <v>#DIV/0!</v>
      </c>
      <c r="BC13" s="19" t="e">
        <f>1.49/'Inputs-Results'!$AC18*AZ13*BB13^(2/3)*'Inputs-Results'!$AD18^0.5</f>
        <v>#DIV/0!</v>
      </c>
      <c r="BD13" s="27" t="e">
        <f t="shared" si="25"/>
        <v>#DIV/0!</v>
      </c>
      <c r="BE13" s="26">
        <f t="shared" si="26"/>
        <v>0</v>
      </c>
      <c r="BF13" s="19" t="e">
        <f>IF(BE13&gt;'Inputs-Results'!$V18-'Inputs-Results'!$X18,(0.5*(ABS('Inputs-Results'!$S18-'Inputs-Results'!$U18)/('Inputs-Results'!$T18-'Inputs-Results'!$V18)*(BE13-('Inputs-Results'!$V18-'Inputs-Results'!$X18)))*(BE13-('Inputs-Results'!$V18-'Inputs-Results'!$X18))),0)+IF(BE13&gt;'Inputs-Results'!$V18-'Inputs-Results'!$X18,(0.5*((BE13+'Inputs-Results'!$X18-'Inputs-Results'!$V18)+BE13)*ABS('Inputs-Results'!$U18-'Inputs-Results'!$W18)),0.5*(ABS('Inputs-Results'!$U18-'Inputs-Results'!$W18)/('Inputs-Results'!$V18-'Inputs-Results'!$X18)*BE13)*BE13)+IF(BE13&gt;'Inputs-Results'!$Z18-'Inputs-Results'!$X18,(0.5*((BE13+'Inputs-Results'!$X18-'Inputs-Results'!$Z18)+BE13)*ABS('Inputs-Results'!$Y18-'Inputs-Results'!$W18)),0.5*(ABS('Inputs-Results'!$W18-'Inputs-Results'!$Y18)/('Inputs-Results'!$Z18-'Inputs-Results'!$X18)*BE13)*BE13)+IF(BE13&gt;'Inputs-Results'!$Z18-'Inputs-Results'!$X18,(0.5*(ABS('Inputs-Results'!$Y18-'Inputs-Results'!$AA18)/('Inputs-Results'!$AB18-'Inputs-Results'!$Z18)*(BE13-('Inputs-Results'!$Z18-'Inputs-Results'!$X18)))*(BE13-('Inputs-Results'!$Z18-'Inputs-Results'!$X18))),0)</f>
        <v>#DIV/0!</v>
      </c>
      <c r="BG13" s="19" t="e">
        <f>IF(BE13&gt;'Inputs-Results'!$V$9-'Inputs-Results'!$X$9,SQRT(('Inputs-Results'!$U$9-'Inputs-Results'!$W$9)^2+('Inputs-Results'!$V$9-'Inputs-Results'!$X$9)^2)+SQRT(('Inputs-Results'!$W$9-'Inputs-Results'!$Y$9)^2+('Inputs-Results'!$X$9-'Inputs-Results'!$Z$9)^2)+SQRT((('Inputs-Results'!$S$9-'Inputs-Results'!$U$9)*(BE13+'Inputs-Results'!$X$9-'Inputs-Results'!$V$9)/('Inputs-Results'!$T$9-'Inputs-Results'!$V$9))^2+(BE13+'Inputs-Results'!$X$9-'Inputs-Results'!$V$9)^2)+SQRT((('Inputs-Results'!$AA$9-'Inputs-Results'!$Y$9)*(BE13+'Inputs-Results'!$X$9-'Inputs-Results'!$Z$9)/('Inputs-Results'!$AB$9-'Inputs-Results'!$Z$9))^2+(BE13+'Inputs-Results'!$X$9-'Inputs-Results'!$Z$9)^2),SQRT((('Inputs-Results'!$U$9-'Inputs-Results'!$W$9)*(BE13)/('Inputs-Results'!$V$9-'Inputs-Results'!$X$9))^2+BE13^2)+SQRT((('Inputs-Results'!$Y$9-'Inputs-Results'!$W$9)*BE13/('Inputs-Results'!$Z$9-'Inputs-Results'!$X$9))^2+BE13^2))</f>
        <v>#DIV/0!</v>
      </c>
      <c r="BH13" s="19" t="e">
        <f t="shared" si="27"/>
        <v>#DIV/0!</v>
      </c>
      <c r="BI13" s="19" t="e">
        <f>1.49/'Inputs-Results'!$AC18*BF13*BH13^(2/3)*'Inputs-Results'!$AD18^0.5</f>
        <v>#DIV/0!</v>
      </c>
      <c r="BJ13" s="27" t="e">
        <f t="shared" si="28"/>
        <v>#DIV/0!</v>
      </c>
    </row>
    <row r="14" spans="1:62" x14ac:dyDescent="0.25">
      <c r="A14" s="2">
        <v>0</v>
      </c>
      <c r="B14" s="17"/>
      <c r="C14" s="26">
        <f>MIN('Inputs-Results'!T19-'Inputs-Results'!X19,'Inputs-Results'!AB19-'Inputs-Results'!X19)</f>
        <v>0</v>
      </c>
      <c r="D14" s="19" t="e">
        <f>IF(C14&gt;'Inputs-Results'!$V19-'Inputs-Results'!$X19,(0.5*(ABS('Inputs-Results'!$S19-'Inputs-Results'!$U19)/('Inputs-Results'!$T19-'Inputs-Results'!$V19)*(C14-('Inputs-Results'!$V19-'Inputs-Results'!$X19)))*(C14-('Inputs-Results'!$V19-'Inputs-Results'!$X19))),0)+IF(C14&gt;'Inputs-Results'!$V19-'Inputs-Results'!$X19,(0.5*((C14+'Inputs-Results'!$X19-'Inputs-Results'!$V19)+C14)*ABS('Inputs-Results'!$U19-'Inputs-Results'!$W19)),0.5*(ABS('Inputs-Results'!$U19-'Inputs-Results'!$W19)/('Inputs-Results'!$V19-'Inputs-Results'!$X19)*C14)*C14)+IF(C14&gt;'Inputs-Results'!$Z19-'Inputs-Results'!$X19,(0.5*((C14+'Inputs-Results'!$X19-'Inputs-Results'!$Z19)+C14)*ABS('Inputs-Results'!$Y19-'Inputs-Results'!$W19)),0.5*(ABS('Inputs-Results'!$W19-'Inputs-Results'!$Y19)/('Inputs-Results'!$Z19-'Inputs-Results'!$X19)*C14)*C14)+IF(C14&gt;'Inputs-Results'!$Z19-'Inputs-Results'!$X19,(0.5*(ABS('Inputs-Results'!$Y19-'Inputs-Results'!$AA19)/('Inputs-Results'!$AB19-'Inputs-Results'!$Z19)*(C14-('Inputs-Results'!$Z19-'Inputs-Results'!$X19)))*(C14-('Inputs-Results'!$Z19-'Inputs-Results'!$X19))),0)</f>
        <v>#DIV/0!</v>
      </c>
      <c r="E14" s="19" t="e">
        <f>IF(C14&gt;'Inputs-Results'!$V$9-'Inputs-Results'!$X$9,SQRT(('Inputs-Results'!$U$9-'Inputs-Results'!$W$9)^2+('Inputs-Results'!$V$9-'Inputs-Results'!$X$9)^2)+SQRT(('Inputs-Results'!$W$9-'Inputs-Results'!$Y$9)^2+('Inputs-Results'!$X$9-'Inputs-Results'!$Z$9)^2)+SQRT((('Inputs-Results'!$S$9-'Inputs-Results'!$U$9)*(C14+'Inputs-Results'!$X$9-'Inputs-Results'!$V$9)/('Inputs-Results'!$T$9-'Inputs-Results'!$V$9))^2+(C14+'Inputs-Results'!$X$9-'Inputs-Results'!$V$9)^2)+SQRT((('Inputs-Results'!$AA$9-'Inputs-Results'!$Y$9)*(C14+'Inputs-Results'!$X$9-'Inputs-Results'!$Z$9)/('Inputs-Results'!$AB$9-'Inputs-Results'!$Z$9))^2+(C14+'Inputs-Results'!$X$9-'Inputs-Results'!$Z$9)^2),SQRT((('Inputs-Results'!$U$9-'Inputs-Results'!$W$9)*(C14)/('Inputs-Results'!$V$9-'Inputs-Results'!$X$9))^2+C14^2)+SQRT((('Inputs-Results'!$Y$9-'Inputs-Results'!$W$9)*C14/('Inputs-Results'!$Z$9-'Inputs-Results'!$X$9))^2+C14^2))</f>
        <v>#DIV/0!</v>
      </c>
      <c r="F14" s="19" t="e">
        <f t="shared" si="0"/>
        <v>#DIV/0!</v>
      </c>
      <c r="G14" s="19" t="e">
        <f>1.49/'Inputs-Results'!AC19*D14*F14^(2/3)*'Inputs-Results'!AD19^0.5</f>
        <v>#DIV/0!</v>
      </c>
      <c r="H14" s="27" t="e">
        <f t="shared" si="1"/>
        <v>#DIV/0!</v>
      </c>
      <c r="I14" s="26">
        <f t="shared" si="2"/>
        <v>0</v>
      </c>
      <c r="J14" s="19" t="e">
        <f>IF(I14&gt;'Inputs-Results'!$V19-'Inputs-Results'!$X19,(0.5*(ABS('Inputs-Results'!$S19-'Inputs-Results'!$U19)/('Inputs-Results'!$T19-'Inputs-Results'!$V19)*(I14-('Inputs-Results'!$V19-'Inputs-Results'!$X19)))*(I14-('Inputs-Results'!$V19-'Inputs-Results'!$X19))),0)+IF(I14&gt;'Inputs-Results'!$V19-'Inputs-Results'!$X19,(0.5*((I14+'Inputs-Results'!$X19-'Inputs-Results'!$V19)+I14)*ABS('Inputs-Results'!$U19-'Inputs-Results'!$W19)),0.5*(ABS('Inputs-Results'!$U19-'Inputs-Results'!$W19)/('Inputs-Results'!$V19-'Inputs-Results'!$X19)*I14)*I14)+IF(I14&gt;'Inputs-Results'!$Z19-'Inputs-Results'!$X19,(0.5*((I14+'Inputs-Results'!$X19-'Inputs-Results'!$Z19)+I14)*ABS('Inputs-Results'!$Y19-'Inputs-Results'!$W19)),0.5*(ABS('Inputs-Results'!$W19-'Inputs-Results'!$Y19)/('Inputs-Results'!$Z19-'Inputs-Results'!$X19)*I14)*I14)+IF(I14&gt;'Inputs-Results'!$Z19-'Inputs-Results'!$X19,(0.5*(ABS('Inputs-Results'!$Y19-'Inputs-Results'!$AA19)/('Inputs-Results'!$AB19-'Inputs-Results'!$Z19)*(I14-('Inputs-Results'!$Z19-'Inputs-Results'!$X19)))*(I14-('Inputs-Results'!$Z19-'Inputs-Results'!$X19))),0)</f>
        <v>#DIV/0!</v>
      </c>
      <c r="K14" s="19" t="e">
        <f>IF(I14&gt;'Inputs-Results'!$V$9-'Inputs-Results'!$X$9,SQRT(('Inputs-Results'!$U$9-'Inputs-Results'!$W$9)^2+('Inputs-Results'!$V$9-'Inputs-Results'!$X$9)^2)+SQRT(('Inputs-Results'!$W$9-'Inputs-Results'!$Y$9)^2+('Inputs-Results'!$X$9-'Inputs-Results'!$Z$9)^2)+SQRT((('Inputs-Results'!$S$9-'Inputs-Results'!$U$9)*(I14+'Inputs-Results'!$X$9-'Inputs-Results'!$V$9)/('Inputs-Results'!$T$9-'Inputs-Results'!$V$9))^2+(I14+'Inputs-Results'!$X$9-'Inputs-Results'!$V$9)^2)+SQRT((('Inputs-Results'!$AA$9-'Inputs-Results'!$Y$9)*(I14+'Inputs-Results'!$X$9-'Inputs-Results'!$Z$9)/('Inputs-Results'!$AB$9-'Inputs-Results'!$Z$9))^2+(I14+'Inputs-Results'!$X$9-'Inputs-Results'!$Z$9)^2),SQRT((('Inputs-Results'!$U$9-'Inputs-Results'!$W$9)*(I14)/('Inputs-Results'!$V$9-'Inputs-Results'!$X$9))^2+I14^2)+SQRT((('Inputs-Results'!$Y$9-'Inputs-Results'!$W$9)*I14/('Inputs-Results'!$Z$9-'Inputs-Results'!$X$9))^2+I14^2))</f>
        <v>#DIV/0!</v>
      </c>
      <c r="L14" s="19" t="e">
        <f t="shared" si="3"/>
        <v>#DIV/0!</v>
      </c>
      <c r="M14" s="19" t="e">
        <f>1.49/'Inputs-Results'!$AC19*J14*L14^(2/3)*'Inputs-Results'!$AD19^0.5</f>
        <v>#DIV/0!</v>
      </c>
      <c r="N14" s="27" t="e">
        <f t="shared" si="4"/>
        <v>#DIV/0!</v>
      </c>
      <c r="O14" s="26">
        <f t="shared" si="5"/>
        <v>0</v>
      </c>
      <c r="P14" s="19" t="e">
        <f>IF(O14&gt;'Inputs-Results'!$V19-'Inputs-Results'!$X19,(0.5*(ABS('Inputs-Results'!$S19-'Inputs-Results'!$U19)/('Inputs-Results'!$T19-'Inputs-Results'!$V19)*(O14-('Inputs-Results'!$V19-'Inputs-Results'!$X19)))*(O14-('Inputs-Results'!$V19-'Inputs-Results'!$X19))),0)+IF(O14&gt;'Inputs-Results'!$V19-'Inputs-Results'!$X19,(0.5*((O14+'Inputs-Results'!$X19-'Inputs-Results'!$V19)+O14)*ABS('Inputs-Results'!$U19-'Inputs-Results'!$W19)),0.5*(ABS('Inputs-Results'!$U19-'Inputs-Results'!$W19)/('Inputs-Results'!$V19-'Inputs-Results'!$X19)*O14)*O14)+IF(O14&gt;'Inputs-Results'!$Z19-'Inputs-Results'!$X19,(0.5*((O14+'Inputs-Results'!$X19-'Inputs-Results'!$Z19)+O14)*ABS('Inputs-Results'!$Y19-'Inputs-Results'!$W19)),0.5*(ABS('Inputs-Results'!$W19-'Inputs-Results'!$Y19)/('Inputs-Results'!$Z19-'Inputs-Results'!$X19)*O14)*O14)+IF(O14&gt;'Inputs-Results'!$Z19-'Inputs-Results'!$X19,(0.5*(ABS('Inputs-Results'!$Y19-'Inputs-Results'!$AA19)/('Inputs-Results'!$AB19-'Inputs-Results'!$Z19)*(O14-('Inputs-Results'!$Z19-'Inputs-Results'!$X19)))*(O14-('Inputs-Results'!$Z19-'Inputs-Results'!$X19))),0)</f>
        <v>#DIV/0!</v>
      </c>
      <c r="Q14" s="19" t="e">
        <f>IF(O14&gt;'Inputs-Results'!$V$9-'Inputs-Results'!$X$9,SQRT(('Inputs-Results'!$U$9-'Inputs-Results'!$W$9)^2+('Inputs-Results'!$V$9-'Inputs-Results'!$X$9)^2)+SQRT(('Inputs-Results'!$W$9-'Inputs-Results'!$Y$9)^2+('Inputs-Results'!$X$9-'Inputs-Results'!$Z$9)^2)+SQRT((('Inputs-Results'!$S$9-'Inputs-Results'!$U$9)*(O14+'Inputs-Results'!$X$9-'Inputs-Results'!$V$9)/('Inputs-Results'!$T$9-'Inputs-Results'!$V$9))^2+(O14+'Inputs-Results'!$X$9-'Inputs-Results'!$V$9)^2)+SQRT((('Inputs-Results'!$AA$9-'Inputs-Results'!$Y$9)*(O14+'Inputs-Results'!$X$9-'Inputs-Results'!$Z$9)/('Inputs-Results'!$AB$9-'Inputs-Results'!$Z$9))^2+(O14+'Inputs-Results'!$X$9-'Inputs-Results'!$Z$9)^2),SQRT((('Inputs-Results'!$U$9-'Inputs-Results'!$W$9)*(O14)/('Inputs-Results'!$V$9-'Inputs-Results'!$X$9))^2+O14^2)+SQRT((('Inputs-Results'!$Y$9-'Inputs-Results'!$W$9)*O14/('Inputs-Results'!$Z$9-'Inputs-Results'!$X$9))^2+O14^2))</f>
        <v>#DIV/0!</v>
      </c>
      <c r="R14" s="19" t="e">
        <f t="shared" si="6"/>
        <v>#DIV/0!</v>
      </c>
      <c r="S14" s="19" t="e">
        <f>1.49/'Inputs-Results'!$AC19*P14*R14^(2/3)*'Inputs-Results'!$AD19^0.5</f>
        <v>#DIV/0!</v>
      </c>
      <c r="T14" s="27" t="e">
        <f t="shared" si="7"/>
        <v>#DIV/0!</v>
      </c>
      <c r="U14" s="26">
        <f t="shared" si="8"/>
        <v>0</v>
      </c>
      <c r="V14" s="19" t="e">
        <f>IF(U14&gt;'Inputs-Results'!$V19-'Inputs-Results'!$X19,(0.5*(ABS('Inputs-Results'!$S19-'Inputs-Results'!$U19)/('Inputs-Results'!$T19-'Inputs-Results'!$V19)*(U14-('Inputs-Results'!$V19-'Inputs-Results'!$X19)))*(U14-('Inputs-Results'!$V19-'Inputs-Results'!$X19))),0)+IF(U14&gt;'Inputs-Results'!$V19-'Inputs-Results'!$X19,(0.5*((U14+'Inputs-Results'!$X19-'Inputs-Results'!$V19)+U14)*ABS('Inputs-Results'!$U19-'Inputs-Results'!$W19)),0.5*(ABS('Inputs-Results'!$U19-'Inputs-Results'!$W19)/('Inputs-Results'!$V19-'Inputs-Results'!$X19)*U14)*U14)+IF(U14&gt;'Inputs-Results'!$Z19-'Inputs-Results'!$X19,(0.5*((U14+'Inputs-Results'!$X19-'Inputs-Results'!$Z19)+U14)*ABS('Inputs-Results'!$Y19-'Inputs-Results'!$W19)),0.5*(ABS('Inputs-Results'!$W19-'Inputs-Results'!$Y19)/('Inputs-Results'!$Z19-'Inputs-Results'!$X19)*U14)*U14)+IF(U14&gt;'Inputs-Results'!$Z19-'Inputs-Results'!$X19,(0.5*(ABS('Inputs-Results'!$Y19-'Inputs-Results'!$AA19)/('Inputs-Results'!$AB19-'Inputs-Results'!$Z19)*(U14-('Inputs-Results'!$Z19-'Inputs-Results'!$X19)))*(U14-('Inputs-Results'!$Z19-'Inputs-Results'!$X19))),0)</f>
        <v>#DIV/0!</v>
      </c>
      <c r="W14" s="19" t="e">
        <f>IF(U14&gt;'Inputs-Results'!$V$9-'Inputs-Results'!$X$9,SQRT(('Inputs-Results'!$U$9-'Inputs-Results'!$W$9)^2+('Inputs-Results'!$V$9-'Inputs-Results'!$X$9)^2)+SQRT(('Inputs-Results'!$W$9-'Inputs-Results'!$Y$9)^2+('Inputs-Results'!$X$9-'Inputs-Results'!$Z$9)^2)+SQRT((('Inputs-Results'!$S$9-'Inputs-Results'!$U$9)*(U14+'Inputs-Results'!$X$9-'Inputs-Results'!$V$9)/('Inputs-Results'!$T$9-'Inputs-Results'!$V$9))^2+(U14+'Inputs-Results'!$X$9-'Inputs-Results'!$V$9)^2)+SQRT((('Inputs-Results'!$AA$9-'Inputs-Results'!$Y$9)*(U14+'Inputs-Results'!$X$9-'Inputs-Results'!$Z$9)/('Inputs-Results'!$AB$9-'Inputs-Results'!$Z$9))^2+(U14+'Inputs-Results'!$X$9-'Inputs-Results'!$Z$9)^2),SQRT((('Inputs-Results'!$U$9-'Inputs-Results'!$W$9)*(U14)/('Inputs-Results'!$V$9-'Inputs-Results'!$X$9))^2+U14^2)+SQRT((('Inputs-Results'!$Y$9-'Inputs-Results'!$W$9)*U14/('Inputs-Results'!$Z$9-'Inputs-Results'!$X$9))^2+U14^2))</f>
        <v>#DIV/0!</v>
      </c>
      <c r="X14" s="19" t="e">
        <f t="shared" si="9"/>
        <v>#DIV/0!</v>
      </c>
      <c r="Y14" s="19" t="e">
        <f>1.49/'Inputs-Results'!$AC19*V14*X14^(2/3)*'Inputs-Results'!$AD19^0.5</f>
        <v>#DIV/0!</v>
      </c>
      <c r="Z14" s="27" t="e">
        <f t="shared" si="10"/>
        <v>#DIV/0!</v>
      </c>
      <c r="AA14" s="26">
        <f t="shared" si="11"/>
        <v>0</v>
      </c>
      <c r="AB14" s="19" t="e">
        <f>IF(AA14&gt;'Inputs-Results'!$V19-'Inputs-Results'!$X19,(0.5*(ABS('Inputs-Results'!$S19-'Inputs-Results'!$U19)/('Inputs-Results'!$T19-'Inputs-Results'!$V19)*(AA14-('Inputs-Results'!$V19-'Inputs-Results'!$X19)))*(AA14-('Inputs-Results'!$V19-'Inputs-Results'!$X19))),0)+IF(AA14&gt;'Inputs-Results'!$V19-'Inputs-Results'!$X19,(0.5*((AA14+'Inputs-Results'!$X19-'Inputs-Results'!$V19)+AA14)*ABS('Inputs-Results'!$U19-'Inputs-Results'!$W19)),0.5*(ABS('Inputs-Results'!$U19-'Inputs-Results'!$W19)/('Inputs-Results'!$V19-'Inputs-Results'!$X19)*AA14)*AA14)+IF(AA14&gt;'Inputs-Results'!$Z19-'Inputs-Results'!$X19,(0.5*((AA14+'Inputs-Results'!$X19-'Inputs-Results'!$Z19)+AA14)*ABS('Inputs-Results'!$Y19-'Inputs-Results'!$W19)),0.5*(ABS('Inputs-Results'!$W19-'Inputs-Results'!$Y19)/('Inputs-Results'!$Z19-'Inputs-Results'!$X19)*AA14)*AA14)+IF(AA14&gt;'Inputs-Results'!$Z19-'Inputs-Results'!$X19,(0.5*(ABS('Inputs-Results'!$Y19-'Inputs-Results'!$AA19)/('Inputs-Results'!$AB19-'Inputs-Results'!$Z19)*(AA14-('Inputs-Results'!$Z19-'Inputs-Results'!$X19)))*(AA14-('Inputs-Results'!$Z19-'Inputs-Results'!$X19))),0)</f>
        <v>#DIV/0!</v>
      </c>
      <c r="AC14" s="19" t="e">
        <f>IF(AA14&gt;'Inputs-Results'!$V$9-'Inputs-Results'!$X$9,SQRT(('Inputs-Results'!$U$9-'Inputs-Results'!$W$9)^2+('Inputs-Results'!$V$9-'Inputs-Results'!$X$9)^2)+SQRT(('Inputs-Results'!$W$9-'Inputs-Results'!$Y$9)^2+('Inputs-Results'!$X$9-'Inputs-Results'!$Z$9)^2)+SQRT((('Inputs-Results'!$S$9-'Inputs-Results'!$U$9)*(AA14+'Inputs-Results'!$X$9-'Inputs-Results'!$V$9)/('Inputs-Results'!$T$9-'Inputs-Results'!$V$9))^2+(AA14+'Inputs-Results'!$X$9-'Inputs-Results'!$V$9)^2)+SQRT((('Inputs-Results'!$AA$9-'Inputs-Results'!$Y$9)*(AA14+'Inputs-Results'!$X$9-'Inputs-Results'!$Z$9)/('Inputs-Results'!$AB$9-'Inputs-Results'!$Z$9))^2+(AA14+'Inputs-Results'!$X$9-'Inputs-Results'!$Z$9)^2),SQRT((('Inputs-Results'!$U$9-'Inputs-Results'!$W$9)*(AA14)/('Inputs-Results'!$V$9-'Inputs-Results'!$X$9))^2+AA14^2)+SQRT((('Inputs-Results'!$Y$9-'Inputs-Results'!$W$9)*AA14/('Inputs-Results'!$Z$9-'Inputs-Results'!$X$9))^2+AA14^2))</f>
        <v>#DIV/0!</v>
      </c>
      <c r="AD14" s="19" t="e">
        <f t="shared" si="12"/>
        <v>#DIV/0!</v>
      </c>
      <c r="AE14" s="19" t="e">
        <f>1.49/'Inputs-Results'!$AC19*AB14*AD14^(2/3)*'Inputs-Results'!$AD19^0.5</f>
        <v>#DIV/0!</v>
      </c>
      <c r="AF14" s="27" t="e">
        <f t="shared" si="13"/>
        <v>#DIV/0!</v>
      </c>
      <c r="AG14" s="26">
        <f t="shared" si="14"/>
        <v>0</v>
      </c>
      <c r="AH14" s="19" t="e">
        <f>IF(AG14&gt;'Inputs-Results'!$V19-'Inputs-Results'!$X19,(0.5*(ABS('Inputs-Results'!$S19-'Inputs-Results'!$U19)/('Inputs-Results'!$T19-'Inputs-Results'!$V19)*(AG14-('Inputs-Results'!$V19-'Inputs-Results'!$X19)))*(AG14-('Inputs-Results'!$V19-'Inputs-Results'!$X19))),0)+IF(AG14&gt;'Inputs-Results'!$V19-'Inputs-Results'!$X19,(0.5*((AG14+'Inputs-Results'!$X19-'Inputs-Results'!$V19)+AG14)*ABS('Inputs-Results'!$U19-'Inputs-Results'!$W19)),0.5*(ABS('Inputs-Results'!$U19-'Inputs-Results'!$W19)/('Inputs-Results'!$V19-'Inputs-Results'!$X19)*AG14)*AG14)+IF(AG14&gt;'Inputs-Results'!$Z19-'Inputs-Results'!$X19,(0.5*((AG14+'Inputs-Results'!$X19-'Inputs-Results'!$Z19)+AG14)*ABS('Inputs-Results'!$Y19-'Inputs-Results'!$W19)),0.5*(ABS('Inputs-Results'!$W19-'Inputs-Results'!$Y19)/('Inputs-Results'!$Z19-'Inputs-Results'!$X19)*AG14)*AG14)+IF(AG14&gt;'Inputs-Results'!$Z19-'Inputs-Results'!$X19,(0.5*(ABS('Inputs-Results'!$Y19-'Inputs-Results'!$AA19)/('Inputs-Results'!$AB19-'Inputs-Results'!$Z19)*(AG14-('Inputs-Results'!$Z19-'Inputs-Results'!$X19)))*(AG14-('Inputs-Results'!$Z19-'Inputs-Results'!$X19))),0)</f>
        <v>#DIV/0!</v>
      </c>
      <c r="AI14" s="19" t="e">
        <f>IF(AG14&gt;'Inputs-Results'!$V$9-'Inputs-Results'!$X$9,SQRT(('Inputs-Results'!$U$9-'Inputs-Results'!$W$9)^2+('Inputs-Results'!$V$9-'Inputs-Results'!$X$9)^2)+SQRT(('Inputs-Results'!$W$9-'Inputs-Results'!$Y$9)^2+('Inputs-Results'!$X$9-'Inputs-Results'!$Z$9)^2)+SQRT((('Inputs-Results'!$S$9-'Inputs-Results'!$U$9)*(AG14+'Inputs-Results'!$X$9-'Inputs-Results'!$V$9)/('Inputs-Results'!$T$9-'Inputs-Results'!$V$9))^2+(AG14+'Inputs-Results'!$X$9-'Inputs-Results'!$V$9)^2)+SQRT((('Inputs-Results'!$AA$9-'Inputs-Results'!$Y$9)*(AG14+'Inputs-Results'!$X$9-'Inputs-Results'!$Z$9)/('Inputs-Results'!$AB$9-'Inputs-Results'!$Z$9))^2+(AG14+'Inputs-Results'!$X$9-'Inputs-Results'!$Z$9)^2),SQRT((('Inputs-Results'!$U$9-'Inputs-Results'!$W$9)*(AG14)/('Inputs-Results'!$V$9-'Inputs-Results'!$X$9))^2+AG14^2)+SQRT((('Inputs-Results'!$Y$9-'Inputs-Results'!$W$9)*AG14/('Inputs-Results'!$Z$9-'Inputs-Results'!$X$9))^2+AG14^2))</f>
        <v>#DIV/0!</v>
      </c>
      <c r="AJ14" s="19" t="e">
        <f t="shared" si="15"/>
        <v>#DIV/0!</v>
      </c>
      <c r="AK14" s="19" t="e">
        <f>1.49/'Inputs-Results'!$AC19*AH14*AJ14^(2/3)*'Inputs-Results'!$AD19^0.5</f>
        <v>#DIV/0!</v>
      </c>
      <c r="AL14" s="27" t="e">
        <f t="shared" si="16"/>
        <v>#DIV/0!</v>
      </c>
      <c r="AM14" s="26">
        <f t="shared" si="17"/>
        <v>0</v>
      </c>
      <c r="AN14" s="19" t="e">
        <f>IF(AM14&gt;'Inputs-Results'!$V19-'Inputs-Results'!$X19,(0.5*(ABS('Inputs-Results'!$S19-'Inputs-Results'!$U19)/('Inputs-Results'!$T19-'Inputs-Results'!$V19)*(AM14-('Inputs-Results'!$V19-'Inputs-Results'!$X19)))*(AM14-('Inputs-Results'!$V19-'Inputs-Results'!$X19))),0)+IF(AM14&gt;'Inputs-Results'!$V19-'Inputs-Results'!$X19,(0.5*((AM14+'Inputs-Results'!$X19-'Inputs-Results'!$V19)+AM14)*ABS('Inputs-Results'!$U19-'Inputs-Results'!$W19)),0.5*(ABS('Inputs-Results'!$U19-'Inputs-Results'!$W19)/('Inputs-Results'!$V19-'Inputs-Results'!$X19)*AM14)*AM14)+IF(AM14&gt;'Inputs-Results'!$Z19-'Inputs-Results'!$X19,(0.5*((AM14+'Inputs-Results'!$X19-'Inputs-Results'!$Z19)+AM14)*ABS('Inputs-Results'!$Y19-'Inputs-Results'!$W19)),0.5*(ABS('Inputs-Results'!$W19-'Inputs-Results'!$Y19)/('Inputs-Results'!$Z19-'Inputs-Results'!$X19)*AM14)*AM14)+IF(AM14&gt;'Inputs-Results'!$Z19-'Inputs-Results'!$X19,(0.5*(ABS('Inputs-Results'!$Y19-'Inputs-Results'!$AA19)/('Inputs-Results'!$AB19-'Inputs-Results'!$Z19)*(AM14-('Inputs-Results'!$Z19-'Inputs-Results'!$X19)))*(AM14-('Inputs-Results'!$Z19-'Inputs-Results'!$X19))),0)</f>
        <v>#DIV/0!</v>
      </c>
      <c r="AO14" s="19" t="e">
        <f>IF(AM14&gt;'Inputs-Results'!$V$9-'Inputs-Results'!$X$9,SQRT(('Inputs-Results'!$U$9-'Inputs-Results'!$W$9)^2+('Inputs-Results'!$V$9-'Inputs-Results'!$X$9)^2)+SQRT(('Inputs-Results'!$W$9-'Inputs-Results'!$Y$9)^2+('Inputs-Results'!$X$9-'Inputs-Results'!$Z$9)^2)+SQRT((('Inputs-Results'!$S$9-'Inputs-Results'!$U$9)*(AM14+'Inputs-Results'!$X$9-'Inputs-Results'!$V$9)/('Inputs-Results'!$T$9-'Inputs-Results'!$V$9))^2+(AM14+'Inputs-Results'!$X$9-'Inputs-Results'!$V$9)^2)+SQRT((('Inputs-Results'!$AA$9-'Inputs-Results'!$Y$9)*(AM14+'Inputs-Results'!$X$9-'Inputs-Results'!$Z$9)/('Inputs-Results'!$AB$9-'Inputs-Results'!$Z$9))^2+(AM14+'Inputs-Results'!$X$9-'Inputs-Results'!$Z$9)^2),SQRT((('Inputs-Results'!$U$9-'Inputs-Results'!$W$9)*(AM14)/('Inputs-Results'!$V$9-'Inputs-Results'!$X$9))^2+AM14^2)+SQRT((('Inputs-Results'!$Y$9-'Inputs-Results'!$W$9)*AM14/('Inputs-Results'!$Z$9-'Inputs-Results'!$X$9))^2+AM14^2))</f>
        <v>#DIV/0!</v>
      </c>
      <c r="AP14" s="19" t="e">
        <f t="shared" si="18"/>
        <v>#DIV/0!</v>
      </c>
      <c r="AQ14" s="19" t="e">
        <f>1.49/'Inputs-Results'!$AC19*AN14*AP14^(2/3)*'Inputs-Results'!$AD19^0.5</f>
        <v>#DIV/0!</v>
      </c>
      <c r="AR14" s="27" t="e">
        <f t="shared" si="19"/>
        <v>#DIV/0!</v>
      </c>
      <c r="AS14" s="26">
        <f t="shared" si="20"/>
        <v>0</v>
      </c>
      <c r="AT14" s="19" t="e">
        <f>IF(AS14&gt;'Inputs-Results'!$V19-'Inputs-Results'!$X19,(0.5*(ABS('Inputs-Results'!$S19-'Inputs-Results'!$U19)/('Inputs-Results'!$T19-'Inputs-Results'!$V19)*(AS14-('Inputs-Results'!$V19-'Inputs-Results'!$X19)))*(AS14-('Inputs-Results'!$V19-'Inputs-Results'!$X19))),0)+IF(AS14&gt;'Inputs-Results'!$V19-'Inputs-Results'!$X19,(0.5*((AS14+'Inputs-Results'!$X19-'Inputs-Results'!$V19)+AS14)*ABS('Inputs-Results'!$U19-'Inputs-Results'!$W19)),0.5*(ABS('Inputs-Results'!$U19-'Inputs-Results'!$W19)/('Inputs-Results'!$V19-'Inputs-Results'!$X19)*AS14)*AS14)+IF(AS14&gt;'Inputs-Results'!$Z19-'Inputs-Results'!$X19,(0.5*((AS14+'Inputs-Results'!$X19-'Inputs-Results'!$Z19)+AS14)*ABS('Inputs-Results'!$Y19-'Inputs-Results'!$W19)),0.5*(ABS('Inputs-Results'!$W19-'Inputs-Results'!$Y19)/('Inputs-Results'!$Z19-'Inputs-Results'!$X19)*AS14)*AS14)+IF(AS14&gt;'Inputs-Results'!$Z19-'Inputs-Results'!$X19,(0.5*(ABS('Inputs-Results'!$Y19-'Inputs-Results'!$AA19)/('Inputs-Results'!$AB19-'Inputs-Results'!$Z19)*(AS14-('Inputs-Results'!$Z19-'Inputs-Results'!$X19)))*(AS14-('Inputs-Results'!$Z19-'Inputs-Results'!$X19))),0)</f>
        <v>#DIV/0!</v>
      </c>
      <c r="AU14" s="19" t="e">
        <f>IF(AS14&gt;'Inputs-Results'!$V$9-'Inputs-Results'!$X$9,SQRT(('Inputs-Results'!$U$9-'Inputs-Results'!$W$9)^2+('Inputs-Results'!$V$9-'Inputs-Results'!$X$9)^2)+SQRT(('Inputs-Results'!$W$9-'Inputs-Results'!$Y$9)^2+('Inputs-Results'!$X$9-'Inputs-Results'!$Z$9)^2)+SQRT((('Inputs-Results'!$S$9-'Inputs-Results'!$U$9)*(AS14+'Inputs-Results'!$X$9-'Inputs-Results'!$V$9)/('Inputs-Results'!$T$9-'Inputs-Results'!$V$9))^2+(AS14+'Inputs-Results'!$X$9-'Inputs-Results'!$V$9)^2)+SQRT((('Inputs-Results'!$AA$9-'Inputs-Results'!$Y$9)*(AS14+'Inputs-Results'!$X$9-'Inputs-Results'!$Z$9)/('Inputs-Results'!$AB$9-'Inputs-Results'!$Z$9))^2+(AS14+'Inputs-Results'!$X$9-'Inputs-Results'!$Z$9)^2),SQRT((('Inputs-Results'!$U$9-'Inputs-Results'!$W$9)*(AS14)/('Inputs-Results'!$V$9-'Inputs-Results'!$X$9))^2+AS14^2)+SQRT((('Inputs-Results'!$Y$9-'Inputs-Results'!$W$9)*AS14/('Inputs-Results'!$Z$9-'Inputs-Results'!$X$9))^2+AS14^2))</f>
        <v>#DIV/0!</v>
      </c>
      <c r="AV14" s="19" t="e">
        <f t="shared" si="21"/>
        <v>#DIV/0!</v>
      </c>
      <c r="AW14" s="19" t="e">
        <f>1.49/'Inputs-Results'!$AC19*AT14*AV14^(2/3)*'Inputs-Results'!$AD19^0.5</f>
        <v>#DIV/0!</v>
      </c>
      <c r="AX14" s="27" t="e">
        <f t="shared" si="22"/>
        <v>#DIV/0!</v>
      </c>
      <c r="AY14" s="26">
        <f t="shared" si="23"/>
        <v>0</v>
      </c>
      <c r="AZ14" s="19" t="e">
        <f>IF(AY14&gt;'Inputs-Results'!$V19-'Inputs-Results'!$X19,(0.5*(ABS('Inputs-Results'!$S19-'Inputs-Results'!$U19)/('Inputs-Results'!$T19-'Inputs-Results'!$V19)*(AY14-('Inputs-Results'!$V19-'Inputs-Results'!$X19)))*(AY14-('Inputs-Results'!$V19-'Inputs-Results'!$X19))),0)+IF(AY14&gt;'Inputs-Results'!$V19-'Inputs-Results'!$X19,(0.5*((AY14+'Inputs-Results'!$X19-'Inputs-Results'!$V19)+AY14)*ABS('Inputs-Results'!$U19-'Inputs-Results'!$W19)),0.5*(ABS('Inputs-Results'!$U19-'Inputs-Results'!$W19)/('Inputs-Results'!$V19-'Inputs-Results'!$X19)*AY14)*AY14)+IF(AY14&gt;'Inputs-Results'!$Z19-'Inputs-Results'!$X19,(0.5*((AY14+'Inputs-Results'!$X19-'Inputs-Results'!$Z19)+AY14)*ABS('Inputs-Results'!$Y19-'Inputs-Results'!$W19)),0.5*(ABS('Inputs-Results'!$W19-'Inputs-Results'!$Y19)/('Inputs-Results'!$Z19-'Inputs-Results'!$X19)*AY14)*AY14)+IF(AY14&gt;'Inputs-Results'!$Z19-'Inputs-Results'!$X19,(0.5*(ABS('Inputs-Results'!$Y19-'Inputs-Results'!$AA19)/('Inputs-Results'!$AB19-'Inputs-Results'!$Z19)*(AY14-('Inputs-Results'!$Z19-'Inputs-Results'!$X19)))*(AY14-('Inputs-Results'!$Z19-'Inputs-Results'!$X19))),0)</f>
        <v>#DIV/0!</v>
      </c>
      <c r="BA14" s="19" t="e">
        <f>IF(AY14&gt;'Inputs-Results'!$V$9-'Inputs-Results'!$X$9,SQRT(('Inputs-Results'!$U$9-'Inputs-Results'!$W$9)^2+('Inputs-Results'!$V$9-'Inputs-Results'!$X$9)^2)+SQRT(('Inputs-Results'!$W$9-'Inputs-Results'!$Y$9)^2+('Inputs-Results'!$X$9-'Inputs-Results'!$Z$9)^2)+SQRT((('Inputs-Results'!$S$9-'Inputs-Results'!$U$9)*(AY14+'Inputs-Results'!$X$9-'Inputs-Results'!$V$9)/('Inputs-Results'!$T$9-'Inputs-Results'!$V$9))^2+(AY14+'Inputs-Results'!$X$9-'Inputs-Results'!$V$9)^2)+SQRT((('Inputs-Results'!$AA$9-'Inputs-Results'!$Y$9)*(AY14+'Inputs-Results'!$X$9-'Inputs-Results'!$Z$9)/('Inputs-Results'!$AB$9-'Inputs-Results'!$Z$9))^2+(AY14+'Inputs-Results'!$X$9-'Inputs-Results'!$Z$9)^2),SQRT((('Inputs-Results'!$U$9-'Inputs-Results'!$W$9)*(AY14)/('Inputs-Results'!$V$9-'Inputs-Results'!$X$9))^2+AY14^2)+SQRT((('Inputs-Results'!$Y$9-'Inputs-Results'!$W$9)*AY14/('Inputs-Results'!$Z$9-'Inputs-Results'!$X$9))^2+AY14^2))</f>
        <v>#DIV/0!</v>
      </c>
      <c r="BB14" s="19" t="e">
        <f t="shared" si="24"/>
        <v>#DIV/0!</v>
      </c>
      <c r="BC14" s="19" t="e">
        <f>1.49/'Inputs-Results'!$AC19*AZ14*BB14^(2/3)*'Inputs-Results'!$AD19^0.5</f>
        <v>#DIV/0!</v>
      </c>
      <c r="BD14" s="27" t="e">
        <f t="shared" si="25"/>
        <v>#DIV/0!</v>
      </c>
      <c r="BE14" s="26">
        <f t="shared" si="26"/>
        <v>0</v>
      </c>
      <c r="BF14" s="19" t="e">
        <f>IF(BE14&gt;'Inputs-Results'!$V19-'Inputs-Results'!$X19,(0.5*(ABS('Inputs-Results'!$S19-'Inputs-Results'!$U19)/('Inputs-Results'!$T19-'Inputs-Results'!$V19)*(BE14-('Inputs-Results'!$V19-'Inputs-Results'!$X19)))*(BE14-('Inputs-Results'!$V19-'Inputs-Results'!$X19))),0)+IF(BE14&gt;'Inputs-Results'!$V19-'Inputs-Results'!$X19,(0.5*((BE14+'Inputs-Results'!$X19-'Inputs-Results'!$V19)+BE14)*ABS('Inputs-Results'!$U19-'Inputs-Results'!$W19)),0.5*(ABS('Inputs-Results'!$U19-'Inputs-Results'!$W19)/('Inputs-Results'!$V19-'Inputs-Results'!$X19)*BE14)*BE14)+IF(BE14&gt;'Inputs-Results'!$Z19-'Inputs-Results'!$X19,(0.5*((BE14+'Inputs-Results'!$X19-'Inputs-Results'!$Z19)+BE14)*ABS('Inputs-Results'!$Y19-'Inputs-Results'!$W19)),0.5*(ABS('Inputs-Results'!$W19-'Inputs-Results'!$Y19)/('Inputs-Results'!$Z19-'Inputs-Results'!$X19)*BE14)*BE14)+IF(BE14&gt;'Inputs-Results'!$Z19-'Inputs-Results'!$X19,(0.5*(ABS('Inputs-Results'!$Y19-'Inputs-Results'!$AA19)/('Inputs-Results'!$AB19-'Inputs-Results'!$Z19)*(BE14-('Inputs-Results'!$Z19-'Inputs-Results'!$X19)))*(BE14-('Inputs-Results'!$Z19-'Inputs-Results'!$X19))),0)</f>
        <v>#DIV/0!</v>
      </c>
      <c r="BG14" s="19" t="e">
        <f>IF(BE14&gt;'Inputs-Results'!$V$9-'Inputs-Results'!$X$9,SQRT(('Inputs-Results'!$U$9-'Inputs-Results'!$W$9)^2+('Inputs-Results'!$V$9-'Inputs-Results'!$X$9)^2)+SQRT(('Inputs-Results'!$W$9-'Inputs-Results'!$Y$9)^2+('Inputs-Results'!$X$9-'Inputs-Results'!$Z$9)^2)+SQRT((('Inputs-Results'!$S$9-'Inputs-Results'!$U$9)*(BE14+'Inputs-Results'!$X$9-'Inputs-Results'!$V$9)/('Inputs-Results'!$T$9-'Inputs-Results'!$V$9))^2+(BE14+'Inputs-Results'!$X$9-'Inputs-Results'!$V$9)^2)+SQRT((('Inputs-Results'!$AA$9-'Inputs-Results'!$Y$9)*(BE14+'Inputs-Results'!$X$9-'Inputs-Results'!$Z$9)/('Inputs-Results'!$AB$9-'Inputs-Results'!$Z$9))^2+(BE14+'Inputs-Results'!$X$9-'Inputs-Results'!$Z$9)^2),SQRT((('Inputs-Results'!$U$9-'Inputs-Results'!$W$9)*(BE14)/('Inputs-Results'!$V$9-'Inputs-Results'!$X$9))^2+BE14^2)+SQRT((('Inputs-Results'!$Y$9-'Inputs-Results'!$W$9)*BE14/('Inputs-Results'!$Z$9-'Inputs-Results'!$X$9))^2+BE14^2))</f>
        <v>#DIV/0!</v>
      </c>
      <c r="BH14" s="19" t="e">
        <f t="shared" si="27"/>
        <v>#DIV/0!</v>
      </c>
      <c r="BI14" s="19" t="e">
        <f>1.49/'Inputs-Results'!$AC19*BF14*BH14^(2/3)*'Inputs-Results'!$AD19^0.5</f>
        <v>#DIV/0!</v>
      </c>
      <c r="BJ14" s="27" t="e">
        <f t="shared" si="28"/>
        <v>#DIV/0!</v>
      </c>
    </row>
    <row r="15" spans="1:62" x14ac:dyDescent="0.25">
      <c r="A15" s="2">
        <v>0</v>
      </c>
      <c r="B15" s="17"/>
      <c r="C15" s="26">
        <f>MIN('Inputs-Results'!T20-'Inputs-Results'!X20,'Inputs-Results'!AB20-'Inputs-Results'!X20)</f>
        <v>0</v>
      </c>
      <c r="D15" s="19" t="e">
        <f>IF(C15&gt;'Inputs-Results'!$V20-'Inputs-Results'!$X20,(0.5*(ABS('Inputs-Results'!$S20-'Inputs-Results'!$U20)/('Inputs-Results'!$T20-'Inputs-Results'!$V20)*(C15-('Inputs-Results'!$V20-'Inputs-Results'!$X20)))*(C15-('Inputs-Results'!$V20-'Inputs-Results'!$X20))),0)+IF(C15&gt;'Inputs-Results'!$V20-'Inputs-Results'!$X20,(0.5*((C15+'Inputs-Results'!$X20-'Inputs-Results'!$V20)+C15)*ABS('Inputs-Results'!$U20-'Inputs-Results'!$W20)),0.5*(ABS('Inputs-Results'!$U20-'Inputs-Results'!$W20)/('Inputs-Results'!$V20-'Inputs-Results'!$X20)*C15)*C15)+IF(C15&gt;'Inputs-Results'!$Z20-'Inputs-Results'!$X20,(0.5*((C15+'Inputs-Results'!$X20-'Inputs-Results'!$Z20)+C15)*ABS('Inputs-Results'!$Y20-'Inputs-Results'!$W20)),0.5*(ABS('Inputs-Results'!$W20-'Inputs-Results'!$Y20)/('Inputs-Results'!$Z20-'Inputs-Results'!$X20)*C15)*C15)+IF(C15&gt;'Inputs-Results'!$Z20-'Inputs-Results'!$X20,(0.5*(ABS('Inputs-Results'!$Y20-'Inputs-Results'!$AA20)/('Inputs-Results'!$AB20-'Inputs-Results'!$Z20)*(C15-('Inputs-Results'!$Z20-'Inputs-Results'!$X20)))*(C15-('Inputs-Results'!$Z20-'Inputs-Results'!$X20))),0)</f>
        <v>#DIV/0!</v>
      </c>
      <c r="E15" s="19" t="e">
        <f>IF(C15&gt;'Inputs-Results'!$V$9-'Inputs-Results'!$X$9,SQRT(('Inputs-Results'!$U$9-'Inputs-Results'!$W$9)^2+('Inputs-Results'!$V$9-'Inputs-Results'!$X$9)^2)+SQRT(('Inputs-Results'!$W$9-'Inputs-Results'!$Y$9)^2+('Inputs-Results'!$X$9-'Inputs-Results'!$Z$9)^2)+SQRT((('Inputs-Results'!$S$9-'Inputs-Results'!$U$9)*(C15+'Inputs-Results'!$X$9-'Inputs-Results'!$V$9)/('Inputs-Results'!$T$9-'Inputs-Results'!$V$9))^2+(C15+'Inputs-Results'!$X$9-'Inputs-Results'!$V$9)^2)+SQRT((('Inputs-Results'!$AA$9-'Inputs-Results'!$Y$9)*(C15+'Inputs-Results'!$X$9-'Inputs-Results'!$Z$9)/('Inputs-Results'!$AB$9-'Inputs-Results'!$Z$9))^2+(C15+'Inputs-Results'!$X$9-'Inputs-Results'!$Z$9)^2),SQRT((('Inputs-Results'!$U$9-'Inputs-Results'!$W$9)*(C15)/('Inputs-Results'!$V$9-'Inputs-Results'!$X$9))^2+C15^2)+SQRT((('Inputs-Results'!$Y$9-'Inputs-Results'!$W$9)*C15/('Inputs-Results'!$Z$9-'Inputs-Results'!$X$9))^2+C15^2))</f>
        <v>#DIV/0!</v>
      </c>
      <c r="F15" s="19" t="e">
        <f t="shared" si="0"/>
        <v>#DIV/0!</v>
      </c>
      <c r="G15" s="19" t="e">
        <f>1.49/'Inputs-Results'!AC20*D15*F15^(2/3)*'Inputs-Results'!AD20^0.5</f>
        <v>#DIV/0!</v>
      </c>
      <c r="H15" s="27" t="e">
        <f t="shared" si="1"/>
        <v>#DIV/0!</v>
      </c>
      <c r="I15" s="26">
        <f t="shared" si="2"/>
        <v>0</v>
      </c>
      <c r="J15" s="19" t="e">
        <f>IF(I15&gt;'Inputs-Results'!$V20-'Inputs-Results'!$X20,(0.5*(ABS('Inputs-Results'!$S20-'Inputs-Results'!$U20)/('Inputs-Results'!$T20-'Inputs-Results'!$V20)*(I15-('Inputs-Results'!$V20-'Inputs-Results'!$X20)))*(I15-('Inputs-Results'!$V20-'Inputs-Results'!$X20))),0)+IF(I15&gt;'Inputs-Results'!$V20-'Inputs-Results'!$X20,(0.5*((I15+'Inputs-Results'!$X20-'Inputs-Results'!$V20)+I15)*ABS('Inputs-Results'!$U20-'Inputs-Results'!$W20)),0.5*(ABS('Inputs-Results'!$U20-'Inputs-Results'!$W20)/('Inputs-Results'!$V20-'Inputs-Results'!$X20)*I15)*I15)+IF(I15&gt;'Inputs-Results'!$Z20-'Inputs-Results'!$X20,(0.5*((I15+'Inputs-Results'!$X20-'Inputs-Results'!$Z20)+I15)*ABS('Inputs-Results'!$Y20-'Inputs-Results'!$W20)),0.5*(ABS('Inputs-Results'!$W20-'Inputs-Results'!$Y20)/('Inputs-Results'!$Z20-'Inputs-Results'!$X20)*I15)*I15)+IF(I15&gt;'Inputs-Results'!$Z20-'Inputs-Results'!$X20,(0.5*(ABS('Inputs-Results'!$Y20-'Inputs-Results'!$AA20)/('Inputs-Results'!$AB20-'Inputs-Results'!$Z20)*(I15-('Inputs-Results'!$Z20-'Inputs-Results'!$X20)))*(I15-('Inputs-Results'!$Z20-'Inputs-Results'!$X20))),0)</f>
        <v>#DIV/0!</v>
      </c>
      <c r="K15" s="19" t="e">
        <f>IF(I15&gt;'Inputs-Results'!$V$9-'Inputs-Results'!$X$9,SQRT(('Inputs-Results'!$U$9-'Inputs-Results'!$W$9)^2+('Inputs-Results'!$V$9-'Inputs-Results'!$X$9)^2)+SQRT(('Inputs-Results'!$W$9-'Inputs-Results'!$Y$9)^2+('Inputs-Results'!$X$9-'Inputs-Results'!$Z$9)^2)+SQRT((('Inputs-Results'!$S$9-'Inputs-Results'!$U$9)*(I15+'Inputs-Results'!$X$9-'Inputs-Results'!$V$9)/('Inputs-Results'!$T$9-'Inputs-Results'!$V$9))^2+(I15+'Inputs-Results'!$X$9-'Inputs-Results'!$V$9)^2)+SQRT((('Inputs-Results'!$AA$9-'Inputs-Results'!$Y$9)*(I15+'Inputs-Results'!$X$9-'Inputs-Results'!$Z$9)/('Inputs-Results'!$AB$9-'Inputs-Results'!$Z$9))^2+(I15+'Inputs-Results'!$X$9-'Inputs-Results'!$Z$9)^2),SQRT((('Inputs-Results'!$U$9-'Inputs-Results'!$W$9)*(I15)/('Inputs-Results'!$V$9-'Inputs-Results'!$X$9))^2+I15^2)+SQRT((('Inputs-Results'!$Y$9-'Inputs-Results'!$W$9)*I15/('Inputs-Results'!$Z$9-'Inputs-Results'!$X$9))^2+I15^2))</f>
        <v>#DIV/0!</v>
      </c>
      <c r="L15" s="19" t="e">
        <f t="shared" si="3"/>
        <v>#DIV/0!</v>
      </c>
      <c r="M15" s="19" t="e">
        <f>1.49/'Inputs-Results'!$AC20*J15*L15^(2/3)*'Inputs-Results'!$AD20^0.5</f>
        <v>#DIV/0!</v>
      </c>
      <c r="N15" s="27" t="e">
        <f t="shared" si="4"/>
        <v>#DIV/0!</v>
      </c>
      <c r="O15" s="26">
        <f t="shared" si="5"/>
        <v>0</v>
      </c>
      <c r="P15" s="19" t="e">
        <f>IF(O15&gt;'Inputs-Results'!$V20-'Inputs-Results'!$X20,(0.5*(ABS('Inputs-Results'!$S20-'Inputs-Results'!$U20)/('Inputs-Results'!$T20-'Inputs-Results'!$V20)*(O15-('Inputs-Results'!$V20-'Inputs-Results'!$X20)))*(O15-('Inputs-Results'!$V20-'Inputs-Results'!$X20))),0)+IF(O15&gt;'Inputs-Results'!$V20-'Inputs-Results'!$X20,(0.5*((O15+'Inputs-Results'!$X20-'Inputs-Results'!$V20)+O15)*ABS('Inputs-Results'!$U20-'Inputs-Results'!$W20)),0.5*(ABS('Inputs-Results'!$U20-'Inputs-Results'!$W20)/('Inputs-Results'!$V20-'Inputs-Results'!$X20)*O15)*O15)+IF(O15&gt;'Inputs-Results'!$Z20-'Inputs-Results'!$X20,(0.5*((O15+'Inputs-Results'!$X20-'Inputs-Results'!$Z20)+O15)*ABS('Inputs-Results'!$Y20-'Inputs-Results'!$W20)),0.5*(ABS('Inputs-Results'!$W20-'Inputs-Results'!$Y20)/('Inputs-Results'!$Z20-'Inputs-Results'!$X20)*O15)*O15)+IF(O15&gt;'Inputs-Results'!$Z20-'Inputs-Results'!$X20,(0.5*(ABS('Inputs-Results'!$Y20-'Inputs-Results'!$AA20)/('Inputs-Results'!$AB20-'Inputs-Results'!$Z20)*(O15-('Inputs-Results'!$Z20-'Inputs-Results'!$X20)))*(O15-('Inputs-Results'!$Z20-'Inputs-Results'!$X20))),0)</f>
        <v>#DIV/0!</v>
      </c>
      <c r="Q15" s="19" t="e">
        <f>IF(O15&gt;'Inputs-Results'!$V$9-'Inputs-Results'!$X$9,SQRT(('Inputs-Results'!$U$9-'Inputs-Results'!$W$9)^2+('Inputs-Results'!$V$9-'Inputs-Results'!$X$9)^2)+SQRT(('Inputs-Results'!$W$9-'Inputs-Results'!$Y$9)^2+('Inputs-Results'!$X$9-'Inputs-Results'!$Z$9)^2)+SQRT((('Inputs-Results'!$S$9-'Inputs-Results'!$U$9)*(O15+'Inputs-Results'!$X$9-'Inputs-Results'!$V$9)/('Inputs-Results'!$T$9-'Inputs-Results'!$V$9))^2+(O15+'Inputs-Results'!$X$9-'Inputs-Results'!$V$9)^2)+SQRT((('Inputs-Results'!$AA$9-'Inputs-Results'!$Y$9)*(O15+'Inputs-Results'!$X$9-'Inputs-Results'!$Z$9)/('Inputs-Results'!$AB$9-'Inputs-Results'!$Z$9))^2+(O15+'Inputs-Results'!$X$9-'Inputs-Results'!$Z$9)^2),SQRT((('Inputs-Results'!$U$9-'Inputs-Results'!$W$9)*(O15)/('Inputs-Results'!$V$9-'Inputs-Results'!$X$9))^2+O15^2)+SQRT((('Inputs-Results'!$Y$9-'Inputs-Results'!$W$9)*O15/('Inputs-Results'!$Z$9-'Inputs-Results'!$X$9))^2+O15^2))</f>
        <v>#DIV/0!</v>
      </c>
      <c r="R15" s="19" t="e">
        <f t="shared" si="6"/>
        <v>#DIV/0!</v>
      </c>
      <c r="S15" s="19" t="e">
        <f>1.49/'Inputs-Results'!$AC20*P15*R15^(2/3)*'Inputs-Results'!$AD20^0.5</f>
        <v>#DIV/0!</v>
      </c>
      <c r="T15" s="27" t="e">
        <f t="shared" si="7"/>
        <v>#DIV/0!</v>
      </c>
      <c r="U15" s="26">
        <f t="shared" si="8"/>
        <v>0</v>
      </c>
      <c r="V15" s="19" t="e">
        <f>IF(U15&gt;'Inputs-Results'!$V20-'Inputs-Results'!$X20,(0.5*(ABS('Inputs-Results'!$S20-'Inputs-Results'!$U20)/('Inputs-Results'!$T20-'Inputs-Results'!$V20)*(U15-('Inputs-Results'!$V20-'Inputs-Results'!$X20)))*(U15-('Inputs-Results'!$V20-'Inputs-Results'!$X20))),0)+IF(U15&gt;'Inputs-Results'!$V20-'Inputs-Results'!$X20,(0.5*((U15+'Inputs-Results'!$X20-'Inputs-Results'!$V20)+U15)*ABS('Inputs-Results'!$U20-'Inputs-Results'!$W20)),0.5*(ABS('Inputs-Results'!$U20-'Inputs-Results'!$W20)/('Inputs-Results'!$V20-'Inputs-Results'!$X20)*U15)*U15)+IF(U15&gt;'Inputs-Results'!$Z20-'Inputs-Results'!$X20,(0.5*((U15+'Inputs-Results'!$X20-'Inputs-Results'!$Z20)+U15)*ABS('Inputs-Results'!$Y20-'Inputs-Results'!$W20)),0.5*(ABS('Inputs-Results'!$W20-'Inputs-Results'!$Y20)/('Inputs-Results'!$Z20-'Inputs-Results'!$X20)*U15)*U15)+IF(U15&gt;'Inputs-Results'!$Z20-'Inputs-Results'!$X20,(0.5*(ABS('Inputs-Results'!$Y20-'Inputs-Results'!$AA20)/('Inputs-Results'!$AB20-'Inputs-Results'!$Z20)*(U15-('Inputs-Results'!$Z20-'Inputs-Results'!$X20)))*(U15-('Inputs-Results'!$Z20-'Inputs-Results'!$X20))),0)</f>
        <v>#DIV/0!</v>
      </c>
      <c r="W15" s="19" t="e">
        <f>IF(U15&gt;'Inputs-Results'!$V$9-'Inputs-Results'!$X$9,SQRT(('Inputs-Results'!$U$9-'Inputs-Results'!$W$9)^2+('Inputs-Results'!$V$9-'Inputs-Results'!$X$9)^2)+SQRT(('Inputs-Results'!$W$9-'Inputs-Results'!$Y$9)^2+('Inputs-Results'!$X$9-'Inputs-Results'!$Z$9)^2)+SQRT((('Inputs-Results'!$S$9-'Inputs-Results'!$U$9)*(U15+'Inputs-Results'!$X$9-'Inputs-Results'!$V$9)/('Inputs-Results'!$T$9-'Inputs-Results'!$V$9))^2+(U15+'Inputs-Results'!$X$9-'Inputs-Results'!$V$9)^2)+SQRT((('Inputs-Results'!$AA$9-'Inputs-Results'!$Y$9)*(U15+'Inputs-Results'!$X$9-'Inputs-Results'!$Z$9)/('Inputs-Results'!$AB$9-'Inputs-Results'!$Z$9))^2+(U15+'Inputs-Results'!$X$9-'Inputs-Results'!$Z$9)^2),SQRT((('Inputs-Results'!$U$9-'Inputs-Results'!$W$9)*(U15)/('Inputs-Results'!$V$9-'Inputs-Results'!$X$9))^2+U15^2)+SQRT((('Inputs-Results'!$Y$9-'Inputs-Results'!$W$9)*U15/('Inputs-Results'!$Z$9-'Inputs-Results'!$X$9))^2+U15^2))</f>
        <v>#DIV/0!</v>
      </c>
      <c r="X15" s="19" t="e">
        <f t="shared" si="9"/>
        <v>#DIV/0!</v>
      </c>
      <c r="Y15" s="19" t="e">
        <f>1.49/'Inputs-Results'!$AC20*V15*X15^(2/3)*'Inputs-Results'!$AD20^0.5</f>
        <v>#DIV/0!</v>
      </c>
      <c r="Z15" s="27" t="e">
        <f t="shared" si="10"/>
        <v>#DIV/0!</v>
      </c>
      <c r="AA15" s="26">
        <f t="shared" si="11"/>
        <v>0</v>
      </c>
      <c r="AB15" s="19" t="e">
        <f>IF(AA15&gt;'Inputs-Results'!$V20-'Inputs-Results'!$X20,(0.5*(ABS('Inputs-Results'!$S20-'Inputs-Results'!$U20)/('Inputs-Results'!$T20-'Inputs-Results'!$V20)*(AA15-('Inputs-Results'!$V20-'Inputs-Results'!$X20)))*(AA15-('Inputs-Results'!$V20-'Inputs-Results'!$X20))),0)+IF(AA15&gt;'Inputs-Results'!$V20-'Inputs-Results'!$X20,(0.5*((AA15+'Inputs-Results'!$X20-'Inputs-Results'!$V20)+AA15)*ABS('Inputs-Results'!$U20-'Inputs-Results'!$W20)),0.5*(ABS('Inputs-Results'!$U20-'Inputs-Results'!$W20)/('Inputs-Results'!$V20-'Inputs-Results'!$X20)*AA15)*AA15)+IF(AA15&gt;'Inputs-Results'!$Z20-'Inputs-Results'!$X20,(0.5*((AA15+'Inputs-Results'!$X20-'Inputs-Results'!$Z20)+AA15)*ABS('Inputs-Results'!$Y20-'Inputs-Results'!$W20)),0.5*(ABS('Inputs-Results'!$W20-'Inputs-Results'!$Y20)/('Inputs-Results'!$Z20-'Inputs-Results'!$X20)*AA15)*AA15)+IF(AA15&gt;'Inputs-Results'!$Z20-'Inputs-Results'!$X20,(0.5*(ABS('Inputs-Results'!$Y20-'Inputs-Results'!$AA20)/('Inputs-Results'!$AB20-'Inputs-Results'!$Z20)*(AA15-('Inputs-Results'!$Z20-'Inputs-Results'!$X20)))*(AA15-('Inputs-Results'!$Z20-'Inputs-Results'!$X20))),0)</f>
        <v>#DIV/0!</v>
      </c>
      <c r="AC15" s="19" t="e">
        <f>IF(AA15&gt;'Inputs-Results'!$V$9-'Inputs-Results'!$X$9,SQRT(('Inputs-Results'!$U$9-'Inputs-Results'!$W$9)^2+('Inputs-Results'!$V$9-'Inputs-Results'!$X$9)^2)+SQRT(('Inputs-Results'!$W$9-'Inputs-Results'!$Y$9)^2+('Inputs-Results'!$X$9-'Inputs-Results'!$Z$9)^2)+SQRT((('Inputs-Results'!$S$9-'Inputs-Results'!$U$9)*(AA15+'Inputs-Results'!$X$9-'Inputs-Results'!$V$9)/('Inputs-Results'!$T$9-'Inputs-Results'!$V$9))^2+(AA15+'Inputs-Results'!$X$9-'Inputs-Results'!$V$9)^2)+SQRT((('Inputs-Results'!$AA$9-'Inputs-Results'!$Y$9)*(AA15+'Inputs-Results'!$X$9-'Inputs-Results'!$Z$9)/('Inputs-Results'!$AB$9-'Inputs-Results'!$Z$9))^2+(AA15+'Inputs-Results'!$X$9-'Inputs-Results'!$Z$9)^2),SQRT((('Inputs-Results'!$U$9-'Inputs-Results'!$W$9)*(AA15)/('Inputs-Results'!$V$9-'Inputs-Results'!$X$9))^2+AA15^2)+SQRT((('Inputs-Results'!$Y$9-'Inputs-Results'!$W$9)*AA15/('Inputs-Results'!$Z$9-'Inputs-Results'!$X$9))^2+AA15^2))</f>
        <v>#DIV/0!</v>
      </c>
      <c r="AD15" s="19" t="e">
        <f t="shared" si="12"/>
        <v>#DIV/0!</v>
      </c>
      <c r="AE15" s="19" t="e">
        <f>1.49/'Inputs-Results'!$AC20*AB15*AD15^(2/3)*'Inputs-Results'!$AD20^0.5</f>
        <v>#DIV/0!</v>
      </c>
      <c r="AF15" s="27" t="e">
        <f t="shared" si="13"/>
        <v>#DIV/0!</v>
      </c>
      <c r="AG15" s="26">
        <f t="shared" si="14"/>
        <v>0</v>
      </c>
      <c r="AH15" s="19" t="e">
        <f>IF(AG15&gt;'Inputs-Results'!$V20-'Inputs-Results'!$X20,(0.5*(ABS('Inputs-Results'!$S20-'Inputs-Results'!$U20)/('Inputs-Results'!$T20-'Inputs-Results'!$V20)*(AG15-('Inputs-Results'!$V20-'Inputs-Results'!$X20)))*(AG15-('Inputs-Results'!$V20-'Inputs-Results'!$X20))),0)+IF(AG15&gt;'Inputs-Results'!$V20-'Inputs-Results'!$X20,(0.5*((AG15+'Inputs-Results'!$X20-'Inputs-Results'!$V20)+AG15)*ABS('Inputs-Results'!$U20-'Inputs-Results'!$W20)),0.5*(ABS('Inputs-Results'!$U20-'Inputs-Results'!$W20)/('Inputs-Results'!$V20-'Inputs-Results'!$X20)*AG15)*AG15)+IF(AG15&gt;'Inputs-Results'!$Z20-'Inputs-Results'!$X20,(0.5*((AG15+'Inputs-Results'!$X20-'Inputs-Results'!$Z20)+AG15)*ABS('Inputs-Results'!$Y20-'Inputs-Results'!$W20)),0.5*(ABS('Inputs-Results'!$W20-'Inputs-Results'!$Y20)/('Inputs-Results'!$Z20-'Inputs-Results'!$X20)*AG15)*AG15)+IF(AG15&gt;'Inputs-Results'!$Z20-'Inputs-Results'!$X20,(0.5*(ABS('Inputs-Results'!$Y20-'Inputs-Results'!$AA20)/('Inputs-Results'!$AB20-'Inputs-Results'!$Z20)*(AG15-('Inputs-Results'!$Z20-'Inputs-Results'!$X20)))*(AG15-('Inputs-Results'!$Z20-'Inputs-Results'!$X20))),0)</f>
        <v>#DIV/0!</v>
      </c>
      <c r="AI15" s="19" t="e">
        <f>IF(AG15&gt;'Inputs-Results'!$V$9-'Inputs-Results'!$X$9,SQRT(('Inputs-Results'!$U$9-'Inputs-Results'!$W$9)^2+('Inputs-Results'!$V$9-'Inputs-Results'!$X$9)^2)+SQRT(('Inputs-Results'!$W$9-'Inputs-Results'!$Y$9)^2+('Inputs-Results'!$X$9-'Inputs-Results'!$Z$9)^2)+SQRT((('Inputs-Results'!$S$9-'Inputs-Results'!$U$9)*(AG15+'Inputs-Results'!$X$9-'Inputs-Results'!$V$9)/('Inputs-Results'!$T$9-'Inputs-Results'!$V$9))^2+(AG15+'Inputs-Results'!$X$9-'Inputs-Results'!$V$9)^2)+SQRT((('Inputs-Results'!$AA$9-'Inputs-Results'!$Y$9)*(AG15+'Inputs-Results'!$X$9-'Inputs-Results'!$Z$9)/('Inputs-Results'!$AB$9-'Inputs-Results'!$Z$9))^2+(AG15+'Inputs-Results'!$X$9-'Inputs-Results'!$Z$9)^2),SQRT((('Inputs-Results'!$U$9-'Inputs-Results'!$W$9)*(AG15)/('Inputs-Results'!$V$9-'Inputs-Results'!$X$9))^2+AG15^2)+SQRT((('Inputs-Results'!$Y$9-'Inputs-Results'!$W$9)*AG15/('Inputs-Results'!$Z$9-'Inputs-Results'!$X$9))^2+AG15^2))</f>
        <v>#DIV/0!</v>
      </c>
      <c r="AJ15" s="19" t="e">
        <f t="shared" si="15"/>
        <v>#DIV/0!</v>
      </c>
      <c r="AK15" s="19" t="e">
        <f>1.49/'Inputs-Results'!$AC20*AH15*AJ15^(2/3)*'Inputs-Results'!$AD20^0.5</f>
        <v>#DIV/0!</v>
      </c>
      <c r="AL15" s="27" t="e">
        <f t="shared" si="16"/>
        <v>#DIV/0!</v>
      </c>
      <c r="AM15" s="26">
        <f t="shared" si="17"/>
        <v>0</v>
      </c>
      <c r="AN15" s="19" t="e">
        <f>IF(AM15&gt;'Inputs-Results'!$V20-'Inputs-Results'!$X20,(0.5*(ABS('Inputs-Results'!$S20-'Inputs-Results'!$U20)/('Inputs-Results'!$T20-'Inputs-Results'!$V20)*(AM15-('Inputs-Results'!$V20-'Inputs-Results'!$X20)))*(AM15-('Inputs-Results'!$V20-'Inputs-Results'!$X20))),0)+IF(AM15&gt;'Inputs-Results'!$V20-'Inputs-Results'!$X20,(0.5*((AM15+'Inputs-Results'!$X20-'Inputs-Results'!$V20)+AM15)*ABS('Inputs-Results'!$U20-'Inputs-Results'!$W20)),0.5*(ABS('Inputs-Results'!$U20-'Inputs-Results'!$W20)/('Inputs-Results'!$V20-'Inputs-Results'!$X20)*AM15)*AM15)+IF(AM15&gt;'Inputs-Results'!$Z20-'Inputs-Results'!$X20,(0.5*((AM15+'Inputs-Results'!$X20-'Inputs-Results'!$Z20)+AM15)*ABS('Inputs-Results'!$Y20-'Inputs-Results'!$W20)),0.5*(ABS('Inputs-Results'!$W20-'Inputs-Results'!$Y20)/('Inputs-Results'!$Z20-'Inputs-Results'!$X20)*AM15)*AM15)+IF(AM15&gt;'Inputs-Results'!$Z20-'Inputs-Results'!$X20,(0.5*(ABS('Inputs-Results'!$Y20-'Inputs-Results'!$AA20)/('Inputs-Results'!$AB20-'Inputs-Results'!$Z20)*(AM15-('Inputs-Results'!$Z20-'Inputs-Results'!$X20)))*(AM15-('Inputs-Results'!$Z20-'Inputs-Results'!$X20))),0)</f>
        <v>#DIV/0!</v>
      </c>
      <c r="AO15" s="19" t="e">
        <f>IF(AM15&gt;'Inputs-Results'!$V$9-'Inputs-Results'!$X$9,SQRT(('Inputs-Results'!$U$9-'Inputs-Results'!$W$9)^2+('Inputs-Results'!$V$9-'Inputs-Results'!$X$9)^2)+SQRT(('Inputs-Results'!$W$9-'Inputs-Results'!$Y$9)^2+('Inputs-Results'!$X$9-'Inputs-Results'!$Z$9)^2)+SQRT((('Inputs-Results'!$S$9-'Inputs-Results'!$U$9)*(AM15+'Inputs-Results'!$X$9-'Inputs-Results'!$V$9)/('Inputs-Results'!$T$9-'Inputs-Results'!$V$9))^2+(AM15+'Inputs-Results'!$X$9-'Inputs-Results'!$V$9)^2)+SQRT((('Inputs-Results'!$AA$9-'Inputs-Results'!$Y$9)*(AM15+'Inputs-Results'!$X$9-'Inputs-Results'!$Z$9)/('Inputs-Results'!$AB$9-'Inputs-Results'!$Z$9))^2+(AM15+'Inputs-Results'!$X$9-'Inputs-Results'!$Z$9)^2),SQRT((('Inputs-Results'!$U$9-'Inputs-Results'!$W$9)*(AM15)/('Inputs-Results'!$V$9-'Inputs-Results'!$X$9))^2+AM15^2)+SQRT((('Inputs-Results'!$Y$9-'Inputs-Results'!$W$9)*AM15/('Inputs-Results'!$Z$9-'Inputs-Results'!$X$9))^2+AM15^2))</f>
        <v>#DIV/0!</v>
      </c>
      <c r="AP15" s="19" t="e">
        <f t="shared" si="18"/>
        <v>#DIV/0!</v>
      </c>
      <c r="AQ15" s="19" t="e">
        <f>1.49/'Inputs-Results'!$AC20*AN15*AP15^(2/3)*'Inputs-Results'!$AD20^0.5</f>
        <v>#DIV/0!</v>
      </c>
      <c r="AR15" s="27" t="e">
        <f t="shared" si="19"/>
        <v>#DIV/0!</v>
      </c>
      <c r="AS15" s="26">
        <f t="shared" si="20"/>
        <v>0</v>
      </c>
      <c r="AT15" s="19" t="e">
        <f>IF(AS15&gt;'Inputs-Results'!$V20-'Inputs-Results'!$X20,(0.5*(ABS('Inputs-Results'!$S20-'Inputs-Results'!$U20)/('Inputs-Results'!$T20-'Inputs-Results'!$V20)*(AS15-('Inputs-Results'!$V20-'Inputs-Results'!$X20)))*(AS15-('Inputs-Results'!$V20-'Inputs-Results'!$X20))),0)+IF(AS15&gt;'Inputs-Results'!$V20-'Inputs-Results'!$X20,(0.5*((AS15+'Inputs-Results'!$X20-'Inputs-Results'!$V20)+AS15)*ABS('Inputs-Results'!$U20-'Inputs-Results'!$W20)),0.5*(ABS('Inputs-Results'!$U20-'Inputs-Results'!$W20)/('Inputs-Results'!$V20-'Inputs-Results'!$X20)*AS15)*AS15)+IF(AS15&gt;'Inputs-Results'!$Z20-'Inputs-Results'!$X20,(0.5*((AS15+'Inputs-Results'!$X20-'Inputs-Results'!$Z20)+AS15)*ABS('Inputs-Results'!$Y20-'Inputs-Results'!$W20)),0.5*(ABS('Inputs-Results'!$W20-'Inputs-Results'!$Y20)/('Inputs-Results'!$Z20-'Inputs-Results'!$X20)*AS15)*AS15)+IF(AS15&gt;'Inputs-Results'!$Z20-'Inputs-Results'!$X20,(0.5*(ABS('Inputs-Results'!$Y20-'Inputs-Results'!$AA20)/('Inputs-Results'!$AB20-'Inputs-Results'!$Z20)*(AS15-('Inputs-Results'!$Z20-'Inputs-Results'!$X20)))*(AS15-('Inputs-Results'!$Z20-'Inputs-Results'!$X20))),0)</f>
        <v>#DIV/0!</v>
      </c>
      <c r="AU15" s="19" t="e">
        <f>IF(AS15&gt;'Inputs-Results'!$V$9-'Inputs-Results'!$X$9,SQRT(('Inputs-Results'!$U$9-'Inputs-Results'!$W$9)^2+('Inputs-Results'!$V$9-'Inputs-Results'!$X$9)^2)+SQRT(('Inputs-Results'!$W$9-'Inputs-Results'!$Y$9)^2+('Inputs-Results'!$X$9-'Inputs-Results'!$Z$9)^2)+SQRT((('Inputs-Results'!$S$9-'Inputs-Results'!$U$9)*(AS15+'Inputs-Results'!$X$9-'Inputs-Results'!$V$9)/('Inputs-Results'!$T$9-'Inputs-Results'!$V$9))^2+(AS15+'Inputs-Results'!$X$9-'Inputs-Results'!$V$9)^2)+SQRT((('Inputs-Results'!$AA$9-'Inputs-Results'!$Y$9)*(AS15+'Inputs-Results'!$X$9-'Inputs-Results'!$Z$9)/('Inputs-Results'!$AB$9-'Inputs-Results'!$Z$9))^2+(AS15+'Inputs-Results'!$X$9-'Inputs-Results'!$Z$9)^2),SQRT((('Inputs-Results'!$U$9-'Inputs-Results'!$W$9)*(AS15)/('Inputs-Results'!$V$9-'Inputs-Results'!$X$9))^2+AS15^2)+SQRT((('Inputs-Results'!$Y$9-'Inputs-Results'!$W$9)*AS15/('Inputs-Results'!$Z$9-'Inputs-Results'!$X$9))^2+AS15^2))</f>
        <v>#DIV/0!</v>
      </c>
      <c r="AV15" s="19" t="e">
        <f t="shared" si="21"/>
        <v>#DIV/0!</v>
      </c>
      <c r="AW15" s="19" t="e">
        <f>1.49/'Inputs-Results'!$AC20*AT15*AV15^(2/3)*'Inputs-Results'!$AD20^0.5</f>
        <v>#DIV/0!</v>
      </c>
      <c r="AX15" s="27" t="e">
        <f t="shared" si="22"/>
        <v>#DIV/0!</v>
      </c>
      <c r="AY15" s="26">
        <f t="shared" si="23"/>
        <v>0</v>
      </c>
      <c r="AZ15" s="19" t="e">
        <f>IF(AY15&gt;'Inputs-Results'!$V20-'Inputs-Results'!$X20,(0.5*(ABS('Inputs-Results'!$S20-'Inputs-Results'!$U20)/('Inputs-Results'!$T20-'Inputs-Results'!$V20)*(AY15-('Inputs-Results'!$V20-'Inputs-Results'!$X20)))*(AY15-('Inputs-Results'!$V20-'Inputs-Results'!$X20))),0)+IF(AY15&gt;'Inputs-Results'!$V20-'Inputs-Results'!$X20,(0.5*((AY15+'Inputs-Results'!$X20-'Inputs-Results'!$V20)+AY15)*ABS('Inputs-Results'!$U20-'Inputs-Results'!$W20)),0.5*(ABS('Inputs-Results'!$U20-'Inputs-Results'!$W20)/('Inputs-Results'!$V20-'Inputs-Results'!$X20)*AY15)*AY15)+IF(AY15&gt;'Inputs-Results'!$Z20-'Inputs-Results'!$X20,(0.5*((AY15+'Inputs-Results'!$X20-'Inputs-Results'!$Z20)+AY15)*ABS('Inputs-Results'!$Y20-'Inputs-Results'!$W20)),0.5*(ABS('Inputs-Results'!$W20-'Inputs-Results'!$Y20)/('Inputs-Results'!$Z20-'Inputs-Results'!$X20)*AY15)*AY15)+IF(AY15&gt;'Inputs-Results'!$Z20-'Inputs-Results'!$X20,(0.5*(ABS('Inputs-Results'!$Y20-'Inputs-Results'!$AA20)/('Inputs-Results'!$AB20-'Inputs-Results'!$Z20)*(AY15-('Inputs-Results'!$Z20-'Inputs-Results'!$X20)))*(AY15-('Inputs-Results'!$Z20-'Inputs-Results'!$X20))),0)</f>
        <v>#DIV/0!</v>
      </c>
      <c r="BA15" s="19" t="e">
        <f>IF(AY15&gt;'Inputs-Results'!$V$9-'Inputs-Results'!$X$9,SQRT(('Inputs-Results'!$U$9-'Inputs-Results'!$W$9)^2+('Inputs-Results'!$V$9-'Inputs-Results'!$X$9)^2)+SQRT(('Inputs-Results'!$W$9-'Inputs-Results'!$Y$9)^2+('Inputs-Results'!$X$9-'Inputs-Results'!$Z$9)^2)+SQRT((('Inputs-Results'!$S$9-'Inputs-Results'!$U$9)*(AY15+'Inputs-Results'!$X$9-'Inputs-Results'!$V$9)/('Inputs-Results'!$T$9-'Inputs-Results'!$V$9))^2+(AY15+'Inputs-Results'!$X$9-'Inputs-Results'!$V$9)^2)+SQRT((('Inputs-Results'!$AA$9-'Inputs-Results'!$Y$9)*(AY15+'Inputs-Results'!$X$9-'Inputs-Results'!$Z$9)/('Inputs-Results'!$AB$9-'Inputs-Results'!$Z$9))^2+(AY15+'Inputs-Results'!$X$9-'Inputs-Results'!$Z$9)^2),SQRT((('Inputs-Results'!$U$9-'Inputs-Results'!$W$9)*(AY15)/('Inputs-Results'!$V$9-'Inputs-Results'!$X$9))^2+AY15^2)+SQRT((('Inputs-Results'!$Y$9-'Inputs-Results'!$W$9)*AY15/('Inputs-Results'!$Z$9-'Inputs-Results'!$X$9))^2+AY15^2))</f>
        <v>#DIV/0!</v>
      </c>
      <c r="BB15" s="19" t="e">
        <f t="shared" si="24"/>
        <v>#DIV/0!</v>
      </c>
      <c r="BC15" s="19" t="e">
        <f>1.49/'Inputs-Results'!$AC20*AZ15*BB15^(2/3)*'Inputs-Results'!$AD20^0.5</f>
        <v>#DIV/0!</v>
      </c>
      <c r="BD15" s="27" t="e">
        <f t="shared" si="25"/>
        <v>#DIV/0!</v>
      </c>
      <c r="BE15" s="26">
        <f t="shared" si="26"/>
        <v>0</v>
      </c>
      <c r="BF15" s="19" t="e">
        <f>IF(BE15&gt;'Inputs-Results'!$V20-'Inputs-Results'!$X20,(0.5*(ABS('Inputs-Results'!$S20-'Inputs-Results'!$U20)/('Inputs-Results'!$T20-'Inputs-Results'!$V20)*(BE15-('Inputs-Results'!$V20-'Inputs-Results'!$X20)))*(BE15-('Inputs-Results'!$V20-'Inputs-Results'!$X20))),0)+IF(BE15&gt;'Inputs-Results'!$V20-'Inputs-Results'!$X20,(0.5*((BE15+'Inputs-Results'!$X20-'Inputs-Results'!$V20)+BE15)*ABS('Inputs-Results'!$U20-'Inputs-Results'!$W20)),0.5*(ABS('Inputs-Results'!$U20-'Inputs-Results'!$W20)/('Inputs-Results'!$V20-'Inputs-Results'!$X20)*BE15)*BE15)+IF(BE15&gt;'Inputs-Results'!$Z20-'Inputs-Results'!$X20,(0.5*((BE15+'Inputs-Results'!$X20-'Inputs-Results'!$Z20)+BE15)*ABS('Inputs-Results'!$Y20-'Inputs-Results'!$W20)),0.5*(ABS('Inputs-Results'!$W20-'Inputs-Results'!$Y20)/('Inputs-Results'!$Z20-'Inputs-Results'!$X20)*BE15)*BE15)+IF(BE15&gt;'Inputs-Results'!$Z20-'Inputs-Results'!$X20,(0.5*(ABS('Inputs-Results'!$Y20-'Inputs-Results'!$AA20)/('Inputs-Results'!$AB20-'Inputs-Results'!$Z20)*(BE15-('Inputs-Results'!$Z20-'Inputs-Results'!$X20)))*(BE15-('Inputs-Results'!$Z20-'Inputs-Results'!$X20))),0)</f>
        <v>#DIV/0!</v>
      </c>
      <c r="BG15" s="19" t="e">
        <f>IF(BE15&gt;'Inputs-Results'!$V$9-'Inputs-Results'!$X$9,SQRT(('Inputs-Results'!$U$9-'Inputs-Results'!$W$9)^2+('Inputs-Results'!$V$9-'Inputs-Results'!$X$9)^2)+SQRT(('Inputs-Results'!$W$9-'Inputs-Results'!$Y$9)^2+('Inputs-Results'!$X$9-'Inputs-Results'!$Z$9)^2)+SQRT((('Inputs-Results'!$S$9-'Inputs-Results'!$U$9)*(BE15+'Inputs-Results'!$X$9-'Inputs-Results'!$V$9)/('Inputs-Results'!$T$9-'Inputs-Results'!$V$9))^2+(BE15+'Inputs-Results'!$X$9-'Inputs-Results'!$V$9)^2)+SQRT((('Inputs-Results'!$AA$9-'Inputs-Results'!$Y$9)*(BE15+'Inputs-Results'!$X$9-'Inputs-Results'!$Z$9)/('Inputs-Results'!$AB$9-'Inputs-Results'!$Z$9))^2+(BE15+'Inputs-Results'!$X$9-'Inputs-Results'!$Z$9)^2),SQRT((('Inputs-Results'!$U$9-'Inputs-Results'!$W$9)*(BE15)/('Inputs-Results'!$V$9-'Inputs-Results'!$X$9))^2+BE15^2)+SQRT((('Inputs-Results'!$Y$9-'Inputs-Results'!$W$9)*BE15/('Inputs-Results'!$Z$9-'Inputs-Results'!$X$9))^2+BE15^2))</f>
        <v>#DIV/0!</v>
      </c>
      <c r="BH15" s="19" t="e">
        <f t="shared" si="27"/>
        <v>#DIV/0!</v>
      </c>
      <c r="BI15" s="19" t="e">
        <f>1.49/'Inputs-Results'!$AC20*BF15*BH15^(2/3)*'Inputs-Results'!$AD20^0.5</f>
        <v>#DIV/0!</v>
      </c>
      <c r="BJ15" s="27" t="e">
        <f t="shared" si="28"/>
        <v>#DIV/0!</v>
      </c>
    </row>
    <row r="16" spans="1:62" x14ac:dyDescent="0.25">
      <c r="A16" s="2">
        <v>0</v>
      </c>
      <c r="B16" s="17"/>
      <c r="C16" s="26">
        <f>MIN('Inputs-Results'!T21-'Inputs-Results'!X21,'Inputs-Results'!AB21-'Inputs-Results'!X21)</f>
        <v>0</v>
      </c>
      <c r="D16" s="19" t="e">
        <f>IF(C16&gt;'Inputs-Results'!$V21-'Inputs-Results'!$X21,(0.5*(ABS('Inputs-Results'!$S21-'Inputs-Results'!$U21)/('Inputs-Results'!$T21-'Inputs-Results'!$V21)*(C16-('Inputs-Results'!$V21-'Inputs-Results'!$X21)))*(C16-('Inputs-Results'!$V21-'Inputs-Results'!$X21))),0)+IF(C16&gt;'Inputs-Results'!$V21-'Inputs-Results'!$X21,(0.5*((C16+'Inputs-Results'!$X21-'Inputs-Results'!$V21)+C16)*ABS('Inputs-Results'!$U21-'Inputs-Results'!$W21)),0.5*(ABS('Inputs-Results'!$U21-'Inputs-Results'!$W21)/('Inputs-Results'!$V21-'Inputs-Results'!$X21)*C16)*C16)+IF(C16&gt;'Inputs-Results'!$Z21-'Inputs-Results'!$X21,(0.5*((C16+'Inputs-Results'!$X21-'Inputs-Results'!$Z21)+C16)*ABS('Inputs-Results'!$Y21-'Inputs-Results'!$W21)),0.5*(ABS('Inputs-Results'!$W21-'Inputs-Results'!$Y21)/('Inputs-Results'!$Z21-'Inputs-Results'!$X21)*C16)*C16)+IF(C16&gt;'Inputs-Results'!$Z21-'Inputs-Results'!$X21,(0.5*(ABS('Inputs-Results'!$Y21-'Inputs-Results'!$AA21)/('Inputs-Results'!$AB21-'Inputs-Results'!$Z21)*(C16-('Inputs-Results'!$Z21-'Inputs-Results'!$X21)))*(C16-('Inputs-Results'!$Z21-'Inputs-Results'!$X21))),0)</f>
        <v>#DIV/0!</v>
      </c>
      <c r="E16" s="19" t="e">
        <f>IF(C16&gt;'Inputs-Results'!$V$9-'Inputs-Results'!$X$9,SQRT(('Inputs-Results'!$U$9-'Inputs-Results'!$W$9)^2+('Inputs-Results'!$V$9-'Inputs-Results'!$X$9)^2)+SQRT(('Inputs-Results'!$W$9-'Inputs-Results'!$Y$9)^2+('Inputs-Results'!$X$9-'Inputs-Results'!$Z$9)^2)+SQRT((('Inputs-Results'!$S$9-'Inputs-Results'!$U$9)*(C16+'Inputs-Results'!$X$9-'Inputs-Results'!$V$9)/('Inputs-Results'!$T$9-'Inputs-Results'!$V$9))^2+(C16+'Inputs-Results'!$X$9-'Inputs-Results'!$V$9)^2)+SQRT((('Inputs-Results'!$AA$9-'Inputs-Results'!$Y$9)*(C16+'Inputs-Results'!$X$9-'Inputs-Results'!$Z$9)/('Inputs-Results'!$AB$9-'Inputs-Results'!$Z$9))^2+(C16+'Inputs-Results'!$X$9-'Inputs-Results'!$Z$9)^2),SQRT((('Inputs-Results'!$U$9-'Inputs-Results'!$W$9)*(C16)/('Inputs-Results'!$V$9-'Inputs-Results'!$X$9))^2+C16^2)+SQRT((('Inputs-Results'!$Y$9-'Inputs-Results'!$W$9)*C16/('Inputs-Results'!$Z$9-'Inputs-Results'!$X$9))^2+C16^2))</f>
        <v>#DIV/0!</v>
      </c>
      <c r="F16" s="19" t="e">
        <f t="shared" si="0"/>
        <v>#DIV/0!</v>
      </c>
      <c r="G16" s="19" t="e">
        <f>1.49/'Inputs-Results'!AC21*D16*F16^(2/3)*'Inputs-Results'!AD21^0.5</f>
        <v>#DIV/0!</v>
      </c>
      <c r="H16" s="27" t="e">
        <f t="shared" si="1"/>
        <v>#DIV/0!</v>
      </c>
      <c r="I16" s="26">
        <f t="shared" si="2"/>
        <v>0</v>
      </c>
      <c r="J16" s="19" t="e">
        <f>IF(I16&gt;'Inputs-Results'!$V21-'Inputs-Results'!$X21,(0.5*(ABS('Inputs-Results'!$S21-'Inputs-Results'!$U21)/('Inputs-Results'!$T21-'Inputs-Results'!$V21)*(I16-('Inputs-Results'!$V21-'Inputs-Results'!$X21)))*(I16-('Inputs-Results'!$V21-'Inputs-Results'!$X21))),0)+IF(I16&gt;'Inputs-Results'!$V21-'Inputs-Results'!$X21,(0.5*((I16+'Inputs-Results'!$X21-'Inputs-Results'!$V21)+I16)*ABS('Inputs-Results'!$U21-'Inputs-Results'!$W21)),0.5*(ABS('Inputs-Results'!$U21-'Inputs-Results'!$W21)/('Inputs-Results'!$V21-'Inputs-Results'!$X21)*I16)*I16)+IF(I16&gt;'Inputs-Results'!$Z21-'Inputs-Results'!$X21,(0.5*((I16+'Inputs-Results'!$X21-'Inputs-Results'!$Z21)+I16)*ABS('Inputs-Results'!$Y21-'Inputs-Results'!$W21)),0.5*(ABS('Inputs-Results'!$W21-'Inputs-Results'!$Y21)/('Inputs-Results'!$Z21-'Inputs-Results'!$X21)*I16)*I16)+IF(I16&gt;'Inputs-Results'!$Z21-'Inputs-Results'!$X21,(0.5*(ABS('Inputs-Results'!$Y21-'Inputs-Results'!$AA21)/('Inputs-Results'!$AB21-'Inputs-Results'!$Z21)*(I16-('Inputs-Results'!$Z21-'Inputs-Results'!$X21)))*(I16-('Inputs-Results'!$Z21-'Inputs-Results'!$X21))),0)</f>
        <v>#DIV/0!</v>
      </c>
      <c r="K16" s="19" t="e">
        <f>IF(I16&gt;'Inputs-Results'!$V$9-'Inputs-Results'!$X$9,SQRT(('Inputs-Results'!$U$9-'Inputs-Results'!$W$9)^2+('Inputs-Results'!$V$9-'Inputs-Results'!$X$9)^2)+SQRT(('Inputs-Results'!$W$9-'Inputs-Results'!$Y$9)^2+('Inputs-Results'!$X$9-'Inputs-Results'!$Z$9)^2)+SQRT((('Inputs-Results'!$S$9-'Inputs-Results'!$U$9)*(I16+'Inputs-Results'!$X$9-'Inputs-Results'!$V$9)/('Inputs-Results'!$T$9-'Inputs-Results'!$V$9))^2+(I16+'Inputs-Results'!$X$9-'Inputs-Results'!$V$9)^2)+SQRT((('Inputs-Results'!$AA$9-'Inputs-Results'!$Y$9)*(I16+'Inputs-Results'!$X$9-'Inputs-Results'!$Z$9)/('Inputs-Results'!$AB$9-'Inputs-Results'!$Z$9))^2+(I16+'Inputs-Results'!$X$9-'Inputs-Results'!$Z$9)^2),SQRT((('Inputs-Results'!$U$9-'Inputs-Results'!$W$9)*(I16)/('Inputs-Results'!$V$9-'Inputs-Results'!$X$9))^2+I16^2)+SQRT((('Inputs-Results'!$Y$9-'Inputs-Results'!$W$9)*I16/('Inputs-Results'!$Z$9-'Inputs-Results'!$X$9))^2+I16^2))</f>
        <v>#DIV/0!</v>
      </c>
      <c r="L16" s="19" t="e">
        <f t="shared" si="3"/>
        <v>#DIV/0!</v>
      </c>
      <c r="M16" s="19" t="e">
        <f>1.49/'Inputs-Results'!$AC21*J16*L16^(2/3)*'Inputs-Results'!$AD21^0.5</f>
        <v>#DIV/0!</v>
      </c>
      <c r="N16" s="27" t="e">
        <f t="shared" si="4"/>
        <v>#DIV/0!</v>
      </c>
      <c r="O16" s="26">
        <f t="shared" si="5"/>
        <v>0</v>
      </c>
      <c r="P16" s="19" t="e">
        <f>IF(O16&gt;'Inputs-Results'!$V21-'Inputs-Results'!$X21,(0.5*(ABS('Inputs-Results'!$S21-'Inputs-Results'!$U21)/('Inputs-Results'!$T21-'Inputs-Results'!$V21)*(O16-('Inputs-Results'!$V21-'Inputs-Results'!$X21)))*(O16-('Inputs-Results'!$V21-'Inputs-Results'!$X21))),0)+IF(O16&gt;'Inputs-Results'!$V21-'Inputs-Results'!$X21,(0.5*((O16+'Inputs-Results'!$X21-'Inputs-Results'!$V21)+O16)*ABS('Inputs-Results'!$U21-'Inputs-Results'!$W21)),0.5*(ABS('Inputs-Results'!$U21-'Inputs-Results'!$W21)/('Inputs-Results'!$V21-'Inputs-Results'!$X21)*O16)*O16)+IF(O16&gt;'Inputs-Results'!$Z21-'Inputs-Results'!$X21,(0.5*((O16+'Inputs-Results'!$X21-'Inputs-Results'!$Z21)+O16)*ABS('Inputs-Results'!$Y21-'Inputs-Results'!$W21)),0.5*(ABS('Inputs-Results'!$W21-'Inputs-Results'!$Y21)/('Inputs-Results'!$Z21-'Inputs-Results'!$X21)*O16)*O16)+IF(O16&gt;'Inputs-Results'!$Z21-'Inputs-Results'!$X21,(0.5*(ABS('Inputs-Results'!$Y21-'Inputs-Results'!$AA21)/('Inputs-Results'!$AB21-'Inputs-Results'!$Z21)*(O16-('Inputs-Results'!$Z21-'Inputs-Results'!$X21)))*(O16-('Inputs-Results'!$Z21-'Inputs-Results'!$X21))),0)</f>
        <v>#DIV/0!</v>
      </c>
      <c r="Q16" s="19" t="e">
        <f>IF(O16&gt;'Inputs-Results'!$V$9-'Inputs-Results'!$X$9,SQRT(('Inputs-Results'!$U$9-'Inputs-Results'!$W$9)^2+('Inputs-Results'!$V$9-'Inputs-Results'!$X$9)^2)+SQRT(('Inputs-Results'!$W$9-'Inputs-Results'!$Y$9)^2+('Inputs-Results'!$X$9-'Inputs-Results'!$Z$9)^2)+SQRT((('Inputs-Results'!$S$9-'Inputs-Results'!$U$9)*(O16+'Inputs-Results'!$X$9-'Inputs-Results'!$V$9)/('Inputs-Results'!$T$9-'Inputs-Results'!$V$9))^2+(O16+'Inputs-Results'!$X$9-'Inputs-Results'!$V$9)^2)+SQRT((('Inputs-Results'!$AA$9-'Inputs-Results'!$Y$9)*(O16+'Inputs-Results'!$X$9-'Inputs-Results'!$Z$9)/('Inputs-Results'!$AB$9-'Inputs-Results'!$Z$9))^2+(O16+'Inputs-Results'!$X$9-'Inputs-Results'!$Z$9)^2),SQRT((('Inputs-Results'!$U$9-'Inputs-Results'!$W$9)*(O16)/('Inputs-Results'!$V$9-'Inputs-Results'!$X$9))^2+O16^2)+SQRT((('Inputs-Results'!$Y$9-'Inputs-Results'!$W$9)*O16/('Inputs-Results'!$Z$9-'Inputs-Results'!$X$9))^2+O16^2))</f>
        <v>#DIV/0!</v>
      </c>
      <c r="R16" s="19" t="e">
        <f t="shared" si="6"/>
        <v>#DIV/0!</v>
      </c>
      <c r="S16" s="19" t="e">
        <f>1.49/'Inputs-Results'!$AC21*P16*R16^(2/3)*'Inputs-Results'!$AD21^0.5</f>
        <v>#DIV/0!</v>
      </c>
      <c r="T16" s="27" t="e">
        <f t="shared" si="7"/>
        <v>#DIV/0!</v>
      </c>
      <c r="U16" s="26">
        <f t="shared" si="8"/>
        <v>0</v>
      </c>
      <c r="V16" s="19" t="e">
        <f>IF(U16&gt;'Inputs-Results'!$V21-'Inputs-Results'!$X21,(0.5*(ABS('Inputs-Results'!$S21-'Inputs-Results'!$U21)/('Inputs-Results'!$T21-'Inputs-Results'!$V21)*(U16-('Inputs-Results'!$V21-'Inputs-Results'!$X21)))*(U16-('Inputs-Results'!$V21-'Inputs-Results'!$X21))),0)+IF(U16&gt;'Inputs-Results'!$V21-'Inputs-Results'!$X21,(0.5*((U16+'Inputs-Results'!$X21-'Inputs-Results'!$V21)+U16)*ABS('Inputs-Results'!$U21-'Inputs-Results'!$W21)),0.5*(ABS('Inputs-Results'!$U21-'Inputs-Results'!$W21)/('Inputs-Results'!$V21-'Inputs-Results'!$X21)*U16)*U16)+IF(U16&gt;'Inputs-Results'!$Z21-'Inputs-Results'!$X21,(0.5*((U16+'Inputs-Results'!$X21-'Inputs-Results'!$Z21)+U16)*ABS('Inputs-Results'!$Y21-'Inputs-Results'!$W21)),0.5*(ABS('Inputs-Results'!$W21-'Inputs-Results'!$Y21)/('Inputs-Results'!$Z21-'Inputs-Results'!$X21)*U16)*U16)+IF(U16&gt;'Inputs-Results'!$Z21-'Inputs-Results'!$X21,(0.5*(ABS('Inputs-Results'!$Y21-'Inputs-Results'!$AA21)/('Inputs-Results'!$AB21-'Inputs-Results'!$Z21)*(U16-('Inputs-Results'!$Z21-'Inputs-Results'!$X21)))*(U16-('Inputs-Results'!$Z21-'Inputs-Results'!$X21))),0)</f>
        <v>#DIV/0!</v>
      </c>
      <c r="W16" s="19" t="e">
        <f>IF(U16&gt;'Inputs-Results'!$V$9-'Inputs-Results'!$X$9,SQRT(('Inputs-Results'!$U$9-'Inputs-Results'!$W$9)^2+('Inputs-Results'!$V$9-'Inputs-Results'!$X$9)^2)+SQRT(('Inputs-Results'!$W$9-'Inputs-Results'!$Y$9)^2+('Inputs-Results'!$X$9-'Inputs-Results'!$Z$9)^2)+SQRT((('Inputs-Results'!$S$9-'Inputs-Results'!$U$9)*(U16+'Inputs-Results'!$X$9-'Inputs-Results'!$V$9)/('Inputs-Results'!$T$9-'Inputs-Results'!$V$9))^2+(U16+'Inputs-Results'!$X$9-'Inputs-Results'!$V$9)^2)+SQRT((('Inputs-Results'!$AA$9-'Inputs-Results'!$Y$9)*(U16+'Inputs-Results'!$X$9-'Inputs-Results'!$Z$9)/('Inputs-Results'!$AB$9-'Inputs-Results'!$Z$9))^2+(U16+'Inputs-Results'!$X$9-'Inputs-Results'!$Z$9)^2),SQRT((('Inputs-Results'!$U$9-'Inputs-Results'!$W$9)*(U16)/('Inputs-Results'!$V$9-'Inputs-Results'!$X$9))^2+U16^2)+SQRT((('Inputs-Results'!$Y$9-'Inputs-Results'!$W$9)*U16/('Inputs-Results'!$Z$9-'Inputs-Results'!$X$9))^2+U16^2))</f>
        <v>#DIV/0!</v>
      </c>
      <c r="X16" s="19" t="e">
        <f t="shared" si="9"/>
        <v>#DIV/0!</v>
      </c>
      <c r="Y16" s="19" t="e">
        <f>1.49/'Inputs-Results'!$AC21*V16*X16^(2/3)*'Inputs-Results'!$AD21^0.5</f>
        <v>#DIV/0!</v>
      </c>
      <c r="Z16" s="27" t="e">
        <f t="shared" si="10"/>
        <v>#DIV/0!</v>
      </c>
      <c r="AA16" s="26">
        <f t="shared" si="11"/>
        <v>0</v>
      </c>
      <c r="AB16" s="19" t="e">
        <f>IF(AA16&gt;'Inputs-Results'!$V21-'Inputs-Results'!$X21,(0.5*(ABS('Inputs-Results'!$S21-'Inputs-Results'!$U21)/('Inputs-Results'!$T21-'Inputs-Results'!$V21)*(AA16-('Inputs-Results'!$V21-'Inputs-Results'!$X21)))*(AA16-('Inputs-Results'!$V21-'Inputs-Results'!$X21))),0)+IF(AA16&gt;'Inputs-Results'!$V21-'Inputs-Results'!$X21,(0.5*((AA16+'Inputs-Results'!$X21-'Inputs-Results'!$V21)+AA16)*ABS('Inputs-Results'!$U21-'Inputs-Results'!$W21)),0.5*(ABS('Inputs-Results'!$U21-'Inputs-Results'!$W21)/('Inputs-Results'!$V21-'Inputs-Results'!$X21)*AA16)*AA16)+IF(AA16&gt;'Inputs-Results'!$Z21-'Inputs-Results'!$X21,(0.5*((AA16+'Inputs-Results'!$X21-'Inputs-Results'!$Z21)+AA16)*ABS('Inputs-Results'!$Y21-'Inputs-Results'!$W21)),0.5*(ABS('Inputs-Results'!$W21-'Inputs-Results'!$Y21)/('Inputs-Results'!$Z21-'Inputs-Results'!$X21)*AA16)*AA16)+IF(AA16&gt;'Inputs-Results'!$Z21-'Inputs-Results'!$X21,(0.5*(ABS('Inputs-Results'!$Y21-'Inputs-Results'!$AA21)/('Inputs-Results'!$AB21-'Inputs-Results'!$Z21)*(AA16-('Inputs-Results'!$Z21-'Inputs-Results'!$X21)))*(AA16-('Inputs-Results'!$Z21-'Inputs-Results'!$X21))),0)</f>
        <v>#DIV/0!</v>
      </c>
      <c r="AC16" s="19" t="e">
        <f>IF(AA16&gt;'Inputs-Results'!$V$9-'Inputs-Results'!$X$9,SQRT(('Inputs-Results'!$U$9-'Inputs-Results'!$W$9)^2+('Inputs-Results'!$V$9-'Inputs-Results'!$X$9)^2)+SQRT(('Inputs-Results'!$W$9-'Inputs-Results'!$Y$9)^2+('Inputs-Results'!$X$9-'Inputs-Results'!$Z$9)^2)+SQRT((('Inputs-Results'!$S$9-'Inputs-Results'!$U$9)*(AA16+'Inputs-Results'!$X$9-'Inputs-Results'!$V$9)/('Inputs-Results'!$T$9-'Inputs-Results'!$V$9))^2+(AA16+'Inputs-Results'!$X$9-'Inputs-Results'!$V$9)^2)+SQRT((('Inputs-Results'!$AA$9-'Inputs-Results'!$Y$9)*(AA16+'Inputs-Results'!$X$9-'Inputs-Results'!$Z$9)/('Inputs-Results'!$AB$9-'Inputs-Results'!$Z$9))^2+(AA16+'Inputs-Results'!$X$9-'Inputs-Results'!$Z$9)^2),SQRT((('Inputs-Results'!$U$9-'Inputs-Results'!$W$9)*(AA16)/('Inputs-Results'!$V$9-'Inputs-Results'!$X$9))^2+AA16^2)+SQRT((('Inputs-Results'!$Y$9-'Inputs-Results'!$W$9)*AA16/('Inputs-Results'!$Z$9-'Inputs-Results'!$X$9))^2+AA16^2))</f>
        <v>#DIV/0!</v>
      </c>
      <c r="AD16" s="19" t="e">
        <f t="shared" si="12"/>
        <v>#DIV/0!</v>
      </c>
      <c r="AE16" s="19" t="e">
        <f>1.49/'Inputs-Results'!$AC21*AB16*AD16^(2/3)*'Inputs-Results'!$AD21^0.5</f>
        <v>#DIV/0!</v>
      </c>
      <c r="AF16" s="27" t="e">
        <f t="shared" si="13"/>
        <v>#DIV/0!</v>
      </c>
      <c r="AG16" s="26">
        <f t="shared" si="14"/>
        <v>0</v>
      </c>
      <c r="AH16" s="19" t="e">
        <f>IF(AG16&gt;'Inputs-Results'!$V21-'Inputs-Results'!$X21,(0.5*(ABS('Inputs-Results'!$S21-'Inputs-Results'!$U21)/('Inputs-Results'!$T21-'Inputs-Results'!$V21)*(AG16-('Inputs-Results'!$V21-'Inputs-Results'!$X21)))*(AG16-('Inputs-Results'!$V21-'Inputs-Results'!$X21))),0)+IF(AG16&gt;'Inputs-Results'!$V21-'Inputs-Results'!$X21,(0.5*((AG16+'Inputs-Results'!$X21-'Inputs-Results'!$V21)+AG16)*ABS('Inputs-Results'!$U21-'Inputs-Results'!$W21)),0.5*(ABS('Inputs-Results'!$U21-'Inputs-Results'!$W21)/('Inputs-Results'!$V21-'Inputs-Results'!$X21)*AG16)*AG16)+IF(AG16&gt;'Inputs-Results'!$Z21-'Inputs-Results'!$X21,(0.5*((AG16+'Inputs-Results'!$X21-'Inputs-Results'!$Z21)+AG16)*ABS('Inputs-Results'!$Y21-'Inputs-Results'!$W21)),0.5*(ABS('Inputs-Results'!$W21-'Inputs-Results'!$Y21)/('Inputs-Results'!$Z21-'Inputs-Results'!$X21)*AG16)*AG16)+IF(AG16&gt;'Inputs-Results'!$Z21-'Inputs-Results'!$X21,(0.5*(ABS('Inputs-Results'!$Y21-'Inputs-Results'!$AA21)/('Inputs-Results'!$AB21-'Inputs-Results'!$Z21)*(AG16-('Inputs-Results'!$Z21-'Inputs-Results'!$X21)))*(AG16-('Inputs-Results'!$Z21-'Inputs-Results'!$X21))),0)</f>
        <v>#DIV/0!</v>
      </c>
      <c r="AI16" s="19" t="e">
        <f>IF(AG16&gt;'Inputs-Results'!$V$9-'Inputs-Results'!$X$9,SQRT(('Inputs-Results'!$U$9-'Inputs-Results'!$W$9)^2+('Inputs-Results'!$V$9-'Inputs-Results'!$X$9)^2)+SQRT(('Inputs-Results'!$W$9-'Inputs-Results'!$Y$9)^2+('Inputs-Results'!$X$9-'Inputs-Results'!$Z$9)^2)+SQRT((('Inputs-Results'!$S$9-'Inputs-Results'!$U$9)*(AG16+'Inputs-Results'!$X$9-'Inputs-Results'!$V$9)/('Inputs-Results'!$T$9-'Inputs-Results'!$V$9))^2+(AG16+'Inputs-Results'!$X$9-'Inputs-Results'!$V$9)^2)+SQRT((('Inputs-Results'!$AA$9-'Inputs-Results'!$Y$9)*(AG16+'Inputs-Results'!$X$9-'Inputs-Results'!$Z$9)/('Inputs-Results'!$AB$9-'Inputs-Results'!$Z$9))^2+(AG16+'Inputs-Results'!$X$9-'Inputs-Results'!$Z$9)^2),SQRT((('Inputs-Results'!$U$9-'Inputs-Results'!$W$9)*(AG16)/('Inputs-Results'!$V$9-'Inputs-Results'!$X$9))^2+AG16^2)+SQRT((('Inputs-Results'!$Y$9-'Inputs-Results'!$W$9)*AG16/('Inputs-Results'!$Z$9-'Inputs-Results'!$X$9))^2+AG16^2))</f>
        <v>#DIV/0!</v>
      </c>
      <c r="AJ16" s="19" t="e">
        <f t="shared" si="15"/>
        <v>#DIV/0!</v>
      </c>
      <c r="AK16" s="19" t="e">
        <f>1.49/'Inputs-Results'!$AC21*AH16*AJ16^(2/3)*'Inputs-Results'!$AD21^0.5</f>
        <v>#DIV/0!</v>
      </c>
      <c r="AL16" s="27" t="e">
        <f t="shared" si="16"/>
        <v>#DIV/0!</v>
      </c>
      <c r="AM16" s="26">
        <f t="shared" si="17"/>
        <v>0</v>
      </c>
      <c r="AN16" s="19" t="e">
        <f>IF(AM16&gt;'Inputs-Results'!$V21-'Inputs-Results'!$X21,(0.5*(ABS('Inputs-Results'!$S21-'Inputs-Results'!$U21)/('Inputs-Results'!$T21-'Inputs-Results'!$V21)*(AM16-('Inputs-Results'!$V21-'Inputs-Results'!$X21)))*(AM16-('Inputs-Results'!$V21-'Inputs-Results'!$X21))),0)+IF(AM16&gt;'Inputs-Results'!$V21-'Inputs-Results'!$X21,(0.5*((AM16+'Inputs-Results'!$X21-'Inputs-Results'!$V21)+AM16)*ABS('Inputs-Results'!$U21-'Inputs-Results'!$W21)),0.5*(ABS('Inputs-Results'!$U21-'Inputs-Results'!$W21)/('Inputs-Results'!$V21-'Inputs-Results'!$X21)*AM16)*AM16)+IF(AM16&gt;'Inputs-Results'!$Z21-'Inputs-Results'!$X21,(0.5*((AM16+'Inputs-Results'!$X21-'Inputs-Results'!$Z21)+AM16)*ABS('Inputs-Results'!$Y21-'Inputs-Results'!$W21)),0.5*(ABS('Inputs-Results'!$W21-'Inputs-Results'!$Y21)/('Inputs-Results'!$Z21-'Inputs-Results'!$X21)*AM16)*AM16)+IF(AM16&gt;'Inputs-Results'!$Z21-'Inputs-Results'!$X21,(0.5*(ABS('Inputs-Results'!$Y21-'Inputs-Results'!$AA21)/('Inputs-Results'!$AB21-'Inputs-Results'!$Z21)*(AM16-('Inputs-Results'!$Z21-'Inputs-Results'!$X21)))*(AM16-('Inputs-Results'!$Z21-'Inputs-Results'!$X21))),0)</f>
        <v>#DIV/0!</v>
      </c>
      <c r="AO16" s="19" t="e">
        <f>IF(AM16&gt;'Inputs-Results'!$V$9-'Inputs-Results'!$X$9,SQRT(('Inputs-Results'!$U$9-'Inputs-Results'!$W$9)^2+('Inputs-Results'!$V$9-'Inputs-Results'!$X$9)^2)+SQRT(('Inputs-Results'!$W$9-'Inputs-Results'!$Y$9)^2+('Inputs-Results'!$X$9-'Inputs-Results'!$Z$9)^2)+SQRT((('Inputs-Results'!$S$9-'Inputs-Results'!$U$9)*(AM16+'Inputs-Results'!$X$9-'Inputs-Results'!$V$9)/('Inputs-Results'!$T$9-'Inputs-Results'!$V$9))^2+(AM16+'Inputs-Results'!$X$9-'Inputs-Results'!$V$9)^2)+SQRT((('Inputs-Results'!$AA$9-'Inputs-Results'!$Y$9)*(AM16+'Inputs-Results'!$X$9-'Inputs-Results'!$Z$9)/('Inputs-Results'!$AB$9-'Inputs-Results'!$Z$9))^2+(AM16+'Inputs-Results'!$X$9-'Inputs-Results'!$Z$9)^2),SQRT((('Inputs-Results'!$U$9-'Inputs-Results'!$W$9)*(AM16)/('Inputs-Results'!$V$9-'Inputs-Results'!$X$9))^2+AM16^2)+SQRT((('Inputs-Results'!$Y$9-'Inputs-Results'!$W$9)*AM16/('Inputs-Results'!$Z$9-'Inputs-Results'!$X$9))^2+AM16^2))</f>
        <v>#DIV/0!</v>
      </c>
      <c r="AP16" s="19" t="e">
        <f t="shared" si="18"/>
        <v>#DIV/0!</v>
      </c>
      <c r="AQ16" s="19" t="e">
        <f>1.49/'Inputs-Results'!$AC21*AN16*AP16^(2/3)*'Inputs-Results'!$AD21^0.5</f>
        <v>#DIV/0!</v>
      </c>
      <c r="AR16" s="27" t="e">
        <f t="shared" si="19"/>
        <v>#DIV/0!</v>
      </c>
      <c r="AS16" s="26">
        <f t="shared" si="20"/>
        <v>0</v>
      </c>
      <c r="AT16" s="19" t="e">
        <f>IF(AS16&gt;'Inputs-Results'!$V21-'Inputs-Results'!$X21,(0.5*(ABS('Inputs-Results'!$S21-'Inputs-Results'!$U21)/('Inputs-Results'!$T21-'Inputs-Results'!$V21)*(AS16-('Inputs-Results'!$V21-'Inputs-Results'!$X21)))*(AS16-('Inputs-Results'!$V21-'Inputs-Results'!$X21))),0)+IF(AS16&gt;'Inputs-Results'!$V21-'Inputs-Results'!$X21,(0.5*((AS16+'Inputs-Results'!$X21-'Inputs-Results'!$V21)+AS16)*ABS('Inputs-Results'!$U21-'Inputs-Results'!$W21)),0.5*(ABS('Inputs-Results'!$U21-'Inputs-Results'!$W21)/('Inputs-Results'!$V21-'Inputs-Results'!$X21)*AS16)*AS16)+IF(AS16&gt;'Inputs-Results'!$Z21-'Inputs-Results'!$X21,(0.5*((AS16+'Inputs-Results'!$X21-'Inputs-Results'!$Z21)+AS16)*ABS('Inputs-Results'!$Y21-'Inputs-Results'!$W21)),0.5*(ABS('Inputs-Results'!$W21-'Inputs-Results'!$Y21)/('Inputs-Results'!$Z21-'Inputs-Results'!$X21)*AS16)*AS16)+IF(AS16&gt;'Inputs-Results'!$Z21-'Inputs-Results'!$X21,(0.5*(ABS('Inputs-Results'!$Y21-'Inputs-Results'!$AA21)/('Inputs-Results'!$AB21-'Inputs-Results'!$Z21)*(AS16-('Inputs-Results'!$Z21-'Inputs-Results'!$X21)))*(AS16-('Inputs-Results'!$Z21-'Inputs-Results'!$X21))),0)</f>
        <v>#DIV/0!</v>
      </c>
      <c r="AU16" s="19" t="e">
        <f>IF(AS16&gt;'Inputs-Results'!$V$9-'Inputs-Results'!$X$9,SQRT(('Inputs-Results'!$U$9-'Inputs-Results'!$W$9)^2+('Inputs-Results'!$V$9-'Inputs-Results'!$X$9)^2)+SQRT(('Inputs-Results'!$W$9-'Inputs-Results'!$Y$9)^2+('Inputs-Results'!$X$9-'Inputs-Results'!$Z$9)^2)+SQRT((('Inputs-Results'!$S$9-'Inputs-Results'!$U$9)*(AS16+'Inputs-Results'!$X$9-'Inputs-Results'!$V$9)/('Inputs-Results'!$T$9-'Inputs-Results'!$V$9))^2+(AS16+'Inputs-Results'!$X$9-'Inputs-Results'!$V$9)^2)+SQRT((('Inputs-Results'!$AA$9-'Inputs-Results'!$Y$9)*(AS16+'Inputs-Results'!$X$9-'Inputs-Results'!$Z$9)/('Inputs-Results'!$AB$9-'Inputs-Results'!$Z$9))^2+(AS16+'Inputs-Results'!$X$9-'Inputs-Results'!$Z$9)^2),SQRT((('Inputs-Results'!$U$9-'Inputs-Results'!$W$9)*(AS16)/('Inputs-Results'!$V$9-'Inputs-Results'!$X$9))^2+AS16^2)+SQRT((('Inputs-Results'!$Y$9-'Inputs-Results'!$W$9)*AS16/('Inputs-Results'!$Z$9-'Inputs-Results'!$X$9))^2+AS16^2))</f>
        <v>#DIV/0!</v>
      </c>
      <c r="AV16" s="19" t="e">
        <f t="shared" si="21"/>
        <v>#DIV/0!</v>
      </c>
      <c r="AW16" s="19" t="e">
        <f>1.49/'Inputs-Results'!$AC21*AT16*AV16^(2/3)*'Inputs-Results'!$AD21^0.5</f>
        <v>#DIV/0!</v>
      </c>
      <c r="AX16" s="27" t="e">
        <f t="shared" si="22"/>
        <v>#DIV/0!</v>
      </c>
      <c r="AY16" s="26">
        <f t="shared" si="23"/>
        <v>0</v>
      </c>
      <c r="AZ16" s="19" t="e">
        <f>IF(AY16&gt;'Inputs-Results'!$V21-'Inputs-Results'!$X21,(0.5*(ABS('Inputs-Results'!$S21-'Inputs-Results'!$U21)/('Inputs-Results'!$T21-'Inputs-Results'!$V21)*(AY16-('Inputs-Results'!$V21-'Inputs-Results'!$X21)))*(AY16-('Inputs-Results'!$V21-'Inputs-Results'!$X21))),0)+IF(AY16&gt;'Inputs-Results'!$V21-'Inputs-Results'!$X21,(0.5*((AY16+'Inputs-Results'!$X21-'Inputs-Results'!$V21)+AY16)*ABS('Inputs-Results'!$U21-'Inputs-Results'!$W21)),0.5*(ABS('Inputs-Results'!$U21-'Inputs-Results'!$W21)/('Inputs-Results'!$V21-'Inputs-Results'!$X21)*AY16)*AY16)+IF(AY16&gt;'Inputs-Results'!$Z21-'Inputs-Results'!$X21,(0.5*((AY16+'Inputs-Results'!$X21-'Inputs-Results'!$Z21)+AY16)*ABS('Inputs-Results'!$Y21-'Inputs-Results'!$W21)),0.5*(ABS('Inputs-Results'!$W21-'Inputs-Results'!$Y21)/('Inputs-Results'!$Z21-'Inputs-Results'!$X21)*AY16)*AY16)+IF(AY16&gt;'Inputs-Results'!$Z21-'Inputs-Results'!$X21,(0.5*(ABS('Inputs-Results'!$Y21-'Inputs-Results'!$AA21)/('Inputs-Results'!$AB21-'Inputs-Results'!$Z21)*(AY16-('Inputs-Results'!$Z21-'Inputs-Results'!$X21)))*(AY16-('Inputs-Results'!$Z21-'Inputs-Results'!$X21))),0)</f>
        <v>#DIV/0!</v>
      </c>
      <c r="BA16" s="19" t="e">
        <f>IF(AY16&gt;'Inputs-Results'!$V$9-'Inputs-Results'!$X$9,SQRT(('Inputs-Results'!$U$9-'Inputs-Results'!$W$9)^2+('Inputs-Results'!$V$9-'Inputs-Results'!$X$9)^2)+SQRT(('Inputs-Results'!$W$9-'Inputs-Results'!$Y$9)^2+('Inputs-Results'!$X$9-'Inputs-Results'!$Z$9)^2)+SQRT((('Inputs-Results'!$S$9-'Inputs-Results'!$U$9)*(AY16+'Inputs-Results'!$X$9-'Inputs-Results'!$V$9)/('Inputs-Results'!$T$9-'Inputs-Results'!$V$9))^2+(AY16+'Inputs-Results'!$X$9-'Inputs-Results'!$V$9)^2)+SQRT((('Inputs-Results'!$AA$9-'Inputs-Results'!$Y$9)*(AY16+'Inputs-Results'!$X$9-'Inputs-Results'!$Z$9)/('Inputs-Results'!$AB$9-'Inputs-Results'!$Z$9))^2+(AY16+'Inputs-Results'!$X$9-'Inputs-Results'!$Z$9)^2),SQRT((('Inputs-Results'!$U$9-'Inputs-Results'!$W$9)*(AY16)/('Inputs-Results'!$V$9-'Inputs-Results'!$X$9))^2+AY16^2)+SQRT((('Inputs-Results'!$Y$9-'Inputs-Results'!$W$9)*AY16/('Inputs-Results'!$Z$9-'Inputs-Results'!$X$9))^2+AY16^2))</f>
        <v>#DIV/0!</v>
      </c>
      <c r="BB16" s="19" t="e">
        <f t="shared" si="24"/>
        <v>#DIV/0!</v>
      </c>
      <c r="BC16" s="19" t="e">
        <f>1.49/'Inputs-Results'!$AC21*AZ16*BB16^(2/3)*'Inputs-Results'!$AD21^0.5</f>
        <v>#DIV/0!</v>
      </c>
      <c r="BD16" s="27" t="e">
        <f t="shared" si="25"/>
        <v>#DIV/0!</v>
      </c>
      <c r="BE16" s="26">
        <f t="shared" si="26"/>
        <v>0</v>
      </c>
      <c r="BF16" s="19" t="e">
        <f>IF(BE16&gt;'Inputs-Results'!$V21-'Inputs-Results'!$X21,(0.5*(ABS('Inputs-Results'!$S21-'Inputs-Results'!$U21)/('Inputs-Results'!$T21-'Inputs-Results'!$V21)*(BE16-('Inputs-Results'!$V21-'Inputs-Results'!$X21)))*(BE16-('Inputs-Results'!$V21-'Inputs-Results'!$X21))),0)+IF(BE16&gt;'Inputs-Results'!$V21-'Inputs-Results'!$X21,(0.5*((BE16+'Inputs-Results'!$X21-'Inputs-Results'!$V21)+BE16)*ABS('Inputs-Results'!$U21-'Inputs-Results'!$W21)),0.5*(ABS('Inputs-Results'!$U21-'Inputs-Results'!$W21)/('Inputs-Results'!$V21-'Inputs-Results'!$X21)*BE16)*BE16)+IF(BE16&gt;'Inputs-Results'!$Z21-'Inputs-Results'!$X21,(0.5*((BE16+'Inputs-Results'!$X21-'Inputs-Results'!$Z21)+BE16)*ABS('Inputs-Results'!$Y21-'Inputs-Results'!$W21)),0.5*(ABS('Inputs-Results'!$W21-'Inputs-Results'!$Y21)/('Inputs-Results'!$Z21-'Inputs-Results'!$X21)*BE16)*BE16)+IF(BE16&gt;'Inputs-Results'!$Z21-'Inputs-Results'!$X21,(0.5*(ABS('Inputs-Results'!$Y21-'Inputs-Results'!$AA21)/('Inputs-Results'!$AB21-'Inputs-Results'!$Z21)*(BE16-('Inputs-Results'!$Z21-'Inputs-Results'!$X21)))*(BE16-('Inputs-Results'!$Z21-'Inputs-Results'!$X21))),0)</f>
        <v>#DIV/0!</v>
      </c>
      <c r="BG16" s="19" t="e">
        <f>IF(BE16&gt;'Inputs-Results'!$V$9-'Inputs-Results'!$X$9,SQRT(('Inputs-Results'!$U$9-'Inputs-Results'!$W$9)^2+('Inputs-Results'!$V$9-'Inputs-Results'!$X$9)^2)+SQRT(('Inputs-Results'!$W$9-'Inputs-Results'!$Y$9)^2+('Inputs-Results'!$X$9-'Inputs-Results'!$Z$9)^2)+SQRT((('Inputs-Results'!$S$9-'Inputs-Results'!$U$9)*(BE16+'Inputs-Results'!$X$9-'Inputs-Results'!$V$9)/('Inputs-Results'!$T$9-'Inputs-Results'!$V$9))^2+(BE16+'Inputs-Results'!$X$9-'Inputs-Results'!$V$9)^2)+SQRT((('Inputs-Results'!$AA$9-'Inputs-Results'!$Y$9)*(BE16+'Inputs-Results'!$X$9-'Inputs-Results'!$Z$9)/('Inputs-Results'!$AB$9-'Inputs-Results'!$Z$9))^2+(BE16+'Inputs-Results'!$X$9-'Inputs-Results'!$Z$9)^2),SQRT((('Inputs-Results'!$U$9-'Inputs-Results'!$W$9)*(BE16)/('Inputs-Results'!$V$9-'Inputs-Results'!$X$9))^2+BE16^2)+SQRT((('Inputs-Results'!$Y$9-'Inputs-Results'!$W$9)*BE16/('Inputs-Results'!$Z$9-'Inputs-Results'!$X$9))^2+BE16^2))</f>
        <v>#DIV/0!</v>
      </c>
      <c r="BH16" s="19" t="e">
        <f t="shared" si="27"/>
        <v>#DIV/0!</v>
      </c>
      <c r="BI16" s="19" t="e">
        <f>1.49/'Inputs-Results'!$AC21*BF16*BH16^(2/3)*'Inputs-Results'!$AD21^0.5</f>
        <v>#DIV/0!</v>
      </c>
      <c r="BJ16" s="27" t="e">
        <f t="shared" si="28"/>
        <v>#DIV/0!</v>
      </c>
    </row>
    <row r="17" spans="1:62" x14ac:dyDescent="0.25">
      <c r="A17" s="2">
        <v>0</v>
      </c>
      <c r="B17" s="17"/>
      <c r="C17" s="26">
        <f>MIN('Inputs-Results'!T22-'Inputs-Results'!X22,'Inputs-Results'!AB22-'Inputs-Results'!X22)</f>
        <v>0</v>
      </c>
      <c r="D17" s="19" t="e">
        <f>IF(C17&gt;'Inputs-Results'!$V22-'Inputs-Results'!$X22,(0.5*(ABS('Inputs-Results'!$S22-'Inputs-Results'!$U22)/('Inputs-Results'!$T22-'Inputs-Results'!$V22)*(C17-('Inputs-Results'!$V22-'Inputs-Results'!$X22)))*(C17-('Inputs-Results'!$V22-'Inputs-Results'!$X22))),0)+IF(C17&gt;'Inputs-Results'!$V22-'Inputs-Results'!$X22,(0.5*((C17+'Inputs-Results'!$X22-'Inputs-Results'!$V22)+C17)*ABS('Inputs-Results'!$U22-'Inputs-Results'!$W22)),0.5*(ABS('Inputs-Results'!$U22-'Inputs-Results'!$W22)/('Inputs-Results'!$V22-'Inputs-Results'!$X22)*C17)*C17)+IF(C17&gt;'Inputs-Results'!$Z22-'Inputs-Results'!$X22,(0.5*((C17+'Inputs-Results'!$X22-'Inputs-Results'!$Z22)+C17)*ABS('Inputs-Results'!$Y22-'Inputs-Results'!$W22)),0.5*(ABS('Inputs-Results'!$W22-'Inputs-Results'!$Y22)/('Inputs-Results'!$Z22-'Inputs-Results'!$X22)*C17)*C17)+IF(C17&gt;'Inputs-Results'!$Z22-'Inputs-Results'!$X22,(0.5*(ABS('Inputs-Results'!$Y22-'Inputs-Results'!$AA22)/('Inputs-Results'!$AB22-'Inputs-Results'!$Z22)*(C17-('Inputs-Results'!$Z22-'Inputs-Results'!$X22)))*(C17-('Inputs-Results'!$Z22-'Inputs-Results'!$X22))),0)</f>
        <v>#DIV/0!</v>
      </c>
      <c r="E17" s="19" t="e">
        <f>IF(C17&gt;'Inputs-Results'!$V$9-'Inputs-Results'!$X$9,SQRT(('Inputs-Results'!$U$9-'Inputs-Results'!$W$9)^2+('Inputs-Results'!$V$9-'Inputs-Results'!$X$9)^2)+SQRT(('Inputs-Results'!$W$9-'Inputs-Results'!$Y$9)^2+('Inputs-Results'!$X$9-'Inputs-Results'!$Z$9)^2)+SQRT((('Inputs-Results'!$S$9-'Inputs-Results'!$U$9)*(C17+'Inputs-Results'!$X$9-'Inputs-Results'!$V$9)/('Inputs-Results'!$T$9-'Inputs-Results'!$V$9))^2+(C17+'Inputs-Results'!$X$9-'Inputs-Results'!$V$9)^2)+SQRT((('Inputs-Results'!$AA$9-'Inputs-Results'!$Y$9)*(C17+'Inputs-Results'!$X$9-'Inputs-Results'!$Z$9)/('Inputs-Results'!$AB$9-'Inputs-Results'!$Z$9))^2+(C17+'Inputs-Results'!$X$9-'Inputs-Results'!$Z$9)^2),SQRT((('Inputs-Results'!$U$9-'Inputs-Results'!$W$9)*(C17)/('Inputs-Results'!$V$9-'Inputs-Results'!$X$9))^2+C17^2)+SQRT((('Inputs-Results'!$Y$9-'Inputs-Results'!$W$9)*C17/('Inputs-Results'!$Z$9-'Inputs-Results'!$X$9))^2+C17^2))</f>
        <v>#DIV/0!</v>
      </c>
      <c r="F17" s="19" t="e">
        <f t="shared" si="0"/>
        <v>#DIV/0!</v>
      </c>
      <c r="G17" s="19" t="e">
        <f>1.49/'Inputs-Results'!AC22*D17*F17^(2/3)*'Inputs-Results'!AD22^0.5</f>
        <v>#DIV/0!</v>
      </c>
      <c r="H17" s="27" t="e">
        <f t="shared" si="1"/>
        <v>#DIV/0!</v>
      </c>
      <c r="I17" s="26">
        <f t="shared" si="2"/>
        <v>0</v>
      </c>
      <c r="J17" s="19" t="e">
        <f>IF(I17&gt;'Inputs-Results'!$V22-'Inputs-Results'!$X22,(0.5*(ABS('Inputs-Results'!$S22-'Inputs-Results'!$U22)/('Inputs-Results'!$T22-'Inputs-Results'!$V22)*(I17-('Inputs-Results'!$V22-'Inputs-Results'!$X22)))*(I17-('Inputs-Results'!$V22-'Inputs-Results'!$X22))),0)+IF(I17&gt;'Inputs-Results'!$V22-'Inputs-Results'!$X22,(0.5*((I17+'Inputs-Results'!$X22-'Inputs-Results'!$V22)+I17)*ABS('Inputs-Results'!$U22-'Inputs-Results'!$W22)),0.5*(ABS('Inputs-Results'!$U22-'Inputs-Results'!$W22)/('Inputs-Results'!$V22-'Inputs-Results'!$X22)*I17)*I17)+IF(I17&gt;'Inputs-Results'!$Z22-'Inputs-Results'!$X22,(0.5*((I17+'Inputs-Results'!$X22-'Inputs-Results'!$Z22)+I17)*ABS('Inputs-Results'!$Y22-'Inputs-Results'!$W22)),0.5*(ABS('Inputs-Results'!$W22-'Inputs-Results'!$Y22)/('Inputs-Results'!$Z22-'Inputs-Results'!$X22)*I17)*I17)+IF(I17&gt;'Inputs-Results'!$Z22-'Inputs-Results'!$X22,(0.5*(ABS('Inputs-Results'!$Y22-'Inputs-Results'!$AA22)/('Inputs-Results'!$AB22-'Inputs-Results'!$Z22)*(I17-('Inputs-Results'!$Z22-'Inputs-Results'!$X22)))*(I17-('Inputs-Results'!$Z22-'Inputs-Results'!$X22))),0)</f>
        <v>#DIV/0!</v>
      </c>
      <c r="K17" s="19" t="e">
        <f>IF(I17&gt;'Inputs-Results'!$V$9-'Inputs-Results'!$X$9,SQRT(('Inputs-Results'!$U$9-'Inputs-Results'!$W$9)^2+('Inputs-Results'!$V$9-'Inputs-Results'!$X$9)^2)+SQRT(('Inputs-Results'!$W$9-'Inputs-Results'!$Y$9)^2+('Inputs-Results'!$X$9-'Inputs-Results'!$Z$9)^2)+SQRT((('Inputs-Results'!$S$9-'Inputs-Results'!$U$9)*(I17+'Inputs-Results'!$X$9-'Inputs-Results'!$V$9)/('Inputs-Results'!$T$9-'Inputs-Results'!$V$9))^2+(I17+'Inputs-Results'!$X$9-'Inputs-Results'!$V$9)^2)+SQRT((('Inputs-Results'!$AA$9-'Inputs-Results'!$Y$9)*(I17+'Inputs-Results'!$X$9-'Inputs-Results'!$Z$9)/('Inputs-Results'!$AB$9-'Inputs-Results'!$Z$9))^2+(I17+'Inputs-Results'!$X$9-'Inputs-Results'!$Z$9)^2),SQRT((('Inputs-Results'!$U$9-'Inputs-Results'!$W$9)*(I17)/('Inputs-Results'!$V$9-'Inputs-Results'!$X$9))^2+I17^2)+SQRT((('Inputs-Results'!$Y$9-'Inputs-Results'!$W$9)*I17/('Inputs-Results'!$Z$9-'Inputs-Results'!$X$9))^2+I17^2))</f>
        <v>#DIV/0!</v>
      </c>
      <c r="L17" s="19" t="e">
        <f t="shared" si="3"/>
        <v>#DIV/0!</v>
      </c>
      <c r="M17" s="19" t="e">
        <f>1.49/'Inputs-Results'!$AC22*J17*L17^(2/3)*'Inputs-Results'!$AD22^0.5</f>
        <v>#DIV/0!</v>
      </c>
      <c r="N17" s="27" t="e">
        <f t="shared" si="4"/>
        <v>#DIV/0!</v>
      </c>
      <c r="O17" s="26">
        <f t="shared" si="5"/>
        <v>0</v>
      </c>
      <c r="P17" s="19" t="e">
        <f>IF(O17&gt;'Inputs-Results'!$V22-'Inputs-Results'!$X22,(0.5*(ABS('Inputs-Results'!$S22-'Inputs-Results'!$U22)/('Inputs-Results'!$T22-'Inputs-Results'!$V22)*(O17-('Inputs-Results'!$V22-'Inputs-Results'!$X22)))*(O17-('Inputs-Results'!$V22-'Inputs-Results'!$X22))),0)+IF(O17&gt;'Inputs-Results'!$V22-'Inputs-Results'!$X22,(0.5*((O17+'Inputs-Results'!$X22-'Inputs-Results'!$V22)+O17)*ABS('Inputs-Results'!$U22-'Inputs-Results'!$W22)),0.5*(ABS('Inputs-Results'!$U22-'Inputs-Results'!$W22)/('Inputs-Results'!$V22-'Inputs-Results'!$X22)*O17)*O17)+IF(O17&gt;'Inputs-Results'!$Z22-'Inputs-Results'!$X22,(0.5*((O17+'Inputs-Results'!$X22-'Inputs-Results'!$Z22)+O17)*ABS('Inputs-Results'!$Y22-'Inputs-Results'!$W22)),0.5*(ABS('Inputs-Results'!$W22-'Inputs-Results'!$Y22)/('Inputs-Results'!$Z22-'Inputs-Results'!$X22)*O17)*O17)+IF(O17&gt;'Inputs-Results'!$Z22-'Inputs-Results'!$X22,(0.5*(ABS('Inputs-Results'!$Y22-'Inputs-Results'!$AA22)/('Inputs-Results'!$AB22-'Inputs-Results'!$Z22)*(O17-('Inputs-Results'!$Z22-'Inputs-Results'!$X22)))*(O17-('Inputs-Results'!$Z22-'Inputs-Results'!$X22))),0)</f>
        <v>#DIV/0!</v>
      </c>
      <c r="Q17" s="19" t="e">
        <f>IF(O17&gt;'Inputs-Results'!$V$9-'Inputs-Results'!$X$9,SQRT(('Inputs-Results'!$U$9-'Inputs-Results'!$W$9)^2+('Inputs-Results'!$V$9-'Inputs-Results'!$X$9)^2)+SQRT(('Inputs-Results'!$W$9-'Inputs-Results'!$Y$9)^2+('Inputs-Results'!$X$9-'Inputs-Results'!$Z$9)^2)+SQRT((('Inputs-Results'!$S$9-'Inputs-Results'!$U$9)*(O17+'Inputs-Results'!$X$9-'Inputs-Results'!$V$9)/('Inputs-Results'!$T$9-'Inputs-Results'!$V$9))^2+(O17+'Inputs-Results'!$X$9-'Inputs-Results'!$V$9)^2)+SQRT((('Inputs-Results'!$AA$9-'Inputs-Results'!$Y$9)*(O17+'Inputs-Results'!$X$9-'Inputs-Results'!$Z$9)/('Inputs-Results'!$AB$9-'Inputs-Results'!$Z$9))^2+(O17+'Inputs-Results'!$X$9-'Inputs-Results'!$Z$9)^2),SQRT((('Inputs-Results'!$U$9-'Inputs-Results'!$W$9)*(O17)/('Inputs-Results'!$V$9-'Inputs-Results'!$X$9))^2+O17^2)+SQRT((('Inputs-Results'!$Y$9-'Inputs-Results'!$W$9)*O17/('Inputs-Results'!$Z$9-'Inputs-Results'!$X$9))^2+O17^2))</f>
        <v>#DIV/0!</v>
      </c>
      <c r="R17" s="19" t="e">
        <f t="shared" si="6"/>
        <v>#DIV/0!</v>
      </c>
      <c r="S17" s="19" t="e">
        <f>1.49/'Inputs-Results'!$AC22*P17*R17^(2/3)*'Inputs-Results'!$AD22^0.5</f>
        <v>#DIV/0!</v>
      </c>
      <c r="T17" s="27" t="e">
        <f t="shared" si="7"/>
        <v>#DIV/0!</v>
      </c>
      <c r="U17" s="26">
        <f t="shared" si="8"/>
        <v>0</v>
      </c>
      <c r="V17" s="19" t="e">
        <f>IF(U17&gt;'Inputs-Results'!$V22-'Inputs-Results'!$X22,(0.5*(ABS('Inputs-Results'!$S22-'Inputs-Results'!$U22)/('Inputs-Results'!$T22-'Inputs-Results'!$V22)*(U17-('Inputs-Results'!$V22-'Inputs-Results'!$X22)))*(U17-('Inputs-Results'!$V22-'Inputs-Results'!$X22))),0)+IF(U17&gt;'Inputs-Results'!$V22-'Inputs-Results'!$X22,(0.5*((U17+'Inputs-Results'!$X22-'Inputs-Results'!$V22)+U17)*ABS('Inputs-Results'!$U22-'Inputs-Results'!$W22)),0.5*(ABS('Inputs-Results'!$U22-'Inputs-Results'!$W22)/('Inputs-Results'!$V22-'Inputs-Results'!$X22)*U17)*U17)+IF(U17&gt;'Inputs-Results'!$Z22-'Inputs-Results'!$X22,(0.5*((U17+'Inputs-Results'!$X22-'Inputs-Results'!$Z22)+U17)*ABS('Inputs-Results'!$Y22-'Inputs-Results'!$W22)),0.5*(ABS('Inputs-Results'!$W22-'Inputs-Results'!$Y22)/('Inputs-Results'!$Z22-'Inputs-Results'!$X22)*U17)*U17)+IF(U17&gt;'Inputs-Results'!$Z22-'Inputs-Results'!$X22,(0.5*(ABS('Inputs-Results'!$Y22-'Inputs-Results'!$AA22)/('Inputs-Results'!$AB22-'Inputs-Results'!$Z22)*(U17-('Inputs-Results'!$Z22-'Inputs-Results'!$X22)))*(U17-('Inputs-Results'!$Z22-'Inputs-Results'!$X22))),0)</f>
        <v>#DIV/0!</v>
      </c>
      <c r="W17" s="19" t="e">
        <f>IF(U17&gt;'Inputs-Results'!$V$9-'Inputs-Results'!$X$9,SQRT(('Inputs-Results'!$U$9-'Inputs-Results'!$W$9)^2+('Inputs-Results'!$V$9-'Inputs-Results'!$X$9)^2)+SQRT(('Inputs-Results'!$W$9-'Inputs-Results'!$Y$9)^2+('Inputs-Results'!$X$9-'Inputs-Results'!$Z$9)^2)+SQRT((('Inputs-Results'!$S$9-'Inputs-Results'!$U$9)*(U17+'Inputs-Results'!$X$9-'Inputs-Results'!$V$9)/('Inputs-Results'!$T$9-'Inputs-Results'!$V$9))^2+(U17+'Inputs-Results'!$X$9-'Inputs-Results'!$V$9)^2)+SQRT((('Inputs-Results'!$AA$9-'Inputs-Results'!$Y$9)*(U17+'Inputs-Results'!$X$9-'Inputs-Results'!$Z$9)/('Inputs-Results'!$AB$9-'Inputs-Results'!$Z$9))^2+(U17+'Inputs-Results'!$X$9-'Inputs-Results'!$Z$9)^2),SQRT((('Inputs-Results'!$U$9-'Inputs-Results'!$W$9)*(U17)/('Inputs-Results'!$V$9-'Inputs-Results'!$X$9))^2+U17^2)+SQRT((('Inputs-Results'!$Y$9-'Inputs-Results'!$W$9)*U17/('Inputs-Results'!$Z$9-'Inputs-Results'!$X$9))^2+U17^2))</f>
        <v>#DIV/0!</v>
      </c>
      <c r="X17" s="19" t="e">
        <f t="shared" si="9"/>
        <v>#DIV/0!</v>
      </c>
      <c r="Y17" s="19" t="e">
        <f>1.49/'Inputs-Results'!$AC22*V17*X17^(2/3)*'Inputs-Results'!$AD22^0.5</f>
        <v>#DIV/0!</v>
      </c>
      <c r="Z17" s="27" t="e">
        <f t="shared" si="10"/>
        <v>#DIV/0!</v>
      </c>
      <c r="AA17" s="26">
        <f t="shared" si="11"/>
        <v>0</v>
      </c>
      <c r="AB17" s="19" t="e">
        <f>IF(AA17&gt;'Inputs-Results'!$V22-'Inputs-Results'!$X22,(0.5*(ABS('Inputs-Results'!$S22-'Inputs-Results'!$U22)/('Inputs-Results'!$T22-'Inputs-Results'!$V22)*(AA17-('Inputs-Results'!$V22-'Inputs-Results'!$X22)))*(AA17-('Inputs-Results'!$V22-'Inputs-Results'!$X22))),0)+IF(AA17&gt;'Inputs-Results'!$V22-'Inputs-Results'!$X22,(0.5*((AA17+'Inputs-Results'!$X22-'Inputs-Results'!$V22)+AA17)*ABS('Inputs-Results'!$U22-'Inputs-Results'!$W22)),0.5*(ABS('Inputs-Results'!$U22-'Inputs-Results'!$W22)/('Inputs-Results'!$V22-'Inputs-Results'!$X22)*AA17)*AA17)+IF(AA17&gt;'Inputs-Results'!$Z22-'Inputs-Results'!$X22,(0.5*((AA17+'Inputs-Results'!$X22-'Inputs-Results'!$Z22)+AA17)*ABS('Inputs-Results'!$Y22-'Inputs-Results'!$W22)),0.5*(ABS('Inputs-Results'!$W22-'Inputs-Results'!$Y22)/('Inputs-Results'!$Z22-'Inputs-Results'!$X22)*AA17)*AA17)+IF(AA17&gt;'Inputs-Results'!$Z22-'Inputs-Results'!$X22,(0.5*(ABS('Inputs-Results'!$Y22-'Inputs-Results'!$AA22)/('Inputs-Results'!$AB22-'Inputs-Results'!$Z22)*(AA17-('Inputs-Results'!$Z22-'Inputs-Results'!$X22)))*(AA17-('Inputs-Results'!$Z22-'Inputs-Results'!$X22))),0)</f>
        <v>#DIV/0!</v>
      </c>
      <c r="AC17" s="19" t="e">
        <f>IF(AA17&gt;'Inputs-Results'!$V$9-'Inputs-Results'!$X$9,SQRT(('Inputs-Results'!$U$9-'Inputs-Results'!$W$9)^2+('Inputs-Results'!$V$9-'Inputs-Results'!$X$9)^2)+SQRT(('Inputs-Results'!$W$9-'Inputs-Results'!$Y$9)^2+('Inputs-Results'!$X$9-'Inputs-Results'!$Z$9)^2)+SQRT((('Inputs-Results'!$S$9-'Inputs-Results'!$U$9)*(AA17+'Inputs-Results'!$X$9-'Inputs-Results'!$V$9)/('Inputs-Results'!$T$9-'Inputs-Results'!$V$9))^2+(AA17+'Inputs-Results'!$X$9-'Inputs-Results'!$V$9)^2)+SQRT((('Inputs-Results'!$AA$9-'Inputs-Results'!$Y$9)*(AA17+'Inputs-Results'!$X$9-'Inputs-Results'!$Z$9)/('Inputs-Results'!$AB$9-'Inputs-Results'!$Z$9))^2+(AA17+'Inputs-Results'!$X$9-'Inputs-Results'!$Z$9)^2),SQRT((('Inputs-Results'!$U$9-'Inputs-Results'!$W$9)*(AA17)/('Inputs-Results'!$V$9-'Inputs-Results'!$X$9))^2+AA17^2)+SQRT((('Inputs-Results'!$Y$9-'Inputs-Results'!$W$9)*AA17/('Inputs-Results'!$Z$9-'Inputs-Results'!$X$9))^2+AA17^2))</f>
        <v>#DIV/0!</v>
      </c>
      <c r="AD17" s="19" t="e">
        <f t="shared" si="12"/>
        <v>#DIV/0!</v>
      </c>
      <c r="AE17" s="19" t="e">
        <f>1.49/'Inputs-Results'!$AC22*AB17*AD17^(2/3)*'Inputs-Results'!$AD22^0.5</f>
        <v>#DIV/0!</v>
      </c>
      <c r="AF17" s="27" t="e">
        <f t="shared" si="13"/>
        <v>#DIV/0!</v>
      </c>
      <c r="AG17" s="26">
        <f t="shared" si="14"/>
        <v>0</v>
      </c>
      <c r="AH17" s="19" t="e">
        <f>IF(AG17&gt;'Inputs-Results'!$V22-'Inputs-Results'!$X22,(0.5*(ABS('Inputs-Results'!$S22-'Inputs-Results'!$U22)/('Inputs-Results'!$T22-'Inputs-Results'!$V22)*(AG17-('Inputs-Results'!$V22-'Inputs-Results'!$X22)))*(AG17-('Inputs-Results'!$V22-'Inputs-Results'!$X22))),0)+IF(AG17&gt;'Inputs-Results'!$V22-'Inputs-Results'!$X22,(0.5*((AG17+'Inputs-Results'!$X22-'Inputs-Results'!$V22)+AG17)*ABS('Inputs-Results'!$U22-'Inputs-Results'!$W22)),0.5*(ABS('Inputs-Results'!$U22-'Inputs-Results'!$W22)/('Inputs-Results'!$V22-'Inputs-Results'!$X22)*AG17)*AG17)+IF(AG17&gt;'Inputs-Results'!$Z22-'Inputs-Results'!$X22,(0.5*((AG17+'Inputs-Results'!$X22-'Inputs-Results'!$Z22)+AG17)*ABS('Inputs-Results'!$Y22-'Inputs-Results'!$W22)),0.5*(ABS('Inputs-Results'!$W22-'Inputs-Results'!$Y22)/('Inputs-Results'!$Z22-'Inputs-Results'!$X22)*AG17)*AG17)+IF(AG17&gt;'Inputs-Results'!$Z22-'Inputs-Results'!$X22,(0.5*(ABS('Inputs-Results'!$Y22-'Inputs-Results'!$AA22)/('Inputs-Results'!$AB22-'Inputs-Results'!$Z22)*(AG17-('Inputs-Results'!$Z22-'Inputs-Results'!$X22)))*(AG17-('Inputs-Results'!$Z22-'Inputs-Results'!$X22))),0)</f>
        <v>#DIV/0!</v>
      </c>
      <c r="AI17" s="19" t="e">
        <f>IF(AG17&gt;'Inputs-Results'!$V$9-'Inputs-Results'!$X$9,SQRT(('Inputs-Results'!$U$9-'Inputs-Results'!$W$9)^2+('Inputs-Results'!$V$9-'Inputs-Results'!$X$9)^2)+SQRT(('Inputs-Results'!$W$9-'Inputs-Results'!$Y$9)^2+('Inputs-Results'!$X$9-'Inputs-Results'!$Z$9)^2)+SQRT((('Inputs-Results'!$S$9-'Inputs-Results'!$U$9)*(AG17+'Inputs-Results'!$X$9-'Inputs-Results'!$V$9)/('Inputs-Results'!$T$9-'Inputs-Results'!$V$9))^2+(AG17+'Inputs-Results'!$X$9-'Inputs-Results'!$V$9)^2)+SQRT((('Inputs-Results'!$AA$9-'Inputs-Results'!$Y$9)*(AG17+'Inputs-Results'!$X$9-'Inputs-Results'!$Z$9)/('Inputs-Results'!$AB$9-'Inputs-Results'!$Z$9))^2+(AG17+'Inputs-Results'!$X$9-'Inputs-Results'!$Z$9)^2),SQRT((('Inputs-Results'!$U$9-'Inputs-Results'!$W$9)*(AG17)/('Inputs-Results'!$V$9-'Inputs-Results'!$X$9))^2+AG17^2)+SQRT((('Inputs-Results'!$Y$9-'Inputs-Results'!$W$9)*AG17/('Inputs-Results'!$Z$9-'Inputs-Results'!$X$9))^2+AG17^2))</f>
        <v>#DIV/0!</v>
      </c>
      <c r="AJ17" s="19" t="e">
        <f t="shared" si="15"/>
        <v>#DIV/0!</v>
      </c>
      <c r="AK17" s="19" t="e">
        <f>1.49/'Inputs-Results'!$AC22*AH17*AJ17^(2/3)*'Inputs-Results'!$AD22^0.5</f>
        <v>#DIV/0!</v>
      </c>
      <c r="AL17" s="27" t="e">
        <f t="shared" si="16"/>
        <v>#DIV/0!</v>
      </c>
      <c r="AM17" s="26">
        <f t="shared" si="17"/>
        <v>0</v>
      </c>
      <c r="AN17" s="19" t="e">
        <f>IF(AM17&gt;'Inputs-Results'!$V22-'Inputs-Results'!$X22,(0.5*(ABS('Inputs-Results'!$S22-'Inputs-Results'!$U22)/('Inputs-Results'!$T22-'Inputs-Results'!$V22)*(AM17-('Inputs-Results'!$V22-'Inputs-Results'!$X22)))*(AM17-('Inputs-Results'!$V22-'Inputs-Results'!$X22))),0)+IF(AM17&gt;'Inputs-Results'!$V22-'Inputs-Results'!$X22,(0.5*((AM17+'Inputs-Results'!$X22-'Inputs-Results'!$V22)+AM17)*ABS('Inputs-Results'!$U22-'Inputs-Results'!$W22)),0.5*(ABS('Inputs-Results'!$U22-'Inputs-Results'!$W22)/('Inputs-Results'!$V22-'Inputs-Results'!$X22)*AM17)*AM17)+IF(AM17&gt;'Inputs-Results'!$Z22-'Inputs-Results'!$X22,(0.5*((AM17+'Inputs-Results'!$X22-'Inputs-Results'!$Z22)+AM17)*ABS('Inputs-Results'!$Y22-'Inputs-Results'!$W22)),0.5*(ABS('Inputs-Results'!$W22-'Inputs-Results'!$Y22)/('Inputs-Results'!$Z22-'Inputs-Results'!$X22)*AM17)*AM17)+IF(AM17&gt;'Inputs-Results'!$Z22-'Inputs-Results'!$X22,(0.5*(ABS('Inputs-Results'!$Y22-'Inputs-Results'!$AA22)/('Inputs-Results'!$AB22-'Inputs-Results'!$Z22)*(AM17-('Inputs-Results'!$Z22-'Inputs-Results'!$X22)))*(AM17-('Inputs-Results'!$Z22-'Inputs-Results'!$X22))),0)</f>
        <v>#DIV/0!</v>
      </c>
      <c r="AO17" s="19" t="e">
        <f>IF(AM17&gt;'Inputs-Results'!$V$9-'Inputs-Results'!$X$9,SQRT(('Inputs-Results'!$U$9-'Inputs-Results'!$W$9)^2+('Inputs-Results'!$V$9-'Inputs-Results'!$X$9)^2)+SQRT(('Inputs-Results'!$W$9-'Inputs-Results'!$Y$9)^2+('Inputs-Results'!$X$9-'Inputs-Results'!$Z$9)^2)+SQRT((('Inputs-Results'!$S$9-'Inputs-Results'!$U$9)*(AM17+'Inputs-Results'!$X$9-'Inputs-Results'!$V$9)/('Inputs-Results'!$T$9-'Inputs-Results'!$V$9))^2+(AM17+'Inputs-Results'!$X$9-'Inputs-Results'!$V$9)^2)+SQRT((('Inputs-Results'!$AA$9-'Inputs-Results'!$Y$9)*(AM17+'Inputs-Results'!$X$9-'Inputs-Results'!$Z$9)/('Inputs-Results'!$AB$9-'Inputs-Results'!$Z$9))^2+(AM17+'Inputs-Results'!$X$9-'Inputs-Results'!$Z$9)^2),SQRT((('Inputs-Results'!$U$9-'Inputs-Results'!$W$9)*(AM17)/('Inputs-Results'!$V$9-'Inputs-Results'!$X$9))^2+AM17^2)+SQRT((('Inputs-Results'!$Y$9-'Inputs-Results'!$W$9)*AM17/('Inputs-Results'!$Z$9-'Inputs-Results'!$X$9))^2+AM17^2))</f>
        <v>#DIV/0!</v>
      </c>
      <c r="AP17" s="19" t="e">
        <f t="shared" si="18"/>
        <v>#DIV/0!</v>
      </c>
      <c r="AQ17" s="19" t="e">
        <f>1.49/'Inputs-Results'!$AC22*AN17*AP17^(2/3)*'Inputs-Results'!$AD22^0.5</f>
        <v>#DIV/0!</v>
      </c>
      <c r="AR17" s="27" t="e">
        <f t="shared" si="19"/>
        <v>#DIV/0!</v>
      </c>
      <c r="AS17" s="26">
        <f t="shared" si="20"/>
        <v>0</v>
      </c>
      <c r="AT17" s="19" t="e">
        <f>IF(AS17&gt;'Inputs-Results'!$V22-'Inputs-Results'!$X22,(0.5*(ABS('Inputs-Results'!$S22-'Inputs-Results'!$U22)/('Inputs-Results'!$T22-'Inputs-Results'!$V22)*(AS17-('Inputs-Results'!$V22-'Inputs-Results'!$X22)))*(AS17-('Inputs-Results'!$V22-'Inputs-Results'!$X22))),0)+IF(AS17&gt;'Inputs-Results'!$V22-'Inputs-Results'!$X22,(0.5*((AS17+'Inputs-Results'!$X22-'Inputs-Results'!$V22)+AS17)*ABS('Inputs-Results'!$U22-'Inputs-Results'!$W22)),0.5*(ABS('Inputs-Results'!$U22-'Inputs-Results'!$W22)/('Inputs-Results'!$V22-'Inputs-Results'!$X22)*AS17)*AS17)+IF(AS17&gt;'Inputs-Results'!$Z22-'Inputs-Results'!$X22,(0.5*((AS17+'Inputs-Results'!$X22-'Inputs-Results'!$Z22)+AS17)*ABS('Inputs-Results'!$Y22-'Inputs-Results'!$W22)),0.5*(ABS('Inputs-Results'!$W22-'Inputs-Results'!$Y22)/('Inputs-Results'!$Z22-'Inputs-Results'!$X22)*AS17)*AS17)+IF(AS17&gt;'Inputs-Results'!$Z22-'Inputs-Results'!$X22,(0.5*(ABS('Inputs-Results'!$Y22-'Inputs-Results'!$AA22)/('Inputs-Results'!$AB22-'Inputs-Results'!$Z22)*(AS17-('Inputs-Results'!$Z22-'Inputs-Results'!$X22)))*(AS17-('Inputs-Results'!$Z22-'Inputs-Results'!$X22))),0)</f>
        <v>#DIV/0!</v>
      </c>
      <c r="AU17" s="19" t="e">
        <f>IF(AS17&gt;'Inputs-Results'!$V$9-'Inputs-Results'!$X$9,SQRT(('Inputs-Results'!$U$9-'Inputs-Results'!$W$9)^2+('Inputs-Results'!$V$9-'Inputs-Results'!$X$9)^2)+SQRT(('Inputs-Results'!$W$9-'Inputs-Results'!$Y$9)^2+('Inputs-Results'!$X$9-'Inputs-Results'!$Z$9)^2)+SQRT((('Inputs-Results'!$S$9-'Inputs-Results'!$U$9)*(AS17+'Inputs-Results'!$X$9-'Inputs-Results'!$V$9)/('Inputs-Results'!$T$9-'Inputs-Results'!$V$9))^2+(AS17+'Inputs-Results'!$X$9-'Inputs-Results'!$V$9)^2)+SQRT((('Inputs-Results'!$AA$9-'Inputs-Results'!$Y$9)*(AS17+'Inputs-Results'!$X$9-'Inputs-Results'!$Z$9)/('Inputs-Results'!$AB$9-'Inputs-Results'!$Z$9))^2+(AS17+'Inputs-Results'!$X$9-'Inputs-Results'!$Z$9)^2),SQRT((('Inputs-Results'!$U$9-'Inputs-Results'!$W$9)*(AS17)/('Inputs-Results'!$V$9-'Inputs-Results'!$X$9))^2+AS17^2)+SQRT((('Inputs-Results'!$Y$9-'Inputs-Results'!$W$9)*AS17/('Inputs-Results'!$Z$9-'Inputs-Results'!$X$9))^2+AS17^2))</f>
        <v>#DIV/0!</v>
      </c>
      <c r="AV17" s="19" t="e">
        <f t="shared" si="21"/>
        <v>#DIV/0!</v>
      </c>
      <c r="AW17" s="19" t="e">
        <f>1.49/'Inputs-Results'!$AC22*AT17*AV17^(2/3)*'Inputs-Results'!$AD22^0.5</f>
        <v>#DIV/0!</v>
      </c>
      <c r="AX17" s="27" t="e">
        <f t="shared" si="22"/>
        <v>#DIV/0!</v>
      </c>
      <c r="AY17" s="26">
        <f t="shared" si="23"/>
        <v>0</v>
      </c>
      <c r="AZ17" s="19" t="e">
        <f>IF(AY17&gt;'Inputs-Results'!$V22-'Inputs-Results'!$X22,(0.5*(ABS('Inputs-Results'!$S22-'Inputs-Results'!$U22)/('Inputs-Results'!$T22-'Inputs-Results'!$V22)*(AY17-('Inputs-Results'!$V22-'Inputs-Results'!$X22)))*(AY17-('Inputs-Results'!$V22-'Inputs-Results'!$X22))),0)+IF(AY17&gt;'Inputs-Results'!$V22-'Inputs-Results'!$X22,(0.5*((AY17+'Inputs-Results'!$X22-'Inputs-Results'!$V22)+AY17)*ABS('Inputs-Results'!$U22-'Inputs-Results'!$W22)),0.5*(ABS('Inputs-Results'!$U22-'Inputs-Results'!$W22)/('Inputs-Results'!$V22-'Inputs-Results'!$X22)*AY17)*AY17)+IF(AY17&gt;'Inputs-Results'!$Z22-'Inputs-Results'!$X22,(0.5*((AY17+'Inputs-Results'!$X22-'Inputs-Results'!$Z22)+AY17)*ABS('Inputs-Results'!$Y22-'Inputs-Results'!$W22)),0.5*(ABS('Inputs-Results'!$W22-'Inputs-Results'!$Y22)/('Inputs-Results'!$Z22-'Inputs-Results'!$X22)*AY17)*AY17)+IF(AY17&gt;'Inputs-Results'!$Z22-'Inputs-Results'!$X22,(0.5*(ABS('Inputs-Results'!$Y22-'Inputs-Results'!$AA22)/('Inputs-Results'!$AB22-'Inputs-Results'!$Z22)*(AY17-('Inputs-Results'!$Z22-'Inputs-Results'!$X22)))*(AY17-('Inputs-Results'!$Z22-'Inputs-Results'!$X22))),0)</f>
        <v>#DIV/0!</v>
      </c>
      <c r="BA17" s="19" t="e">
        <f>IF(AY17&gt;'Inputs-Results'!$V$9-'Inputs-Results'!$X$9,SQRT(('Inputs-Results'!$U$9-'Inputs-Results'!$W$9)^2+('Inputs-Results'!$V$9-'Inputs-Results'!$X$9)^2)+SQRT(('Inputs-Results'!$W$9-'Inputs-Results'!$Y$9)^2+('Inputs-Results'!$X$9-'Inputs-Results'!$Z$9)^2)+SQRT((('Inputs-Results'!$S$9-'Inputs-Results'!$U$9)*(AY17+'Inputs-Results'!$X$9-'Inputs-Results'!$V$9)/('Inputs-Results'!$T$9-'Inputs-Results'!$V$9))^2+(AY17+'Inputs-Results'!$X$9-'Inputs-Results'!$V$9)^2)+SQRT((('Inputs-Results'!$AA$9-'Inputs-Results'!$Y$9)*(AY17+'Inputs-Results'!$X$9-'Inputs-Results'!$Z$9)/('Inputs-Results'!$AB$9-'Inputs-Results'!$Z$9))^2+(AY17+'Inputs-Results'!$X$9-'Inputs-Results'!$Z$9)^2),SQRT((('Inputs-Results'!$U$9-'Inputs-Results'!$W$9)*(AY17)/('Inputs-Results'!$V$9-'Inputs-Results'!$X$9))^2+AY17^2)+SQRT((('Inputs-Results'!$Y$9-'Inputs-Results'!$W$9)*AY17/('Inputs-Results'!$Z$9-'Inputs-Results'!$X$9))^2+AY17^2))</f>
        <v>#DIV/0!</v>
      </c>
      <c r="BB17" s="19" t="e">
        <f t="shared" si="24"/>
        <v>#DIV/0!</v>
      </c>
      <c r="BC17" s="19" t="e">
        <f>1.49/'Inputs-Results'!$AC22*AZ17*BB17^(2/3)*'Inputs-Results'!$AD22^0.5</f>
        <v>#DIV/0!</v>
      </c>
      <c r="BD17" s="27" t="e">
        <f t="shared" si="25"/>
        <v>#DIV/0!</v>
      </c>
      <c r="BE17" s="26">
        <f t="shared" si="26"/>
        <v>0</v>
      </c>
      <c r="BF17" s="19" t="e">
        <f>IF(BE17&gt;'Inputs-Results'!$V22-'Inputs-Results'!$X22,(0.5*(ABS('Inputs-Results'!$S22-'Inputs-Results'!$U22)/('Inputs-Results'!$T22-'Inputs-Results'!$V22)*(BE17-('Inputs-Results'!$V22-'Inputs-Results'!$X22)))*(BE17-('Inputs-Results'!$V22-'Inputs-Results'!$X22))),0)+IF(BE17&gt;'Inputs-Results'!$V22-'Inputs-Results'!$X22,(0.5*((BE17+'Inputs-Results'!$X22-'Inputs-Results'!$V22)+BE17)*ABS('Inputs-Results'!$U22-'Inputs-Results'!$W22)),0.5*(ABS('Inputs-Results'!$U22-'Inputs-Results'!$W22)/('Inputs-Results'!$V22-'Inputs-Results'!$X22)*BE17)*BE17)+IF(BE17&gt;'Inputs-Results'!$Z22-'Inputs-Results'!$X22,(0.5*((BE17+'Inputs-Results'!$X22-'Inputs-Results'!$Z22)+BE17)*ABS('Inputs-Results'!$Y22-'Inputs-Results'!$W22)),0.5*(ABS('Inputs-Results'!$W22-'Inputs-Results'!$Y22)/('Inputs-Results'!$Z22-'Inputs-Results'!$X22)*BE17)*BE17)+IF(BE17&gt;'Inputs-Results'!$Z22-'Inputs-Results'!$X22,(0.5*(ABS('Inputs-Results'!$Y22-'Inputs-Results'!$AA22)/('Inputs-Results'!$AB22-'Inputs-Results'!$Z22)*(BE17-('Inputs-Results'!$Z22-'Inputs-Results'!$X22)))*(BE17-('Inputs-Results'!$Z22-'Inputs-Results'!$X22))),0)</f>
        <v>#DIV/0!</v>
      </c>
      <c r="BG17" s="19" t="e">
        <f>IF(BE17&gt;'Inputs-Results'!$V$9-'Inputs-Results'!$X$9,SQRT(('Inputs-Results'!$U$9-'Inputs-Results'!$W$9)^2+('Inputs-Results'!$V$9-'Inputs-Results'!$X$9)^2)+SQRT(('Inputs-Results'!$W$9-'Inputs-Results'!$Y$9)^2+('Inputs-Results'!$X$9-'Inputs-Results'!$Z$9)^2)+SQRT((('Inputs-Results'!$S$9-'Inputs-Results'!$U$9)*(BE17+'Inputs-Results'!$X$9-'Inputs-Results'!$V$9)/('Inputs-Results'!$T$9-'Inputs-Results'!$V$9))^2+(BE17+'Inputs-Results'!$X$9-'Inputs-Results'!$V$9)^2)+SQRT((('Inputs-Results'!$AA$9-'Inputs-Results'!$Y$9)*(BE17+'Inputs-Results'!$X$9-'Inputs-Results'!$Z$9)/('Inputs-Results'!$AB$9-'Inputs-Results'!$Z$9))^2+(BE17+'Inputs-Results'!$X$9-'Inputs-Results'!$Z$9)^2),SQRT((('Inputs-Results'!$U$9-'Inputs-Results'!$W$9)*(BE17)/('Inputs-Results'!$V$9-'Inputs-Results'!$X$9))^2+BE17^2)+SQRT((('Inputs-Results'!$Y$9-'Inputs-Results'!$W$9)*BE17/('Inputs-Results'!$Z$9-'Inputs-Results'!$X$9))^2+BE17^2))</f>
        <v>#DIV/0!</v>
      </c>
      <c r="BH17" s="19" t="e">
        <f t="shared" si="27"/>
        <v>#DIV/0!</v>
      </c>
      <c r="BI17" s="19" t="e">
        <f>1.49/'Inputs-Results'!$AC22*BF17*BH17^(2/3)*'Inputs-Results'!$AD22^0.5</f>
        <v>#DIV/0!</v>
      </c>
      <c r="BJ17" s="27" t="e">
        <f t="shared" si="28"/>
        <v>#DIV/0!</v>
      </c>
    </row>
    <row r="18" spans="1:62" x14ac:dyDescent="0.25">
      <c r="A18" s="2">
        <v>0</v>
      </c>
      <c r="B18" s="17"/>
      <c r="C18" s="26">
        <f>MIN('Inputs-Results'!T23-'Inputs-Results'!X23,'Inputs-Results'!AB23-'Inputs-Results'!X23)</f>
        <v>0</v>
      </c>
      <c r="D18" s="19" t="e">
        <f>IF(C18&gt;'Inputs-Results'!$V23-'Inputs-Results'!$X23,(0.5*(ABS('Inputs-Results'!$S23-'Inputs-Results'!$U23)/('Inputs-Results'!$T23-'Inputs-Results'!$V23)*(C18-('Inputs-Results'!$V23-'Inputs-Results'!$X23)))*(C18-('Inputs-Results'!$V23-'Inputs-Results'!$X23))),0)+IF(C18&gt;'Inputs-Results'!$V23-'Inputs-Results'!$X23,(0.5*((C18+'Inputs-Results'!$X23-'Inputs-Results'!$V23)+C18)*ABS('Inputs-Results'!$U23-'Inputs-Results'!$W23)),0.5*(ABS('Inputs-Results'!$U23-'Inputs-Results'!$W23)/('Inputs-Results'!$V23-'Inputs-Results'!$X23)*C18)*C18)+IF(C18&gt;'Inputs-Results'!$Z23-'Inputs-Results'!$X23,(0.5*((C18+'Inputs-Results'!$X23-'Inputs-Results'!$Z23)+C18)*ABS('Inputs-Results'!$Y23-'Inputs-Results'!$W23)),0.5*(ABS('Inputs-Results'!$W23-'Inputs-Results'!$Y23)/('Inputs-Results'!$Z23-'Inputs-Results'!$X23)*C18)*C18)+IF(C18&gt;'Inputs-Results'!$Z23-'Inputs-Results'!$X23,(0.5*(ABS('Inputs-Results'!$Y23-'Inputs-Results'!$AA23)/('Inputs-Results'!$AB23-'Inputs-Results'!$Z23)*(C18-('Inputs-Results'!$Z23-'Inputs-Results'!$X23)))*(C18-('Inputs-Results'!$Z23-'Inputs-Results'!$X23))),0)</f>
        <v>#DIV/0!</v>
      </c>
      <c r="E18" s="19" t="e">
        <f>IF(C18&gt;'Inputs-Results'!$V$9-'Inputs-Results'!$X$9,SQRT(('Inputs-Results'!$U$9-'Inputs-Results'!$W$9)^2+('Inputs-Results'!$V$9-'Inputs-Results'!$X$9)^2)+SQRT(('Inputs-Results'!$W$9-'Inputs-Results'!$Y$9)^2+('Inputs-Results'!$X$9-'Inputs-Results'!$Z$9)^2)+SQRT((('Inputs-Results'!$S$9-'Inputs-Results'!$U$9)*(C18+'Inputs-Results'!$X$9-'Inputs-Results'!$V$9)/('Inputs-Results'!$T$9-'Inputs-Results'!$V$9))^2+(C18+'Inputs-Results'!$X$9-'Inputs-Results'!$V$9)^2)+SQRT((('Inputs-Results'!$AA$9-'Inputs-Results'!$Y$9)*(C18+'Inputs-Results'!$X$9-'Inputs-Results'!$Z$9)/('Inputs-Results'!$AB$9-'Inputs-Results'!$Z$9))^2+(C18+'Inputs-Results'!$X$9-'Inputs-Results'!$Z$9)^2),SQRT((('Inputs-Results'!$U$9-'Inputs-Results'!$W$9)*(C18)/('Inputs-Results'!$V$9-'Inputs-Results'!$X$9))^2+C18^2)+SQRT((('Inputs-Results'!$Y$9-'Inputs-Results'!$W$9)*C18/('Inputs-Results'!$Z$9-'Inputs-Results'!$X$9))^2+C18^2))</f>
        <v>#DIV/0!</v>
      </c>
      <c r="F18" s="19" t="e">
        <f t="shared" si="0"/>
        <v>#DIV/0!</v>
      </c>
      <c r="G18" s="19" t="e">
        <f>1.49/'Inputs-Results'!AC23*D18*F18^(2/3)*'Inputs-Results'!AD23^0.5</f>
        <v>#DIV/0!</v>
      </c>
      <c r="H18" s="27" t="e">
        <f t="shared" si="1"/>
        <v>#DIV/0!</v>
      </c>
      <c r="I18" s="26">
        <f t="shared" si="2"/>
        <v>0</v>
      </c>
      <c r="J18" s="19" t="e">
        <f>IF(I18&gt;'Inputs-Results'!$V23-'Inputs-Results'!$X23,(0.5*(ABS('Inputs-Results'!$S23-'Inputs-Results'!$U23)/('Inputs-Results'!$T23-'Inputs-Results'!$V23)*(I18-('Inputs-Results'!$V23-'Inputs-Results'!$X23)))*(I18-('Inputs-Results'!$V23-'Inputs-Results'!$X23))),0)+IF(I18&gt;'Inputs-Results'!$V23-'Inputs-Results'!$X23,(0.5*((I18+'Inputs-Results'!$X23-'Inputs-Results'!$V23)+I18)*ABS('Inputs-Results'!$U23-'Inputs-Results'!$W23)),0.5*(ABS('Inputs-Results'!$U23-'Inputs-Results'!$W23)/('Inputs-Results'!$V23-'Inputs-Results'!$X23)*I18)*I18)+IF(I18&gt;'Inputs-Results'!$Z23-'Inputs-Results'!$X23,(0.5*((I18+'Inputs-Results'!$X23-'Inputs-Results'!$Z23)+I18)*ABS('Inputs-Results'!$Y23-'Inputs-Results'!$W23)),0.5*(ABS('Inputs-Results'!$W23-'Inputs-Results'!$Y23)/('Inputs-Results'!$Z23-'Inputs-Results'!$X23)*I18)*I18)+IF(I18&gt;'Inputs-Results'!$Z23-'Inputs-Results'!$X23,(0.5*(ABS('Inputs-Results'!$Y23-'Inputs-Results'!$AA23)/('Inputs-Results'!$AB23-'Inputs-Results'!$Z23)*(I18-('Inputs-Results'!$Z23-'Inputs-Results'!$X23)))*(I18-('Inputs-Results'!$Z23-'Inputs-Results'!$X23))),0)</f>
        <v>#DIV/0!</v>
      </c>
      <c r="K18" s="19" t="e">
        <f>IF(I18&gt;'Inputs-Results'!$V$9-'Inputs-Results'!$X$9,SQRT(('Inputs-Results'!$U$9-'Inputs-Results'!$W$9)^2+('Inputs-Results'!$V$9-'Inputs-Results'!$X$9)^2)+SQRT(('Inputs-Results'!$W$9-'Inputs-Results'!$Y$9)^2+('Inputs-Results'!$X$9-'Inputs-Results'!$Z$9)^2)+SQRT((('Inputs-Results'!$S$9-'Inputs-Results'!$U$9)*(I18+'Inputs-Results'!$X$9-'Inputs-Results'!$V$9)/('Inputs-Results'!$T$9-'Inputs-Results'!$V$9))^2+(I18+'Inputs-Results'!$X$9-'Inputs-Results'!$V$9)^2)+SQRT((('Inputs-Results'!$AA$9-'Inputs-Results'!$Y$9)*(I18+'Inputs-Results'!$X$9-'Inputs-Results'!$Z$9)/('Inputs-Results'!$AB$9-'Inputs-Results'!$Z$9))^2+(I18+'Inputs-Results'!$X$9-'Inputs-Results'!$Z$9)^2),SQRT((('Inputs-Results'!$U$9-'Inputs-Results'!$W$9)*(I18)/('Inputs-Results'!$V$9-'Inputs-Results'!$X$9))^2+I18^2)+SQRT((('Inputs-Results'!$Y$9-'Inputs-Results'!$W$9)*I18/('Inputs-Results'!$Z$9-'Inputs-Results'!$X$9))^2+I18^2))</f>
        <v>#DIV/0!</v>
      </c>
      <c r="L18" s="19" t="e">
        <f t="shared" si="3"/>
        <v>#DIV/0!</v>
      </c>
      <c r="M18" s="19" t="e">
        <f>1.49/'Inputs-Results'!$AC23*J18*L18^(2/3)*'Inputs-Results'!$AD23^0.5</f>
        <v>#DIV/0!</v>
      </c>
      <c r="N18" s="27" t="e">
        <f t="shared" si="4"/>
        <v>#DIV/0!</v>
      </c>
      <c r="O18" s="26">
        <f t="shared" si="5"/>
        <v>0</v>
      </c>
      <c r="P18" s="19" t="e">
        <f>IF(O18&gt;'Inputs-Results'!$V23-'Inputs-Results'!$X23,(0.5*(ABS('Inputs-Results'!$S23-'Inputs-Results'!$U23)/('Inputs-Results'!$T23-'Inputs-Results'!$V23)*(O18-('Inputs-Results'!$V23-'Inputs-Results'!$X23)))*(O18-('Inputs-Results'!$V23-'Inputs-Results'!$X23))),0)+IF(O18&gt;'Inputs-Results'!$V23-'Inputs-Results'!$X23,(0.5*((O18+'Inputs-Results'!$X23-'Inputs-Results'!$V23)+O18)*ABS('Inputs-Results'!$U23-'Inputs-Results'!$W23)),0.5*(ABS('Inputs-Results'!$U23-'Inputs-Results'!$W23)/('Inputs-Results'!$V23-'Inputs-Results'!$X23)*O18)*O18)+IF(O18&gt;'Inputs-Results'!$Z23-'Inputs-Results'!$X23,(0.5*((O18+'Inputs-Results'!$X23-'Inputs-Results'!$Z23)+O18)*ABS('Inputs-Results'!$Y23-'Inputs-Results'!$W23)),0.5*(ABS('Inputs-Results'!$W23-'Inputs-Results'!$Y23)/('Inputs-Results'!$Z23-'Inputs-Results'!$X23)*O18)*O18)+IF(O18&gt;'Inputs-Results'!$Z23-'Inputs-Results'!$X23,(0.5*(ABS('Inputs-Results'!$Y23-'Inputs-Results'!$AA23)/('Inputs-Results'!$AB23-'Inputs-Results'!$Z23)*(O18-('Inputs-Results'!$Z23-'Inputs-Results'!$X23)))*(O18-('Inputs-Results'!$Z23-'Inputs-Results'!$X23))),0)</f>
        <v>#DIV/0!</v>
      </c>
      <c r="Q18" s="19" t="e">
        <f>IF(O18&gt;'Inputs-Results'!$V$9-'Inputs-Results'!$X$9,SQRT(('Inputs-Results'!$U$9-'Inputs-Results'!$W$9)^2+('Inputs-Results'!$V$9-'Inputs-Results'!$X$9)^2)+SQRT(('Inputs-Results'!$W$9-'Inputs-Results'!$Y$9)^2+('Inputs-Results'!$X$9-'Inputs-Results'!$Z$9)^2)+SQRT((('Inputs-Results'!$S$9-'Inputs-Results'!$U$9)*(O18+'Inputs-Results'!$X$9-'Inputs-Results'!$V$9)/('Inputs-Results'!$T$9-'Inputs-Results'!$V$9))^2+(O18+'Inputs-Results'!$X$9-'Inputs-Results'!$V$9)^2)+SQRT((('Inputs-Results'!$AA$9-'Inputs-Results'!$Y$9)*(O18+'Inputs-Results'!$X$9-'Inputs-Results'!$Z$9)/('Inputs-Results'!$AB$9-'Inputs-Results'!$Z$9))^2+(O18+'Inputs-Results'!$X$9-'Inputs-Results'!$Z$9)^2),SQRT((('Inputs-Results'!$U$9-'Inputs-Results'!$W$9)*(O18)/('Inputs-Results'!$V$9-'Inputs-Results'!$X$9))^2+O18^2)+SQRT((('Inputs-Results'!$Y$9-'Inputs-Results'!$W$9)*O18/('Inputs-Results'!$Z$9-'Inputs-Results'!$X$9))^2+O18^2))</f>
        <v>#DIV/0!</v>
      </c>
      <c r="R18" s="19" t="e">
        <f t="shared" si="6"/>
        <v>#DIV/0!</v>
      </c>
      <c r="S18" s="19" t="e">
        <f>1.49/'Inputs-Results'!$AC23*P18*R18^(2/3)*'Inputs-Results'!$AD23^0.5</f>
        <v>#DIV/0!</v>
      </c>
      <c r="T18" s="27" t="e">
        <f t="shared" si="7"/>
        <v>#DIV/0!</v>
      </c>
      <c r="U18" s="26">
        <f t="shared" si="8"/>
        <v>0</v>
      </c>
      <c r="V18" s="19" t="e">
        <f>IF(U18&gt;'Inputs-Results'!$V23-'Inputs-Results'!$X23,(0.5*(ABS('Inputs-Results'!$S23-'Inputs-Results'!$U23)/('Inputs-Results'!$T23-'Inputs-Results'!$V23)*(U18-('Inputs-Results'!$V23-'Inputs-Results'!$X23)))*(U18-('Inputs-Results'!$V23-'Inputs-Results'!$X23))),0)+IF(U18&gt;'Inputs-Results'!$V23-'Inputs-Results'!$X23,(0.5*((U18+'Inputs-Results'!$X23-'Inputs-Results'!$V23)+U18)*ABS('Inputs-Results'!$U23-'Inputs-Results'!$W23)),0.5*(ABS('Inputs-Results'!$U23-'Inputs-Results'!$W23)/('Inputs-Results'!$V23-'Inputs-Results'!$X23)*U18)*U18)+IF(U18&gt;'Inputs-Results'!$Z23-'Inputs-Results'!$X23,(0.5*((U18+'Inputs-Results'!$X23-'Inputs-Results'!$Z23)+U18)*ABS('Inputs-Results'!$Y23-'Inputs-Results'!$W23)),0.5*(ABS('Inputs-Results'!$W23-'Inputs-Results'!$Y23)/('Inputs-Results'!$Z23-'Inputs-Results'!$X23)*U18)*U18)+IF(U18&gt;'Inputs-Results'!$Z23-'Inputs-Results'!$X23,(0.5*(ABS('Inputs-Results'!$Y23-'Inputs-Results'!$AA23)/('Inputs-Results'!$AB23-'Inputs-Results'!$Z23)*(U18-('Inputs-Results'!$Z23-'Inputs-Results'!$X23)))*(U18-('Inputs-Results'!$Z23-'Inputs-Results'!$X23))),0)</f>
        <v>#DIV/0!</v>
      </c>
      <c r="W18" s="19" t="e">
        <f>IF(U18&gt;'Inputs-Results'!$V$9-'Inputs-Results'!$X$9,SQRT(('Inputs-Results'!$U$9-'Inputs-Results'!$W$9)^2+('Inputs-Results'!$V$9-'Inputs-Results'!$X$9)^2)+SQRT(('Inputs-Results'!$W$9-'Inputs-Results'!$Y$9)^2+('Inputs-Results'!$X$9-'Inputs-Results'!$Z$9)^2)+SQRT((('Inputs-Results'!$S$9-'Inputs-Results'!$U$9)*(U18+'Inputs-Results'!$X$9-'Inputs-Results'!$V$9)/('Inputs-Results'!$T$9-'Inputs-Results'!$V$9))^2+(U18+'Inputs-Results'!$X$9-'Inputs-Results'!$V$9)^2)+SQRT((('Inputs-Results'!$AA$9-'Inputs-Results'!$Y$9)*(U18+'Inputs-Results'!$X$9-'Inputs-Results'!$Z$9)/('Inputs-Results'!$AB$9-'Inputs-Results'!$Z$9))^2+(U18+'Inputs-Results'!$X$9-'Inputs-Results'!$Z$9)^2),SQRT((('Inputs-Results'!$U$9-'Inputs-Results'!$W$9)*(U18)/('Inputs-Results'!$V$9-'Inputs-Results'!$X$9))^2+U18^2)+SQRT((('Inputs-Results'!$Y$9-'Inputs-Results'!$W$9)*U18/('Inputs-Results'!$Z$9-'Inputs-Results'!$X$9))^2+U18^2))</f>
        <v>#DIV/0!</v>
      </c>
      <c r="X18" s="19" t="e">
        <f t="shared" si="9"/>
        <v>#DIV/0!</v>
      </c>
      <c r="Y18" s="19" t="e">
        <f>1.49/'Inputs-Results'!$AC23*V18*X18^(2/3)*'Inputs-Results'!$AD23^0.5</f>
        <v>#DIV/0!</v>
      </c>
      <c r="Z18" s="27" t="e">
        <f t="shared" si="10"/>
        <v>#DIV/0!</v>
      </c>
      <c r="AA18" s="26">
        <f t="shared" si="11"/>
        <v>0</v>
      </c>
      <c r="AB18" s="19" t="e">
        <f>IF(AA18&gt;'Inputs-Results'!$V23-'Inputs-Results'!$X23,(0.5*(ABS('Inputs-Results'!$S23-'Inputs-Results'!$U23)/('Inputs-Results'!$T23-'Inputs-Results'!$V23)*(AA18-('Inputs-Results'!$V23-'Inputs-Results'!$X23)))*(AA18-('Inputs-Results'!$V23-'Inputs-Results'!$X23))),0)+IF(AA18&gt;'Inputs-Results'!$V23-'Inputs-Results'!$X23,(0.5*((AA18+'Inputs-Results'!$X23-'Inputs-Results'!$V23)+AA18)*ABS('Inputs-Results'!$U23-'Inputs-Results'!$W23)),0.5*(ABS('Inputs-Results'!$U23-'Inputs-Results'!$W23)/('Inputs-Results'!$V23-'Inputs-Results'!$X23)*AA18)*AA18)+IF(AA18&gt;'Inputs-Results'!$Z23-'Inputs-Results'!$X23,(0.5*((AA18+'Inputs-Results'!$X23-'Inputs-Results'!$Z23)+AA18)*ABS('Inputs-Results'!$Y23-'Inputs-Results'!$W23)),0.5*(ABS('Inputs-Results'!$W23-'Inputs-Results'!$Y23)/('Inputs-Results'!$Z23-'Inputs-Results'!$X23)*AA18)*AA18)+IF(AA18&gt;'Inputs-Results'!$Z23-'Inputs-Results'!$X23,(0.5*(ABS('Inputs-Results'!$Y23-'Inputs-Results'!$AA23)/('Inputs-Results'!$AB23-'Inputs-Results'!$Z23)*(AA18-('Inputs-Results'!$Z23-'Inputs-Results'!$X23)))*(AA18-('Inputs-Results'!$Z23-'Inputs-Results'!$X23))),0)</f>
        <v>#DIV/0!</v>
      </c>
      <c r="AC18" s="19" t="e">
        <f>IF(AA18&gt;'Inputs-Results'!$V$9-'Inputs-Results'!$X$9,SQRT(('Inputs-Results'!$U$9-'Inputs-Results'!$W$9)^2+('Inputs-Results'!$V$9-'Inputs-Results'!$X$9)^2)+SQRT(('Inputs-Results'!$W$9-'Inputs-Results'!$Y$9)^2+('Inputs-Results'!$X$9-'Inputs-Results'!$Z$9)^2)+SQRT((('Inputs-Results'!$S$9-'Inputs-Results'!$U$9)*(AA18+'Inputs-Results'!$X$9-'Inputs-Results'!$V$9)/('Inputs-Results'!$T$9-'Inputs-Results'!$V$9))^2+(AA18+'Inputs-Results'!$X$9-'Inputs-Results'!$V$9)^2)+SQRT((('Inputs-Results'!$AA$9-'Inputs-Results'!$Y$9)*(AA18+'Inputs-Results'!$X$9-'Inputs-Results'!$Z$9)/('Inputs-Results'!$AB$9-'Inputs-Results'!$Z$9))^2+(AA18+'Inputs-Results'!$X$9-'Inputs-Results'!$Z$9)^2),SQRT((('Inputs-Results'!$U$9-'Inputs-Results'!$W$9)*(AA18)/('Inputs-Results'!$V$9-'Inputs-Results'!$X$9))^2+AA18^2)+SQRT((('Inputs-Results'!$Y$9-'Inputs-Results'!$W$9)*AA18/('Inputs-Results'!$Z$9-'Inputs-Results'!$X$9))^2+AA18^2))</f>
        <v>#DIV/0!</v>
      </c>
      <c r="AD18" s="19" t="e">
        <f t="shared" si="12"/>
        <v>#DIV/0!</v>
      </c>
      <c r="AE18" s="19" t="e">
        <f>1.49/'Inputs-Results'!$AC23*AB18*AD18^(2/3)*'Inputs-Results'!$AD23^0.5</f>
        <v>#DIV/0!</v>
      </c>
      <c r="AF18" s="27" t="e">
        <f t="shared" si="13"/>
        <v>#DIV/0!</v>
      </c>
      <c r="AG18" s="26">
        <f t="shared" si="14"/>
        <v>0</v>
      </c>
      <c r="AH18" s="19" t="e">
        <f>IF(AG18&gt;'Inputs-Results'!$V23-'Inputs-Results'!$X23,(0.5*(ABS('Inputs-Results'!$S23-'Inputs-Results'!$U23)/('Inputs-Results'!$T23-'Inputs-Results'!$V23)*(AG18-('Inputs-Results'!$V23-'Inputs-Results'!$X23)))*(AG18-('Inputs-Results'!$V23-'Inputs-Results'!$X23))),0)+IF(AG18&gt;'Inputs-Results'!$V23-'Inputs-Results'!$X23,(0.5*((AG18+'Inputs-Results'!$X23-'Inputs-Results'!$V23)+AG18)*ABS('Inputs-Results'!$U23-'Inputs-Results'!$W23)),0.5*(ABS('Inputs-Results'!$U23-'Inputs-Results'!$W23)/('Inputs-Results'!$V23-'Inputs-Results'!$X23)*AG18)*AG18)+IF(AG18&gt;'Inputs-Results'!$Z23-'Inputs-Results'!$X23,(0.5*((AG18+'Inputs-Results'!$X23-'Inputs-Results'!$Z23)+AG18)*ABS('Inputs-Results'!$Y23-'Inputs-Results'!$W23)),0.5*(ABS('Inputs-Results'!$W23-'Inputs-Results'!$Y23)/('Inputs-Results'!$Z23-'Inputs-Results'!$X23)*AG18)*AG18)+IF(AG18&gt;'Inputs-Results'!$Z23-'Inputs-Results'!$X23,(0.5*(ABS('Inputs-Results'!$Y23-'Inputs-Results'!$AA23)/('Inputs-Results'!$AB23-'Inputs-Results'!$Z23)*(AG18-('Inputs-Results'!$Z23-'Inputs-Results'!$X23)))*(AG18-('Inputs-Results'!$Z23-'Inputs-Results'!$X23))),0)</f>
        <v>#DIV/0!</v>
      </c>
      <c r="AI18" s="19" t="e">
        <f>IF(AG18&gt;'Inputs-Results'!$V$9-'Inputs-Results'!$X$9,SQRT(('Inputs-Results'!$U$9-'Inputs-Results'!$W$9)^2+('Inputs-Results'!$V$9-'Inputs-Results'!$X$9)^2)+SQRT(('Inputs-Results'!$W$9-'Inputs-Results'!$Y$9)^2+('Inputs-Results'!$X$9-'Inputs-Results'!$Z$9)^2)+SQRT((('Inputs-Results'!$S$9-'Inputs-Results'!$U$9)*(AG18+'Inputs-Results'!$X$9-'Inputs-Results'!$V$9)/('Inputs-Results'!$T$9-'Inputs-Results'!$V$9))^2+(AG18+'Inputs-Results'!$X$9-'Inputs-Results'!$V$9)^2)+SQRT((('Inputs-Results'!$AA$9-'Inputs-Results'!$Y$9)*(AG18+'Inputs-Results'!$X$9-'Inputs-Results'!$Z$9)/('Inputs-Results'!$AB$9-'Inputs-Results'!$Z$9))^2+(AG18+'Inputs-Results'!$X$9-'Inputs-Results'!$Z$9)^2),SQRT((('Inputs-Results'!$U$9-'Inputs-Results'!$W$9)*(AG18)/('Inputs-Results'!$V$9-'Inputs-Results'!$X$9))^2+AG18^2)+SQRT((('Inputs-Results'!$Y$9-'Inputs-Results'!$W$9)*AG18/('Inputs-Results'!$Z$9-'Inputs-Results'!$X$9))^2+AG18^2))</f>
        <v>#DIV/0!</v>
      </c>
      <c r="AJ18" s="19" t="e">
        <f t="shared" si="15"/>
        <v>#DIV/0!</v>
      </c>
      <c r="AK18" s="19" t="e">
        <f>1.49/'Inputs-Results'!$AC23*AH18*AJ18^(2/3)*'Inputs-Results'!$AD23^0.5</f>
        <v>#DIV/0!</v>
      </c>
      <c r="AL18" s="27" t="e">
        <f t="shared" si="16"/>
        <v>#DIV/0!</v>
      </c>
      <c r="AM18" s="26">
        <f t="shared" si="17"/>
        <v>0</v>
      </c>
      <c r="AN18" s="19" t="e">
        <f>IF(AM18&gt;'Inputs-Results'!$V23-'Inputs-Results'!$X23,(0.5*(ABS('Inputs-Results'!$S23-'Inputs-Results'!$U23)/('Inputs-Results'!$T23-'Inputs-Results'!$V23)*(AM18-('Inputs-Results'!$V23-'Inputs-Results'!$X23)))*(AM18-('Inputs-Results'!$V23-'Inputs-Results'!$X23))),0)+IF(AM18&gt;'Inputs-Results'!$V23-'Inputs-Results'!$X23,(0.5*((AM18+'Inputs-Results'!$X23-'Inputs-Results'!$V23)+AM18)*ABS('Inputs-Results'!$U23-'Inputs-Results'!$W23)),0.5*(ABS('Inputs-Results'!$U23-'Inputs-Results'!$W23)/('Inputs-Results'!$V23-'Inputs-Results'!$X23)*AM18)*AM18)+IF(AM18&gt;'Inputs-Results'!$Z23-'Inputs-Results'!$X23,(0.5*((AM18+'Inputs-Results'!$X23-'Inputs-Results'!$Z23)+AM18)*ABS('Inputs-Results'!$Y23-'Inputs-Results'!$W23)),0.5*(ABS('Inputs-Results'!$W23-'Inputs-Results'!$Y23)/('Inputs-Results'!$Z23-'Inputs-Results'!$X23)*AM18)*AM18)+IF(AM18&gt;'Inputs-Results'!$Z23-'Inputs-Results'!$X23,(0.5*(ABS('Inputs-Results'!$Y23-'Inputs-Results'!$AA23)/('Inputs-Results'!$AB23-'Inputs-Results'!$Z23)*(AM18-('Inputs-Results'!$Z23-'Inputs-Results'!$X23)))*(AM18-('Inputs-Results'!$Z23-'Inputs-Results'!$X23))),0)</f>
        <v>#DIV/0!</v>
      </c>
      <c r="AO18" s="19" t="e">
        <f>IF(AM18&gt;'Inputs-Results'!$V$9-'Inputs-Results'!$X$9,SQRT(('Inputs-Results'!$U$9-'Inputs-Results'!$W$9)^2+('Inputs-Results'!$V$9-'Inputs-Results'!$X$9)^2)+SQRT(('Inputs-Results'!$W$9-'Inputs-Results'!$Y$9)^2+('Inputs-Results'!$X$9-'Inputs-Results'!$Z$9)^2)+SQRT((('Inputs-Results'!$S$9-'Inputs-Results'!$U$9)*(AM18+'Inputs-Results'!$X$9-'Inputs-Results'!$V$9)/('Inputs-Results'!$T$9-'Inputs-Results'!$V$9))^2+(AM18+'Inputs-Results'!$X$9-'Inputs-Results'!$V$9)^2)+SQRT((('Inputs-Results'!$AA$9-'Inputs-Results'!$Y$9)*(AM18+'Inputs-Results'!$X$9-'Inputs-Results'!$Z$9)/('Inputs-Results'!$AB$9-'Inputs-Results'!$Z$9))^2+(AM18+'Inputs-Results'!$X$9-'Inputs-Results'!$Z$9)^2),SQRT((('Inputs-Results'!$U$9-'Inputs-Results'!$W$9)*(AM18)/('Inputs-Results'!$V$9-'Inputs-Results'!$X$9))^2+AM18^2)+SQRT((('Inputs-Results'!$Y$9-'Inputs-Results'!$W$9)*AM18/('Inputs-Results'!$Z$9-'Inputs-Results'!$X$9))^2+AM18^2))</f>
        <v>#DIV/0!</v>
      </c>
      <c r="AP18" s="19" t="e">
        <f t="shared" si="18"/>
        <v>#DIV/0!</v>
      </c>
      <c r="AQ18" s="19" t="e">
        <f>1.49/'Inputs-Results'!$AC23*AN18*AP18^(2/3)*'Inputs-Results'!$AD23^0.5</f>
        <v>#DIV/0!</v>
      </c>
      <c r="AR18" s="27" t="e">
        <f t="shared" si="19"/>
        <v>#DIV/0!</v>
      </c>
      <c r="AS18" s="26">
        <f t="shared" si="20"/>
        <v>0</v>
      </c>
      <c r="AT18" s="19" t="e">
        <f>IF(AS18&gt;'Inputs-Results'!$V23-'Inputs-Results'!$X23,(0.5*(ABS('Inputs-Results'!$S23-'Inputs-Results'!$U23)/('Inputs-Results'!$T23-'Inputs-Results'!$V23)*(AS18-('Inputs-Results'!$V23-'Inputs-Results'!$X23)))*(AS18-('Inputs-Results'!$V23-'Inputs-Results'!$X23))),0)+IF(AS18&gt;'Inputs-Results'!$V23-'Inputs-Results'!$X23,(0.5*((AS18+'Inputs-Results'!$X23-'Inputs-Results'!$V23)+AS18)*ABS('Inputs-Results'!$U23-'Inputs-Results'!$W23)),0.5*(ABS('Inputs-Results'!$U23-'Inputs-Results'!$W23)/('Inputs-Results'!$V23-'Inputs-Results'!$X23)*AS18)*AS18)+IF(AS18&gt;'Inputs-Results'!$Z23-'Inputs-Results'!$X23,(0.5*((AS18+'Inputs-Results'!$X23-'Inputs-Results'!$Z23)+AS18)*ABS('Inputs-Results'!$Y23-'Inputs-Results'!$W23)),0.5*(ABS('Inputs-Results'!$W23-'Inputs-Results'!$Y23)/('Inputs-Results'!$Z23-'Inputs-Results'!$X23)*AS18)*AS18)+IF(AS18&gt;'Inputs-Results'!$Z23-'Inputs-Results'!$X23,(0.5*(ABS('Inputs-Results'!$Y23-'Inputs-Results'!$AA23)/('Inputs-Results'!$AB23-'Inputs-Results'!$Z23)*(AS18-('Inputs-Results'!$Z23-'Inputs-Results'!$X23)))*(AS18-('Inputs-Results'!$Z23-'Inputs-Results'!$X23))),0)</f>
        <v>#DIV/0!</v>
      </c>
      <c r="AU18" s="19" t="e">
        <f>IF(AS18&gt;'Inputs-Results'!$V$9-'Inputs-Results'!$X$9,SQRT(('Inputs-Results'!$U$9-'Inputs-Results'!$W$9)^2+('Inputs-Results'!$V$9-'Inputs-Results'!$X$9)^2)+SQRT(('Inputs-Results'!$W$9-'Inputs-Results'!$Y$9)^2+('Inputs-Results'!$X$9-'Inputs-Results'!$Z$9)^2)+SQRT((('Inputs-Results'!$S$9-'Inputs-Results'!$U$9)*(AS18+'Inputs-Results'!$X$9-'Inputs-Results'!$V$9)/('Inputs-Results'!$T$9-'Inputs-Results'!$V$9))^2+(AS18+'Inputs-Results'!$X$9-'Inputs-Results'!$V$9)^2)+SQRT((('Inputs-Results'!$AA$9-'Inputs-Results'!$Y$9)*(AS18+'Inputs-Results'!$X$9-'Inputs-Results'!$Z$9)/('Inputs-Results'!$AB$9-'Inputs-Results'!$Z$9))^2+(AS18+'Inputs-Results'!$X$9-'Inputs-Results'!$Z$9)^2),SQRT((('Inputs-Results'!$U$9-'Inputs-Results'!$W$9)*(AS18)/('Inputs-Results'!$V$9-'Inputs-Results'!$X$9))^2+AS18^2)+SQRT((('Inputs-Results'!$Y$9-'Inputs-Results'!$W$9)*AS18/('Inputs-Results'!$Z$9-'Inputs-Results'!$X$9))^2+AS18^2))</f>
        <v>#DIV/0!</v>
      </c>
      <c r="AV18" s="19" t="e">
        <f t="shared" si="21"/>
        <v>#DIV/0!</v>
      </c>
      <c r="AW18" s="19" t="e">
        <f>1.49/'Inputs-Results'!$AC23*AT18*AV18^(2/3)*'Inputs-Results'!$AD23^0.5</f>
        <v>#DIV/0!</v>
      </c>
      <c r="AX18" s="27" t="e">
        <f t="shared" si="22"/>
        <v>#DIV/0!</v>
      </c>
      <c r="AY18" s="26">
        <f t="shared" si="23"/>
        <v>0</v>
      </c>
      <c r="AZ18" s="19" t="e">
        <f>IF(AY18&gt;'Inputs-Results'!$V23-'Inputs-Results'!$X23,(0.5*(ABS('Inputs-Results'!$S23-'Inputs-Results'!$U23)/('Inputs-Results'!$T23-'Inputs-Results'!$V23)*(AY18-('Inputs-Results'!$V23-'Inputs-Results'!$X23)))*(AY18-('Inputs-Results'!$V23-'Inputs-Results'!$X23))),0)+IF(AY18&gt;'Inputs-Results'!$V23-'Inputs-Results'!$X23,(0.5*((AY18+'Inputs-Results'!$X23-'Inputs-Results'!$V23)+AY18)*ABS('Inputs-Results'!$U23-'Inputs-Results'!$W23)),0.5*(ABS('Inputs-Results'!$U23-'Inputs-Results'!$W23)/('Inputs-Results'!$V23-'Inputs-Results'!$X23)*AY18)*AY18)+IF(AY18&gt;'Inputs-Results'!$Z23-'Inputs-Results'!$X23,(0.5*((AY18+'Inputs-Results'!$X23-'Inputs-Results'!$Z23)+AY18)*ABS('Inputs-Results'!$Y23-'Inputs-Results'!$W23)),0.5*(ABS('Inputs-Results'!$W23-'Inputs-Results'!$Y23)/('Inputs-Results'!$Z23-'Inputs-Results'!$X23)*AY18)*AY18)+IF(AY18&gt;'Inputs-Results'!$Z23-'Inputs-Results'!$X23,(0.5*(ABS('Inputs-Results'!$Y23-'Inputs-Results'!$AA23)/('Inputs-Results'!$AB23-'Inputs-Results'!$Z23)*(AY18-('Inputs-Results'!$Z23-'Inputs-Results'!$X23)))*(AY18-('Inputs-Results'!$Z23-'Inputs-Results'!$X23))),0)</f>
        <v>#DIV/0!</v>
      </c>
      <c r="BA18" s="19" t="e">
        <f>IF(AY18&gt;'Inputs-Results'!$V$9-'Inputs-Results'!$X$9,SQRT(('Inputs-Results'!$U$9-'Inputs-Results'!$W$9)^2+('Inputs-Results'!$V$9-'Inputs-Results'!$X$9)^2)+SQRT(('Inputs-Results'!$W$9-'Inputs-Results'!$Y$9)^2+('Inputs-Results'!$X$9-'Inputs-Results'!$Z$9)^2)+SQRT((('Inputs-Results'!$S$9-'Inputs-Results'!$U$9)*(AY18+'Inputs-Results'!$X$9-'Inputs-Results'!$V$9)/('Inputs-Results'!$T$9-'Inputs-Results'!$V$9))^2+(AY18+'Inputs-Results'!$X$9-'Inputs-Results'!$V$9)^2)+SQRT((('Inputs-Results'!$AA$9-'Inputs-Results'!$Y$9)*(AY18+'Inputs-Results'!$X$9-'Inputs-Results'!$Z$9)/('Inputs-Results'!$AB$9-'Inputs-Results'!$Z$9))^2+(AY18+'Inputs-Results'!$X$9-'Inputs-Results'!$Z$9)^2),SQRT((('Inputs-Results'!$U$9-'Inputs-Results'!$W$9)*(AY18)/('Inputs-Results'!$V$9-'Inputs-Results'!$X$9))^2+AY18^2)+SQRT((('Inputs-Results'!$Y$9-'Inputs-Results'!$W$9)*AY18/('Inputs-Results'!$Z$9-'Inputs-Results'!$X$9))^2+AY18^2))</f>
        <v>#DIV/0!</v>
      </c>
      <c r="BB18" s="19" t="e">
        <f t="shared" si="24"/>
        <v>#DIV/0!</v>
      </c>
      <c r="BC18" s="19" t="e">
        <f>1.49/'Inputs-Results'!$AC23*AZ18*BB18^(2/3)*'Inputs-Results'!$AD23^0.5</f>
        <v>#DIV/0!</v>
      </c>
      <c r="BD18" s="27" t="e">
        <f t="shared" si="25"/>
        <v>#DIV/0!</v>
      </c>
      <c r="BE18" s="26">
        <f t="shared" si="26"/>
        <v>0</v>
      </c>
      <c r="BF18" s="19" t="e">
        <f>IF(BE18&gt;'Inputs-Results'!$V23-'Inputs-Results'!$X23,(0.5*(ABS('Inputs-Results'!$S23-'Inputs-Results'!$U23)/('Inputs-Results'!$T23-'Inputs-Results'!$V23)*(BE18-('Inputs-Results'!$V23-'Inputs-Results'!$X23)))*(BE18-('Inputs-Results'!$V23-'Inputs-Results'!$X23))),0)+IF(BE18&gt;'Inputs-Results'!$V23-'Inputs-Results'!$X23,(0.5*((BE18+'Inputs-Results'!$X23-'Inputs-Results'!$V23)+BE18)*ABS('Inputs-Results'!$U23-'Inputs-Results'!$W23)),0.5*(ABS('Inputs-Results'!$U23-'Inputs-Results'!$W23)/('Inputs-Results'!$V23-'Inputs-Results'!$X23)*BE18)*BE18)+IF(BE18&gt;'Inputs-Results'!$Z23-'Inputs-Results'!$X23,(0.5*((BE18+'Inputs-Results'!$X23-'Inputs-Results'!$Z23)+BE18)*ABS('Inputs-Results'!$Y23-'Inputs-Results'!$W23)),0.5*(ABS('Inputs-Results'!$W23-'Inputs-Results'!$Y23)/('Inputs-Results'!$Z23-'Inputs-Results'!$X23)*BE18)*BE18)+IF(BE18&gt;'Inputs-Results'!$Z23-'Inputs-Results'!$X23,(0.5*(ABS('Inputs-Results'!$Y23-'Inputs-Results'!$AA23)/('Inputs-Results'!$AB23-'Inputs-Results'!$Z23)*(BE18-('Inputs-Results'!$Z23-'Inputs-Results'!$X23)))*(BE18-('Inputs-Results'!$Z23-'Inputs-Results'!$X23))),0)</f>
        <v>#DIV/0!</v>
      </c>
      <c r="BG18" s="19" t="e">
        <f>IF(BE18&gt;'Inputs-Results'!$V$9-'Inputs-Results'!$X$9,SQRT(('Inputs-Results'!$U$9-'Inputs-Results'!$W$9)^2+('Inputs-Results'!$V$9-'Inputs-Results'!$X$9)^2)+SQRT(('Inputs-Results'!$W$9-'Inputs-Results'!$Y$9)^2+('Inputs-Results'!$X$9-'Inputs-Results'!$Z$9)^2)+SQRT((('Inputs-Results'!$S$9-'Inputs-Results'!$U$9)*(BE18+'Inputs-Results'!$X$9-'Inputs-Results'!$V$9)/('Inputs-Results'!$T$9-'Inputs-Results'!$V$9))^2+(BE18+'Inputs-Results'!$X$9-'Inputs-Results'!$V$9)^2)+SQRT((('Inputs-Results'!$AA$9-'Inputs-Results'!$Y$9)*(BE18+'Inputs-Results'!$X$9-'Inputs-Results'!$Z$9)/('Inputs-Results'!$AB$9-'Inputs-Results'!$Z$9))^2+(BE18+'Inputs-Results'!$X$9-'Inputs-Results'!$Z$9)^2),SQRT((('Inputs-Results'!$U$9-'Inputs-Results'!$W$9)*(BE18)/('Inputs-Results'!$V$9-'Inputs-Results'!$X$9))^2+BE18^2)+SQRT((('Inputs-Results'!$Y$9-'Inputs-Results'!$W$9)*BE18/('Inputs-Results'!$Z$9-'Inputs-Results'!$X$9))^2+BE18^2))</f>
        <v>#DIV/0!</v>
      </c>
      <c r="BH18" s="19" t="e">
        <f t="shared" si="27"/>
        <v>#DIV/0!</v>
      </c>
      <c r="BI18" s="19" t="e">
        <f>1.49/'Inputs-Results'!$AC23*BF18*BH18^(2/3)*'Inputs-Results'!$AD23^0.5</f>
        <v>#DIV/0!</v>
      </c>
      <c r="BJ18" s="27" t="e">
        <f t="shared" si="28"/>
        <v>#DIV/0!</v>
      </c>
    </row>
    <row r="19" spans="1:62" x14ac:dyDescent="0.25">
      <c r="A19" s="2">
        <v>0</v>
      </c>
      <c r="B19" s="17"/>
      <c r="C19" s="26">
        <f>MIN('Inputs-Results'!T24-'Inputs-Results'!X24,'Inputs-Results'!AB24-'Inputs-Results'!X24)</f>
        <v>0</v>
      </c>
      <c r="D19" s="19" t="e">
        <f>IF(C19&gt;'Inputs-Results'!$V24-'Inputs-Results'!$X24,(0.5*(ABS('Inputs-Results'!$S24-'Inputs-Results'!$U24)/('Inputs-Results'!$T24-'Inputs-Results'!$V24)*(C19-('Inputs-Results'!$V24-'Inputs-Results'!$X24)))*(C19-('Inputs-Results'!$V24-'Inputs-Results'!$X24))),0)+IF(C19&gt;'Inputs-Results'!$V24-'Inputs-Results'!$X24,(0.5*((C19+'Inputs-Results'!$X24-'Inputs-Results'!$V24)+C19)*ABS('Inputs-Results'!$U24-'Inputs-Results'!$W24)),0.5*(ABS('Inputs-Results'!$U24-'Inputs-Results'!$W24)/('Inputs-Results'!$V24-'Inputs-Results'!$X24)*C19)*C19)+IF(C19&gt;'Inputs-Results'!$Z24-'Inputs-Results'!$X24,(0.5*((C19+'Inputs-Results'!$X24-'Inputs-Results'!$Z24)+C19)*ABS('Inputs-Results'!$Y24-'Inputs-Results'!$W24)),0.5*(ABS('Inputs-Results'!$W24-'Inputs-Results'!$Y24)/('Inputs-Results'!$Z24-'Inputs-Results'!$X24)*C19)*C19)+IF(C19&gt;'Inputs-Results'!$Z24-'Inputs-Results'!$X24,(0.5*(ABS('Inputs-Results'!$Y24-'Inputs-Results'!$AA24)/('Inputs-Results'!$AB24-'Inputs-Results'!$Z24)*(C19-('Inputs-Results'!$Z24-'Inputs-Results'!$X24)))*(C19-('Inputs-Results'!$Z24-'Inputs-Results'!$X24))),0)</f>
        <v>#DIV/0!</v>
      </c>
      <c r="E19" s="19" t="e">
        <f>IF(C19&gt;'Inputs-Results'!$V$9-'Inputs-Results'!$X$9,SQRT(('Inputs-Results'!$U$9-'Inputs-Results'!$W$9)^2+('Inputs-Results'!$V$9-'Inputs-Results'!$X$9)^2)+SQRT(('Inputs-Results'!$W$9-'Inputs-Results'!$Y$9)^2+('Inputs-Results'!$X$9-'Inputs-Results'!$Z$9)^2)+SQRT((('Inputs-Results'!$S$9-'Inputs-Results'!$U$9)*(C19+'Inputs-Results'!$X$9-'Inputs-Results'!$V$9)/('Inputs-Results'!$T$9-'Inputs-Results'!$V$9))^2+(C19+'Inputs-Results'!$X$9-'Inputs-Results'!$V$9)^2)+SQRT((('Inputs-Results'!$AA$9-'Inputs-Results'!$Y$9)*(C19+'Inputs-Results'!$X$9-'Inputs-Results'!$Z$9)/('Inputs-Results'!$AB$9-'Inputs-Results'!$Z$9))^2+(C19+'Inputs-Results'!$X$9-'Inputs-Results'!$Z$9)^2),SQRT((('Inputs-Results'!$U$9-'Inputs-Results'!$W$9)*(C19)/('Inputs-Results'!$V$9-'Inputs-Results'!$X$9))^2+C19^2)+SQRT((('Inputs-Results'!$Y$9-'Inputs-Results'!$W$9)*C19/('Inputs-Results'!$Z$9-'Inputs-Results'!$X$9))^2+C19^2))</f>
        <v>#DIV/0!</v>
      </c>
      <c r="F19" s="19" t="e">
        <f t="shared" si="0"/>
        <v>#DIV/0!</v>
      </c>
      <c r="G19" s="19" t="e">
        <f>1.49/'Inputs-Results'!AC24*D19*F19^(2/3)*'Inputs-Results'!AD24^0.5</f>
        <v>#DIV/0!</v>
      </c>
      <c r="H19" s="27" t="e">
        <f t="shared" si="1"/>
        <v>#DIV/0!</v>
      </c>
      <c r="I19" s="26">
        <f t="shared" si="2"/>
        <v>0</v>
      </c>
      <c r="J19" s="19" t="e">
        <f>IF(I19&gt;'Inputs-Results'!$V24-'Inputs-Results'!$X24,(0.5*(ABS('Inputs-Results'!$S24-'Inputs-Results'!$U24)/('Inputs-Results'!$T24-'Inputs-Results'!$V24)*(I19-('Inputs-Results'!$V24-'Inputs-Results'!$X24)))*(I19-('Inputs-Results'!$V24-'Inputs-Results'!$X24))),0)+IF(I19&gt;'Inputs-Results'!$V24-'Inputs-Results'!$X24,(0.5*((I19+'Inputs-Results'!$X24-'Inputs-Results'!$V24)+I19)*ABS('Inputs-Results'!$U24-'Inputs-Results'!$W24)),0.5*(ABS('Inputs-Results'!$U24-'Inputs-Results'!$W24)/('Inputs-Results'!$V24-'Inputs-Results'!$X24)*I19)*I19)+IF(I19&gt;'Inputs-Results'!$Z24-'Inputs-Results'!$X24,(0.5*((I19+'Inputs-Results'!$X24-'Inputs-Results'!$Z24)+I19)*ABS('Inputs-Results'!$Y24-'Inputs-Results'!$W24)),0.5*(ABS('Inputs-Results'!$W24-'Inputs-Results'!$Y24)/('Inputs-Results'!$Z24-'Inputs-Results'!$X24)*I19)*I19)+IF(I19&gt;'Inputs-Results'!$Z24-'Inputs-Results'!$X24,(0.5*(ABS('Inputs-Results'!$Y24-'Inputs-Results'!$AA24)/('Inputs-Results'!$AB24-'Inputs-Results'!$Z24)*(I19-('Inputs-Results'!$Z24-'Inputs-Results'!$X24)))*(I19-('Inputs-Results'!$Z24-'Inputs-Results'!$X24))),0)</f>
        <v>#DIV/0!</v>
      </c>
      <c r="K19" s="19" t="e">
        <f>IF(I19&gt;'Inputs-Results'!$V$9-'Inputs-Results'!$X$9,SQRT(('Inputs-Results'!$U$9-'Inputs-Results'!$W$9)^2+('Inputs-Results'!$V$9-'Inputs-Results'!$X$9)^2)+SQRT(('Inputs-Results'!$W$9-'Inputs-Results'!$Y$9)^2+('Inputs-Results'!$X$9-'Inputs-Results'!$Z$9)^2)+SQRT((('Inputs-Results'!$S$9-'Inputs-Results'!$U$9)*(I19+'Inputs-Results'!$X$9-'Inputs-Results'!$V$9)/('Inputs-Results'!$T$9-'Inputs-Results'!$V$9))^2+(I19+'Inputs-Results'!$X$9-'Inputs-Results'!$V$9)^2)+SQRT((('Inputs-Results'!$AA$9-'Inputs-Results'!$Y$9)*(I19+'Inputs-Results'!$X$9-'Inputs-Results'!$Z$9)/('Inputs-Results'!$AB$9-'Inputs-Results'!$Z$9))^2+(I19+'Inputs-Results'!$X$9-'Inputs-Results'!$Z$9)^2),SQRT((('Inputs-Results'!$U$9-'Inputs-Results'!$W$9)*(I19)/('Inputs-Results'!$V$9-'Inputs-Results'!$X$9))^2+I19^2)+SQRT((('Inputs-Results'!$Y$9-'Inputs-Results'!$W$9)*I19/('Inputs-Results'!$Z$9-'Inputs-Results'!$X$9))^2+I19^2))</f>
        <v>#DIV/0!</v>
      </c>
      <c r="L19" s="19" t="e">
        <f t="shared" si="3"/>
        <v>#DIV/0!</v>
      </c>
      <c r="M19" s="19" t="e">
        <f>1.49/'Inputs-Results'!$AC24*J19*L19^(2/3)*'Inputs-Results'!$AD24^0.5</f>
        <v>#DIV/0!</v>
      </c>
      <c r="N19" s="27" t="e">
        <f t="shared" si="4"/>
        <v>#DIV/0!</v>
      </c>
      <c r="O19" s="26">
        <f t="shared" si="5"/>
        <v>0</v>
      </c>
      <c r="P19" s="19" t="e">
        <f>IF(O19&gt;'Inputs-Results'!$V24-'Inputs-Results'!$X24,(0.5*(ABS('Inputs-Results'!$S24-'Inputs-Results'!$U24)/('Inputs-Results'!$T24-'Inputs-Results'!$V24)*(O19-('Inputs-Results'!$V24-'Inputs-Results'!$X24)))*(O19-('Inputs-Results'!$V24-'Inputs-Results'!$X24))),0)+IF(O19&gt;'Inputs-Results'!$V24-'Inputs-Results'!$X24,(0.5*((O19+'Inputs-Results'!$X24-'Inputs-Results'!$V24)+O19)*ABS('Inputs-Results'!$U24-'Inputs-Results'!$W24)),0.5*(ABS('Inputs-Results'!$U24-'Inputs-Results'!$W24)/('Inputs-Results'!$V24-'Inputs-Results'!$X24)*O19)*O19)+IF(O19&gt;'Inputs-Results'!$Z24-'Inputs-Results'!$X24,(0.5*((O19+'Inputs-Results'!$X24-'Inputs-Results'!$Z24)+O19)*ABS('Inputs-Results'!$Y24-'Inputs-Results'!$W24)),0.5*(ABS('Inputs-Results'!$W24-'Inputs-Results'!$Y24)/('Inputs-Results'!$Z24-'Inputs-Results'!$X24)*O19)*O19)+IF(O19&gt;'Inputs-Results'!$Z24-'Inputs-Results'!$X24,(0.5*(ABS('Inputs-Results'!$Y24-'Inputs-Results'!$AA24)/('Inputs-Results'!$AB24-'Inputs-Results'!$Z24)*(O19-('Inputs-Results'!$Z24-'Inputs-Results'!$X24)))*(O19-('Inputs-Results'!$Z24-'Inputs-Results'!$X24))),0)</f>
        <v>#DIV/0!</v>
      </c>
      <c r="Q19" s="19" t="e">
        <f>IF(O19&gt;'Inputs-Results'!$V$9-'Inputs-Results'!$X$9,SQRT(('Inputs-Results'!$U$9-'Inputs-Results'!$W$9)^2+('Inputs-Results'!$V$9-'Inputs-Results'!$X$9)^2)+SQRT(('Inputs-Results'!$W$9-'Inputs-Results'!$Y$9)^2+('Inputs-Results'!$X$9-'Inputs-Results'!$Z$9)^2)+SQRT((('Inputs-Results'!$S$9-'Inputs-Results'!$U$9)*(O19+'Inputs-Results'!$X$9-'Inputs-Results'!$V$9)/('Inputs-Results'!$T$9-'Inputs-Results'!$V$9))^2+(O19+'Inputs-Results'!$X$9-'Inputs-Results'!$V$9)^2)+SQRT((('Inputs-Results'!$AA$9-'Inputs-Results'!$Y$9)*(O19+'Inputs-Results'!$X$9-'Inputs-Results'!$Z$9)/('Inputs-Results'!$AB$9-'Inputs-Results'!$Z$9))^2+(O19+'Inputs-Results'!$X$9-'Inputs-Results'!$Z$9)^2),SQRT((('Inputs-Results'!$U$9-'Inputs-Results'!$W$9)*(O19)/('Inputs-Results'!$V$9-'Inputs-Results'!$X$9))^2+O19^2)+SQRT((('Inputs-Results'!$Y$9-'Inputs-Results'!$W$9)*O19/('Inputs-Results'!$Z$9-'Inputs-Results'!$X$9))^2+O19^2))</f>
        <v>#DIV/0!</v>
      </c>
      <c r="R19" s="19" t="e">
        <f t="shared" si="6"/>
        <v>#DIV/0!</v>
      </c>
      <c r="S19" s="19" t="e">
        <f>1.49/'Inputs-Results'!$AC24*P19*R19^(2/3)*'Inputs-Results'!$AD24^0.5</f>
        <v>#DIV/0!</v>
      </c>
      <c r="T19" s="27" t="e">
        <f t="shared" si="7"/>
        <v>#DIV/0!</v>
      </c>
      <c r="U19" s="26">
        <f t="shared" si="8"/>
        <v>0</v>
      </c>
      <c r="V19" s="19" t="e">
        <f>IF(U19&gt;'Inputs-Results'!$V24-'Inputs-Results'!$X24,(0.5*(ABS('Inputs-Results'!$S24-'Inputs-Results'!$U24)/('Inputs-Results'!$T24-'Inputs-Results'!$V24)*(U19-('Inputs-Results'!$V24-'Inputs-Results'!$X24)))*(U19-('Inputs-Results'!$V24-'Inputs-Results'!$X24))),0)+IF(U19&gt;'Inputs-Results'!$V24-'Inputs-Results'!$X24,(0.5*((U19+'Inputs-Results'!$X24-'Inputs-Results'!$V24)+U19)*ABS('Inputs-Results'!$U24-'Inputs-Results'!$W24)),0.5*(ABS('Inputs-Results'!$U24-'Inputs-Results'!$W24)/('Inputs-Results'!$V24-'Inputs-Results'!$X24)*U19)*U19)+IF(U19&gt;'Inputs-Results'!$Z24-'Inputs-Results'!$X24,(0.5*((U19+'Inputs-Results'!$X24-'Inputs-Results'!$Z24)+U19)*ABS('Inputs-Results'!$Y24-'Inputs-Results'!$W24)),0.5*(ABS('Inputs-Results'!$W24-'Inputs-Results'!$Y24)/('Inputs-Results'!$Z24-'Inputs-Results'!$X24)*U19)*U19)+IF(U19&gt;'Inputs-Results'!$Z24-'Inputs-Results'!$X24,(0.5*(ABS('Inputs-Results'!$Y24-'Inputs-Results'!$AA24)/('Inputs-Results'!$AB24-'Inputs-Results'!$Z24)*(U19-('Inputs-Results'!$Z24-'Inputs-Results'!$X24)))*(U19-('Inputs-Results'!$Z24-'Inputs-Results'!$X24))),0)</f>
        <v>#DIV/0!</v>
      </c>
      <c r="W19" s="19" t="e">
        <f>IF(U19&gt;'Inputs-Results'!$V$9-'Inputs-Results'!$X$9,SQRT(('Inputs-Results'!$U$9-'Inputs-Results'!$W$9)^2+('Inputs-Results'!$V$9-'Inputs-Results'!$X$9)^2)+SQRT(('Inputs-Results'!$W$9-'Inputs-Results'!$Y$9)^2+('Inputs-Results'!$X$9-'Inputs-Results'!$Z$9)^2)+SQRT((('Inputs-Results'!$S$9-'Inputs-Results'!$U$9)*(U19+'Inputs-Results'!$X$9-'Inputs-Results'!$V$9)/('Inputs-Results'!$T$9-'Inputs-Results'!$V$9))^2+(U19+'Inputs-Results'!$X$9-'Inputs-Results'!$V$9)^2)+SQRT((('Inputs-Results'!$AA$9-'Inputs-Results'!$Y$9)*(U19+'Inputs-Results'!$X$9-'Inputs-Results'!$Z$9)/('Inputs-Results'!$AB$9-'Inputs-Results'!$Z$9))^2+(U19+'Inputs-Results'!$X$9-'Inputs-Results'!$Z$9)^2),SQRT((('Inputs-Results'!$U$9-'Inputs-Results'!$W$9)*(U19)/('Inputs-Results'!$V$9-'Inputs-Results'!$X$9))^2+U19^2)+SQRT((('Inputs-Results'!$Y$9-'Inputs-Results'!$W$9)*U19/('Inputs-Results'!$Z$9-'Inputs-Results'!$X$9))^2+U19^2))</f>
        <v>#DIV/0!</v>
      </c>
      <c r="X19" s="19" t="e">
        <f t="shared" si="9"/>
        <v>#DIV/0!</v>
      </c>
      <c r="Y19" s="19" t="e">
        <f>1.49/'Inputs-Results'!$AC24*V19*X19^(2/3)*'Inputs-Results'!$AD24^0.5</f>
        <v>#DIV/0!</v>
      </c>
      <c r="Z19" s="27" t="e">
        <f t="shared" si="10"/>
        <v>#DIV/0!</v>
      </c>
      <c r="AA19" s="26">
        <f t="shared" si="11"/>
        <v>0</v>
      </c>
      <c r="AB19" s="19" t="e">
        <f>IF(AA19&gt;'Inputs-Results'!$V24-'Inputs-Results'!$X24,(0.5*(ABS('Inputs-Results'!$S24-'Inputs-Results'!$U24)/('Inputs-Results'!$T24-'Inputs-Results'!$V24)*(AA19-('Inputs-Results'!$V24-'Inputs-Results'!$X24)))*(AA19-('Inputs-Results'!$V24-'Inputs-Results'!$X24))),0)+IF(AA19&gt;'Inputs-Results'!$V24-'Inputs-Results'!$X24,(0.5*((AA19+'Inputs-Results'!$X24-'Inputs-Results'!$V24)+AA19)*ABS('Inputs-Results'!$U24-'Inputs-Results'!$W24)),0.5*(ABS('Inputs-Results'!$U24-'Inputs-Results'!$W24)/('Inputs-Results'!$V24-'Inputs-Results'!$X24)*AA19)*AA19)+IF(AA19&gt;'Inputs-Results'!$Z24-'Inputs-Results'!$X24,(0.5*((AA19+'Inputs-Results'!$X24-'Inputs-Results'!$Z24)+AA19)*ABS('Inputs-Results'!$Y24-'Inputs-Results'!$W24)),0.5*(ABS('Inputs-Results'!$W24-'Inputs-Results'!$Y24)/('Inputs-Results'!$Z24-'Inputs-Results'!$X24)*AA19)*AA19)+IF(AA19&gt;'Inputs-Results'!$Z24-'Inputs-Results'!$X24,(0.5*(ABS('Inputs-Results'!$Y24-'Inputs-Results'!$AA24)/('Inputs-Results'!$AB24-'Inputs-Results'!$Z24)*(AA19-('Inputs-Results'!$Z24-'Inputs-Results'!$X24)))*(AA19-('Inputs-Results'!$Z24-'Inputs-Results'!$X24))),0)</f>
        <v>#DIV/0!</v>
      </c>
      <c r="AC19" s="19" t="e">
        <f>IF(AA19&gt;'Inputs-Results'!$V$9-'Inputs-Results'!$X$9,SQRT(('Inputs-Results'!$U$9-'Inputs-Results'!$W$9)^2+('Inputs-Results'!$V$9-'Inputs-Results'!$X$9)^2)+SQRT(('Inputs-Results'!$W$9-'Inputs-Results'!$Y$9)^2+('Inputs-Results'!$X$9-'Inputs-Results'!$Z$9)^2)+SQRT((('Inputs-Results'!$S$9-'Inputs-Results'!$U$9)*(AA19+'Inputs-Results'!$X$9-'Inputs-Results'!$V$9)/('Inputs-Results'!$T$9-'Inputs-Results'!$V$9))^2+(AA19+'Inputs-Results'!$X$9-'Inputs-Results'!$V$9)^2)+SQRT((('Inputs-Results'!$AA$9-'Inputs-Results'!$Y$9)*(AA19+'Inputs-Results'!$X$9-'Inputs-Results'!$Z$9)/('Inputs-Results'!$AB$9-'Inputs-Results'!$Z$9))^2+(AA19+'Inputs-Results'!$X$9-'Inputs-Results'!$Z$9)^2),SQRT((('Inputs-Results'!$U$9-'Inputs-Results'!$W$9)*(AA19)/('Inputs-Results'!$V$9-'Inputs-Results'!$X$9))^2+AA19^2)+SQRT((('Inputs-Results'!$Y$9-'Inputs-Results'!$W$9)*AA19/('Inputs-Results'!$Z$9-'Inputs-Results'!$X$9))^2+AA19^2))</f>
        <v>#DIV/0!</v>
      </c>
      <c r="AD19" s="19" t="e">
        <f t="shared" si="12"/>
        <v>#DIV/0!</v>
      </c>
      <c r="AE19" s="19" t="e">
        <f>1.49/'Inputs-Results'!$AC24*AB19*AD19^(2/3)*'Inputs-Results'!$AD24^0.5</f>
        <v>#DIV/0!</v>
      </c>
      <c r="AF19" s="27" t="e">
        <f t="shared" si="13"/>
        <v>#DIV/0!</v>
      </c>
      <c r="AG19" s="26">
        <f t="shared" si="14"/>
        <v>0</v>
      </c>
      <c r="AH19" s="19" t="e">
        <f>IF(AG19&gt;'Inputs-Results'!$V24-'Inputs-Results'!$X24,(0.5*(ABS('Inputs-Results'!$S24-'Inputs-Results'!$U24)/('Inputs-Results'!$T24-'Inputs-Results'!$V24)*(AG19-('Inputs-Results'!$V24-'Inputs-Results'!$X24)))*(AG19-('Inputs-Results'!$V24-'Inputs-Results'!$X24))),0)+IF(AG19&gt;'Inputs-Results'!$V24-'Inputs-Results'!$X24,(0.5*((AG19+'Inputs-Results'!$X24-'Inputs-Results'!$V24)+AG19)*ABS('Inputs-Results'!$U24-'Inputs-Results'!$W24)),0.5*(ABS('Inputs-Results'!$U24-'Inputs-Results'!$W24)/('Inputs-Results'!$V24-'Inputs-Results'!$X24)*AG19)*AG19)+IF(AG19&gt;'Inputs-Results'!$Z24-'Inputs-Results'!$X24,(0.5*((AG19+'Inputs-Results'!$X24-'Inputs-Results'!$Z24)+AG19)*ABS('Inputs-Results'!$Y24-'Inputs-Results'!$W24)),0.5*(ABS('Inputs-Results'!$W24-'Inputs-Results'!$Y24)/('Inputs-Results'!$Z24-'Inputs-Results'!$X24)*AG19)*AG19)+IF(AG19&gt;'Inputs-Results'!$Z24-'Inputs-Results'!$X24,(0.5*(ABS('Inputs-Results'!$Y24-'Inputs-Results'!$AA24)/('Inputs-Results'!$AB24-'Inputs-Results'!$Z24)*(AG19-('Inputs-Results'!$Z24-'Inputs-Results'!$X24)))*(AG19-('Inputs-Results'!$Z24-'Inputs-Results'!$X24))),0)</f>
        <v>#DIV/0!</v>
      </c>
      <c r="AI19" s="19" t="e">
        <f>IF(AG19&gt;'Inputs-Results'!$V$9-'Inputs-Results'!$X$9,SQRT(('Inputs-Results'!$U$9-'Inputs-Results'!$W$9)^2+('Inputs-Results'!$V$9-'Inputs-Results'!$X$9)^2)+SQRT(('Inputs-Results'!$W$9-'Inputs-Results'!$Y$9)^2+('Inputs-Results'!$X$9-'Inputs-Results'!$Z$9)^2)+SQRT((('Inputs-Results'!$S$9-'Inputs-Results'!$U$9)*(AG19+'Inputs-Results'!$X$9-'Inputs-Results'!$V$9)/('Inputs-Results'!$T$9-'Inputs-Results'!$V$9))^2+(AG19+'Inputs-Results'!$X$9-'Inputs-Results'!$V$9)^2)+SQRT((('Inputs-Results'!$AA$9-'Inputs-Results'!$Y$9)*(AG19+'Inputs-Results'!$X$9-'Inputs-Results'!$Z$9)/('Inputs-Results'!$AB$9-'Inputs-Results'!$Z$9))^2+(AG19+'Inputs-Results'!$X$9-'Inputs-Results'!$Z$9)^2),SQRT((('Inputs-Results'!$U$9-'Inputs-Results'!$W$9)*(AG19)/('Inputs-Results'!$V$9-'Inputs-Results'!$X$9))^2+AG19^2)+SQRT((('Inputs-Results'!$Y$9-'Inputs-Results'!$W$9)*AG19/('Inputs-Results'!$Z$9-'Inputs-Results'!$X$9))^2+AG19^2))</f>
        <v>#DIV/0!</v>
      </c>
      <c r="AJ19" s="19" t="e">
        <f t="shared" si="15"/>
        <v>#DIV/0!</v>
      </c>
      <c r="AK19" s="19" t="e">
        <f>1.49/'Inputs-Results'!$AC24*AH19*AJ19^(2/3)*'Inputs-Results'!$AD24^0.5</f>
        <v>#DIV/0!</v>
      </c>
      <c r="AL19" s="27" t="e">
        <f t="shared" si="16"/>
        <v>#DIV/0!</v>
      </c>
      <c r="AM19" s="26">
        <f t="shared" si="17"/>
        <v>0</v>
      </c>
      <c r="AN19" s="19" t="e">
        <f>IF(AM19&gt;'Inputs-Results'!$V24-'Inputs-Results'!$X24,(0.5*(ABS('Inputs-Results'!$S24-'Inputs-Results'!$U24)/('Inputs-Results'!$T24-'Inputs-Results'!$V24)*(AM19-('Inputs-Results'!$V24-'Inputs-Results'!$X24)))*(AM19-('Inputs-Results'!$V24-'Inputs-Results'!$X24))),0)+IF(AM19&gt;'Inputs-Results'!$V24-'Inputs-Results'!$X24,(0.5*((AM19+'Inputs-Results'!$X24-'Inputs-Results'!$V24)+AM19)*ABS('Inputs-Results'!$U24-'Inputs-Results'!$W24)),0.5*(ABS('Inputs-Results'!$U24-'Inputs-Results'!$W24)/('Inputs-Results'!$V24-'Inputs-Results'!$X24)*AM19)*AM19)+IF(AM19&gt;'Inputs-Results'!$Z24-'Inputs-Results'!$X24,(0.5*((AM19+'Inputs-Results'!$X24-'Inputs-Results'!$Z24)+AM19)*ABS('Inputs-Results'!$Y24-'Inputs-Results'!$W24)),0.5*(ABS('Inputs-Results'!$W24-'Inputs-Results'!$Y24)/('Inputs-Results'!$Z24-'Inputs-Results'!$X24)*AM19)*AM19)+IF(AM19&gt;'Inputs-Results'!$Z24-'Inputs-Results'!$X24,(0.5*(ABS('Inputs-Results'!$Y24-'Inputs-Results'!$AA24)/('Inputs-Results'!$AB24-'Inputs-Results'!$Z24)*(AM19-('Inputs-Results'!$Z24-'Inputs-Results'!$X24)))*(AM19-('Inputs-Results'!$Z24-'Inputs-Results'!$X24))),0)</f>
        <v>#DIV/0!</v>
      </c>
      <c r="AO19" s="19" t="e">
        <f>IF(AM19&gt;'Inputs-Results'!$V$9-'Inputs-Results'!$X$9,SQRT(('Inputs-Results'!$U$9-'Inputs-Results'!$W$9)^2+('Inputs-Results'!$V$9-'Inputs-Results'!$X$9)^2)+SQRT(('Inputs-Results'!$W$9-'Inputs-Results'!$Y$9)^2+('Inputs-Results'!$X$9-'Inputs-Results'!$Z$9)^2)+SQRT((('Inputs-Results'!$S$9-'Inputs-Results'!$U$9)*(AM19+'Inputs-Results'!$X$9-'Inputs-Results'!$V$9)/('Inputs-Results'!$T$9-'Inputs-Results'!$V$9))^2+(AM19+'Inputs-Results'!$X$9-'Inputs-Results'!$V$9)^2)+SQRT((('Inputs-Results'!$AA$9-'Inputs-Results'!$Y$9)*(AM19+'Inputs-Results'!$X$9-'Inputs-Results'!$Z$9)/('Inputs-Results'!$AB$9-'Inputs-Results'!$Z$9))^2+(AM19+'Inputs-Results'!$X$9-'Inputs-Results'!$Z$9)^2),SQRT((('Inputs-Results'!$U$9-'Inputs-Results'!$W$9)*(AM19)/('Inputs-Results'!$V$9-'Inputs-Results'!$X$9))^2+AM19^2)+SQRT((('Inputs-Results'!$Y$9-'Inputs-Results'!$W$9)*AM19/('Inputs-Results'!$Z$9-'Inputs-Results'!$X$9))^2+AM19^2))</f>
        <v>#DIV/0!</v>
      </c>
      <c r="AP19" s="19" t="e">
        <f t="shared" si="18"/>
        <v>#DIV/0!</v>
      </c>
      <c r="AQ19" s="19" t="e">
        <f>1.49/'Inputs-Results'!$AC24*AN19*AP19^(2/3)*'Inputs-Results'!$AD24^0.5</f>
        <v>#DIV/0!</v>
      </c>
      <c r="AR19" s="27" t="e">
        <f t="shared" si="19"/>
        <v>#DIV/0!</v>
      </c>
      <c r="AS19" s="26">
        <f t="shared" si="20"/>
        <v>0</v>
      </c>
      <c r="AT19" s="19" t="e">
        <f>IF(AS19&gt;'Inputs-Results'!$V24-'Inputs-Results'!$X24,(0.5*(ABS('Inputs-Results'!$S24-'Inputs-Results'!$U24)/('Inputs-Results'!$T24-'Inputs-Results'!$V24)*(AS19-('Inputs-Results'!$V24-'Inputs-Results'!$X24)))*(AS19-('Inputs-Results'!$V24-'Inputs-Results'!$X24))),0)+IF(AS19&gt;'Inputs-Results'!$V24-'Inputs-Results'!$X24,(0.5*((AS19+'Inputs-Results'!$X24-'Inputs-Results'!$V24)+AS19)*ABS('Inputs-Results'!$U24-'Inputs-Results'!$W24)),0.5*(ABS('Inputs-Results'!$U24-'Inputs-Results'!$W24)/('Inputs-Results'!$V24-'Inputs-Results'!$X24)*AS19)*AS19)+IF(AS19&gt;'Inputs-Results'!$Z24-'Inputs-Results'!$X24,(0.5*((AS19+'Inputs-Results'!$X24-'Inputs-Results'!$Z24)+AS19)*ABS('Inputs-Results'!$Y24-'Inputs-Results'!$W24)),0.5*(ABS('Inputs-Results'!$W24-'Inputs-Results'!$Y24)/('Inputs-Results'!$Z24-'Inputs-Results'!$X24)*AS19)*AS19)+IF(AS19&gt;'Inputs-Results'!$Z24-'Inputs-Results'!$X24,(0.5*(ABS('Inputs-Results'!$Y24-'Inputs-Results'!$AA24)/('Inputs-Results'!$AB24-'Inputs-Results'!$Z24)*(AS19-('Inputs-Results'!$Z24-'Inputs-Results'!$X24)))*(AS19-('Inputs-Results'!$Z24-'Inputs-Results'!$X24))),0)</f>
        <v>#DIV/0!</v>
      </c>
      <c r="AU19" s="19" t="e">
        <f>IF(AS19&gt;'Inputs-Results'!$V$9-'Inputs-Results'!$X$9,SQRT(('Inputs-Results'!$U$9-'Inputs-Results'!$W$9)^2+('Inputs-Results'!$V$9-'Inputs-Results'!$X$9)^2)+SQRT(('Inputs-Results'!$W$9-'Inputs-Results'!$Y$9)^2+('Inputs-Results'!$X$9-'Inputs-Results'!$Z$9)^2)+SQRT((('Inputs-Results'!$S$9-'Inputs-Results'!$U$9)*(AS19+'Inputs-Results'!$X$9-'Inputs-Results'!$V$9)/('Inputs-Results'!$T$9-'Inputs-Results'!$V$9))^2+(AS19+'Inputs-Results'!$X$9-'Inputs-Results'!$V$9)^2)+SQRT((('Inputs-Results'!$AA$9-'Inputs-Results'!$Y$9)*(AS19+'Inputs-Results'!$X$9-'Inputs-Results'!$Z$9)/('Inputs-Results'!$AB$9-'Inputs-Results'!$Z$9))^2+(AS19+'Inputs-Results'!$X$9-'Inputs-Results'!$Z$9)^2),SQRT((('Inputs-Results'!$U$9-'Inputs-Results'!$W$9)*(AS19)/('Inputs-Results'!$V$9-'Inputs-Results'!$X$9))^2+AS19^2)+SQRT((('Inputs-Results'!$Y$9-'Inputs-Results'!$W$9)*AS19/('Inputs-Results'!$Z$9-'Inputs-Results'!$X$9))^2+AS19^2))</f>
        <v>#DIV/0!</v>
      </c>
      <c r="AV19" s="19" t="e">
        <f t="shared" si="21"/>
        <v>#DIV/0!</v>
      </c>
      <c r="AW19" s="19" t="e">
        <f>1.49/'Inputs-Results'!$AC24*AT19*AV19^(2/3)*'Inputs-Results'!$AD24^0.5</f>
        <v>#DIV/0!</v>
      </c>
      <c r="AX19" s="27" t="e">
        <f t="shared" si="22"/>
        <v>#DIV/0!</v>
      </c>
      <c r="AY19" s="26">
        <f t="shared" si="23"/>
        <v>0</v>
      </c>
      <c r="AZ19" s="19" t="e">
        <f>IF(AY19&gt;'Inputs-Results'!$V24-'Inputs-Results'!$X24,(0.5*(ABS('Inputs-Results'!$S24-'Inputs-Results'!$U24)/('Inputs-Results'!$T24-'Inputs-Results'!$V24)*(AY19-('Inputs-Results'!$V24-'Inputs-Results'!$X24)))*(AY19-('Inputs-Results'!$V24-'Inputs-Results'!$X24))),0)+IF(AY19&gt;'Inputs-Results'!$V24-'Inputs-Results'!$X24,(0.5*((AY19+'Inputs-Results'!$X24-'Inputs-Results'!$V24)+AY19)*ABS('Inputs-Results'!$U24-'Inputs-Results'!$W24)),0.5*(ABS('Inputs-Results'!$U24-'Inputs-Results'!$W24)/('Inputs-Results'!$V24-'Inputs-Results'!$X24)*AY19)*AY19)+IF(AY19&gt;'Inputs-Results'!$Z24-'Inputs-Results'!$X24,(0.5*((AY19+'Inputs-Results'!$X24-'Inputs-Results'!$Z24)+AY19)*ABS('Inputs-Results'!$Y24-'Inputs-Results'!$W24)),0.5*(ABS('Inputs-Results'!$W24-'Inputs-Results'!$Y24)/('Inputs-Results'!$Z24-'Inputs-Results'!$X24)*AY19)*AY19)+IF(AY19&gt;'Inputs-Results'!$Z24-'Inputs-Results'!$X24,(0.5*(ABS('Inputs-Results'!$Y24-'Inputs-Results'!$AA24)/('Inputs-Results'!$AB24-'Inputs-Results'!$Z24)*(AY19-('Inputs-Results'!$Z24-'Inputs-Results'!$X24)))*(AY19-('Inputs-Results'!$Z24-'Inputs-Results'!$X24))),0)</f>
        <v>#DIV/0!</v>
      </c>
      <c r="BA19" s="19" t="e">
        <f>IF(AY19&gt;'Inputs-Results'!$V$9-'Inputs-Results'!$X$9,SQRT(('Inputs-Results'!$U$9-'Inputs-Results'!$W$9)^2+('Inputs-Results'!$V$9-'Inputs-Results'!$X$9)^2)+SQRT(('Inputs-Results'!$W$9-'Inputs-Results'!$Y$9)^2+('Inputs-Results'!$X$9-'Inputs-Results'!$Z$9)^2)+SQRT((('Inputs-Results'!$S$9-'Inputs-Results'!$U$9)*(AY19+'Inputs-Results'!$X$9-'Inputs-Results'!$V$9)/('Inputs-Results'!$T$9-'Inputs-Results'!$V$9))^2+(AY19+'Inputs-Results'!$X$9-'Inputs-Results'!$V$9)^2)+SQRT((('Inputs-Results'!$AA$9-'Inputs-Results'!$Y$9)*(AY19+'Inputs-Results'!$X$9-'Inputs-Results'!$Z$9)/('Inputs-Results'!$AB$9-'Inputs-Results'!$Z$9))^2+(AY19+'Inputs-Results'!$X$9-'Inputs-Results'!$Z$9)^2),SQRT((('Inputs-Results'!$U$9-'Inputs-Results'!$W$9)*(AY19)/('Inputs-Results'!$V$9-'Inputs-Results'!$X$9))^2+AY19^2)+SQRT((('Inputs-Results'!$Y$9-'Inputs-Results'!$W$9)*AY19/('Inputs-Results'!$Z$9-'Inputs-Results'!$X$9))^2+AY19^2))</f>
        <v>#DIV/0!</v>
      </c>
      <c r="BB19" s="19" t="e">
        <f t="shared" si="24"/>
        <v>#DIV/0!</v>
      </c>
      <c r="BC19" s="19" t="e">
        <f>1.49/'Inputs-Results'!$AC24*AZ19*BB19^(2/3)*'Inputs-Results'!$AD24^0.5</f>
        <v>#DIV/0!</v>
      </c>
      <c r="BD19" s="27" t="e">
        <f t="shared" si="25"/>
        <v>#DIV/0!</v>
      </c>
      <c r="BE19" s="26">
        <f t="shared" si="26"/>
        <v>0</v>
      </c>
      <c r="BF19" s="19" t="e">
        <f>IF(BE19&gt;'Inputs-Results'!$V24-'Inputs-Results'!$X24,(0.5*(ABS('Inputs-Results'!$S24-'Inputs-Results'!$U24)/('Inputs-Results'!$T24-'Inputs-Results'!$V24)*(BE19-('Inputs-Results'!$V24-'Inputs-Results'!$X24)))*(BE19-('Inputs-Results'!$V24-'Inputs-Results'!$X24))),0)+IF(BE19&gt;'Inputs-Results'!$V24-'Inputs-Results'!$X24,(0.5*((BE19+'Inputs-Results'!$X24-'Inputs-Results'!$V24)+BE19)*ABS('Inputs-Results'!$U24-'Inputs-Results'!$W24)),0.5*(ABS('Inputs-Results'!$U24-'Inputs-Results'!$W24)/('Inputs-Results'!$V24-'Inputs-Results'!$X24)*BE19)*BE19)+IF(BE19&gt;'Inputs-Results'!$Z24-'Inputs-Results'!$X24,(0.5*((BE19+'Inputs-Results'!$X24-'Inputs-Results'!$Z24)+BE19)*ABS('Inputs-Results'!$Y24-'Inputs-Results'!$W24)),0.5*(ABS('Inputs-Results'!$W24-'Inputs-Results'!$Y24)/('Inputs-Results'!$Z24-'Inputs-Results'!$X24)*BE19)*BE19)+IF(BE19&gt;'Inputs-Results'!$Z24-'Inputs-Results'!$X24,(0.5*(ABS('Inputs-Results'!$Y24-'Inputs-Results'!$AA24)/('Inputs-Results'!$AB24-'Inputs-Results'!$Z24)*(BE19-('Inputs-Results'!$Z24-'Inputs-Results'!$X24)))*(BE19-('Inputs-Results'!$Z24-'Inputs-Results'!$X24))),0)</f>
        <v>#DIV/0!</v>
      </c>
      <c r="BG19" s="19" t="e">
        <f>IF(BE19&gt;'Inputs-Results'!$V$9-'Inputs-Results'!$X$9,SQRT(('Inputs-Results'!$U$9-'Inputs-Results'!$W$9)^2+('Inputs-Results'!$V$9-'Inputs-Results'!$X$9)^2)+SQRT(('Inputs-Results'!$W$9-'Inputs-Results'!$Y$9)^2+('Inputs-Results'!$X$9-'Inputs-Results'!$Z$9)^2)+SQRT((('Inputs-Results'!$S$9-'Inputs-Results'!$U$9)*(BE19+'Inputs-Results'!$X$9-'Inputs-Results'!$V$9)/('Inputs-Results'!$T$9-'Inputs-Results'!$V$9))^2+(BE19+'Inputs-Results'!$X$9-'Inputs-Results'!$V$9)^2)+SQRT((('Inputs-Results'!$AA$9-'Inputs-Results'!$Y$9)*(BE19+'Inputs-Results'!$X$9-'Inputs-Results'!$Z$9)/('Inputs-Results'!$AB$9-'Inputs-Results'!$Z$9))^2+(BE19+'Inputs-Results'!$X$9-'Inputs-Results'!$Z$9)^2),SQRT((('Inputs-Results'!$U$9-'Inputs-Results'!$W$9)*(BE19)/('Inputs-Results'!$V$9-'Inputs-Results'!$X$9))^2+BE19^2)+SQRT((('Inputs-Results'!$Y$9-'Inputs-Results'!$W$9)*BE19/('Inputs-Results'!$Z$9-'Inputs-Results'!$X$9))^2+BE19^2))</f>
        <v>#DIV/0!</v>
      </c>
      <c r="BH19" s="19" t="e">
        <f t="shared" si="27"/>
        <v>#DIV/0!</v>
      </c>
      <c r="BI19" s="19" t="e">
        <f>1.49/'Inputs-Results'!$AC24*BF19*BH19^(2/3)*'Inputs-Results'!$AD24^0.5</f>
        <v>#DIV/0!</v>
      </c>
      <c r="BJ19" s="27" t="e">
        <f t="shared" si="28"/>
        <v>#DIV/0!</v>
      </c>
    </row>
    <row r="20" spans="1:62" x14ac:dyDescent="0.25">
      <c r="A20" s="2">
        <v>0</v>
      </c>
      <c r="B20" s="17"/>
      <c r="C20" s="26">
        <f>MIN('Inputs-Results'!T25-'Inputs-Results'!X25,'Inputs-Results'!AB25-'Inputs-Results'!X25)</f>
        <v>0</v>
      </c>
      <c r="D20" s="19" t="e">
        <f>IF(C20&gt;'Inputs-Results'!$V25-'Inputs-Results'!$X25,(0.5*(ABS('Inputs-Results'!$S25-'Inputs-Results'!$U25)/('Inputs-Results'!$T25-'Inputs-Results'!$V25)*(C20-('Inputs-Results'!$V25-'Inputs-Results'!$X25)))*(C20-('Inputs-Results'!$V25-'Inputs-Results'!$X25))),0)+IF(C20&gt;'Inputs-Results'!$V25-'Inputs-Results'!$X25,(0.5*((C20+'Inputs-Results'!$X25-'Inputs-Results'!$V25)+C20)*ABS('Inputs-Results'!$U25-'Inputs-Results'!$W25)),0.5*(ABS('Inputs-Results'!$U25-'Inputs-Results'!$W25)/('Inputs-Results'!$V25-'Inputs-Results'!$X25)*C20)*C20)+IF(C20&gt;'Inputs-Results'!$Z25-'Inputs-Results'!$X25,(0.5*((C20+'Inputs-Results'!$X25-'Inputs-Results'!$Z25)+C20)*ABS('Inputs-Results'!$Y25-'Inputs-Results'!$W25)),0.5*(ABS('Inputs-Results'!$W25-'Inputs-Results'!$Y25)/('Inputs-Results'!$Z25-'Inputs-Results'!$X25)*C20)*C20)+IF(C20&gt;'Inputs-Results'!$Z25-'Inputs-Results'!$X25,(0.5*(ABS('Inputs-Results'!$Y25-'Inputs-Results'!$AA25)/('Inputs-Results'!$AB25-'Inputs-Results'!$Z25)*(C20-('Inputs-Results'!$Z25-'Inputs-Results'!$X25)))*(C20-('Inputs-Results'!$Z25-'Inputs-Results'!$X25))),0)</f>
        <v>#DIV/0!</v>
      </c>
      <c r="E20" s="19" t="e">
        <f>IF(C20&gt;'Inputs-Results'!$V$9-'Inputs-Results'!$X$9,SQRT(('Inputs-Results'!$U$9-'Inputs-Results'!$W$9)^2+('Inputs-Results'!$V$9-'Inputs-Results'!$X$9)^2)+SQRT(('Inputs-Results'!$W$9-'Inputs-Results'!$Y$9)^2+('Inputs-Results'!$X$9-'Inputs-Results'!$Z$9)^2)+SQRT((('Inputs-Results'!$S$9-'Inputs-Results'!$U$9)*(C20+'Inputs-Results'!$X$9-'Inputs-Results'!$V$9)/('Inputs-Results'!$T$9-'Inputs-Results'!$V$9))^2+(C20+'Inputs-Results'!$X$9-'Inputs-Results'!$V$9)^2)+SQRT((('Inputs-Results'!$AA$9-'Inputs-Results'!$Y$9)*(C20+'Inputs-Results'!$X$9-'Inputs-Results'!$Z$9)/('Inputs-Results'!$AB$9-'Inputs-Results'!$Z$9))^2+(C20+'Inputs-Results'!$X$9-'Inputs-Results'!$Z$9)^2),SQRT((('Inputs-Results'!$U$9-'Inputs-Results'!$W$9)*(C20)/('Inputs-Results'!$V$9-'Inputs-Results'!$X$9))^2+C20^2)+SQRT((('Inputs-Results'!$Y$9-'Inputs-Results'!$W$9)*C20/('Inputs-Results'!$Z$9-'Inputs-Results'!$X$9))^2+C20^2))</f>
        <v>#DIV/0!</v>
      </c>
      <c r="F20" s="19" t="e">
        <f t="shared" si="0"/>
        <v>#DIV/0!</v>
      </c>
      <c r="G20" s="19" t="e">
        <f>1.49/'Inputs-Results'!AC25*D20*F20^(2/3)*'Inputs-Results'!AD25^0.5</f>
        <v>#DIV/0!</v>
      </c>
      <c r="H20" s="27" t="e">
        <f t="shared" si="1"/>
        <v>#DIV/0!</v>
      </c>
      <c r="I20" s="26">
        <f t="shared" si="2"/>
        <v>0</v>
      </c>
      <c r="J20" s="19" t="e">
        <f>IF(I20&gt;'Inputs-Results'!$V25-'Inputs-Results'!$X25,(0.5*(ABS('Inputs-Results'!$S25-'Inputs-Results'!$U25)/('Inputs-Results'!$T25-'Inputs-Results'!$V25)*(I20-('Inputs-Results'!$V25-'Inputs-Results'!$X25)))*(I20-('Inputs-Results'!$V25-'Inputs-Results'!$X25))),0)+IF(I20&gt;'Inputs-Results'!$V25-'Inputs-Results'!$X25,(0.5*((I20+'Inputs-Results'!$X25-'Inputs-Results'!$V25)+I20)*ABS('Inputs-Results'!$U25-'Inputs-Results'!$W25)),0.5*(ABS('Inputs-Results'!$U25-'Inputs-Results'!$W25)/('Inputs-Results'!$V25-'Inputs-Results'!$X25)*I20)*I20)+IF(I20&gt;'Inputs-Results'!$Z25-'Inputs-Results'!$X25,(0.5*((I20+'Inputs-Results'!$X25-'Inputs-Results'!$Z25)+I20)*ABS('Inputs-Results'!$Y25-'Inputs-Results'!$W25)),0.5*(ABS('Inputs-Results'!$W25-'Inputs-Results'!$Y25)/('Inputs-Results'!$Z25-'Inputs-Results'!$X25)*I20)*I20)+IF(I20&gt;'Inputs-Results'!$Z25-'Inputs-Results'!$X25,(0.5*(ABS('Inputs-Results'!$Y25-'Inputs-Results'!$AA25)/('Inputs-Results'!$AB25-'Inputs-Results'!$Z25)*(I20-('Inputs-Results'!$Z25-'Inputs-Results'!$X25)))*(I20-('Inputs-Results'!$Z25-'Inputs-Results'!$X25))),0)</f>
        <v>#DIV/0!</v>
      </c>
      <c r="K20" s="19" t="e">
        <f>IF(I20&gt;'Inputs-Results'!$V$9-'Inputs-Results'!$X$9,SQRT(('Inputs-Results'!$U$9-'Inputs-Results'!$W$9)^2+('Inputs-Results'!$V$9-'Inputs-Results'!$X$9)^2)+SQRT(('Inputs-Results'!$W$9-'Inputs-Results'!$Y$9)^2+('Inputs-Results'!$X$9-'Inputs-Results'!$Z$9)^2)+SQRT((('Inputs-Results'!$S$9-'Inputs-Results'!$U$9)*(I20+'Inputs-Results'!$X$9-'Inputs-Results'!$V$9)/('Inputs-Results'!$T$9-'Inputs-Results'!$V$9))^2+(I20+'Inputs-Results'!$X$9-'Inputs-Results'!$V$9)^2)+SQRT((('Inputs-Results'!$AA$9-'Inputs-Results'!$Y$9)*(I20+'Inputs-Results'!$X$9-'Inputs-Results'!$Z$9)/('Inputs-Results'!$AB$9-'Inputs-Results'!$Z$9))^2+(I20+'Inputs-Results'!$X$9-'Inputs-Results'!$Z$9)^2),SQRT((('Inputs-Results'!$U$9-'Inputs-Results'!$W$9)*(I20)/('Inputs-Results'!$V$9-'Inputs-Results'!$X$9))^2+I20^2)+SQRT((('Inputs-Results'!$Y$9-'Inputs-Results'!$W$9)*I20/('Inputs-Results'!$Z$9-'Inputs-Results'!$X$9))^2+I20^2))</f>
        <v>#DIV/0!</v>
      </c>
      <c r="L20" s="19" t="e">
        <f t="shared" si="3"/>
        <v>#DIV/0!</v>
      </c>
      <c r="M20" s="19" t="e">
        <f>1.49/'Inputs-Results'!$AC25*J20*L20^(2/3)*'Inputs-Results'!$AD25^0.5</f>
        <v>#DIV/0!</v>
      </c>
      <c r="N20" s="27" t="e">
        <f t="shared" si="4"/>
        <v>#DIV/0!</v>
      </c>
      <c r="O20" s="26">
        <f t="shared" si="5"/>
        <v>0</v>
      </c>
      <c r="P20" s="19" t="e">
        <f>IF(O20&gt;'Inputs-Results'!$V25-'Inputs-Results'!$X25,(0.5*(ABS('Inputs-Results'!$S25-'Inputs-Results'!$U25)/('Inputs-Results'!$T25-'Inputs-Results'!$V25)*(O20-('Inputs-Results'!$V25-'Inputs-Results'!$X25)))*(O20-('Inputs-Results'!$V25-'Inputs-Results'!$X25))),0)+IF(O20&gt;'Inputs-Results'!$V25-'Inputs-Results'!$X25,(0.5*((O20+'Inputs-Results'!$X25-'Inputs-Results'!$V25)+O20)*ABS('Inputs-Results'!$U25-'Inputs-Results'!$W25)),0.5*(ABS('Inputs-Results'!$U25-'Inputs-Results'!$W25)/('Inputs-Results'!$V25-'Inputs-Results'!$X25)*O20)*O20)+IF(O20&gt;'Inputs-Results'!$Z25-'Inputs-Results'!$X25,(0.5*((O20+'Inputs-Results'!$X25-'Inputs-Results'!$Z25)+O20)*ABS('Inputs-Results'!$Y25-'Inputs-Results'!$W25)),0.5*(ABS('Inputs-Results'!$W25-'Inputs-Results'!$Y25)/('Inputs-Results'!$Z25-'Inputs-Results'!$X25)*O20)*O20)+IF(O20&gt;'Inputs-Results'!$Z25-'Inputs-Results'!$X25,(0.5*(ABS('Inputs-Results'!$Y25-'Inputs-Results'!$AA25)/('Inputs-Results'!$AB25-'Inputs-Results'!$Z25)*(O20-('Inputs-Results'!$Z25-'Inputs-Results'!$X25)))*(O20-('Inputs-Results'!$Z25-'Inputs-Results'!$X25))),0)</f>
        <v>#DIV/0!</v>
      </c>
      <c r="Q20" s="19" t="e">
        <f>IF(O20&gt;'Inputs-Results'!$V$9-'Inputs-Results'!$X$9,SQRT(('Inputs-Results'!$U$9-'Inputs-Results'!$W$9)^2+('Inputs-Results'!$V$9-'Inputs-Results'!$X$9)^2)+SQRT(('Inputs-Results'!$W$9-'Inputs-Results'!$Y$9)^2+('Inputs-Results'!$X$9-'Inputs-Results'!$Z$9)^2)+SQRT((('Inputs-Results'!$S$9-'Inputs-Results'!$U$9)*(O20+'Inputs-Results'!$X$9-'Inputs-Results'!$V$9)/('Inputs-Results'!$T$9-'Inputs-Results'!$V$9))^2+(O20+'Inputs-Results'!$X$9-'Inputs-Results'!$V$9)^2)+SQRT((('Inputs-Results'!$AA$9-'Inputs-Results'!$Y$9)*(O20+'Inputs-Results'!$X$9-'Inputs-Results'!$Z$9)/('Inputs-Results'!$AB$9-'Inputs-Results'!$Z$9))^2+(O20+'Inputs-Results'!$X$9-'Inputs-Results'!$Z$9)^2),SQRT((('Inputs-Results'!$U$9-'Inputs-Results'!$W$9)*(O20)/('Inputs-Results'!$V$9-'Inputs-Results'!$X$9))^2+O20^2)+SQRT((('Inputs-Results'!$Y$9-'Inputs-Results'!$W$9)*O20/('Inputs-Results'!$Z$9-'Inputs-Results'!$X$9))^2+O20^2))</f>
        <v>#DIV/0!</v>
      </c>
      <c r="R20" s="19" t="e">
        <f t="shared" si="6"/>
        <v>#DIV/0!</v>
      </c>
      <c r="S20" s="19" t="e">
        <f>1.49/'Inputs-Results'!$AC25*P20*R20^(2/3)*'Inputs-Results'!$AD25^0.5</f>
        <v>#DIV/0!</v>
      </c>
      <c r="T20" s="27" t="e">
        <f t="shared" si="7"/>
        <v>#DIV/0!</v>
      </c>
      <c r="U20" s="26">
        <f t="shared" si="8"/>
        <v>0</v>
      </c>
      <c r="V20" s="19" t="e">
        <f>IF(U20&gt;'Inputs-Results'!$V25-'Inputs-Results'!$X25,(0.5*(ABS('Inputs-Results'!$S25-'Inputs-Results'!$U25)/('Inputs-Results'!$T25-'Inputs-Results'!$V25)*(U20-('Inputs-Results'!$V25-'Inputs-Results'!$X25)))*(U20-('Inputs-Results'!$V25-'Inputs-Results'!$X25))),0)+IF(U20&gt;'Inputs-Results'!$V25-'Inputs-Results'!$X25,(0.5*((U20+'Inputs-Results'!$X25-'Inputs-Results'!$V25)+U20)*ABS('Inputs-Results'!$U25-'Inputs-Results'!$W25)),0.5*(ABS('Inputs-Results'!$U25-'Inputs-Results'!$W25)/('Inputs-Results'!$V25-'Inputs-Results'!$X25)*U20)*U20)+IF(U20&gt;'Inputs-Results'!$Z25-'Inputs-Results'!$X25,(0.5*((U20+'Inputs-Results'!$X25-'Inputs-Results'!$Z25)+U20)*ABS('Inputs-Results'!$Y25-'Inputs-Results'!$W25)),0.5*(ABS('Inputs-Results'!$W25-'Inputs-Results'!$Y25)/('Inputs-Results'!$Z25-'Inputs-Results'!$X25)*U20)*U20)+IF(U20&gt;'Inputs-Results'!$Z25-'Inputs-Results'!$X25,(0.5*(ABS('Inputs-Results'!$Y25-'Inputs-Results'!$AA25)/('Inputs-Results'!$AB25-'Inputs-Results'!$Z25)*(U20-('Inputs-Results'!$Z25-'Inputs-Results'!$X25)))*(U20-('Inputs-Results'!$Z25-'Inputs-Results'!$X25))),0)</f>
        <v>#DIV/0!</v>
      </c>
      <c r="W20" s="19" t="e">
        <f>IF(U20&gt;'Inputs-Results'!$V$9-'Inputs-Results'!$X$9,SQRT(('Inputs-Results'!$U$9-'Inputs-Results'!$W$9)^2+('Inputs-Results'!$V$9-'Inputs-Results'!$X$9)^2)+SQRT(('Inputs-Results'!$W$9-'Inputs-Results'!$Y$9)^2+('Inputs-Results'!$X$9-'Inputs-Results'!$Z$9)^2)+SQRT((('Inputs-Results'!$S$9-'Inputs-Results'!$U$9)*(U20+'Inputs-Results'!$X$9-'Inputs-Results'!$V$9)/('Inputs-Results'!$T$9-'Inputs-Results'!$V$9))^2+(U20+'Inputs-Results'!$X$9-'Inputs-Results'!$V$9)^2)+SQRT((('Inputs-Results'!$AA$9-'Inputs-Results'!$Y$9)*(U20+'Inputs-Results'!$X$9-'Inputs-Results'!$Z$9)/('Inputs-Results'!$AB$9-'Inputs-Results'!$Z$9))^2+(U20+'Inputs-Results'!$X$9-'Inputs-Results'!$Z$9)^2),SQRT((('Inputs-Results'!$U$9-'Inputs-Results'!$W$9)*(U20)/('Inputs-Results'!$V$9-'Inputs-Results'!$X$9))^2+U20^2)+SQRT((('Inputs-Results'!$Y$9-'Inputs-Results'!$W$9)*U20/('Inputs-Results'!$Z$9-'Inputs-Results'!$X$9))^2+U20^2))</f>
        <v>#DIV/0!</v>
      </c>
      <c r="X20" s="19" t="e">
        <f t="shared" si="9"/>
        <v>#DIV/0!</v>
      </c>
      <c r="Y20" s="19" t="e">
        <f>1.49/'Inputs-Results'!$AC25*V20*X20^(2/3)*'Inputs-Results'!$AD25^0.5</f>
        <v>#DIV/0!</v>
      </c>
      <c r="Z20" s="27" t="e">
        <f t="shared" si="10"/>
        <v>#DIV/0!</v>
      </c>
      <c r="AA20" s="26">
        <f t="shared" si="11"/>
        <v>0</v>
      </c>
      <c r="AB20" s="19" t="e">
        <f>IF(AA20&gt;'Inputs-Results'!$V25-'Inputs-Results'!$X25,(0.5*(ABS('Inputs-Results'!$S25-'Inputs-Results'!$U25)/('Inputs-Results'!$T25-'Inputs-Results'!$V25)*(AA20-('Inputs-Results'!$V25-'Inputs-Results'!$X25)))*(AA20-('Inputs-Results'!$V25-'Inputs-Results'!$X25))),0)+IF(AA20&gt;'Inputs-Results'!$V25-'Inputs-Results'!$X25,(0.5*((AA20+'Inputs-Results'!$X25-'Inputs-Results'!$V25)+AA20)*ABS('Inputs-Results'!$U25-'Inputs-Results'!$W25)),0.5*(ABS('Inputs-Results'!$U25-'Inputs-Results'!$W25)/('Inputs-Results'!$V25-'Inputs-Results'!$X25)*AA20)*AA20)+IF(AA20&gt;'Inputs-Results'!$Z25-'Inputs-Results'!$X25,(0.5*((AA20+'Inputs-Results'!$X25-'Inputs-Results'!$Z25)+AA20)*ABS('Inputs-Results'!$Y25-'Inputs-Results'!$W25)),0.5*(ABS('Inputs-Results'!$W25-'Inputs-Results'!$Y25)/('Inputs-Results'!$Z25-'Inputs-Results'!$X25)*AA20)*AA20)+IF(AA20&gt;'Inputs-Results'!$Z25-'Inputs-Results'!$X25,(0.5*(ABS('Inputs-Results'!$Y25-'Inputs-Results'!$AA25)/('Inputs-Results'!$AB25-'Inputs-Results'!$Z25)*(AA20-('Inputs-Results'!$Z25-'Inputs-Results'!$X25)))*(AA20-('Inputs-Results'!$Z25-'Inputs-Results'!$X25))),0)</f>
        <v>#DIV/0!</v>
      </c>
      <c r="AC20" s="19" t="e">
        <f>IF(AA20&gt;'Inputs-Results'!$V$9-'Inputs-Results'!$X$9,SQRT(('Inputs-Results'!$U$9-'Inputs-Results'!$W$9)^2+('Inputs-Results'!$V$9-'Inputs-Results'!$X$9)^2)+SQRT(('Inputs-Results'!$W$9-'Inputs-Results'!$Y$9)^2+('Inputs-Results'!$X$9-'Inputs-Results'!$Z$9)^2)+SQRT((('Inputs-Results'!$S$9-'Inputs-Results'!$U$9)*(AA20+'Inputs-Results'!$X$9-'Inputs-Results'!$V$9)/('Inputs-Results'!$T$9-'Inputs-Results'!$V$9))^2+(AA20+'Inputs-Results'!$X$9-'Inputs-Results'!$V$9)^2)+SQRT((('Inputs-Results'!$AA$9-'Inputs-Results'!$Y$9)*(AA20+'Inputs-Results'!$X$9-'Inputs-Results'!$Z$9)/('Inputs-Results'!$AB$9-'Inputs-Results'!$Z$9))^2+(AA20+'Inputs-Results'!$X$9-'Inputs-Results'!$Z$9)^2),SQRT((('Inputs-Results'!$U$9-'Inputs-Results'!$W$9)*(AA20)/('Inputs-Results'!$V$9-'Inputs-Results'!$X$9))^2+AA20^2)+SQRT((('Inputs-Results'!$Y$9-'Inputs-Results'!$W$9)*AA20/('Inputs-Results'!$Z$9-'Inputs-Results'!$X$9))^2+AA20^2))</f>
        <v>#DIV/0!</v>
      </c>
      <c r="AD20" s="19" t="e">
        <f t="shared" si="12"/>
        <v>#DIV/0!</v>
      </c>
      <c r="AE20" s="19" t="e">
        <f>1.49/'Inputs-Results'!$AC25*AB20*AD20^(2/3)*'Inputs-Results'!$AD25^0.5</f>
        <v>#DIV/0!</v>
      </c>
      <c r="AF20" s="27" t="e">
        <f t="shared" si="13"/>
        <v>#DIV/0!</v>
      </c>
      <c r="AG20" s="26">
        <f t="shared" si="14"/>
        <v>0</v>
      </c>
      <c r="AH20" s="19" t="e">
        <f>IF(AG20&gt;'Inputs-Results'!$V25-'Inputs-Results'!$X25,(0.5*(ABS('Inputs-Results'!$S25-'Inputs-Results'!$U25)/('Inputs-Results'!$T25-'Inputs-Results'!$V25)*(AG20-('Inputs-Results'!$V25-'Inputs-Results'!$X25)))*(AG20-('Inputs-Results'!$V25-'Inputs-Results'!$X25))),0)+IF(AG20&gt;'Inputs-Results'!$V25-'Inputs-Results'!$X25,(0.5*((AG20+'Inputs-Results'!$X25-'Inputs-Results'!$V25)+AG20)*ABS('Inputs-Results'!$U25-'Inputs-Results'!$W25)),0.5*(ABS('Inputs-Results'!$U25-'Inputs-Results'!$W25)/('Inputs-Results'!$V25-'Inputs-Results'!$X25)*AG20)*AG20)+IF(AG20&gt;'Inputs-Results'!$Z25-'Inputs-Results'!$X25,(0.5*((AG20+'Inputs-Results'!$X25-'Inputs-Results'!$Z25)+AG20)*ABS('Inputs-Results'!$Y25-'Inputs-Results'!$W25)),0.5*(ABS('Inputs-Results'!$W25-'Inputs-Results'!$Y25)/('Inputs-Results'!$Z25-'Inputs-Results'!$X25)*AG20)*AG20)+IF(AG20&gt;'Inputs-Results'!$Z25-'Inputs-Results'!$X25,(0.5*(ABS('Inputs-Results'!$Y25-'Inputs-Results'!$AA25)/('Inputs-Results'!$AB25-'Inputs-Results'!$Z25)*(AG20-('Inputs-Results'!$Z25-'Inputs-Results'!$X25)))*(AG20-('Inputs-Results'!$Z25-'Inputs-Results'!$X25))),0)</f>
        <v>#DIV/0!</v>
      </c>
      <c r="AI20" s="19" t="e">
        <f>IF(AG20&gt;'Inputs-Results'!$V$9-'Inputs-Results'!$X$9,SQRT(('Inputs-Results'!$U$9-'Inputs-Results'!$W$9)^2+('Inputs-Results'!$V$9-'Inputs-Results'!$X$9)^2)+SQRT(('Inputs-Results'!$W$9-'Inputs-Results'!$Y$9)^2+('Inputs-Results'!$X$9-'Inputs-Results'!$Z$9)^2)+SQRT((('Inputs-Results'!$S$9-'Inputs-Results'!$U$9)*(AG20+'Inputs-Results'!$X$9-'Inputs-Results'!$V$9)/('Inputs-Results'!$T$9-'Inputs-Results'!$V$9))^2+(AG20+'Inputs-Results'!$X$9-'Inputs-Results'!$V$9)^2)+SQRT((('Inputs-Results'!$AA$9-'Inputs-Results'!$Y$9)*(AG20+'Inputs-Results'!$X$9-'Inputs-Results'!$Z$9)/('Inputs-Results'!$AB$9-'Inputs-Results'!$Z$9))^2+(AG20+'Inputs-Results'!$X$9-'Inputs-Results'!$Z$9)^2),SQRT((('Inputs-Results'!$U$9-'Inputs-Results'!$W$9)*(AG20)/('Inputs-Results'!$V$9-'Inputs-Results'!$X$9))^2+AG20^2)+SQRT((('Inputs-Results'!$Y$9-'Inputs-Results'!$W$9)*AG20/('Inputs-Results'!$Z$9-'Inputs-Results'!$X$9))^2+AG20^2))</f>
        <v>#DIV/0!</v>
      </c>
      <c r="AJ20" s="19" t="e">
        <f t="shared" si="15"/>
        <v>#DIV/0!</v>
      </c>
      <c r="AK20" s="19" t="e">
        <f>1.49/'Inputs-Results'!$AC25*AH20*AJ20^(2/3)*'Inputs-Results'!$AD25^0.5</f>
        <v>#DIV/0!</v>
      </c>
      <c r="AL20" s="27" t="e">
        <f t="shared" si="16"/>
        <v>#DIV/0!</v>
      </c>
      <c r="AM20" s="26">
        <f t="shared" si="17"/>
        <v>0</v>
      </c>
      <c r="AN20" s="19" t="e">
        <f>IF(AM20&gt;'Inputs-Results'!$V25-'Inputs-Results'!$X25,(0.5*(ABS('Inputs-Results'!$S25-'Inputs-Results'!$U25)/('Inputs-Results'!$T25-'Inputs-Results'!$V25)*(AM20-('Inputs-Results'!$V25-'Inputs-Results'!$X25)))*(AM20-('Inputs-Results'!$V25-'Inputs-Results'!$X25))),0)+IF(AM20&gt;'Inputs-Results'!$V25-'Inputs-Results'!$X25,(0.5*((AM20+'Inputs-Results'!$X25-'Inputs-Results'!$V25)+AM20)*ABS('Inputs-Results'!$U25-'Inputs-Results'!$W25)),0.5*(ABS('Inputs-Results'!$U25-'Inputs-Results'!$W25)/('Inputs-Results'!$V25-'Inputs-Results'!$X25)*AM20)*AM20)+IF(AM20&gt;'Inputs-Results'!$Z25-'Inputs-Results'!$X25,(0.5*((AM20+'Inputs-Results'!$X25-'Inputs-Results'!$Z25)+AM20)*ABS('Inputs-Results'!$Y25-'Inputs-Results'!$W25)),0.5*(ABS('Inputs-Results'!$W25-'Inputs-Results'!$Y25)/('Inputs-Results'!$Z25-'Inputs-Results'!$X25)*AM20)*AM20)+IF(AM20&gt;'Inputs-Results'!$Z25-'Inputs-Results'!$X25,(0.5*(ABS('Inputs-Results'!$Y25-'Inputs-Results'!$AA25)/('Inputs-Results'!$AB25-'Inputs-Results'!$Z25)*(AM20-('Inputs-Results'!$Z25-'Inputs-Results'!$X25)))*(AM20-('Inputs-Results'!$Z25-'Inputs-Results'!$X25))),0)</f>
        <v>#DIV/0!</v>
      </c>
      <c r="AO20" s="19" t="e">
        <f>IF(AM20&gt;'Inputs-Results'!$V$9-'Inputs-Results'!$X$9,SQRT(('Inputs-Results'!$U$9-'Inputs-Results'!$W$9)^2+('Inputs-Results'!$V$9-'Inputs-Results'!$X$9)^2)+SQRT(('Inputs-Results'!$W$9-'Inputs-Results'!$Y$9)^2+('Inputs-Results'!$X$9-'Inputs-Results'!$Z$9)^2)+SQRT((('Inputs-Results'!$S$9-'Inputs-Results'!$U$9)*(AM20+'Inputs-Results'!$X$9-'Inputs-Results'!$V$9)/('Inputs-Results'!$T$9-'Inputs-Results'!$V$9))^2+(AM20+'Inputs-Results'!$X$9-'Inputs-Results'!$V$9)^2)+SQRT((('Inputs-Results'!$AA$9-'Inputs-Results'!$Y$9)*(AM20+'Inputs-Results'!$X$9-'Inputs-Results'!$Z$9)/('Inputs-Results'!$AB$9-'Inputs-Results'!$Z$9))^2+(AM20+'Inputs-Results'!$X$9-'Inputs-Results'!$Z$9)^2),SQRT((('Inputs-Results'!$U$9-'Inputs-Results'!$W$9)*(AM20)/('Inputs-Results'!$V$9-'Inputs-Results'!$X$9))^2+AM20^2)+SQRT((('Inputs-Results'!$Y$9-'Inputs-Results'!$W$9)*AM20/('Inputs-Results'!$Z$9-'Inputs-Results'!$X$9))^2+AM20^2))</f>
        <v>#DIV/0!</v>
      </c>
      <c r="AP20" s="19" t="e">
        <f t="shared" si="18"/>
        <v>#DIV/0!</v>
      </c>
      <c r="AQ20" s="19" t="e">
        <f>1.49/'Inputs-Results'!$AC25*AN20*AP20^(2/3)*'Inputs-Results'!$AD25^0.5</f>
        <v>#DIV/0!</v>
      </c>
      <c r="AR20" s="27" t="e">
        <f t="shared" si="19"/>
        <v>#DIV/0!</v>
      </c>
      <c r="AS20" s="26">
        <f t="shared" si="20"/>
        <v>0</v>
      </c>
      <c r="AT20" s="19" t="e">
        <f>IF(AS20&gt;'Inputs-Results'!$V25-'Inputs-Results'!$X25,(0.5*(ABS('Inputs-Results'!$S25-'Inputs-Results'!$U25)/('Inputs-Results'!$T25-'Inputs-Results'!$V25)*(AS20-('Inputs-Results'!$V25-'Inputs-Results'!$X25)))*(AS20-('Inputs-Results'!$V25-'Inputs-Results'!$X25))),0)+IF(AS20&gt;'Inputs-Results'!$V25-'Inputs-Results'!$X25,(0.5*((AS20+'Inputs-Results'!$X25-'Inputs-Results'!$V25)+AS20)*ABS('Inputs-Results'!$U25-'Inputs-Results'!$W25)),0.5*(ABS('Inputs-Results'!$U25-'Inputs-Results'!$W25)/('Inputs-Results'!$V25-'Inputs-Results'!$X25)*AS20)*AS20)+IF(AS20&gt;'Inputs-Results'!$Z25-'Inputs-Results'!$X25,(0.5*((AS20+'Inputs-Results'!$X25-'Inputs-Results'!$Z25)+AS20)*ABS('Inputs-Results'!$Y25-'Inputs-Results'!$W25)),0.5*(ABS('Inputs-Results'!$W25-'Inputs-Results'!$Y25)/('Inputs-Results'!$Z25-'Inputs-Results'!$X25)*AS20)*AS20)+IF(AS20&gt;'Inputs-Results'!$Z25-'Inputs-Results'!$X25,(0.5*(ABS('Inputs-Results'!$Y25-'Inputs-Results'!$AA25)/('Inputs-Results'!$AB25-'Inputs-Results'!$Z25)*(AS20-('Inputs-Results'!$Z25-'Inputs-Results'!$X25)))*(AS20-('Inputs-Results'!$Z25-'Inputs-Results'!$X25))),0)</f>
        <v>#DIV/0!</v>
      </c>
      <c r="AU20" s="19" t="e">
        <f>IF(AS20&gt;'Inputs-Results'!$V$9-'Inputs-Results'!$X$9,SQRT(('Inputs-Results'!$U$9-'Inputs-Results'!$W$9)^2+('Inputs-Results'!$V$9-'Inputs-Results'!$X$9)^2)+SQRT(('Inputs-Results'!$W$9-'Inputs-Results'!$Y$9)^2+('Inputs-Results'!$X$9-'Inputs-Results'!$Z$9)^2)+SQRT((('Inputs-Results'!$S$9-'Inputs-Results'!$U$9)*(AS20+'Inputs-Results'!$X$9-'Inputs-Results'!$V$9)/('Inputs-Results'!$T$9-'Inputs-Results'!$V$9))^2+(AS20+'Inputs-Results'!$X$9-'Inputs-Results'!$V$9)^2)+SQRT((('Inputs-Results'!$AA$9-'Inputs-Results'!$Y$9)*(AS20+'Inputs-Results'!$X$9-'Inputs-Results'!$Z$9)/('Inputs-Results'!$AB$9-'Inputs-Results'!$Z$9))^2+(AS20+'Inputs-Results'!$X$9-'Inputs-Results'!$Z$9)^2),SQRT((('Inputs-Results'!$U$9-'Inputs-Results'!$W$9)*(AS20)/('Inputs-Results'!$V$9-'Inputs-Results'!$X$9))^2+AS20^2)+SQRT((('Inputs-Results'!$Y$9-'Inputs-Results'!$W$9)*AS20/('Inputs-Results'!$Z$9-'Inputs-Results'!$X$9))^2+AS20^2))</f>
        <v>#DIV/0!</v>
      </c>
      <c r="AV20" s="19" t="e">
        <f t="shared" si="21"/>
        <v>#DIV/0!</v>
      </c>
      <c r="AW20" s="19" t="e">
        <f>1.49/'Inputs-Results'!$AC25*AT20*AV20^(2/3)*'Inputs-Results'!$AD25^0.5</f>
        <v>#DIV/0!</v>
      </c>
      <c r="AX20" s="27" t="e">
        <f t="shared" si="22"/>
        <v>#DIV/0!</v>
      </c>
      <c r="AY20" s="26">
        <f t="shared" si="23"/>
        <v>0</v>
      </c>
      <c r="AZ20" s="19" t="e">
        <f>IF(AY20&gt;'Inputs-Results'!$V25-'Inputs-Results'!$X25,(0.5*(ABS('Inputs-Results'!$S25-'Inputs-Results'!$U25)/('Inputs-Results'!$T25-'Inputs-Results'!$V25)*(AY20-('Inputs-Results'!$V25-'Inputs-Results'!$X25)))*(AY20-('Inputs-Results'!$V25-'Inputs-Results'!$X25))),0)+IF(AY20&gt;'Inputs-Results'!$V25-'Inputs-Results'!$X25,(0.5*((AY20+'Inputs-Results'!$X25-'Inputs-Results'!$V25)+AY20)*ABS('Inputs-Results'!$U25-'Inputs-Results'!$W25)),0.5*(ABS('Inputs-Results'!$U25-'Inputs-Results'!$W25)/('Inputs-Results'!$V25-'Inputs-Results'!$X25)*AY20)*AY20)+IF(AY20&gt;'Inputs-Results'!$Z25-'Inputs-Results'!$X25,(0.5*((AY20+'Inputs-Results'!$X25-'Inputs-Results'!$Z25)+AY20)*ABS('Inputs-Results'!$Y25-'Inputs-Results'!$W25)),0.5*(ABS('Inputs-Results'!$W25-'Inputs-Results'!$Y25)/('Inputs-Results'!$Z25-'Inputs-Results'!$X25)*AY20)*AY20)+IF(AY20&gt;'Inputs-Results'!$Z25-'Inputs-Results'!$X25,(0.5*(ABS('Inputs-Results'!$Y25-'Inputs-Results'!$AA25)/('Inputs-Results'!$AB25-'Inputs-Results'!$Z25)*(AY20-('Inputs-Results'!$Z25-'Inputs-Results'!$X25)))*(AY20-('Inputs-Results'!$Z25-'Inputs-Results'!$X25))),0)</f>
        <v>#DIV/0!</v>
      </c>
      <c r="BA20" s="19" t="e">
        <f>IF(AY20&gt;'Inputs-Results'!$V$9-'Inputs-Results'!$X$9,SQRT(('Inputs-Results'!$U$9-'Inputs-Results'!$W$9)^2+('Inputs-Results'!$V$9-'Inputs-Results'!$X$9)^2)+SQRT(('Inputs-Results'!$W$9-'Inputs-Results'!$Y$9)^2+('Inputs-Results'!$X$9-'Inputs-Results'!$Z$9)^2)+SQRT((('Inputs-Results'!$S$9-'Inputs-Results'!$U$9)*(AY20+'Inputs-Results'!$X$9-'Inputs-Results'!$V$9)/('Inputs-Results'!$T$9-'Inputs-Results'!$V$9))^2+(AY20+'Inputs-Results'!$X$9-'Inputs-Results'!$V$9)^2)+SQRT((('Inputs-Results'!$AA$9-'Inputs-Results'!$Y$9)*(AY20+'Inputs-Results'!$X$9-'Inputs-Results'!$Z$9)/('Inputs-Results'!$AB$9-'Inputs-Results'!$Z$9))^2+(AY20+'Inputs-Results'!$X$9-'Inputs-Results'!$Z$9)^2),SQRT((('Inputs-Results'!$U$9-'Inputs-Results'!$W$9)*(AY20)/('Inputs-Results'!$V$9-'Inputs-Results'!$X$9))^2+AY20^2)+SQRT((('Inputs-Results'!$Y$9-'Inputs-Results'!$W$9)*AY20/('Inputs-Results'!$Z$9-'Inputs-Results'!$X$9))^2+AY20^2))</f>
        <v>#DIV/0!</v>
      </c>
      <c r="BB20" s="19" t="e">
        <f t="shared" si="24"/>
        <v>#DIV/0!</v>
      </c>
      <c r="BC20" s="19" t="e">
        <f>1.49/'Inputs-Results'!$AC25*AZ20*BB20^(2/3)*'Inputs-Results'!$AD25^0.5</f>
        <v>#DIV/0!</v>
      </c>
      <c r="BD20" s="27" t="e">
        <f t="shared" si="25"/>
        <v>#DIV/0!</v>
      </c>
      <c r="BE20" s="26">
        <f t="shared" si="26"/>
        <v>0</v>
      </c>
      <c r="BF20" s="19" t="e">
        <f>IF(BE20&gt;'Inputs-Results'!$V25-'Inputs-Results'!$X25,(0.5*(ABS('Inputs-Results'!$S25-'Inputs-Results'!$U25)/('Inputs-Results'!$T25-'Inputs-Results'!$V25)*(BE20-('Inputs-Results'!$V25-'Inputs-Results'!$X25)))*(BE20-('Inputs-Results'!$V25-'Inputs-Results'!$X25))),0)+IF(BE20&gt;'Inputs-Results'!$V25-'Inputs-Results'!$X25,(0.5*((BE20+'Inputs-Results'!$X25-'Inputs-Results'!$V25)+BE20)*ABS('Inputs-Results'!$U25-'Inputs-Results'!$W25)),0.5*(ABS('Inputs-Results'!$U25-'Inputs-Results'!$W25)/('Inputs-Results'!$V25-'Inputs-Results'!$X25)*BE20)*BE20)+IF(BE20&gt;'Inputs-Results'!$Z25-'Inputs-Results'!$X25,(0.5*((BE20+'Inputs-Results'!$X25-'Inputs-Results'!$Z25)+BE20)*ABS('Inputs-Results'!$Y25-'Inputs-Results'!$W25)),0.5*(ABS('Inputs-Results'!$W25-'Inputs-Results'!$Y25)/('Inputs-Results'!$Z25-'Inputs-Results'!$X25)*BE20)*BE20)+IF(BE20&gt;'Inputs-Results'!$Z25-'Inputs-Results'!$X25,(0.5*(ABS('Inputs-Results'!$Y25-'Inputs-Results'!$AA25)/('Inputs-Results'!$AB25-'Inputs-Results'!$Z25)*(BE20-('Inputs-Results'!$Z25-'Inputs-Results'!$X25)))*(BE20-('Inputs-Results'!$Z25-'Inputs-Results'!$X25))),0)</f>
        <v>#DIV/0!</v>
      </c>
      <c r="BG20" s="19" t="e">
        <f>IF(BE20&gt;'Inputs-Results'!$V$9-'Inputs-Results'!$X$9,SQRT(('Inputs-Results'!$U$9-'Inputs-Results'!$W$9)^2+('Inputs-Results'!$V$9-'Inputs-Results'!$X$9)^2)+SQRT(('Inputs-Results'!$W$9-'Inputs-Results'!$Y$9)^2+('Inputs-Results'!$X$9-'Inputs-Results'!$Z$9)^2)+SQRT((('Inputs-Results'!$S$9-'Inputs-Results'!$U$9)*(BE20+'Inputs-Results'!$X$9-'Inputs-Results'!$V$9)/('Inputs-Results'!$T$9-'Inputs-Results'!$V$9))^2+(BE20+'Inputs-Results'!$X$9-'Inputs-Results'!$V$9)^2)+SQRT((('Inputs-Results'!$AA$9-'Inputs-Results'!$Y$9)*(BE20+'Inputs-Results'!$X$9-'Inputs-Results'!$Z$9)/('Inputs-Results'!$AB$9-'Inputs-Results'!$Z$9))^2+(BE20+'Inputs-Results'!$X$9-'Inputs-Results'!$Z$9)^2),SQRT((('Inputs-Results'!$U$9-'Inputs-Results'!$W$9)*(BE20)/('Inputs-Results'!$V$9-'Inputs-Results'!$X$9))^2+BE20^2)+SQRT((('Inputs-Results'!$Y$9-'Inputs-Results'!$W$9)*BE20/('Inputs-Results'!$Z$9-'Inputs-Results'!$X$9))^2+BE20^2))</f>
        <v>#DIV/0!</v>
      </c>
      <c r="BH20" s="19" t="e">
        <f t="shared" si="27"/>
        <v>#DIV/0!</v>
      </c>
      <c r="BI20" s="19" t="e">
        <f>1.49/'Inputs-Results'!$AC25*BF20*BH20^(2/3)*'Inputs-Results'!$AD25^0.5</f>
        <v>#DIV/0!</v>
      </c>
      <c r="BJ20" s="27" t="e">
        <f t="shared" si="28"/>
        <v>#DIV/0!</v>
      </c>
    </row>
    <row r="21" spans="1:62" x14ac:dyDescent="0.25">
      <c r="A21" s="2">
        <v>0</v>
      </c>
      <c r="B21" s="17"/>
      <c r="C21" s="26">
        <f>MIN('Inputs-Results'!T26-'Inputs-Results'!X26,'Inputs-Results'!AB26-'Inputs-Results'!X26)</f>
        <v>0</v>
      </c>
      <c r="D21" s="19" t="e">
        <f>IF(C21&gt;'Inputs-Results'!$V26-'Inputs-Results'!$X26,(0.5*(ABS('Inputs-Results'!$S26-'Inputs-Results'!$U26)/('Inputs-Results'!$T26-'Inputs-Results'!$V26)*(C21-('Inputs-Results'!$V26-'Inputs-Results'!$X26)))*(C21-('Inputs-Results'!$V26-'Inputs-Results'!$X26))),0)+IF(C21&gt;'Inputs-Results'!$V26-'Inputs-Results'!$X26,(0.5*((C21+'Inputs-Results'!$X26-'Inputs-Results'!$V26)+C21)*ABS('Inputs-Results'!$U26-'Inputs-Results'!$W26)),0.5*(ABS('Inputs-Results'!$U26-'Inputs-Results'!$W26)/('Inputs-Results'!$V26-'Inputs-Results'!$X26)*C21)*C21)+IF(C21&gt;'Inputs-Results'!$Z26-'Inputs-Results'!$X26,(0.5*((C21+'Inputs-Results'!$X26-'Inputs-Results'!$Z26)+C21)*ABS('Inputs-Results'!$Y26-'Inputs-Results'!$W26)),0.5*(ABS('Inputs-Results'!$W26-'Inputs-Results'!$Y26)/('Inputs-Results'!$Z26-'Inputs-Results'!$X26)*C21)*C21)+IF(C21&gt;'Inputs-Results'!$Z26-'Inputs-Results'!$X26,(0.5*(ABS('Inputs-Results'!$Y26-'Inputs-Results'!$AA26)/('Inputs-Results'!$AB26-'Inputs-Results'!$Z26)*(C21-('Inputs-Results'!$Z26-'Inputs-Results'!$X26)))*(C21-('Inputs-Results'!$Z26-'Inputs-Results'!$X26))),0)</f>
        <v>#DIV/0!</v>
      </c>
      <c r="E21" s="19" t="e">
        <f>IF(C21&gt;'Inputs-Results'!$V$9-'Inputs-Results'!$X$9,SQRT(('Inputs-Results'!$U$9-'Inputs-Results'!$W$9)^2+('Inputs-Results'!$V$9-'Inputs-Results'!$X$9)^2)+SQRT(('Inputs-Results'!$W$9-'Inputs-Results'!$Y$9)^2+('Inputs-Results'!$X$9-'Inputs-Results'!$Z$9)^2)+SQRT((('Inputs-Results'!$S$9-'Inputs-Results'!$U$9)*(C21+'Inputs-Results'!$X$9-'Inputs-Results'!$V$9)/('Inputs-Results'!$T$9-'Inputs-Results'!$V$9))^2+(C21+'Inputs-Results'!$X$9-'Inputs-Results'!$V$9)^2)+SQRT((('Inputs-Results'!$AA$9-'Inputs-Results'!$Y$9)*(C21+'Inputs-Results'!$X$9-'Inputs-Results'!$Z$9)/('Inputs-Results'!$AB$9-'Inputs-Results'!$Z$9))^2+(C21+'Inputs-Results'!$X$9-'Inputs-Results'!$Z$9)^2),SQRT((('Inputs-Results'!$U$9-'Inputs-Results'!$W$9)*(C21)/('Inputs-Results'!$V$9-'Inputs-Results'!$X$9))^2+C21^2)+SQRT((('Inputs-Results'!$Y$9-'Inputs-Results'!$W$9)*C21/('Inputs-Results'!$Z$9-'Inputs-Results'!$X$9))^2+C21^2))</f>
        <v>#DIV/0!</v>
      </c>
      <c r="F21" s="19" t="e">
        <f t="shared" si="0"/>
        <v>#DIV/0!</v>
      </c>
      <c r="G21" s="19" t="e">
        <f>1.49/'Inputs-Results'!AC26*D21*F21^(2/3)*'Inputs-Results'!AD26^0.5</f>
        <v>#DIV/0!</v>
      </c>
      <c r="H21" s="27" t="e">
        <f t="shared" si="1"/>
        <v>#DIV/0!</v>
      </c>
      <c r="I21" s="26">
        <f t="shared" si="2"/>
        <v>0</v>
      </c>
      <c r="J21" s="19" t="e">
        <f>IF(I21&gt;'Inputs-Results'!$V26-'Inputs-Results'!$X26,(0.5*(ABS('Inputs-Results'!$S26-'Inputs-Results'!$U26)/('Inputs-Results'!$T26-'Inputs-Results'!$V26)*(I21-('Inputs-Results'!$V26-'Inputs-Results'!$X26)))*(I21-('Inputs-Results'!$V26-'Inputs-Results'!$X26))),0)+IF(I21&gt;'Inputs-Results'!$V26-'Inputs-Results'!$X26,(0.5*((I21+'Inputs-Results'!$X26-'Inputs-Results'!$V26)+I21)*ABS('Inputs-Results'!$U26-'Inputs-Results'!$W26)),0.5*(ABS('Inputs-Results'!$U26-'Inputs-Results'!$W26)/('Inputs-Results'!$V26-'Inputs-Results'!$X26)*I21)*I21)+IF(I21&gt;'Inputs-Results'!$Z26-'Inputs-Results'!$X26,(0.5*((I21+'Inputs-Results'!$X26-'Inputs-Results'!$Z26)+I21)*ABS('Inputs-Results'!$Y26-'Inputs-Results'!$W26)),0.5*(ABS('Inputs-Results'!$W26-'Inputs-Results'!$Y26)/('Inputs-Results'!$Z26-'Inputs-Results'!$X26)*I21)*I21)+IF(I21&gt;'Inputs-Results'!$Z26-'Inputs-Results'!$X26,(0.5*(ABS('Inputs-Results'!$Y26-'Inputs-Results'!$AA26)/('Inputs-Results'!$AB26-'Inputs-Results'!$Z26)*(I21-('Inputs-Results'!$Z26-'Inputs-Results'!$X26)))*(I21-('Inputs-Results'!$Z26-'Inputs-Results'!$X26))),0)</f>
        <v>#DIV/0!</v>
      </c>
      <c r="K21" s="19" t="e">
        <f>IF(I21&gt;'Inputs-Results'!$V$9-'Inputs-Results'!$X$9,SQRT(('Inputs-Results'!$U$9-'Inputs-Results'!$W$9)^2+('Inputs-Results'!$V$9-'Inputs-Results'!$X$9)^2)+SQRT(('Inputs-Results'!$W$9-'Inputs-Results'!$Y$9)^2+('Inputs-Results'!$X$9-'Inputs-Results'!$Z$9)^2)+SQRT((('Inputs-Results'!$S$9-'Inputs-Results'!$U$9)*(I21+'Inputs-Results'!$X$9-'Inputs-Results'!$V$9)/('Inputs-Results'!$T$9-'Inputs-Results'!$V$9))^2+(I21+'Inputs-Results'!$X$9-'Inputs-Results'!$V$9)^2)+SQRT((('Inputs-Results'!$AA$9-'Inputs-Results'!$Y$9)*(I21+'Inputs-Results'!$X$9-'Inputs-Results'!$Z$9)/('Inputs-Results'!$AB$9-'Inputs-Results'!$Z$9))^2+(I21+'Inputs-Results'!$X$9-'Inputs-Results'!$Z$9)^2),SQRT((('Inputs-Results'!$U$9-'Inputs-Results'!$W$9)*(I21)/('Inputs-Results'!$V$9-'Inputs-Results'!$X$9))^2+I21^2)+SQRT((('Inputs-Results'!$Y$9-'Inputs-Results'!$W$9)*I21/('Inputs-Results'!$Z$9-'Inputs-Results'!$X$9))^2+I21^2))</f>
        <v>#DIV/0!</v>
      </c>
      <c r="L21" s="19" t="e">
        <f t="shared" si="3"/>
        <v>#DIV/0!</v>
      </c>
      <c r="M21" s="19" t="e">
        <f>1.49/'Inputs-Results'!$AC26*J21*L21^(2/3)*'Inputs-Results'!$AD26^0.5</f>
        <v>#DIV/0!</v>
      </c>
      <c r="N21" s="27" t="e">
        <f t="shared" si="4"/>
        <v>#DIV/0!</v>
      </c>
      <c r="O21" s="26">
        <f t="shared" si="5"/>
        <v>0</v>
      </c>
      <c r="P21" s="19" t="e">
        <f>IF(O21&gt;'Inputs-Results'!$V26-'Inputs-Results'!$X26,(0.5*(ABS('Inputs-Results'!$S26-'Inputs-Results'!$U26)/('Inputs-Results'!$T26-'Inputs-Results'!$V26)*(O21-('Inputs-Results'!$V26-'Inputs-Results'!$X26)))*(O21-('Inputs-Results'!$V26-'Inputs-Results'!$X26))),0)+IF(O21&gt;'Inputs-Results'!$V26-'Inputs-Results'!$X26,(0.5*((O21+'Inputs-Results'!$X26-'Inputs-Results'!$V26)+O21)*ABS('Inputs-Results'!$U26-'Inputs-Results'!$W26)),0.5*(ABS('Inputs-Results'!$U26-'Inputs-Results'!$W26)/('Inputs-Results'!$V26-'Inputs-Results'!$X26)*O21)*O21)+IF(O21&gt;'Inputs-Results'!$Z26-'Inputs-Results'!$X26,(0.5*((O21+'Inputs-Results'!$X26-'Inputs-Results'!$Z26)+O21)*ABS('Inputs-Results'!$Y26-'Inputs-Results'!$W26)),0.5*(ABS('Inputs-Results'!$W26-'Inputs-Results'!$Y26)/('Inputs-Results'!$Z26-'Inputs-Results'!$X26)*O21)*O21)+IF(O21&gt;'Inputs-Results'!$Z26-'Inputs-Results'!$X26,(0.5*(ABS('Inputs-Results'!$Y26-'Inputs-Results'!$AA26)/('Inputs-Results'!$AB26-'Inputs-Results'!$Z26)*(O21-('Inputs-Results'!$Z26-'Inputs-Results'!$X26)))*(O21-('Inputs-Results'!$Z26-'Inputs-Results'!$X26))),0)</f>
        <v>#DIV/0!</v>
      </c>
      <c r="Q21" s="19" t="e">
        <f>IF(O21&gt;'Inputs-Results'!$V$9-'Inputs-Results'!$X$9,SQRT(('Inputs-Results'!$U$9-'Inputs-Results'!$W$9)^2+('Inputs-Results'!$V$9-'Inputs-Results'!$X$9)^2)+SQRT(('Inputs-Results'!$W$9-'Inputs-Results'!$Y$9)^2+('Inputs-Results'!$X$9-'Inputs-Results'!$Z$9)^2)+SQRT((('Inputs-Results'!$S$9-'Inputs-Results'!$U$9)*(O21+'Inputs-Results'!$X$9-'Inputs-Results'!$V$9)/('Inputs-Results'!$T$9-'Inputs-Results'!$V$9))^2+(O21+'Inputs-Results'!$X$9-'Inputs-Results'!$V$9)^2)+SQRT((('Inputs-Results'!$AA$9-'Inputs-Results'!$Y$9)*(O21+'Inputs-Results'!$X$9-'Inputs-Results'!$Z$9)/('Inputs-Results'!$AB$9-'Inputs-Results'!$Z$9))^2+(O21+'Inputs-Results'!$X$9-'Inputs-Results'!$Z$9)^2),SQRT((('Inputs-Results'!$U$9-'Inputs-Results'!$W$9)*(O21)/('Inputs-Results'!$V$9-'Inputs-Results'!$X$9))^2+O21^2)+SQRT((('Inputs-Results'!$Y$9-'Inputs-Results'!$W$9)*O21/('Inputs-Results'!$Z$9-'Inputs-Results'!$X$9))^2+O21^2))</f>
        <v>#DIV/0!</v>
      </c>
      <c r="R21" s="19" t="e">
        <f t="shared" si="6"/>
        <v>#DIV/0!</v>
      </c>
      <c r="S21" s="19" t="e">
        <f>1.49/'Inputs-Results'!$AC26*P21*R21^(2/3)*'Inputs-Results'!$AD26^0.5</f>
        <v>#DIV/0!</v>
      </c>
      <c r="T21" s="27" t="e">
        <f t="shared" si="7"/>
        <v>#DIV/0!</v>
      </c>
      <c r="U21" s="26">
        <f t="shared" si="8"/>
        <v>0</v>
      </c>
      <c r="V21" s="19" t="e">
        <f>IF(U21&gt;'Inputs-Results'!$V26-'Inputs-Results'!$X26,(0.5*(ABS('Inputs-Results'!$S26-'Inputs-Results'!$U26)/('Inputs-Results'!$T26-'Inputs-Results'!$V26)*(U21-('Inputs-Results'!$V26-'Inputs-Results'!$X26)))*(U21-('Inputs-Results'!$V26-'Inputs-Results'!$X26))),0)+IF(U21&gt;'Inputs-Results'!$V26-'Inputs-Results'!$X26,(0.5*((U21+'Inputs-Results'!$X26-'Inputs-Results'!$V26)+U21)*ABS('Inputs-Results'!$U26-'Inputs-Results'!$W26)),0.5*(ABS('Inputs-Results'!$U26-'Inputs-Results'!$W26)/('Inputs-Results'!$V26-'Inputs-Results'!$X26)*U21)*U21)+IF(U21&gt;'Inputs-Results'!$Z26-'Inputs-Results'!$X26,(0.5*((U21+'Inputs-Results'!$X26-'Inputs-Results'!$Z26)+U21)*ABS('Inputs-Results'!$Y26-'Inputs-Results'!$W26)),0.5*(ABS('Inputs-Results'!$W26-'Inputs-Results'!$Y26)/('Inputs-Results'!$Z26-'Inputs-Results'!$X26)*U21)*U21)+IF(U21&gt;'Inputs-Results'!$Z26-'Inputs-Results'!$X26,(0.5*(ABS('Inputs-Results'!$Y26-'Inputs-Results'!$AA26)/('Inputs-Results'!$AB26-'Inputs-Results'!$Z26)*(U21-('Inputs-Results'!$Z26-'Inputs-Results'!$X26)))*(U21-('Inputs-Results'!$Z26-'Inputs-Results'!$X26))),0)</f>
        <v>#DIV/0!</v>
      </c>
      <c r="W21" s="19" t="e">
        <f>IF(U21&gt;'Inputs-Results'!$V$9-'Inputs-Results'!$X$9,SQRT(('Inputs-Results'!$U$9-'Inputs-Results'!$W$9)^2+('Inputs-Results'!$V$9-'Inputs-Results'!$X$9)^2)+SQRT(('Inputs-Results'!$W$9-'Inputs-Results'!$Y$9)^2+('Inputs-Results'!$X$9-'Inputs-Results'!$Z$9)^2)+SQRT((('Inputs-Results'!$S$9-'Inputs-Results'!$U$9)*(U21+'Inputs-Results'!$X$9-'Inputs-Results'!$V$9)/('Inputs-Results'!$T$9-'Inputs-Results'!$V$9))^2+(U21+'Inputs-Results'!$X$9-'Inputs-Results'!$V$9)^2)+SQRT((('Inputs-Results'!$AA$9-'Inputs-Results'!$Y$9)*(U21+'Inputs-Results'!$X$9-'Inputs-Results'!$Z$9)/('Inputs-Results'!$AB$9-'Inputs-Results'!$Z$9))^2+(U21+'Inputs-Results'!$X$9-'Inputs-Results'!$Z$9)^2),SQRT((('Inputs-Results'!$U$9-'Inputs-Results'!$W$9)*(U21)/('Inputs-Results'!$V$9-'Inputs-Results'!$X$9))^2+U21^2)+SQRT((('Inputs-Results'!$Y$9-'Inputs-Results'!$W$9)*U21/('Inputs-Results'!$Z$9-'Inputs-Results'!$X$9))^2+U21^2))</f>
        <v>#DIV/0!</v>
      </c>
      <c r="X21" s="19" t="e">
        <f t="shared" si="9"/>
        <v>#DIV/0!</v>
      </c>
      <c r="Y21" s="19" t="e">
        <f>1.49/'Inputs-Results'!$AC26*V21*X21^(2/3)*'Inputs-Results'!$AD26^0.5</f>
        <v>#DIV/0!</v>
      </c>
      <c r="Z21" s="27" t="e">
        <f t="shared" si="10"/>
        <v>#DIV/0!</v>
      </c>
      <c r="AA21" s="26">
        <f t="shared" si="11"/>
        <v>0</v>
      </c>
      <c r="AB21" s="19" t="e">
        <f>IF(AA21&gt;'Inputs-Results'!$V26-'Inputs-Results'!$X26,(0.5*(ABS('Inputs-Results'!$S26-'Inputs-Results'!$U26)/('Inputs-Results'!$T26-'Inputs-Results'!$V26)*(AA21-('Inputs-Results'!$V26-'Inputs-Results'!$X26)))*(AA21-('Inputs-Results'!$V26-'Inputs-Results'!$X26))),0)+IF(AA21&gt;'Inputs-Results'!$V26-'Inputs-Results'!$X26,(0.5*((AA21+'Inputs-Results'!$X26-'Inputs-Results'!$V26)+AA21)*ABS('Inputs-Results'!$U26-'Inputs-Results'!$W26)),0.5*(ABS('Inputs-Results'!$U26-'Inputs-Results'!$W26)/('Inputs-Results'!$V26-'Inputs-Results'!$X26)*AA21)*AA21)+IF(AA21&gt;'Inputs-Results'!$Z26-'Inputs-Results'!$X26,(0.5*((AA21+'Inputs-Results'!$X26-'Inputs-Results'!$Z26)+AA21)*ABS('Inputs-Results'!$Y26-'Inputs-Results'!$W26)),0.5*(ABS('Inputs-Results'!$W26-'Inputs-Results'!$Y26)/('Inputs-Results'!$Z26-'Inputs-Results'!$X26)*AA21)*AA21)+IF(AA21&gt;'Inputs-Results'!$Z26-'Inputs-Results'!$X26,(0.5*(ABS('Inputs-Results'!$Y26-'Inputs-Results'!$AA26)/('Inputs-Results'!$AB26-'Inputs-Results'!$Z26)*(AA21-('Inputs-Results'!$Z26-'Inputs-Results'!$X26)))*(AA21-('Inputs-Results'!$Z26-'Inputs-Results'!$X26))),0)</f>
        <v>#DIV/0!</v>
      </c>
      <c r="AC21" s="19" t="e">
        <f>IF(AA21&gt;'Inputs-Results'!$V$9-'Inputs-Results'!$X$9,SQRT(('Inputs-Results'!$U$9-'Inputs-Results'!$W$9)^2+('Inputs-Results'!$V$9-'Inputs-Results'!$X$9)^2)+SQRT(('Inputs-Results'!$W$9-'Inputs-Results'!$Y$9)^2+('Inputs-Results'!$X$9-'Inputs-Results'!$Z$9)^2)+SQRT((('Inputs-Results'!$S$9-'Inputs-Results'!$U$9)*(AA21+'Inputs-Results'!$X$9-'Inputs-Results'!$V$9)/('Inputs-Results'!$T$9-'Inputs-Results'!$V$9))^2+(AA21+'Inputs-Results'!$X$9-'Inputs-Results'!$V$9)^2)+SQRT((('Inputs-Results'!$AA$9-'Inputs-Results'!$Y$9)*(AA21+'Inputs-Results'!$X$9-'Inputs-Results'!$Z$9)/('Inputs-Results'!$AB$9-'Inputs-Results'!$Z$9))^2+(AA21+'Inputs-Results'!$X$9-'Inputs-Results'!$Z$9)^2),SQRT((('Inputs-Results'!$U$9-'Inputs-Results'!$W$9)*(AA21)/('Inputs-Results'!$V$9-'Inputs-Results'!$X$9))^2+AA21^2)+SQRT((('Inputs-Results'!$Y$9-'Inputs-Results'!$W$9)*AA21/('Inputs-Results'!$Z$9-'Inputs-Results'!$X$9))^2+AA21^2))</f>
        <v>#DIV/0!</v>
      </c>
      <c r="AD21" s="19" t="e">
        <f t="shared" si="12"/>
        <v>#DIV/0!</v>
      </c>
      <c r="AE21" s="19" t="e">
        <f>1.49/'Inputs-Results'!$AC26*AB21*AD21^(2/3)*'Inputs-Results'!$AD26^0.5</f>
        <v>#DIV/0!</v>
      </c>
      <c r="AF21" s="27" t="e">
        <f t="shared" si="13"/>
        <v>#DIV/0!</v>
      </c>
      <c r="AG21" s="26">
        <f t="shared" si="14"/>
        <v>0</v>
      </c>
      <c r="AH21" s="19" t="e">
        <f>IF(AG21&gt;'Inputs-Results'!$V26-'Inputs-Results'!$X26,(0.5*(ABS('Inputs-Results'!$S26-'Inputs-Results'!$U26)/('Inputs-Results'!$T26-'Inputs-Results'!$V26)*(AG21-('Inputs-Results'!$V26-'Inputs-Results'!$X26)))*(AG21-('Inputs-Results'!$V26-'Inputs-Results'!$X26))),0)+IF(AG21&gt;'Inputs-Results'!$V26-'Inputs-Results'!$X26,(0.5*((AG21+'Inputs-Results'!$X26-'Inputs-Results'!$V26)+AG21)*ABS('Inputs-Results'!$U26-'Inputs-Results'!$W26)),0.5*(ABS('Inputs-Results'!$U26-'Inputs-Results'!$W26)/('Inputs-Results'!$V26-'Inputs-Results'!$X26)*AG21)*AG21)+IF(AG21&gt;'Inputs-Results'!$Z26-'Inputs-Results'!$X26,(0.5*((AG21+'Inputs-Results'!$X26-'Inputs-Results'!$Z26)+AG21)*ABS('Inputs-Results'!$Y26-'Inputs-Results'!$W26)),0.5*(ABS('Inputs-Results'!$W26-'Inputs-Results'!$Y26)/('Inputs-Results'!$Z26-'Inputs-Results'!$X26)*AG21)*AG21)+IF(AG21&gt;'Inputs-Results'!$Z26-'Inputs-Results'!$X26,(0.5*(ABS('Inputs-Results'!$Y26-'Inputs-Results'!$AA26)/('Inputs-Results'!$AB26-'Inputs-Results'!$Z26)*(AG21-('Inputs-Results'!$Z26-'Inputs-Results'!$X26)))*(AG21-('Inputs-Results'!$Z26-'Inputs-Results'!$X26))),0)</f>
        <v>#DIV/0!</v>
      </c>
      <c r="AI21" s="19" t="e">
        <f>IF(AG21&gt;'Inputs-Results'!$V$9-'Inputs-Results'!$X$9,SQRT(('Inputs-Results'!$U$9-'Inputs-Results'!$W$9)^2+('Inputs-Results'!$V$9-'Inputs-Results'!$X$9)^2)+SQRT(('Inputs-Results'!$W$9-'Inputs-Results'!$Y$9)^2+('Inputs-Results'!$X$9-'Inputs-Results'!$Z$9)^2)+SQRT((('Inputs-Results'!$S$9-'Inputs-Results'!$U$9)*(AG21+'Inputs-Results'!$X$9-'Inputs-Results'!$V$9)/('Inputs-Results'!$T$9-'Inputs-Results'!$V$9))^2+(AG21+'Inputs-Results'!$X$9-'Inputs-Results'!$V$9)^2)+SQRT((('Inputs-Results'!$AA$9-'Inputs-Results'!$Y$9)*(AG21+'Inputs-Results'!$X$9-'Inputs-Results'!$Z$9)/('Inputs-Results'!$AB$9-'Inputs-Results'!$Z$9))^2+(AG21+'Inputs-Results'!$X$9-'Inputs-Results'!$Z$9)^2),SQRT((('Inputs-Results'!$U$9-'Inputs-Results'!$W$9)*(AG21)/('Inputs-Results'!$V$9-'Inputs-Results'!$X$9))^2+AG21^2)+SQRT((('Inputs-Results'!$Y$9-'Inputs-Results'!$W$9)*AG21/('Inputs-Results'!$Z$9-'Inputs-Results'!$X$9))^2+AG21^2))</f>
        <v>#DIV/0!</v>
      </c>
      <c r="AJ21" s="19" t="e">
        <f t="shared" si="15"/>
        <v>#DIV/0!</v>
      </c>
      <c r="AK21" s="19" t="e">
        <f>1.49/'Inputs-Results'!$AC26*AH21*AJ21^(2/3)*'Inputs-Results'!$AD26^0.5</f>
        <v>#DIV/0!</v>
      </c>
      <c r="AL21" s="27" t="e">
        <f t="shared" si="16"/>
        <v>#DIV/0!</v>
      </c>
      <c r="AM21" s="26">
        <f t="shared" si="17"/>
        <v>0</v>
      </c>
      <c r="AN21" s="19" t="e">
        <f>IF(AM21&gt;'Inputs-Results'!$V26-'Inputs-Results'!$X26,(0.5*(ABS('Inputs-Results'!$S26-'Inputs-Results'!$U26)/('Inputs-Results'!$T26-'Inputs-Results'!$V26)*(AM21-('Inputs-Results'!$V26-'Inputs-Results'!$X26)))*(AM21-('Inputs-Results'!$V26-'Inputs-Results'!$X26))),0)+IF(AM21&gt;'Inputs-Results'!$V26-'Inputs-Results'!$X26,(0.5*((AM21+'Inputs-Results'!$X26-'Inputs-Results'!$V26)+AM21)*ABS('Inputs-Results'!$U26-'Inputs-Results'!$W26)),0.5*(ABS('Inputs-Results'!$U26-'Inputs-Results'!$W26)/('Inputs-Results'!$V26-'Inputs-Results'!$X26)*AM21)*AM21)+IF(AM21&gt;'Inputs-Results'!$Z26-'Inputs-Results'!$X26,(0.5*((AM21+'Inputs-Results'!$X26-'Inputs-Results'!$Z26)+AM21)*ABS('Inputs-Results'!$Y26-'Inputs-Results'!$W26)),0.5*(ABS('Inputs-Results'!$W26-'Inputs-Results'!$Y26)/('Inputs-Results'!$Z26-'Inputs-Results'!$X26)*AM21)*AM21)+IF(AM21&gt;'Inputs-Results'!$Z26-'Inputs-Results'!$X26,(0.5*(ABS('Inputs-Results'!$Y26-'Inputs-Results'!$AA26)/('Inputs-Results'!$AB26-'Inputs-Results'!$Z26)*(AM21-('Inputs-Results'!$Z26-'Inputs-Results'!$X26)))*(AM21-('Inputs-Results'!$Z26-'Inputs-Results'!$X26))),0)</f>
        <v>#DIV/0!</v>
      </c>
      <c r="AO21" s="19" t="e">
        <f>IF(AM21&gt;'Inputs-Results'!$V$9-'Inputs-Results'!$X$9,SQRT(('Inputs-Results'!$U$9-'Inputs-Results'!$W$9)^2+('Inputs-Results'!$V$9-'Inputs-Results'!$X$9)^2)+SQRT(('Inputs-Results'!$W$9-'Inputs-Results'!$Y$9)^2+('Inputs-Results'!$X$9-'Inputs-Results'!$Z$9)^2)+SQRT((('Inputs-Results'!$S$9-'Inputs-Results'!$U$9)*(AM21+'Inputs-Results'!$X$9-'Inputs-Results'!$V$9)/('Inputs-Results'!$T$9-'Inputs-Results'!$V$9))^2+(AM21+'Inputs-Results'!$X$9-'Inputs-Results'!$V$9)^2)+SQRT((('Inputs-Results'!$AA$9-'Inputs-Results'!$Y$9)*(AM21+'Inputs-Results'!$X$9-'Inputs-Results'!$Z$9)/('Inputs-Results'!$AB$9-'Inputs-Results'!$Z$9))^2+(AM21+'Inputs-Results'!$X$9-'Inputs-Results'!$Z$9)^2),SQRT((('Inputs-Results'!$U$9-'Inputs-Results'!$W$9)*(AM21)/('Inputs-Results'!$V$9-'Inputs-Results'!$X$9))^2+AM21^2)+SQRT((('Inputs-Results'!$Y$9-'Inputs-Results'!$W$9)*AM21/('Inputs-Results'!$Z$9-'Inputs-Results'!$X$9))^2+AM21^2))</f>
        <v>#DIV/0!</v>
      </c>
      <c r="AP21" s="19" t="e">
        <f t="shared" si="18"/>
        <v>#DIV/0!</v>
      </c>
      <c r="AQ21" s="19" t="e">
        <f>1.49/'Inputs-Results'!$AC26*AN21*AP21^(2/3)*'Inputs-Results'!$AD26^0.5</f>
        <v>#DIV/0!</v>
      </c>
      <c r="AR21" s="27" t="e">
        <f t="shared" si="19"/>
        <v>#DIV/0!</v>
      </c>
      <c r="AS21" s="26">
        <f t="shared" si="20"/>
        <v>0</v>
      </c>
      <c r="AT21" s="19" t="e">
        <f>IF(AS21&gt;'Inputs-Results'!$V26-'Inputs-Results'!$X26,(0.5*(ABS('Inputs-Results'!$S26-'Inputs-Results'!$U26)/('Inputs-Results'!$T26-'Inputs-Results'!$V26)*(AS21-('Inputs-Results'!$V26-'Inputs-Results'!$X26)))*(AS21-('Inputs-Results'!$V26-'Inputs-Results'!$X26))),0)+IF(AS21&gt;'Inputs-Results'!$V26-'Inputs-Results'!$X26,(0.5*((AS21+'Inputs-Results'!$X26-'Inputs-Results'!$V26)+AS21)*ABS('Inputs-Results'!$U26-'Inputs-Results'!$W26)),0.5*(ABS('Inputs-Results'!$U26-'Inputs-Results'!$W26)/('Inputs-Results'!$V26-'Inputs-Results'!$X26)*AS21)*AS21)+IF(AS21&gt;'Inputs-Results'!$Z26-'Inputs-Results'!$X26,(0.5*((AS21+'Inputs-Results'!$X26-'Inputs-Results'!$Z26)+AS21)*ABS('Inputs-Results'!$Y26-'Inputs-Results'!$W26)),0.5*(ABS('Inputs-Results'!$W26-'Inputs-Results'!$Y26)/('Inputs-Results'!$Z26-'Inputs-Results'!$X26)*AS21)*AS21)+IF(AS21&gt;'Inputs-Results'!$Z26-'Inputs-Results'!$X26,(0.5*(ABS('Inputs-Results'!$Y26-'Inputs-Results'!$AA26)/('Inputs-Results'!$AB26-'Inputs-Results'!$Z26)*(AS21-('Inputs-Results'!$Z26-'Inputs-Results'!$X26)))*(AS21-('Inputs-Results'!$Z26-'Inputs-Results'!$X26))),0)</f>
        <v>#DIV/0!</v>
      </c>
      <c r="AU21" s="19" t="e">
        <f>IF(AS21&gt;'Inputs-Results'!$V$9-'Inputs-Results'!$X$9,SQRT(('Inputs-Results'!$U$9-'Inputs-Results'!$W$9)^2+('Inputs-Results'!$V$9-'Inputs-Results'!$X$9)^2)+SQRT(('Inputs-Results'!$W$9-'Inputs-Results'!$Y$9)^2+('Inputs-Results'!$X$9-'Inputs-Results'!$Z$9)^2)+SQRT((('Inputs-Results'!$S$9-'Inputs-Results'!$U$9)*(AS21+'Inputs-Results'!$X$9-'Inputs-Results'!$V$9)/('Inputs-Results'!$T$9-'Inputs-Results'!$V$9))^2+(AS21+'Inputs-Results'!$X$9-'Inputs-Results'!$V$9)^2)+SQRT((('Inputs-Results'!$AA$9-'Inputs-Results'!$Y$9)*(AS21+'Inputs-Results'!$X$9-'Inputs-Results'!$Z$9)/('Inputs-Results'!$AB$9-'Inputs-Results'!$Z$9))^2+(AS21+'Inputs-Results'!$X$9-'Inputs-Results'!$Z$9)^2),SQRT((('Inputs-Results'!$U$9-'Inputs-Results'!$W$9)*(AS21)/('Inputs-Results'!$V$9-'Inputs-Results'!$X$9))^2+AS21^2)+SQRT((('Inputs-Results'!$Y$9-'Inputs-Results'!$W$9)*AS21/('Inputs-Results'!$Z$9-'Inputs-Results'!$X$9))^2+AS21^2))</f>
        <v>#DIV/0!</v>
      </c>
      <c r="AV21" s="19" t="e">
        <f t="shared" si="21"/>
        <v>#DIV/0!</v>
      </c>
      <c r="AW21" s="19" t="e">
        <f>1.49/'Inputs-Results'!$AC26*AT21*AV21^(2/3)*'Inputs-Results'!$AD26^0.5</f>
        <v>#DIV/0!</v>
      </c>
      <c r="AX21" s="27" t="e">
        <f t="shared" si="22"/>
        <v>#DIV/0!</v>
      </c>
      <c r="AY21" s="26">
        <f t="shared" si="23"/>
        <v>0</v>
      </c>
      <c r="AZ21" s="19" t="e">
        <f>IF(AY21&gt;'Inputs-Results'!$V26-'Inputs-Results'!$X26,(0.5*(ABS('Inputs-Results'!$S26-'Inputs-Results'!$U26)/('Inputs-Results'!$T26-'Inputs-Results'!$V26)*(AY21-('Inputs-Results'!$V26-'Inputs-Results'!$X26)))*(AY21-('Inputs-Results'!$V26-'Inputs-Results'!$X26))),0)+IF(AY21&gt;'Inputs-Results'!$V26-'Inputs-Results'!$X26,(0.5*((AY21+'Inputs-Results'!$X26-'Inputs-Results'!$V26)+AY21)*ABS('Inputs-Results'!$U26-'Inputs-Results'!$W26)),0.5*(ABS('Inputs-Results'!$U26-'Inputs-Results'!$W26)/('Inputs-Results'!$V26-'Inputs-Results'!$X26)*AY21)*AY21)+IF(AY21&gt;'Inputs-Results'!$Z26-'Inputs-Results'!$X26,(0.5*((AY21+'Inputs-Results'!$X26-'Inputs-Results'!$Z26)+AY21)*ABS('Inputs-Results'!$Y26-'Inputs-Results'!$W26)),0.5*(ABS('Inputs-Results'!$W26-'Inputs-Results'!$Y26)/('Inputs-Results'!$Z26-'Inputs-Results'!$X26)*AY21)*AY21)+IF(AY21&gt;'Inputs-Results'!$Z26-'Inputs-Results'!$X26,(0.5*(ABS('Inputs-Results'!$Y26-'Inputs-Results'!$AA26)/('Inputs-Results'!$AB26-'Inputs-Results'!$Z26)*(AY21-('Inputs-Results'!$Z26-'Inputs-Results'!$X26)))*(AY21-('Inputs-Results'!$Z26-'Inputs-Results'!$X26))),0)</f>
        <v>#DIV/0!</v>
      </c>
      <c r="BA21" s="19" t="e">
        <f>IF(AY21&gt;'Inputs-Results'!$V$9-'Inputs-Results'!$X$9,SQRT(('Inputs-Results'!$U$9-'Inputs-Results'!$W$9)^2+('Inputs-Results'!$V$9-'Inputs-Results'!$X$9)^2)+SQRT(('Inputs-Results'!$W$9-'Inputs-Results'!$Y$9)^2+('Inputs-Results'!$X$9-'Inputs-Results'!$Z$9)^2)+SQRT((('Inputs-Results'!$S$9-'Inputs-Results'!$U$9)*(AY21+'Inputs-Results'!$X$9-'Inputs-Results'!$V$9)/('Inputs-Results'!$T$9-'Inputs-Results'!$V$9))^2+(AY21+'Inputs-Results'!$X$9-'Inputs-Results'!$V$9)^2)+SQRT((('Inputs-Results'!$AA$9-'Inputs-Results'!$Y$9)*(AY21+'Inputs-Results'!$X$9-'Inputs-Results'!$Z$9)/('Inputs-Results'!$AB$9-'Inputs-Results'!$Z$9))^2+(AY21+'Inputs-Results'!$X$9-'Inputs-Results'!$Z$9)^2),SQRT((('Inputs-Results'!$U$9-'Inputs-Results'!$W$9)*(AY21)/('Inputs-Results'!$V$9-'Inputs-Results'!$X$9))^2+AY21^2)+SQRT((('Inputs-Results'!$Y$9-'Inputs-Results'!$W$9)*AY21/('Inputs-Results'!$Z$9-'Inputs-Results'!$X$9))^2+AY21^2))</f>
        <v>#DIV/0!</v>
      </c>
      <c r="BB21" s="19" t="e">
        <f t="shared" si="24"/>
        <v>#DIV/0!</v>
      </c>
      <c r="BC21" s="19" t="e">
        <f>1.49/'Inputs-Results'!$AC26*AZ21*BB21^(2/3)*'Inputs-Results'!$AD26^0.5</f>
        <v>#DIV/0!</v>
      </c>
      <c r="BD21" s="27" t="e">
        <f t="shared" si="25"/>
        <v>#DIV/0!</v>
      </c>
      <c r="BE21" s="26">
        <f t="shared" si="26"/>
        <v>0</v>
      </c>
      <c r="BF21" s="19" t="e">
        <f>IF(BE21&gt;'Inputs-Results'!$V26-'Inputs-Results'!$X26,(0.5*(ABS('Inputs-Results'!$S26-'Inputs-Results'!$U26)/('Inputs-Results'!$T26-'Inputs-Results'!$V26)*(BE21-('Inputs-Results'!$V26-'Inputs-Results'!$X26)))*(BE21-('Inputs-Results'!$V26-'Inputs-Results'!$X26))),0)+IF(BE21&gt;'Inputs-Results'!$V26-'Inputs-Results'!$X26,(0.5*((BE21+'Inputs-Results'!$X26-'Inputs-Results'!$V26)+BE21)*ABS('Inputs-Results'!$U26-'Inputs-Results'!$W26)),0.5*(ABS('Inputs-Results'!$U26-'Inputs-Results'!$W26)/('Inputs-Results'!$V26-'Inputs-Results'!$X26)*BE21)*BE21)+IF(BE21&gt;'Inputs-Results'!$Z26-'Inputs-Results'!$X26,(0.5*((BE21+'Inputs-Results'!$X26-'Inputs-Results'!$Z26)+BE21)*ABS('Inputs-Results'!$Y26-'Inputs-Results'!$W26)),0.5*(ABS('Inputs-Results'!$W26-'Inputs-Results'!$Y26)/('Inputs-Results'!$Z26-'Inputs-Results'!$X26)*BE21)*BE21)+IF(BE21&gt;'Inputs-Results'!$Z26-'Inputs-Results'!$X26,(0.5*(ABS('Inputs-Results'!$Y26-'Inputs-Results'!$AA26)/('Inputs-Results'!$AB26-'Inputs-Results'!$Z26)*(BE21-('Inputs-Results'!$Z26-'Inputs-Results'!$X26)))*(BE21-('Inputs-Results'!$Z26-'Inputs-Results'!$X26))),0)</f>
        <v>#DIV/0!</v>
      </c>
      <c r="BG21" s="19" t="e">
        <f>IF(BE21&gt;'Inputs-Results'!$V$9-'Inputs-Results'!$X$9,SQRT(('Inputs-Results'!$U$9-'Inputs-Results'!$W$9)^2+('Inputs-Results'!$V$9-'Inputs-Results'!$X$9)^2)+SQRT(('Inputs-Results'!$W$9-'Inputs-Results'!$Y$9)^2+('Inputs-Results'!$X$9-'Inputs-Results'!$Z$9)^2)+SQRT((('Inputs-Results'!$S$9-'Inputs-Results'!$U$9)*(BE21+'Inputs-Results'!$X$9-'Inputs-Results'!$V$9)/('Inputs-Results'!$T$9-'Inputs-Results'!$V$9))^2+(BE21+'Inputs-Results'!$X$9-'Inputs-Results'!$V$9)^2)+SQRT((('Inputs-Results'!$AA$9-'Inputs-Results'!$Y$9)*(BE21+'Inputs-Results'!$X$9-'Inputs-Results'!$Z$9)/('Inputs-Results'!$AB$9-'Inputs-Results'!$Z$9))^2+(BE21+'Inputs-Results'!$X$9-'Inputs-Results'!$Z$9)^2),SQRT((('Inputs-Results'!$U$9-'Inputs-Results'!$W$9)*(BE21)/('Inputs-Results'!$V$9-'Inputs-Results'!$X$9))^2+BE21^2)+SQRT((('Inputs-Results'!$Y$9-'Inputs-Results'!$W$9)*BE21/('Inputs-Results'!$Z$9-'Inputs-Results'!$X$9))^2+BE21^2))</f>
        <v>#DIV/0!</v>
      </c>
      <c r="BH21" s="19" t="e">
        <f t="shared" si="27"/>
        <v>#DIV/0!</v>
      </c>
      <c r="BI21" s="19" t="e">
        <f>1.49/'Inputs-Results'!$AC26*BF21*BH21^(2/3)*'Inputs-Results'!$AD26^0.5</f>
        <v>#DIV/0!</v>
      </c>
      <c r="BJ21" s="27" t="e">
        <f t="shared" si="28"/>
        <v>#DIV/0!</v>
      </c>
    </row>
    <row r="22" spans="1:62" x14ac:dyDescent="0.25">
      <c r="A22" s="2">
        <v>0</v>
      </c>
      <c r="B22" s="17"/>
      <c r="C22" s="26">
        <f>MIN('Inputs-Results'!T27-'Inputs-Results'!X27,'Inputs-Results'!AB27-'Inputs-Results'!X27)</f>
        <v>0</v>
      </c>
      <c r="D22" s="19" t="e">
        <f>IF(C22&gt;'Inputs-Results'!$V27-'Inputs-Results'!$X27,(0.5*(ABS('Inputs-Results'!$S27-'Inputs-Results'!$U27)/('Inputs-Results'!$T27-'Inputs-Results'!$V27)*(C22-('Inputs-Results'!$V27-'Inputs-Results'!$X27)))*(C22-('Inputs-Results'!$V27-'Inputs-Results'!$X27))),0)+IF(C22&gt;'Inputs-Results'!$V27-'Inputs-Results'!$X27,(0.5*((C22+'Inputs-Results'!$X27-'Inputs-Results'!$V27)+C22)*ABS('Inputs-Results'!$U27-'Inputs-Results'!$W27)),0.5*(ABS('Inputs-Results'!$U27-'Inputs-Results'!$W27)/('Inputs-Results'!$V27-'Inputs-Results'!$X27)*C22)*C22)+IF(C22&gt;'Inputs-Results'!$Z27-'Inputs-Results'!$X27,(0.5*((C22+'Inputs-Results'!$X27-'Inputs-Results'!$Z27)+C22)*ABS('Inputs-Results'!$Y27-'Inputs-Results'!$W27)),0.5*(ABS('Inputs-Results'!$W27-'Inputs-Results'!$Y27)/('Inputs-Results'!$Z27-'Inputs-Results'!$X27)*C22)*C22)+IF(C22&gt;'Inputs-Results'!$Z27-'Inputs-Results'!$X27,(0.5*(ABS('Inputs-Results'!$Y27-'Inputs-Results'!$AA27)/('Inputs-Results'!$AB27-'Inputs-Results'!$Z27)*(C22-('Inputs-Results'!$Z27-'Inputs-Results'!$X27)))*(C22-('Inputs-Results'!$Z27-'Inputs-Results'!$X27))),0)</f>
        <v>#DIV/0!</v>
      </c>
      <c r="E22" s="19" t="e">
        <f>IF(C22&gt;'Inputs-Results'!$V$9-'Inputs-Results'!$X$9,SQRT(('Inputs-Results'!$U$9-'Inputs-Results'!$W$9)^2+('Inputs-Results'!$V$9-'Inputs-Results'!$X$9)^2)+SQRT(('Inputs-Results'!$W$9-'Inputs-Results'!$Y$9)^2+('Inputs-Results'!$X$9-'Inputs-Results'!$Z$9)^2)+SQRT((('Inputs-Results'!$S$9-'Inputs-Results'!$U$9)*(C22+'Inputs-Results'!$X$9-'Inputs-Results'!$V$9)/('Inputs-Results'!$T$9-'Inputs-Results'!$V$9))^2+(C22+'Inputs-Results'!$X$9-'Inputs-Results'!$V$9)^2)+SQRT((('Inputs-Results'!$AA$9-'Inputs-Results'!$Y$9)*(C22+'Inputs-Results'!$X$9-'Inputs-Results'!$Z$9)/('Inputs-Results'!$AB$9-'Inputs-Results'!$Z$9))^2+(C22+'Inputs-Results'!$X$9-'Inputs-Results'!$Z$9)^2),SQRT((('Inputs-Results'!$U$9-'Inputs-Results'!$W$9)*(C22)/('Inputs-Results'!$V$9-'Inputs-Results'!$X$9))^2+C22^2)+SQRT((('Inputs-Results'!$Y$9-'Inputs-Results'!$W$9)*C22/('Inputs-Results'!$Z$9-'Inputs-Results'!$X$9))^2+C22^2))</f>
        <v>#DIV/0!</v>
      </c>
      <c r="F22" s="19" t="e">
        <f t="shared" si="0"/>
        <v>#DIV/0!</v>
      </c>
      <c r="G22" s="19" t="e">
        <f>1.49/'Inputs-Results'!AC27*D22*F22^(2/3)*'Inputs-Results'!AD27^0.5</f>
        <v>#DIV/0!</v>
      </c>
      <c r="H22" s="27" t="e">
        <f t="shared" si="1"/>
        <v>#DIV/0!</v>
      </c>
      <c r="I22" s="26">
        <f t="shared" si="2"/>
        <v>0</v>
      </c>
      <c r="J22" s="19" t="e">
        <f>IF(I22&gt;'Inputs-Results'!$V27-'Inputs-Results'!$X27,(0.5*(ABS('Inputs-Results'!$S27-'Inputs-Results'!$U27)/('Inputs-Results'!$T27-'Inputs-Results'!$V27)*(I22-('Inputs-Results'!$V27-'Inputs-Results'!$X27)))*(I22-('Inputs-Results'!$V27-'Inputs-Results'!$X27))),0)+IF(I22&gt;'Inputs-Results'!$V27-'Inputs-Results'!$X27,(0.5*((I22+'Inputs-Results'!$X27-'Inputs-Results'!$V27)+I22)*ABS('Inputs-Results'!$U27-'Inputs-Results'!$W27)),0.5*(ABS('Inputs-Results'!$U27-'Inputs-Results'!$W27)/('Inputs-Results'!$V27-'Inputs-Results'!$X27)*I22)*I22)+IF(I22&gt;'Inputs-Results'!$Z27-'Inputs-Results'!$X27,(0.5*((I22+'Inputs-Results'!$X27-'Inputs-Results'!$Z27)+I22)*ABS('Inputs-Results'!$Y27-'Inputs-Results'!$W27)),0.5*(ABS('Inputs-Results'!$W27-'Inputs-Results'!$Y27)/('Inputs-Results'!$Z27-'Inputs-Results'!$X27)*I22)*I22)+IF(I22&gt;'Inputs-Results'!$Z27-'Inputs-Results'!$X27,(0.5*(ABS('Inputs-Results'!$Y27-'Inputs-Results'!$AA27)/('Inputs-Results'!$AB27-'Inputs-Results'!$Z27)*(I22-('Inputs-Results'!$Z27-'Inputs-Results'!$X27)))*(I22-('Inputs-Results'!$Z27-'Inputs-Results'!$X27))),0)</f>
        <v>#DIV/0!</v>
      </c>
      <c r="K22" s="19" t="e">
        <f>IF(I22&gt;'Inputs-Results'!$V$9-'Inputs-Results'!$X$9,SQRT(('Inputs-Results'!$U$9-'Inputs-Results'!$W$9)^2+('Inputs-Results'!$V$9-'Inputs-Results'!$X$9)^2)+SQRT(('Inputs-Results'!$W$9-'Inputs-Results'!$Y$9)^2+('Inputs-Results'!$X$9-'Inputs-Results'!$Z$9)^2)+SQRT((('Inputs-Results'!$S$9-'Inputs-Results'!$U$9)*(I22+'Inputs-Results'!$X$9-'Inputs-Results'!$V$9)/('Inputs-Results'!$T$9-'Inputs-Results'!$V$9))^2+(I22+'Inputs-Results'!$X$9-'Inputs-Results'!$V$9)^2)+SQRT((('Inputs-Results'!$AA$9-'Inputs-Results'!$Y$9)*(I22+'Inputs-Results'!$X$9-'Inputs-Results'!$Z$9)/('Inputs-Results'!$AB$9-'Inputs-Results'!$Z$9))^2+(I22+'Inputs-Results'!$X$9-'Inputs-Results'!$Z$9)^2),SQRT((('Inputs-Results'!$U$9-'Inputs-Results'!$W$9)*(I22)/('Inputs-Results'!$V$9-'Inputs-Results'!$X$9))^2+I22^2)+SQRT((('Inputs-Results'!$Y$9-'Inputs-Results'!$W$9)*I22/('Inputs-Results'!$Z$9-'Inputs-Results'!$X$9))^2+I22^2))</f>
        <v>#DIV/0!</v>
      </c>
      <c r="L22" s="19" t="e">
        <f t="shared" si="3"/>
        <v>#DIV/0!</v>
      </c>
      <c r="M22" s="19" t="e">
        <f>1.49/'Inputs-Results'!$AC27*J22*L22^(2/3)*'Inputs-Results'!$AD27^0.5</f>
        <v>#DIV/0!</v>
      </c>
      <c r="N22" s="27" t="e">
        <f t="shared" si="4"/>
        <v>#DIV/0!</v>
      </c>
      <c r="O22" s="26">
        <f t="shared" si="5"/>
        <v>0</v>
      </c>
      <c r="P22" s="19" t="e">
        <f>IF(O22&gt;'Inputs-Results'!$V27-'Inputs-Results'!$X27,(0.5*(ABS('Inputs-Results'!$S27-'Inputs-Results'!$U27)/('Inputs-Results'!$T27-'Inputs-Results'!$V27)*(O22-('Inputs-Results'!$V27-'Inputs-Results'!$X27)))*(O22-('Inputs-Results'!$V27-'Inputs-Results'!$X27))),0)+IF(O22&gt;'Inputs-Results'!$V27-'Inputs-Results'!$X27,(0.5*((O22+'Inputs-Results'!$X27-'Inputs-Results'!$V27)+O22)*ABS('Inputs-Results'!$U27-'Inputs-Results'!$W27)),0.5*(ABS('Inputs-Results'!$U27-'Inputs-Results'!$W27)/('Inputs-Results'!$V27-'Inputs-Results'!$X27)*O22)*O22)+IF(O22&gt;'Inputs-Results'!$Z27-'Inputs-Results'!$X27,(0.5*((O22+'Inputs-Results'!$X27-'Inputs-Results'!$Z27)+O22)*ABS('Inputs-Results'!$Y27-'Inputs-Results'!$W27)),0.5*(ABS('Inputs-Results'!$W27-'Inputs-Results'!$Y27)/('Inputs-Results'!$Z27-'Inputs-Results'!$X27)*O22)*O22)+IF(O22&gt;'Inputs-Results'!$Z27-'Inputs-Results'!$X27,(0.5*(ABS('Inputs-Results'!$Y27-'Inputs-Results'!$AA27)/('Inputs-Results'!$AB27-'Inputs-Results'!$Z27)*(O22-('Inputs-Results'!$Z27-'Inputs-Results'!$X27)))*(O22-('Inputs-Results'!$Z27-'Inputs-Results'!$X27))),0)</f>
        <v>#DIV/0!</v>
      </c>
      <c r="Q22" s="19" t="e">
        <f>IF(O22&gt;'Inputs-Results'!$V$9-'Inputs-Results'!$X$9,SQRT(('Inputs-Results'!$U$9-'Inputs-Results'!$W$9)^2+('Inputs-Results'!$V$9-'Inputs-Results'!$X$9)^2)+SQRT(('Inputs-Results'!$W$9-'Inputs-Results'!$Y$9)^2+('Inputs-Results'!$X$9-'Inputs-Results'!$Z$9)^2)+SQRT((('Inputs-Results'!$S$9-'Inputs-Results'!$U$9)*(O22+'Inputs-Results'!$X$9-'Inputs-Results'!$V$9)/('Inputs-Results'!$T$9-'Inputs-Results'!$V$9))^2+(O22+'Inputs-Results'!$X$9-'Inputs-Results'!$V$9)^2)+SQRT((('Inputs-Results'!$AA$9-'Inputs-Results'!$Y$9)*(O22+'Inputs-Results'!$X$9-'Inputs-Results'!$Z$9)/('Inputs-Results'!$AB$9-'Inputs-Results'!$Z$9))^2+(O22+'Inputs-Results'!$X$9-'Inputs-Results'!$Z$9)^2),SQRT((('Inputs-Results'!$U$9-'Inputs-Results'!$W$9)*(O22)/('Inputs-Results'!$V$9-'Inputs-Results'!$X$9))^2+O22^2)+SQRT((('Inputs-Results'!$Y$9-'Inputs-Results'!$W$9)*O22/('Inputs-Results'!$Z$9-'Inputs-Results'!$X$9))^2+O22^2))</f>
        <v>#DIV/0!</v>
      </c>
      <c r="R22" s="19" t="e">
        <f t="shared" si="6"/>
        <v>#DIV/0!</v>
      </c>
      <c r="S22" s="19" t="e">
        <f>1.49/'Inputs-Results'!$AC27*P22*R22^(2/3)*'Inputs-Results'!$AD27^0.5</f>
        <v>#DIV/0!</v>
      </c>
      <c r="T22" s="27" t="e">
        <f t="shared" si="7"/>
        <v>#DIV/0!</v>
      </c>
      <c r="U22" s="26">
        <f t="shared" si="8"/>
        <v>0</v>
      </c>
      <c r="V22" s="19" t="e">
        <f>IF(U22&gt;'Inputs-Results'!$V27-'Inputs-Results'!$X27,(0.5*(ABS('Inputs-Results'!$S27-'Inputs-Results'!$U27)/('Inputs-Results'!$T27-'Inputs-Results'!$V27)*(U22-('Inputs-Results'!$V27-'Inputs-Results'!$X27)))*(U22-('Inputs-Results'!$V27-'Inputs-Results'!$X27))),0)+IF(U22&gt;'Inputs-Results'!$V27-'Inputs-Results'!$X27,(0.5*((U22+'Inputs-Results'!$X27-'Inputs-Results'!$V27)+U22)*ABS('Inputs-Results'!$U27-'Inputs-Results'!$W27)),0.5*(ABS('Inputs-Results'!$U27-'Inputs-Results'!$W27)/('Inputs-Results'!$V27-'Inputs-Results'!$X27)*U22)*U22)+IF(U22&gt;'Inputs-Results'!$Z27-'Inputs-Results'!$X27,(0.5*((U22+'Inputs-Results'!$X27-'Inputs-Results'!$Z27)+U22)*ABS('Inputs-Results'!$Y27-'Inputs-Results'!$W27)),0.5*(ABS('Inputs-Results'!$W27-'Inputs-Results'!$Y27)/('Inputs-Results'!$Z27-'Inputs-Results'!$X27)*U22)*U22)+IF(U22&gt;'Inputs-Results'!$Z27-'Inputs-Results'!$X27,(0.5*(ABS('Inputs-Results'!$Y27-'Inputs-Results'!$AA27)/('Inputs-Results'!$AB27-'Inputs-Results'!$Z27)*(U22-('Inputs-Results'!$Z27-'Inputs-Results'!$X27)))*(U22-('Inputs-Results'!$Z27-'Inputs-Results'!$X27))),0)</f>
        <v>#DIV/0!</v>
      </c>
      <c r="W22" s="19" t="e">
        <f>IF(U22&gt;'Inputs-Results'!$V$9-'Inputs-Results'!$X$9,SQRT(('Inputs-Results'!$U$9-'Inputs-Results'!$W$9)^2+('Inputs-Results'!$V$9-'Inputs-Results'!$X$9)^2)+SQRT(('Inputs-Results'!$W$9-'Inputs-Results'!$Y$9)^2+('Inputs-Results'!$X$9-'Inputs-Results'!$Z$9)^2)+SQRT((('Inputs-Results'!$S$9-'Inputs-Results'!$U$9)*(U22+'Inputs-Results'!$X$9-'Inputs-Results'!$V$9)/('Inputs-Results'!$T$9-'Inputs-Results'!$V$9))^2+(U22+'Inputs-Results'!$X$9-'Inputs-Results'!$V$9)^2)+SQRT((('Inputs-Results'!$AA$9-'Inputs-Results'!$Y$9)*(U22+'Inputs-Results'!$X$9-'Inputs-Results'!$Z$9)/('Inputs-Results'!$AB$9-'Inputs-Results'!$Z$9))^2+(U22+'Inputs-Results'!$X$9-'Inputs-Results'!$Z$9)^2),SQRT((('Inputs-Results'!$U$9-'Inputs-Results'!$W$9)*(U22)/('Inputs-Results'!$V$9-'Inputs-Results'!$X$9))^2+U22^2)+SQRT((('Inputs-Results'!$Y$9-'Inputs-Results'!$W$9)*U22/('Inputs-Results'!$Z$9-'Inputs-Results'!$X$9))^2+U22^2))</f>
        <v>#DIV/0!</v>
      </c>
      <c r="X22" s="19" t="e">
        <f t="shared" si="9"/>
        <v>#DIV/0!</v>
      </c>
      <c r="Y22" s="19" t="e">
        <f>1.49/'Inputs-Results'!$AC27*V22*X22^(2/3)*'Inputs-Results'!$AD27^0.5</f>
        <v>#DIV/0!</v>
      </c>
      <c r="Z22" s="27" t="e">
        <f t="shared" si="10"/>
        <v>#DIV/0!</v>
      </c>
      <c r="AA22" s="26">
        <f t="shared" si="11"/>
        <v>0</v>
      </c>
      <c r="AB22" s="19" t="e">
        <f>IF(AA22&gt;'Inputs-Results'!$V27-'Inputs-Results'!$X27,(0.5*(ABS('Inputs-Results'!$S27-'Inputs-Results'!$U27)/('Inputs-Results'!$T27-'Inputs-Results'!$V27)*(AA22-('Inputs-Results'!$V27-'Inputs-Results'!$X27)))*(AA22-('Inputs-Results'!$V27-'Inputs-Results'!$X27))),0)+IF(AA22&gt;'Inputs-Results'!$V27-'Inputs-Results'!$X27,(0.5*((AA22+'Inputs-Results'!$X27-'Inputs-Results'!$V27)+AA22)*ABS('Inputs-Results'!$U27-'Inputs-Results'!$W27)),0.5*(ABS('Inputs-Results'!$U27-'Inputs-Results'!$W27)/('Inputs-Results'!$V27-'Inputs-Results'!$X27)*AA22)*AA22)+IF(AA22&gt;'Inputs-Results'!$Z27-'Inputs-Results'!$X27,(0.5*((AA22+'Inputs-Results'!$X27-'Inputs-Results'!$Z27)+AA22)*ABS('Inputs-Results'!$Y27-'Inputs-Results'!$W27)),0.5*(ABS('Inputs-Results'!$W27-'Inputs-Results'!$Y27)/('Inputs-Results'!$Z27-'Inputs-Results'!$X27)*AA22)*AA22)+IF(AA22&gt;'Inputs-Results'!$Z27-'Inputs-Results'!$X27,(0.5*(ABS('Inputs-Results'!$Y27-'Inputs-Results'!$AA27)/('Inputs-Results'!$AB27-'Inputs-Results'!$Z27)*(AA22-('Inputs-Results'!$Z27-'Inputs-Results'!$X27)))*(AA22-('Inputs-Results'!$Z27-'Inputs-Results'!$X27))),0)</f>
        <v>#DIV/0!</v>
      </c>
      <c r="AC22" s="19" t="e">
        <f>IF(AA22&gt;'Inputs-Results'!$V$9-'Inputs-Results'!$X$9,SQRT(('Inputs-Results'!$U$9-'Inputs-Results'!$W$9)^2+('Inputs-Results'!$V$9-'Inputs-Results'!$X$9)^2)+SQRT(('Inputs-Results'!$W$9-'Inputs-Results'!$Y$9)^2+('Inputs-Results'!$X$9-'Inputs-Results'!$Z$9)^2)+SQRT((('Inputs-Results'!$S$9-'Inputs-Results'!$U$9)*(AA22+'Inputs-Results'!$X$9-'Inputs-Results'!$V$9)/('Inputs-Results'!$T$9-'Inputs-Results'!$V$9))^2+(AA22+'Inputs-Results'!$X$9-'Inputs-Results'!$V$9)^2)+SQRT((('Inputs-Results'!$AA$9-'Inputs-Results'!$Y$9)*(AA22+'Inputs-Results'!$X$9-'Inputs-Results'!$Z$9)/('Inputs-Results'!$AB$9-'Inputs-Results'!$Z$9))^2+(AA22+'Inputs-Results'!$X$9-'Inputs-Results'!$Z$9)^2),SQRT((('Inputs-Results'!$U$9-'Inputs-Results'!$W$9)*(AA22)/('Inputs-Results'!$V$9-'Inputs-Results'!$X$9))^2+AA22^2)+SQRT((('Inputs-Results'!$Y$9-'Inputs-Results'!$W$9)*AA22/('Inputs-Results'!$Z$9-'Inputs-Results'!$X$9))^2+AA22^2))</f>
        <v>#DIV/0!</v>
      </c>
      <c r="AD22" s="19" t="e">
        <f t="shared" si="12"/>
        <v>#DIV/0!</v>
      </c>
      <c r="AE22" s="19" t="e">
        <f>1.49/'Inputs-Results'!$AC27*AB22*AD22^(2/3)*'Inputs-Results'!$AD27^0.5</f>
        <v>#DIV/0!</v>
      </c>
      <c r="AF22" s="27" t="e">
        <f t="shared" si="13"/>
        <v>#DIV/0!</v>
      </c>
      <c r="AG22" s="26">
        <f t="shared" si="14"/>
        <v>0</v>
      </c>
      <c r="AH22" s="19" t="e">
        <f>IF(AG22&gt;'Inputs-Results'!$V27-'Inputs-Results'!$X27,(0.5*(ABS('Inputs-Results'!$S27-'Inputs-Results'!$U27)/('Inputs-Results'!$T27-'Inputs-Results'!$V27)*(AG22-('Inputs-Results'!$V27-'Inputs-Results'!$X27)))*(AG22-('Inputs-Results'!$V27-'Inputs-Results'!$X27))),0)+IF(AG22&gt;'Inputs-Results'!$V27-'Inputs-Results'!$X27,(0.5*((AG22+'Inputs-Results'!$X27-'Inputs-Results'!$V27)+AG22)*ABS('Inputs-Results'!$U27-'Inputs-Results'!$W27)),0.5*(ABS('Inputs-Results'!$U27-'Inputs-Results'!$W27)/('Inputs-Results'!$V27-'Inputs-Results'!$X27)*AG22)*AG22)+IF(AG22&gt;'Inputs-Results'!$Z27-'Inputs-Results'!$X27,(0.5*((AG22+'Inputs-Results'!$X27-'Inputs-Results'!$Z27)+AG22)*ABS('Inputs-Results'!$Y27-'Inputs-Results'!$W27)),0.5*(ABS('Inputs-Results'!$W27-'Inputs-Results'!$Y27)/('Inputs-Results'!$Z27-'Inputs-Results'!$X27)*AG22)*AG22)+IF(AG22&gt;'Inputs-Results'!$Z27-'Inputs-Results'!$X27,(0.5*(ABS('Inputs-Results'!$Y27-'Inputs-Results'!$AA27)/('Inputs-Results'!$AB27-'Inputs-Results'!$Z27)*(AG22-('Inputs-Results'!$Z27-'Inputs-Results'!$X27)))*(AG22-('Inputs-Results'!$Z27-'Inputs-Results'!$X27))),0)</f>
        <v>#DIV/0!</v>
      </c>
      <c r="AI22" s="19" t="e">
        <f>IF(AG22&gt;'Inputs-Results'!$V$9-'Inputs-Results'!$X$9,SQRT(('Inputs-Results'!$U$9-'Inputs-Results'!$W$9)^2+('Inputs-Results'!$V$9-'Inputs-Results'!$X$9)^2)+SQRT(('Inputs-Results'!$W$9-'Inputs-Results'!$Y$9)^2+('Inputs-Results'!$X$9-'Inputs-Results'!$Z$9)^2)+SQRT((('Inputs-Results'!$S$9-'Inputs-Results'!$U$9)*(AG22+'Inputs-Results'!$X$9-'Inputs-Results'!$V$9)/('Inputs-Results'!$T$9-'Inputs-Results'!$V$9))^2+(AG22+'Inputs-Results'!$X$9-'Inputs-Results'!$V$9)^2)+SQRT((('Inputs-Results'!$AA$9-'Inputs-Results'!$Y$9)*(AG22+'Inputs-Results'!$X$9-'Inputs-Results'!$Z$9)/('Inputs-Results'!$AB$9-'Inputs-Results'!$Z$9))^2+(AG22+'Inputs-Results'!$X$9-'Inputs-Results'!$Z$9)^2),SQRT((('Inputs-Results'!$U$9-'Inputs-Results'!$W$9)*(AG22)/('Inputs-Results'!$V$9-'Inputs-Results'!$X$9))^2+AG22^2)+SQRT((('Inputs-Results'!$Y$9-'Inputs-Results'!$W$9)*AG22/('Inputs-Results'!$Z$9-'Inputs-Results'!$X$9))^2+AG22^2))</f>
        <v>#DIV/0!</v>
      </c>
      <c r="AJ22" s="19" t="e">
        <f t="shared" si="15"/>
        <v>#DIV/0!</v>
      </c>
      <c r="AK22" s="19" t="e">
        <f>1.49/'Inputs-Results'!$AC27*AH22*AJ22^(2/3)*'Inputs-Results'!$AD27^0.5</f>
        <v>#DIV/0!</v>
      </c>
      <c r="AL22" s="27" t="e">
        <f t="shared" si="16"/>
        <v>#DIV/0!</v>
      </c>
      <c r="AM22" s="26">
        <f t="shared" si="17"/>
        <v>0</v>
      </c>
      <c r="AN22" s="19" t="e">
        <f>IF(AM22&gt;'Inputs-Results'!$V27-'Inputs-Results'!$X27,(0.5*(ABS('Inputs-Results'!$S27-'Inputs-Results'!$U27)/('Inputs-Results'!$T27-'Inputs-Results'!$V27)*(AM22-('Inputs-Results'!$V27-'Inputs-Results'!$X27)))*(AM22-('Inputs-Results'!$V27-'Inputs-Results'!$X27))),0)+IF(AM22&gt;'Inputs-Results'!$V27-'Inputs-Results'!$X27,(0.5*((AM22+'Inputs-Results'!$X27-'Inputs-Results'!$V27)+AM22)*ABS('Inputs-Results'!$U27-'Inputs-Results'!$W27)),0.5*(ABS('Inputs-Results'!$U27-'Inputs-Results'!$W27)/('Inputs-Results'!$V27-'Inputs-Results'!$X27)*AM22)*AM22)+IF(AM22&gt;'Inputs-Results'!$Z27-'Inputs-Results'!$X27,(0.5*((AM22+'Inputs-Results'!$X27-'Inputs-Results'!$Z27)+AM22)*ABS('Inputs-Results'!$Y27-'Inputs-Results'!$W27)),0.5*(ABS('Inputs-Results'!$W27-'Inputs-Results'!$Y27)/('Inputs-Results'!$Z27-'Inputs-Results'!$X27)*AM22)*AM22)+IF(AM22&gt;'Inputs-Results'!$Z27-'Inputs-Results'!$X27,(0.5*(ABS('Inputs-Results'!$Y27-'Inputs-Results'!$AA27)/('Inputs-Results'!$AB27-'Inputs-Results'!$Z27)*(AM22-('Inputs-Results'!$Z27-'Inputs-Results'!$X27)))*(AM22-('Inputs-Results'!$Z27-'Inputs-Results'!$X27))),0)</f>
        <v>#DIV/0!</v>
      </c>
      <c r="AO22" s="19" t="e">
        <f>IF(AM22&gt;'Inputs-Results'!$V$9-'Inputs-Results'!$X$9,SQRT(('Inputs-Results'!$U$9-'Inputs-Results'!$W$9)^2+('Inputs-Results'!$V$9-'Inputs-Results'!$X$9)^2)+SQRT(('Inputs-Results'!$W$9-'Inputs-Results'!$Y$9)^2+('Inputs-Results'!$X$9-'Inputs-Results'!$Z$9)^2)+SQRT((('Inputs-Results'!$S$9-'Inputs-Results'!$U$9)*(AM22+'Inputs-Results'!$X$9-'Inputs-Results'!$V$9)/('Inputs-Results'!$T$9-'Inputs-Results'!$V$9))^2+(AM22+'Inputs-Results'!$X$9-'Inputs-Results'!$V$9)^2)+SQRT((('Inputs-Results'!$AA$9-'Inputs-Results'!$Y$9)*(AM22+'Inputs-Results'!$X$9-'Inputs-Results'!$Z$9)/('Inputs-Results'!$AB$9-'Inputs-Results'!$Z$9))^2+(AM22+'Inputs-Results'!$X$9-'Inputs-Results'!$Z$9)^2),SQRT((('Inputs-Results'!$U$9-'Inputs-Results'!$W$9)*(AM22)/('Inputs-Results'!$V$9-'Inputs-Results'!$X$9))^2+AM22^2)+SQRT((('Inputs-Results'!$Y$9-'Inputs-Results'!$W$9)*AM22/('Inputs-Results'!$Z$9-'Inputs-Results'!$X$9))^2+AM22^2))</f>
        <v>#DIV/0!</v>
      </c>
      <c r="AP22" s="19" t="e">
        <f t="shared" si="18"/>
        <v>#DIV/0!</v>
      </c>
      <c r="AQ22" s="19" t="e">
        <f>1.49/'Inputs-Results'!$AC27*AN22*AP22^(2/3)*'Inputs-Results'!$AD27^0.5</f>
        <v>#DIV/0!</v>
      </c>
      <c r="AR22" s="27" t="e">
        <f t="shared" si="19"/>
        <v>#DIV/0!</v>
      </c>
      <c r="AS22" s="26">
        <f t="shared" si="20"/>
        <v>0</v>
      </c>
      <c r="AT22" s="19" t="e">
        <f>IF(AS22&gt;'Inputs-Results'!$V27-'Inputs-Results'!$X27,(0.5*(ABS('Inputs-Results'!$S27-'Inputs-Results'!$U27)/('Inputs-Results'!$T27-'Inputs-Results'!$V27)*(AS22-('Inputs-Results'!$V27-'Inputs-Results'!$X27)))*(AS22-('Inputs-Results'!$V27-'Inputs-Results'!$X27))),0)+IF(AS22&gt;'Inputs-Results'!$V27-'Inputs-Results'!$X27,(0.5*((AS22+'Inputs-Results'!$X27-'Inputs-Results'!$V27)+AS22)*ABS('Inputs-Results'!$U27-'Inputs-Results'!$W27)),0.5*(ABS('Inputs-Results'!$U27-'Inputs-Results'!$W27)/('Inputs-Results'!$V27-'Inputs-Results'!$X27)*AS22)*AS22)+IF(AS22&gt;'Inputs-Results'!$Z27-'Inputs-Results'!$X27,(0.5*((AS22+'Inputs-Results'!$X27-'Inputs-Results'!$Z27)+AS22)*ABS('Inputs-Results'!$Y27-'Inputs-Results'!$W27)),0.5*(ABS('Inputs-Results'!$W27-'Inputs-Results'!$Y27)/('Inputs-Results'!$Z27-'Inputs-Results'!$X27)*AS22)*AS22)+IF(AS22&gt;'Inputs-Results'!$Z27-'Inputs-Results'!$X27,(0.5*(ABS('Inputs-Results'!$Y27-'Inputs-Results'!$AA27)/('Inputs-Results'!$AB27-'Inputs-Results'!$Z27)*(AS22-('Inputs-Results'!$Z27-'Inputs-Results'!$X27)))*(AS22-('Inputs-Results'!$Z27-'Inputs-Results'!$X27))),0)</f>
        <v>#DIV/0!</v>
      </c>
      <c r="AU22" s="19" t="e">
        <f>IF(AS22&gt;'Inputs-Results'!$V$9-'Inputs-Results'!$X$9,SQRT(('Inputs-Results'!$U$9-'Inputs-Results'!$W$9)^2+('Inputs-Results'!$V$9-'Inputs-Results'!$X$9)^2)+SQRT(('Inputs-Results'!$W$9-'Inputs-Results'!$Y$9)^2+('Inputs-Results'!$X$9-'Inputs-Results'!$Z$9)^2)+SQRT((('Inputs-Results'!$S$9-'Inputs-Results'!$U$9)*(AS22+'Inputs-Results'!$X$9-'Inputs-Results'!$V$9)/('Inputs-Results'!$T$9-'Inputs-Results'!$V$9))^2+(AS22+'Inputs-Results'!$X$9-'Inputs-Results'!$V$9)^2)+SQRT((('Inputs-Results'!$AA$9-'Inputs-Results'!$Y$9)*(AS22+'Inputs-Results'!$X$9-'Inputs-Results'!$Z$9)/('Inputs-Results'!$AB$9-'Inputs-Results'!$Z$9))^2+(AS22+'Inputs-Results'!$X$9-'Inputs-Results'!$Z$9)^2),SQRT((('Inputs-Results'!$U$9-'Inputs-Results'!$W$9)*(AS22)/('Inputs-Results'!$V$9-'Inputs-Results'!$X$9))^2+AS22^2)+SQRT((('Inputs-Results'!$Y$9-'Inputs-Results'!$W$9)*AS22/('Inputs-Results'!$Z$9-'Inputs-Results'!$X$9))^2+AS22^2))</f>
        <v>#DIV/0!</v>
      </c>
      <c r="AV22" s="19" t="e">
        <f t="shared" si="21"/>
        <v>#DIV/0!</v>
      </c>
      <c r="AW22" s="19" t="e">
        <f>1.49/'Inputs-Results'!$AC27*AT22*AV22^(2/3)*'Inputs-Results'!$AD27^0.5</f>
        <v>#DIV/0!</v>
      </c>
      <c r="AX22" s="27" t="e">
        <f t="shared" si="22"/>
        <v>#DIV/0!</v>
      </c>
      <c r="AY22" s="26">
        <f t="shared" si="23"/>
        <v>0</v>
      </c>
      <c r="AZ22" s="19" t="e">
        <f>IF(AY22&gt;'Inputs-Results'!$V27-'Inputs-Results'!$X27,(0.5*(ABS('Inputs-Results'!$S27-'Inputs-Results'!$U27)/('Inputs-Results'!$T27-'Inputs-Results'!$V27)*(AY22-('Inputs-Results'!$V27-'Inputs-Results'!$X27)))*(AY22-('Inputs-Results'!$V27-'Inputs-Results'!$X27))),0)+IF(AY22&gt;'Inputs-Results'!$V27-'Inputs-Results'!$X27,(0.5*((AY22+'Inputs-Results'!$X27-'Inputs-Results'!$V27)+AY22)*ABS('Inputs-Results'!$U27-'Inputs-Results'!$W27)),0.5*(ABS('Inputs-Results'!$U27-'Inputs-Results'!$W27)/('Inputs-Results'!$V27-'Inputs-Results'!$X27)*AY22)*AY22)+IF(AY22&gt;'Inputs-Results'!$Z27-'Inputs-Results'!$X27,(0.5*((AY22+'Inputs-Results'!$X27-'Inputs-Results'!$Z27)+AY22)*ABS('Inputs-Results'!$Y27-'Inputs-Results'!$W27)),0.5*(ABS('Inputs-Results'!$W27-'Inputs-Results'!$Y27)/('Inputs-Results'!$Z27-'Inputs-Results'!$X27)*AY22)*AY22)+IF(AY22&gt;'Inputs-Results'!$Z27-'Inputs-Results'!$X27,(0.5*(ABS('Inputs-Results'!$Y27-'Inputs-Results'!$AA27)/('Inputs-Results'!$AB27-'Inputs-Results'!$Z27)*(AY22-('Inputs-Results'!$Z27-'Inputs-Results'!$X27)))*(AY22-('Inputs-Results'!$Z27-'Inputs-Results'!$X27))),0)</f>
        <v>#DIV/0!</v>
      </c>
      <c r="BA22" s="19" t="e">
        <f>IF(AY22&gt;'Inputs-Results'!$V$9-'Inputs-Results'!$X$9,SQRT(('Inputs-Results'!$U$9-'Inputs-Results'!$W$9)^2+('Inputs-Results'!$V$9-'Inputs-Results'!$X$9)^2)+SQRT(('Inputs-Results'!$W$9-'Inputs-Results'!$Y$9)^2+('Inputs-Results'!$X$9-'Inputs-Results'!$Z$9)^2)+SQRT((('Inputs-Results'!$S$9-'Inputs-Results'!$U$9)*(AY22+'Inputs-Results'!$X$9-'Inputs-Results'!$V$9)/('Inputs-Results'!$T$9-'Inputs-Results'!$V$9))^2+(AY22+'Inputs-Results'!$X$9-'Inputs-Results'!$V$9)^2)+SQRT((('Inputs-Results'!$AA$9-'Inputs-Results'!$Y$9)*(AY22+'Inputs-Results'!$X$9-'Inputs-Results'!$Z$9)/('Inputs-Results'!$AB$9-'Inputs-Results'!$Z$9))^2+(AY22+'Inputs-Results'!$X$9-'Inputs-Results'!$Z$9)^2),SQRT((('Inputs-Results'!$U$9-'Inputs-Results'!$W$9)*(AY22)/('Inputs-Results'!$V$9-'Inputs-Results'!$X$9))^2+AY22^2)+SQRT((('Inputs-Results'!$Y$9-'Inputs-Results'!$W$9)*AY22/('Inputs-Results'!$Z$9-'Inputs-Results'!$X$9))^2+AY22^2))</f>
        <v>#DIV/0!</v>
      </c>
      <c r="BB22" s="19" t="e">
        <f t="shared" si="24"/>
        <v>#DIV/0!</v>
      </c>
      <c r="BC22" s="19" t="e">
        <f>1.49/'Inputs-Results'!$AC27*AZ22*BB22^(2/3)*'Inputs-Results'!$AD27^0.5</f>
        <v>#DIV/0!</v>
      </c>
      <c r="BD22" s="27" t="e">
        <f t="shared" si="25"/>
        <v>#DIV/0!</v>
      </c>
      <c r="BE22" s="26">
        <f t="shared" si="26"/>
        <v>0</v>
      </c>
      <c r="BF22" s="19" t="e">
        <f>IF(BE22&gt;'Inputs-Results'!$V27-'Inputs-Results'!$X27,(0.5*(ABS('Inputs-Results'!$S27-'Inputs-Results'!$U27)/('Inputs-Results'!$T27-'Inputs-Results'!$V27)*(BE22-('Inputs-Results'!$V27-'Inputs-Results'!$X27)))*(BE22-('Inputs-Results'!$V27-'Inputs-Results'!$X27))),0)+IF(BE22&gt;'Inputs-Results'!$V27-'Inputs-Results'!$X27,(0.5*((BE22+'Inputs-Results'!$X27-'Inputs-Results'!$V27)+BE22)*ABS('Inputs-Results'!$U27-'Inputs-Results'!$W27)),0.5*(ABS('Inputs-Results'!$U27-'Inputs-Results'!$W27)/('Inputs-Results'!$V27-'Inputs-Results'!$X27)*BE22)*BE22)+IF(BE22&gt;'Inputs-Results'!$Z27-'Inputs-Results'!$X27,(0.5*((BE22+'Inputs-Results'!$X27-'Inputs-Results'!$Z27)+BE22)*ABS('Inputs-Results'!$Y27-'Inputs-Results'!$W27)),0.5*(ABS('Inputs-Results'!$W27-'Inputs-Results'!$Y27)/('Inputs-Results'!$Z27-'Inputs-Results'!$X27)*BE22)*BE22)+IF(BE22&gt;'Inputs-Results'!$Z27-'Inputs-Results'!$X27,(0.5*(ABS('Inputs-Results'!$Y27-'Inputs-Results'!$AA27)/('Inputs-Results'!$AB27-'Inputs-Results'!$Z27)*(BE22-('Inputs-Results'!$Z27-'Inputs-Results'!$X27)))*(BE22-('Inputs-Results'!$Z27-'Inputs-Results'!$X27))),0)</f>
        <v>#DIV/0!</v>
      </c>
      <c r="BG22" s="19" t="e">
        <f>IF(BE22&gt;'Inputs-Results'!$V$9-'Inputs-Results'!$X$9,SQRT(('Inputs-Results'!$U$9-'Inputs-Results'!$W$9)^2+('Inputs-Results'!$V$9-'Inputs-Results'!$X$9)^2)+SQRT(('Inputs-Results'!$W$9-'Inputs-Results'!$Y$9)^2+('Inputs-Results'!$X$9-'Inputs-Results'!$Z$9)^2)+SQRT((('Inputs-Results'!$S$9-'Inputs-Results'!$U$9)*(BE22+'Inputs-Results'!$X$9-'Inputs-Results'!$V$9)/('Inputs-Results'!$T$9-'Inputs-Results'!$V$9))^2+(BE22+'Inputs-Results'!$X$9-'Inputs-Results'!$V$9)^2)+SQRT((('Inputs-Results'!$AA$9-'Inputs-Results'!$Y$9)*(BE22+'Inputs-Results'!$X$9-'Inputs-Results'!$Z$9)/('Inputs-Results'!$AB$9-'Inputs-Results'!$Z$9))^2+(BE22+'Inputs-Results'!$X$9-'Inputs-Results'!$Z$9)^2),SQRT((('Inputs-Results'!$U$9-'Inputs-Results'!$W$9)*(BE22)/('Inputs-Results'!$V$9-'Inputs-Results'!$X$9))^2+BE22^2)+SQRT((('Inputs-Results'!$Y$9-'Inputs-Results'!$W$9)*BE22/('Inputs-Results'!$Z$9-'Inputs-Results'!$X$9))^2+BE22^2))</f>
        <v>#DIV/0!</v>
      </c>
      <c r="BH22" s="19" t="e">
        <f t="shared" si="27"/>
        <v>#DIV/0!</v>
      </c>
      <c r="BI22" s="19" t="e">
        <f>1.49/'Inputs-Results'!$AC27*BF22*BH22^(2/3)*'Inputs-Results'!$AD27^0.5</f>
        <v>#DIV/0!</v>
      </c>
      <c r="BJ22" s="27" t="e">
        <f t="shared" si="28"/>
        <v>#DIV/0!</v>
      </c>
    </row>
    <row r="23" spans="1:62" x14ac:dyDescent="0.25">
      <c r="A23" s="2">
        <v>0</v>
      </c>
      <c r="B23" s="17"/>
      <c r="C23" s="26">
        <f>MIN('Inputs-Results'!T28-'Inputs-Results'!X28,'Inputs-Results'!AB28-'Inputs-Results'!X28)</f>
        <v>0</v>
      </c>
      <c r="D23" s="19" t="e">
        <f>IF(C23&gt;'Inputs-Results'!$V28-'Inputs-Results'!$X28,(0.5*(ABS('Inputs-Results'!$S28-'Inputs-Results'!$U28)/('Inputs-Results'!$T28-'Inputs-Results'!$V28)*(C23-('Inputs-Results'!$V28-'Inputs-Results'!$X28)))*(C23-('Inputs-Results'!$V28-'Inputs-Results'!$X28))),0)+IF(C23&gt;'Inputs-Results'!$V28-'Inputs-Results'!$X28,(0.5*((C23+'Inputs-Results'!$X28-'Inputs-Results'!$V28)+C23)*ABS('Inputs-Results'!$U28-'Inputs-Results'!$W28)),0.5*(ABS('Inputs-Results'!$U28-'Inputs-Results'!$W28)/('Inputs-Results'!$V28-'Inputs-Results'!$X28)*C23)*C23)+IF(C23&gt;'Inputs-Results'!$Z28-'Inputs-Results'!$X28,(0.5*((C23+'Inputs-Results'!$X28-'Inputs-Results'!$Z28)+C23)*ABS('Inputs-Results'!$Y28-'Inputs-Results'!$W28)),0.5*(ABS('Inputs-Results'!$W28-'Inputs-Results'!$Y28)/('Inputs-Results'!$Z28-'Inputs-Results'!$X28)*C23)*C23)+IF(C23&gt;'Inputs-Results'!$Z28-'Inputs-Results'!$X28,(0.5*(ABS('Inputs-Results'!$Y28-'Inputs-Results'!$AA28)/('Inputs-Results'!$AB28-'Inputs-Results'!$Z28)*(C23-('Inputs-Results'!$Z28-'Inputs-Results'!$X28)))*(C23-('Inputs-Results'!$Z28-'Inputs-Results'!$X28))),0)</f>
        <v>#DIV/0!</v>
      </c>
      <c r="E23" s="19" t="e">
        <f>IF(C23&gt;'Inputs-Results'!$V$9-'Inputs-Results'!$X$9,SQRT(('Inputs-Results'!$U$9-'Inputs-Results'!$W$9)^2+('Inputs-Results'!$V$9-'Inputs-Results'!$X$9)^2)+SQRT(('Inputs-Results'!$W$9-'Inputs-Results'!$Y$9)^2+('Inputs-Results'!$X$9-'Inputs-Results'!$Z$9)^2)+SQRT((('Inputs-Results'!$S$9-'Inputs-Results'!$U$9)*(C23+'Inputs-Results'!$X$9-'Inputs-Results'!$V$9)/('Inputs-Results'!$T$9-'Inputs-Results'!$V$9))^2+(C23+'Inputs-Results'!$X$9-'Inputs-Results'!$V$9)^2)+SQRT((('Inputs-Results'!$AA$9-'Inputs-Results'!$Y$9)*(C23+'Inputs-Results'!$X$9-'Inputs-Results'!$Z$9)/('Inputs-Results'!$AB$9-'Inputs-Results'!$Z$9))^2+(C23+'Inputs-Results'!$X$9-'Inputs-Results'!$Z$9)^2),SQRT((('Inputs-Results'!$U$9-'Inputs-Results'!$W$9)*(C23)/('Inputs-Results'!$V$9-'Inputs-Results'!$X$9))^2+C23^2)+SQRT((('Inputs-Results'!$Y$9-'Inputs-Results'!$W$9)*C23/('Inputs-Results'!$Z$9-'Inputs-Results'!$X$9))^2+C23^2))</f>
        <v>#DIV/0!</v>
      </c>
      <c r="F23" s="19" t="e">
        <f t="shared" si="0"/>
        <v>#DIV/0!</v>
      </c>
      <c r="G23" s="19" t="e">
        <f>1.49/'Inputs-Results'!AC28*D23*F23^(2/3)*'Inputs-Results'!AD28^0.5</f>
        <v>#DIV/0!</v>
      </c>
      <c r="H23" s="27" t="e">
        <f t="shared" si="1"/>
        <v>#DIV/0!</v>
      </c>
      <c r="I23" s="26">
        <f t="shared" si="2"/>
        <v>0</v>
      </c>
      <c r="J23" s="19" t="e">
        <f>IF(I23&gt;'Inputs-Results'!$V28-'Inputs-Results'!$X28,(0.5*(ABS('Inputs-Results'!$S28-'Inputs-Results'!$U28)/('Inputs-Results'!$T28-'Inputs-Results'!$V28)*(I23-('Inputs-Results'!$V28-'Inputs-Results'!$X28)))*(I23-('Inputs-Results'!$V28-'Inputs-Results'!$X28))),0)+IF(I23&gt;'Inputs-Results'!$V28-'Inputs-Results'!$X28,(0.5*((I23+'Inputs-Results'!$X28-'Inputs-Results'!$V28)+I23)*ABS('Inputs-Results'!$U28-'Inputs-Results'!$W28)),0.5*(ABS('Inputs-Results'!$U28-'Inputs-Results'!$W28)/('Inputs-Results'!$V28-'Inputs-Results'!$X28)*I23)*I23)+IF(I23&gt;'Inputs-Results'!$Z28-'Inputs-Results'!$X28,(0.5*((I23+'Inputs-Results'!$X28-'Inputs-Results'!$Z28)+I23)*ABS('Inputs-Results'!$Y28-'Inputs-Results'!$W28)),0.5*(ABS('Inputs-Results'!$W28-'Inputs-Results'!$Y28)/('Inputs-Results'!$Z28-'Inputs-Results'!$X28)*I23)*I23)+IF(I23&gt;'Inputs-Results'!$Z28-'Inputs-Results'!$X28,(0.5*(ABS('Inputs-Results'!$Y28-'Inputs-Results'!$AA28)/('Inputs-Results'!$AB28-'Inputs-Results'!$Z28)*(I23-('Inputs-Results'!$Z28-'Inputs-Results'!$X28)))*(I23-('Inputs-Results'!$Z28-'Inputs-Results'!$X28))),0)</f>
        <v>#DIV/0!</v>
      </c>
      <c r="K23" s="19" t="e">
        <f>IF(I23&gt;'Inputs-Results'!$V$9-'Inputs-Results'!$X$9,SQRT(('Inputs-Results'!$U$9-'Inputs-Results'!$W$9)^2+('Inputs-Results'!$V$9-'Inputs-Results'!$X$9)^2)+SQRT(('Inputs-Results'!$W$9-'Inputs-Results'!$Y$9)^2+('Inputs-Results'!$X$9-'Inputs-Results'!$Z$9)^2)+SQRT((('Inputs-Results'!$S$9-'Inputs-Results'!$U$9)*(I23+'Inputs-Results'!$X$9-'Inputs-Results'!$V$9)/('Inputs-Results'!$T$9-'Inputs-Results'!$V$9))^2+(I23+'Inputs-Results'!$X$9-'Inputs-Results'!$V$9)^2)+SQRT((('Inputs-Results'!$AA$9-'Inputs-Results'!$Y$9)*(I23+'Inputs-Results'!$X$9-'Inputs-Results'!$Z$9)/('Inputs-Results'!$AB$9-'Inputs-Results'!$Z$9))^2+(I23+'Inputs-Results'!$X$9-'Inputs-Results'!$Z$9)^2),SQRT((('Inputs-Results'!$U$9-'Inputs-Results'!$W$9)*(I23)/('Inputs-Results'!$V$9-'Inputs-Results'!$X$9))^2+I23^2)+SQRT((('Inputs-Results'!$Y$9-'Inputs-Results'!$W$9)*I23/('Inputs-Results'!$Z$9-'Inputs-Results'!$X$9))^2+I23^2))</f>
        <v>#DIV/0!</v>
      </c>
      <c r="L23" s="19" t="e">
        <f t="shared" si="3"/>
        <v>#DIV/0!</v>
      </c>
      <c r="M23" s="19" t="e">
        <f>1.49/'Inputs-Results'!$AC28*J23*L23^(2/3)*'Inputs-Results'!$AD28^0.5</f>
        <v>#DIV/0!</v>
      </c>
      <c r="N23" s="27" t="e">
        <f t="shared" si="4"/>
        <v>#DIV/0!</v>
      </c>
      <c r="O23" s="26">
        <f t="shared" si="5"/>
        <v>0</v>
      </c>
      <c r="P23" s="19" t="e">
        <f>IF(O23&gt;'Inputs-Results'!$V28-'Inputs-Results'!$X28,(0.5*(ABS('Inputs-Results'!$S28-'Inputs-Results'!$U28)/('Inputs-Results'!$T28-'Inputs-Results'!$V28)*(O23-('Inputs-Results'!$V28-'Inputs-Results'!$X28)))*(O23-('Inputs-Results'!$V28-'Inputs-Results'!$X28))),0)+IF(O23&gt;'Inputs-Results'!$V28-'Inputs-Results'!$X28,(0.5*((O23+'Inputs-Results'!$X28-'Inputs-Results'!$V28)+O23)*ABS('Inputs-Results'!$U28-'Inputs-Results'!$W28)),0.5*(ABS('Inputs-Results'!$U28-'Inputs-Results'!$W28)/('Inputs-Results'!$V28-'Inputs-Results'!$X28)*O23)*O23)+IF(O23&gt;'Inputs-Results'!$Z28-'Inputs-Results'!$X28,(0.5*((O23+'Inputs-Results'!$X28-'Inputs-Results'!$Z28)+O23)*ABS('Inputs-Results'!$Y28-'Inputs-Results'!$W28)),0.5*(ABS('Inputs-Results'!$W28-'Inputs-Results'!$Y28)/('Inputs-Results'!$Z28-'Inputs-Results'!$X28)*O23)*O23)+IF(O23&gt;'Inputs-Results'!$Z28-'Inputs-Results'!$X28,(0.5*(ABS('Inputs-Results'!$Y28-'Inputs-Results'!$AA28)/('Inputs-Results'!$AB28-'Inputs-Results'!$Z28)*(O23-('Inputs-Results'!$Z28-'Inputs-Results'!$X28)))*(O23-('Inputs-Results'!$Z28-'Inputs-Results'!$X28))),0)</f>
        <v>#DIV/0!</v>
      </c>
      <c r="Q23" s="19" t="e">
        <f>IF(O23&gt;'Inputs-Results'!$V$9-'Inputs-Results'!$X$9,SQRT(('Inputs-Results'!$U$9-'Inputs-Results'!$W$9)^2+('Inputs-Results'!$V$9-'Inputs-Results'!$X$9)^2)+SQRT(('Inputs-Results'!$W$9-'Inputs-Results'!$Y$9)^2+('Inputs-Results'!$X$9-'Inputs-Results'!$Z$9)^2)+SQRT((('Inputs-Results'!$S$9-'Inputs-Results'!$U$9)*(O23+'Inputs-Results'!$X$9-'Inputs-Results'!$V$9)/('Inputs-Results'!$T$9-'Inputs-Results'!$V$9))^2+(O23+'Inputs-Results'!$X$9-'Inputs-Results'!$V$9)^2)+SQRT((('Inputs-Results'!$AA$9-'Inputs-Results'!$Y$9)*(O23+'Inputs-Results'!$X$9-'Inputs-Results'!$Z$9)/('Inputs-Results'!$AB$9-'Inputs-Results'!$Z$9))^2+(O23+'Inputs-Results'!$X$9-'Inputs-Results'!$Z$9)^2),SQRT((('Inputs-Results'!$U$9-'Inputs-Results'!$W$9)*(O23)/('Inputs-Results'!$V$9-'Inputs-Results'!$X$9))^2+O23^2)+SQRT((('Inputs-Results'!$Y$9-'Inputs-Results'!$W$9)*O23/('Inputs-Results'!$Z$9-'Inputs-Results'!$X$9))^2+O23^2))</f>
        <v>#DIV/0!</v>
      </c>
      <c r="R23" s="19" t="e">
        <f t="shared" si="6"/>
        <v>#DIV/0!</v>
      </c>
      <c r="S23" s="19" t="e">
        <f>1.49/'Inputs-Results'!$AC28*P23*R23^(2/3)*'Inputs-Results'!$AD28^0.5</f>
        <v>#DIV/0!</v>
      </c>
      <c r="T23" s="27" t="e">
        <f t="shared" si="7"/>
        <v>#DIV/0!</v>
      </c>
      <c r="U23" s="26">
        <f t="shared" si="8"/>
        <v>0</v>
      </c>
      <c r="V23" s="19" t="e">
        <f>IF(U23&gt;'Inputs-Results'!$V28-'Inputs-Results'!$X28,(0.5*(ABS('Inputs-Results'!$S28-'Inputs-Results'!$U28)/('Inputs-Results'!$T28-'Inputs-Results'!$V28)*(U23-('Inputs-Results'!$V28-'Inputs-Results'!$X28)))*(U23-('Inputs-Results'!$V28-'Inputs-Results'!$X28))),0)+IF(U23&gt;'Inputs-Results'!$V28-'Inputs-Results'!$X28,(0.5*((U23+'Inputs-Results'!$X28-'Inputs-Results'!$V28)+U23)*ABS('Inputs-Results'!$U28-'Inputs-Results'!$W28)),0.5*(ABS('Inputs-Results'!$U28-'Inputs-Results'!$W28)/('Inputs-Results'!$V28-'Inputs-Results'!$X28)*U23)*U23)+IF(U23&gt;'Inputs-Results'!$Z28-'Inputs-Results'!$X28,(0.5*((U23+'Inputs-Results'!$X28-'Inputs-Results'!$Z28)+U23)*ABS('Inputs-Results'!$Y28-'Inputs-Results'!$W28)),0.5*(ABS('Inputs-Results'!$W28-'Inputs-Results'!$Y28)/('Inputs-Results'!$Z28-'Inputs-Results'!$X28)*U23)*U23)+IF(U23&gt;'Inputs-Results'!$Z28-'Inputs-Results'!$X28,(0.5*(ABS('Inputs-Results'!$Y28-'Inputs-Results'!$AA28)/('Inputs-Results'!$AB28-'Inputs-Results'!$Z28)*(U23-('Inputs-Results'!$Z28-'Inputs-Results'!$X28)))*(U23-('Inputs-Results'!$Z28-'Inputs-Results'!$X28))),0)</f>
        <v>#DIV/0!</v>
      </c>
      <c r="W23" s="19" t="e">
        <f>IF(U23&gt;'Inputs-Results'!$V$9-'Inputs-Results'!$X$9,SQRT(('Inputs-Results'!$U$9-'Inputs-Results'!$W$9)^2+('Inputs-Results'!$V$9-'Inputs-Results'!$X$9)^2)+SQRT(('Inputs-Results'!$W$9-'Inputs-Results'!$Y$9)^2+('Inputs-Results'!$X$9-'Inputs-Results'!$Z$9)^2)+SQRT((('Inputs-Results'!$S$9-'Inputs-Results'!$U$9)*(U23+'Inputs-Results'!$X$9-'Inputs-Results'!$V$9)/('Inputs-Results'!$T$9-'Inputs-Results'!$V$9))^2+(U23+'Inputs-Results'!$X$9-'Inputs-Results'!$V$9)^2)+SQRT((('Inputs-Results'!$AA$9-'Inputs-Results'!$Y$9)*(U23+'Inputs-Results'!$X$9-'Inputs-Results'!$Z$9)/('Inputs-Results'!$AB$9-'Inputs-Results'!$Z$9))^2+(U23+'Inputs-Results'!$X$9-'Inputs-Results'!$Z$9)^2),SQRT((('Inputs-Results'!$U$9-'Inputs-Results'!$W$9)*(U23)/('Inputs-Results'!$V$9-'Inputs-Results'!$X$9))^2+U23^2)+SQRT((('Inputs-Results'!$Y$9-'Inputs-Results'!$W$9)*U23/('Inputs-Results'!$Z$9-'Inputs-Results'!$X$9))^2+U23^2))</f>
        <v>#DIV/0!</v>
      </c>
      <c r="X23" s="19" t="e">
        <f t="shared" si="9"/>
        <v>#DIV/0!</v>
      </c>
      <c r="Y23" s="19" t="e">
        <f>1.49/'Inputs-Results'!$AC28*V23*X23^(2/3)*'Inputs-Results'!$AD28^0.5</f>
        <v>#DIV/0!</v>
      </c>
      <c r="Z23" s="27" t="e">
        <f t="shared" si="10"/>
        <v>#DIV/0!</v>
      </c>
      <c r="AA23" s="26">
        <f t="shared" si="11"/>
        <v>0</v>
      </c>
      <c r="AB23" s="19" t="e">
        <f>IF(AA23&gt;'Inputs-Results'!$V28-'Inputs-Results'!$X28,(0.5*(ABS('Inputs-Results'!$S28-'Inputs-Results'!$U28)/('Inputs-Results'!$T28-'Inputs-Results'!$V28)*(AA23-('Inputs-Results'!$V28-'Inputs-Results'!$X28)))*(AA23-('Inputs-Results'!$V28-'Inputs-Results'!$X28))),0)+IF(AA23&gt;'Inputs-Results'!$V28-'Inputs-Results'!$X28,(0.5*((AA23+'Inputs-Results'!$X28-'Inputs-Results'!$V28)+AA23)*ABS('Inputs-Results'!$U28-'Inputs-Results'!$W28)),0.5*(ABS('Inputs-Results'!$U28-'Inputs-Results'!$W28)/('Inputs-Results'!$V28-'Inputs-Results'!$X28)*AA23)*AA23)+IF(AA23&gt;'Inputs-Results'!$Z28-'Inputs-Results'!$X28,(0.5*((AA23+'Inputs-Results'!$X28-'Inputs-Results'!$Z28)+AA23)*ABS('Inputs-Results'!$Y28-'Inputs-Results'!$W28)),0.5*(ABS('Inputs-Results'!$W28-'Inputs-Results'!$Y28)/('Inputs-Results'!$Z28-'Inputs-Results'!$X28)*AA23)*AA23)+IF(AA23&gt;'Inputs-Results'!$Z28-'Inputs-Results'!$X28,(0.5*(ABS('Inputs-Results'!$Y28-'Inputs-Results'!$AA28)/('Inputs-Results'!$AB28-'Inputs-Results'!$Z28)*(AA23-('Inputs-Results'!$Z28-'Inputs-Results'!$X28)))*(AA23-('Inputs-Results'!$Z28-'Inputs-Results'!$X28))),0)</f>
        <v>#DIV/0!</v>
      </c>
      <c r="AC23" s="19" t="e">
        <f>IF(AA23&gt;'Inputs-Results'!$V$9-'Inputs-Results'!$X$9,SQRT(('Inputs-Results'!$U$9-'Inputs-Results'!$W$9)^2+('Inputs-Results'!$V$9-'Inputs-Results'!$X$9)^2)+SQRT(('Inputs-Results'!$W$9-'Inputs-Results'!$Y$9)^2+('Inputs-Results'!$X$9-'Inputs-Results'!$Z$9)^2)+SQRT((('Inputs-Results'!$S$9-'Inputs-Results'!$U$9)*(AA23+'Inputs-Results'!$X$9-'Inputs-Results'!$V$9)/('Inputs-Results'!$T$9-'Inputs-Results'!$V$9))^2+(AA23+'Inputs-Results'!$X$9-'Inputs-Results'!$V$9)^2)+SQRT((('Inputs-Results'!$AA$9-'Inputs-Results'!$Y$9)*(AA23+'Inputs-Results'!$X$9-'Inputs-Results'!$Z$9)/('Inputs-Results'!$AB$9-'Inputs-Results'!$Z$9))^2+(AA23+'Inputs-Results'!$X$9-'Inputs-Results'!$Z$9)^2),SQRT((('Inputs-Results'!$U$9-'Inputs-Results'!$W$9)*(AA23)/('Inputs-Results'!$V$9-'Inputs-Results'!$X$9))^2+AA23^2)+SQRT((('Inputs-Results'!$Y$9-'Inputs-Results'!$W$9)*AA23/('Inputs-Results'!$Z$9-'Inputs-Results'!$X$9))^2+AA23^2))</f>
        <v>#DIV/0!</v>
      </c>
      <c r="AD23" s="19" t="e">
        <f t="shared" si="12"/>
        <v>#DIV/0!</v>
      </c>
      <c r="AE23" s="19" t="e">
        <f>1.49/'Inputs-Results'!$AC28*AB23*AD23^(2/3)*'Inputs-Results'!$AD28^0.5</f>
        <v>#DIV/0!</v>
      </c>
      <c r="AF23" s="27" t="e">
        <f t="shared" si="13"/>
        <v>#DIV/0!</v>
      </c>
      <c r="AG23" s="26">
        <f t="shared" si="14"/>
        <v>0</v>
      </c>
      <c r="AH23" s="19" t="e">
        <f>IF(AG23&gt;'Inputs-Results'!$V28-'Inputs-Results'!$X28,(0.5*(ABS('Inputs-Results'!$S28-'Inputs-Results'!$U28)/('Inputs-Results'!$T28-'Inputs-Results'!$V28)*(AG23-('Inputs-Results'!$V28-'Inputs-Results'!$X28)))*(AG23-('Inputs-Results'!$V28-'Inputs-Results'!$X28))),0)+IF(AG23&gt;'Inputs-Results'!$V28-'Inputs-Results'!$X28,(0.5*((AG23+'Inputs-Results'!$X28-'Inputs-Results'!$V28)+AG23)*ABS('Inputs-Results'!$U28-'Inputs-Results'!$W28)),0.5*(ABS('Inputs-Results'!$U28-'Inputs-Results'!$W28)/('Inputs-Results'!$V28-'Inputs-Results'!$X28)*AG23)*AG23)+IF(AG23&gt;'Inputs-Results'!$Z28-'Inputs-Results'!$X28,(0.5*((AG23+'Inputs-Results'!$X28-'Inputs-Results'!$Z28)+AG23)*ABS('Inputs-Results'!$Y28-'Inputs-Results'!$W28)),0.5*(ABS('Inputs-Results'!$W28-'Inputs-Results'!$Y28)/('Inputs-Results'!$Z28-'Inputs-Results'!$X28)*AG23)*AG23)+IF(AG23&gt;'Inputs-Results'!$Z28-'Inputs-Results'!$X28,(0.5*(ABS('Inputs-Results'!$Y28-'Inputs-Results'!$AA28)/('Inputs-Results'!$AB28-'Inputs-Results'!$Z28)*(AG23-('Inputs-Results'!$Z28-'Inputs-Results'!$X28)))*(AG23-('Inputs-Results'!$Z28-'Inputs-Results'!$X28))),0)</f>
        <v>#DIV/0!</v>
      </c>
      <c r="AI23" s="19" t="e">
        <f>IF(AG23&gt;'Inputs-Results'!$V$9-'Inputs-Results'!$X$9,SQRT(('Inputs-Results'!$U$9-'Inputs-Results'!$W$9)^2+('Inputs-Results'!$V$9-'Inputs-Results'!$X$9)^2)+SQRT(('Inputs-Results'!$W$9-'Inputs-Results'!$Y$9)^2+('Inputs-Results'!$X$9-'Inputs-Results'!$Z$9)^2)+SQRT((('Inputs-Results'!$S$9-'Inputs-Results'!$U$9)*(AG23+'Inputs-Results'!$X$9-'Inputs-Results'!$V$9)/('Inputs-Results'!$T$9-'Inputs-Results'!$V$9))^2+(AG23+'Inputs-Results'!$X$9-'Inputs-Results'!$V$9)^2)+SQRT((('Inputs-Results'!$AA$9-'Inputs-Results'!$Y$9)*(AG23+'Inputs-Results'!$X$9-'Inputs-Results'!$Z$9)/('Inputs-Results'!$AB$9-'Inputs-Results'!$Z$9))^2+(AG23+'Inputs-Results'!$X$9-'Inputs-Results'!$Z$9)^2),SQRT((('Inputs-Results'!$U$9-'Inputs-Results'!$W$9)*(AG23)/('Inputs-Results'!$V$9-'Inputs-Results'!$X$9))^2+AG23^2)+SQRT((('Inputs-Results'!$Y$9-'Inputs-Results'!$W$9)*AG23/('Inputs-Results'!$Z$9-'Inputs-Results'!$X$9))^2+AG23^2))</f>
        <v>#DIV/0!</v>
      </c>
      <c r="AJ23" s="19" t="e">
        <f t="shared" si="15"/>
        <v>#DIV/0!</v>
      </c>
      <c r="AK23" s="19" t="e">
        <f>1.49/'Inputs-Results'!$AC28*AH23*AJ23^(2/3)*'Inputs-Results'!$AD28^0.5</f>
        <v>#DIV/0!</v>
      </c>
      <c r="AL23" s="27" t="e">
        <f t="shared" si="16"/>
        <v>#DIV/0!</v>
      </c>
      <c r="AM23" s="26">
        <f t="shared" si="17"/>
        <v>0</v>
      </c>
      <c r="AN23" s="19" t="e">
        <f>IF(AM23&gt;'Inputs-Results'!$V28-'Inputs-Results'!$X28,(0.5*(ABS('Inputs-Results'!$S28-'Inputs-Results'!$U28)/('Inputs-Results'!$T28-'Inputs-Results'!$V28)*(AM23-('Inputs-Results'!$V28-'Inputs-Results'!$X28)))*(AM23-('Inputs-Results'!$V28-'Inputs-Results'!$X28))),0)+IF(AM23&gt;'Inputs-Results'!$V28-'Inputs-Results'!$X28,(0.5*((AM23+'Inputs-Results'!$X28-'Inputs-Results'!$V28)+AM23)*ABS('Inputs-Results'!$U28-'Inputs-Results'!$W28)),0.5*(ABS('Inputs-Results'!$U28-'Inputs-Results'!$W28)/('Inputs-Results'!$V28-'Inputs-Results'!$X28)*AM23)*AM23)+IF(AM23&gt;'Inputs-Results'!$Z28-'Inputs-Results'!$X28,(0.5*((AM23+'Inputs-Results'!$X28-'Inputs-Results'!$Z28)+AM23)*ABS('Inputs-Results'!$Y28-'Inputs-Results'!$W28)),0.5*(ABS('Inputs-Results'!$W28-'Inputs-Results'!$Y28)/('Inputs-Results'!$Z28-'Inputs-Results'!$X28)*AM23)*AM23)+IF(AM23&gt;'Inputs-Results'!$Z28-'Inputs-Results'!$X28,(0.5*(ABS('Inputs-Results'!$Y28-'Inputs-Results'!$AA28)/('Inputs-Results'!$AB28-'Inputs-Results'!$Z28)*(AM23-('Inputs-Results'!$Z28-'Inputs-Results'!$X28)))*(AM23-('Inputs-Results'!$Z28-'Inputs-Results'!$X28))),0)</f>
        <v>#DIV/0!</v>
      </c>
      <c r="AO23" s="19" t="e">
        <f>IF(AM23&gt;'Inputs-Results'!$V$9-'Inputs-Results'!$X$9,SQRT(('Inputs-Results'!$U$9-'Inputs-Results'!$W$9)^2+('Inputs-Results'!$V$9-'Inputs-Results'!$X$9)^2)+SQRT(('Inputs-Results'!$W$9-'Inputs-Results'!$Y$9)^2+('Inputs-Results'!$X$9-'Inputs-Results'!$Z$9)^2)+SQRT((('Inputs-Results'!$S$9-'Inputs-Results'!$U$9)*(AM23+'Inputs-Results'!$X$9-'Inputs-Results'!$V$9)/('Inputs-Results'!$T$9-'Inputs-Results'!$V$9))^2+(AM23+'Inputs-Results'!$X$9-'Inputs-Results'!$V$9)^2)+SQRT((('Inputs-Results'!$AA$9-'Inputs-Results'!$Y$9)*(AM23+'Inputs-Results'!$X$9-'Inputs-Results'!$Z$9)/('Inputs-Results'!$AB$9-'Inputs-Results'!$Z$9))^2+(AM23+'Inputs-Results'!$X$9-'Inputs-Results'!$Z$9)^2),SQRT((('Inputs-Results'!$U$9-'Inputs-Results'!$W$9)*(AM23)/('Inputs-Results'!$V$9-'Inputs-Results'!$X$9))^2+AM23^2)+SQRT((('Inputs-Results'!$Y$9-'Inputs-Results'!$W$9)*AM23/('Inputs-Results'!$Z$9-'Inputs-Results'!$X$9))^2+AM23^2))</f>
        <v>#DIV/0!</v>
      </c>
      <c r="AP23" s="19" t="e">
        <f t="shared" si="18"/>
        <v>#DIV/0!</v>
      </c>
      <c r="AQ23" s="19" t="e">
        <f>1.49/'Inputs-Results'!$AC28*AN23*AP23^(2/3)*'Inputs-Results'!$AD28^0.5</f>
        <v>#DIV/0!</v>
      </c>
      <c r="AR23" s="27" t="e">
        <f t="shared" si="19"/>
        <v>#DIV/0!</v>
      </c>
      <c r="AS23" s="26">
        <f t="shared" si="20"/>
        <v>0</v>
      </c>
      <c r="AT23" s="19" t="e">
        <f>IF(AS23&gt;'Inputs-Results'!$V28-'Inputs-Results'!$X28,(0.5*(ABS('Inputs-Results'!$S28-'Inputs-Results'!$U28)/('Inputs-Results'!$T28-'Inputs-Results'!$V28)*(AS23-('Inputs-Results'!$V28-'Inputs-Results'!$X28)))*(AS23-('Inputs-Results'!$V28-'Inputs-Results'!$X28))),0)+IF(AS23&gt;'Inputs-Results'!$V28-'Inputs-Results'!$X28,(0.5*((AS23+'Inputs-Results'!$X28-'Inputs-Results'!$V28)+AS23)*ABS('Inputs-Results'!$U28-'Inputs-Results'!$W28)),0.5*(ABS('Inputs-Results'!$U28-'Inputs-Results'!$W28)/('Inputs-Results'!$V28-'Inputs-Results'!$X28)*AS23)*AS23)+IF(AS23&gt;'Inputs-Results'!$Z28-'Inputs-Results'!$X28,(0.5*((AS23+'Inputs-Results'!$X28-'Inputs-Results'!$Z28)+AS23)*ABS('Inputs-Results'!$Y28-'Inputs-Results'!$W28)),0.5*(ABS('Inputs-Results'!$W28-'Inputs-Results'!$Y28)/('Inputs-Results'!$Z28-'Inputs-Results'!$X28)*AS23)*AS23)+IF(AS23&gt;'Inputs-Results'!$Z28-'Inputs-Results'!$X28,(0.5*(ABS('Inputs-Results'!$Y28-'Inputs-Results'!$AA28)/('Inputs-Results'!$AB28-'Inputs-Results'!$Z28)*(AS23-('Inputs-Results'!$Z28-'Inputs-Results'!$X28)))*(AS23-('Inputs-Results'!$Z28-'Inputs-Results'!$X28))),0)</f>
        <v>#DIV/0!</v>
      </c>
      <c r="AU23" s="19" t="e">
        <f>IF(AS23&gt;'Inputs-Results'!$V$9-'Inputs-Results'!$X$9,SQRT(('Inputs-Results'!$U$9-'Inputs-Results'!$W$9)^2+('Inputs-Results'!$V$9-'Inputs-Results'!$X$9)^2)+SQRT(('Inputs-Results'!$W$9-'Inputs-Results'!$Y$9)^2+('Inputs-Results'!$X$9-'Inputs-Results'!$Z$9)^2)+SQRT((('Inputs-Results'!$S$9-'Inputs-Results'!$U$9)*(AS23+'Inputs-Results'!$X$9-'Inputs-Results'!$V$9)/('Inputs-Results'!$T$9-'Inputs-Results'!$V$9))^2+(AS23+'Inputs-Results'!$X$9-'Inputs-Results'!$V$9)^2)+SQRT((('Inputs-Results'!$AA$9-'Inputs-Results'!$Y$9)*(AS23+'Inputs-Results'!$X$9-'Inputs-Results'!$Z$9)/('Inputs-Results'!$AB$9-'Inputs-Results'!$Z$9))^2+(AS23+'Inputs-Results'!$X$9-'Inputs-Results'!$Z$9)^2),SQRT((('Inputs-Results'!$U$9-'Inputs-Results'!$W$9)*(AS23)/('Inputs-Results'!$V$9-'Inputs-Results'!$X$9))^2+AS23^2)+SQRT((('Inputs-Results'!$Y$9-'Inputs-Results'!$W$9)*AS23/('Inputs-Results'!$Z$9-'Inputs-Results'!$X$9))^2+AS23^2))</f>
        <v>#DIV/0!</v>
      </c>
      <c r="AV23" s="19" t="e">
        <f t="shared" si="21"/>
        <v>#DIV/0!</v>
      </c>
      <c r="AW23" s="19" t="e">
        <f>1.49/'Inputs-Results'!$AC28*AT23*AV23^(2/3)*'Inputs-Results'!$AD28^0.5</f>
        <v>#DIV/0!</v>
      </c>
      <c r="AX23" s="27" t="e">
        <f t="shared" si="22"/>
        <v>#DIV/0!</v>
      </c>
      <c r="AY23" s="26">
        <f t="shared" si="23"/>
        <v>0</v>
      </c>
      <c r="AZ23" s="19" t="e">
        <f>IF(AY23&gt;'Inputs-Results'!$V28-'Inputs-Results'!$X28,(0.5*(ABS('Inputs-Results'!$S28-'Inputs-Results'!$U28)/('Inputs-Results'!$T28-'Inputs-Results'!$V28)*(AY23-('Inputs-Results'!$V28-'Inputs-Results'!$X28)))*(AY23-('Inputs-Results'!$V28-'Inputs-Results'!$X28))),0)+IF(AY23&gt;'Inputs-Results'!$V28-'Inputs-Results'!$X28,(0.5*((AY23+'Inputs-Results'!$X28-'Inputs-Results'!$V28)+AY23)*ABS('Inputs-Results'!$U28-'Inputs-Results'!$W28)),0.5*(ABS('Inputs-Results'!$U28-'Inputs-Results'!$W28)/('Inputs-Results'!$V28-'Inputs-Results'!$X28)*AY23)*AY23)+IF(AY23&gt;'Inputs-Results'!$Z28-'Inputs-Results'!$X28,(0.5*((AY23+'Inputs-Results'!$X28-'Inputs-Results'!$Z28)+AY23)*ABS('Inputs-Results'!$Y28-'Inputs-Results'!$W28)),0.5*(ABS('Inputs-Results'!$W28-'Inputs-Results'!$Y28)/('Inputs-Results'!$Z28-'Inputs-Results'!$X28)*AY23)*AY23)+IF(AY23&gt;'Inputs-Results'!$Z28-'Inputs-Results'!$X28,(0.5*(ABS('Inputs-Results'!$Y28-'Inputs-Results'!$AA28)/('Inputs-Results'!$AB28-'Inputs-Results'!$Z28)*(AY23-('Inputs-Results'!$Z28-'Inputs-Results'!$X28)))*(AY23-('Inputs-Results'!$Z28-'Inputs-Results'!$X28))),0)</f>
        <v>#DIV/0!</v>
      </c>
      <c r="BA23" s="19" t="e">
        <f>IF(AY23&gt;'Inputs-Results'!$V$9-'Inputs-Results'!$X$9,SQRT(('Inputs-Results'!$U$9-'Inputs-Results'!$W$9)^2+('Inputs-Results'!$V$9-'Inputs-Results'!$X$9)^2)+SQRT(('Inputs-Results'!$W$9-'Inputs-Results'!$Y$9)^2+('Inputs-Results'!$X$9-'Inputs-Results'!$Z$9)^2)+SQRT((('Inputs-Results'!$S$9-'Inputs-Results'!$U$9)*(AY23+'Inputs-Results'!$X$9-'Inputs-Results'!$V$9)/('Inputs-Results'!$T$9-'Inputs-Results'!$V$9))^2+(AY23+'Inputs-Results'!$X$9-'Inputs-Results'!$V$9)^2)+SQRT((('Inputs-Results'!$AA$9-'Inputs-Results'!$Y$9)*(AY23+'Inputs-Results'!$X$9-'Inputs-Results'!$Z$9)/('Inputs-Results'!$AB$9-'Inputs-Results'!$Z$9))^2+(AY23+'Inputs-Results'!$X$9-'Inputs-Results'!$Z$9)^2),SQRT((('Inputs-Results'!$U$9-'Inputs-Results'!$W$9)*(AY23)/('Inputs-Results'!$V$9-'Inputs-Results'!$X$9))^2+AY23^2)+SQRT((('Inputs-Results'!$Y$9-'Inputs-Results'!$W$9)*AY23/('Inputs-Results'!$Z$9-'Inputs-Results'!$X$9))^2+AY23^2))</f>
        <v>#DIV/0!</v>
      </c>
      <c r="BB23" s="19" t="e">
        <f t="shared" si="24"/>
        <v>#DIV/0!</v>
      </c>
      <c r="BC23" s="19" t="e">
        <f>1.49/'Inputs-Results'!$AC28*AZ23*BB23^(2/3)*'Inputs-Results'!$AD28^0.5</f>
        <v>#DIV/0!</v>
      </c>
      <c r="BD23" s="27" t="e">
        <f t="shared" si="25"/>
        <v>#DIV/0!</v>
      </c>
      <c r="BE23" s="26">
        <f t="shared" si="26"/>
        <v>0</v>
      </c>
      <c r="BF23" s="19" t="e">
        <f>IF(BE23&gt;'Inputs-Results'!$V28-'Inputs-Results'!$X28,(0.5*(ABS('Inputs-Results'!$S28-'Inputs-Results'!$U28)/('Inputs-Results'!$T28-'Inputs-Results'!$V28)*(BE23-('Inputs-Results'!$V28-'Inputs-Results'!$X28)))*(BE23-('Inputs-Results'!$V28-'Inputs-Results'!$X28))),0)+IF(BE23&gt;'Inputs-Results'!$V28-'Inputs-Results'!$X28,(0.5*((BE23+'Inputs-Results'!$X28-'Inputs-Results'!$V28)+BE23)*ABS('Inputs-Results'!$U28-'Inputs-Results'!$W28)),0.5*(ABS('Inputs-Results'!$U28-'Inputs-Results'!$W28)/('Inputs-Results'!$V28-'Inputs-Results'!$X28)*BE23)*BE23)+IF(BE23&gt;'Inputs-Results'!$Z28-'Inputs-Results'!$X28,(0.5*((BE23+'Inputs-Results'!$X28-'Inputs-Results'!$Z28)+BE23)*ABS('Inputs-Results'!$Y28-'Inputs-Results'!$W28)),0.5*(ABS('Inputs-Results'!$W28-'Inputs-Results'!$Y28)/('Inputs-Results'!$Z28-'Inputs-Results'!$X28)*BE23)*BE23)+IF(BE23&gt;'Inputs-Results'!$Z28-'Inputs-Results'!$X28,(0.5*(ABS('Inputs-Results'!$Y28-'Inputs-Results'!$AA28)/('Inputs-Results'!$AB28-'Inputs-Results'!$Z28)*(BE23-('Inputs-Results'!$Z28-'Inputs-Results'!$X28)))*(BE23-('Inputs-Results'!$Z28-'Inputs-Results'!$X28))),0)</f>
        <v>#DIV/0!</v>
      </c>
      <c r="BG23" s="19" t="e">
        <f>IF(BE23&gt;'Inputs-Results'!$V$9-'Inputs-Results'!$X$9,SQRT(('Inputs-Results'!$U$9-'Inputs-Results'!$W$9)^2+('Inputs-Results'!$V$9-'Inputs-Results'!$X$9)^2)+SQRT(('Inputs-Results'!$W$9-'Inputs-Results'!$Y$9)^2+('Inputs-Results'!$X$9-'Inputs-Results'!$Z$9)^2)+SQRT((('Inputs-Results'!$S$9-'Inputs-Results'!$U$9)*(BE23+'Inputs-Results'!$X$9-'Inputs-Results'!$V$9)/('Inputs-Results'!$T$9-'Inputs-Results'!$V$9))^2+(BE23+'Inputs-Results'!$X$9-'Inputs-Results'!$V$9)^2)+SQRT((('Inputs-Results'!$AA$9-'Inputs-Results'!$Y$9)*(BE23+'Inputs-Results'!$X$9-'Inputs-Results'!$Z$9)/('Inputs-Results'!$AB$9-'Inputs-Results'!$Z$9))^2+(BE23+'Inputs-Results'!$X$9-'Inputs-Results'!$Z$9)^2),SQRT((('Inputs-Results'!$U$9-'Inputs-Results'!$W$9)*(BE23)/('Inputs-Results'!$V$9-'Inputs-Results'!$X$9))^2+BE23^2)+SQRT((('Inputs-Results'!$Y$9-'Inputs-Results'!$W$9)*BE23/('Inputs-Results'!$Z$9-'Inputs-Results'!$X$9))^2+BE23^2))</f>
        <v>#DIV/0!</v>
      </c>
      <c r="BH23" s="19" t="e">
        <f t="shared" si="27"/>
        <v>#DIV/0!</v>
      </c>
      <c r="BI23" s="19" t="e">
        <f>1.49/'Inputs-Results'!$AC28*BF23*BH23^(2/3)*'Inputs-Results'!$AD28^0.5</f>
        <v>#DIV/0!</v>
      </c>
      <c r="BJ23" s="27" t="e">
        <f t="shared" si="28"/>
        <v>#DIV/0!</v>
      </c>
    </row>
    <row r="24" spans="1:62" x14ac:dyDescent="0.25">
      <c r="A24" s="2">
        <v>0</v>
      </c>
      <c r="B24" s="17"/>
      <c r="C24" s="26">
        <f>MIN('Inputs-Results'!T29-'Inputs-Results'!X29,'Inputs-Results'!AB29-'Inputs-Results'!X29)</f>
        <v>0</v>
      </c>
      <c r="D24" s="19" t="e">
        <f>IF(C24&gt;'Inputs-Results'!$V29-'Inputs-Results'!$X29,(0.5*(ABS('Inputs-Results'!$S29-'Inputs-Results'!$U29)/('Inputs-Results'!$T29-'Inputs-Results'!$V29)*(C24-('Inputs-Results'!$V29-'Inputs-Results'!$X29)))*(C24-('Inputs-Results'!$V29-'Inputs-Results'!$X29))),0)+IF(C24&gt;'Inputs-Results'!$V29-'Inputs-Results'!$X29,(0.5*((C24+'Inputs-Results'!$X29-'Inputs-Results'!$V29)+C24)*ABS('Inputs-Results'!$U29-'Inputs-Results'!$W29)),0.5*(ABS('Inputs-Results'!$U29-'Inputs-Results'!$W29)/('Inputs-Results'!$V29-'Inputs-Results'!$X29)*C24)*C24)+IF(C24&gt;'Inputs-Results'!$Z29-'Inputs-Results'!$X29,(0.5*((C24+'Inputs-Results'!$X29-'Inputs-Results'!$Z29)+C24)*ABS('Inputs-Results'!$Y29-'Inputs-Results'!$W29)),0.5*(ABS('Inputs-Results'!$W29-'Inputs-Results'!$Y29)/('Inputs-Results'!$Z29-'Inputs-Results'!$X29)*C24)*C24)+IF(C24&gt;'Inputs-Results'!$Z29-'Inputs-Results'!$X29,(0.5*(ABS('Inputs-Results'!$Y29-'Inputs-Results'!$AA29)/('Inputs-Results'!$AB29-'Inputs-Results'!$Z29)*(C24-('Inputs-Results'!$Z29-'Inputs-Results'!$X29)))*(C24-('Inputs-Results'!$Z29-'Inputs-Results'!$X29))),0)</f>
        <v>#DIV/0!</v>
      </c>
      <c r="E24" s="19" t="e">
        <f>IF(C24&gt;'Inputs-Results'!$V$9-'Inputs-Results'!$X$9,SQRT(('Inputs-Results'!$U$9-'Inputs-Results'!$W$9)^2+('Inputs-Results'!$V$9-'Inputs-Results'!$X$9)^2)+SQRT(('Inputs-Results'!$W$9-'Inputs-Results'!$Y$9)^2+('Inputs-Results'!$X$9-'Inputs-Results'!$Z$9)^2)+SQRT((('Inputs-Results'!$S$9-'Inputs-Results'!$U$9)*(C24+'Inputs-Results'!$X$9-'Inputs-Results'!$V$9)/('Inputs-Results'!$T$9-'Inputs-Results'!$V$9))^2+(C24+'Inputs-Results'!$X$9-'Inputs-Results'!$V$9)^2)+SQRT((('Inputs-Results'!$AA$9-'Inputs-Results'!$Y$9)*(C24+'Inputs-Results'!$X$9-'Inputs-Results'!$Z$9)/('Inputs-Results'!$AB$9-'Inputs-Results'!$Z$9))^2+(C24+'Inputs-Results'!$X$9-'Inputs-Results'!$Z$9)^2),SQRT((('Inputs-Results'!$U$9-'Inputs-Results'!$W$9)*(C24)/('Inputs-Results'!$V$9-'Inputs-Results'!$X$9))^2+C24^2)+SQRT((('Inputs-Results'!$Y$9-'Inputs-Results'!$W$9)*C24/('Inputs-Results'!$Z$9-'Inputs-Results'!$X$9))^2+C24^2))</f>
        <v>#DIV/0!</v>
      </c>
      <c r="F24" s="19" t="e">
        <f t="shared" si="0"/>
        <v>#DIV/0!</v>
      </c>
      <c r="G24" s="19" t="e">
        <f>1.49/'Inputs-Results'!AC29*D24*F24^(2/3)*'Inputs-Results'!AD29^0.5</f>
        <v>#DIV/0!</v>
      </c>
      <c r="H24" s="27" t="e">
        <f t="shared" si="1"/>
        <v>#DIV/0!</v>
      </c>
      <c r="I24" s="26">
        <f t="shared" si="2"/>
        <v>0</v>
      </c>
      <c r="J24" s="19" t="e">
        <f>IF(I24&gt;'Inputs-Results'!$V29-'Inputs-Results'!$X29,(0.5*(ABS('Inputs-Results'!$S29-'Inputs-Results'!$U29)/('Inputs-Results'!$T29-'Inputs-Results'!$V29)*(I24-('Inputs-Results'!$V29-'Inputs-Results'!$X29)))*(I24-('Inputs-Results'!$V29-'Inputs-Results'!$X29))),0)+IF(I24&gt;'Inputs-Results'!$V29-'Inputs-Results'!$X29,(0.5*((I24+'Inputs-Results'!$X29-'Inputs-Results'!$V29)+I24)*ABS('Inputs-Results'!$U29-'Inputs-Results'!$W29)),0.5*(ABS('Inputs-Results'!$U29-'Inputs-Results'!$W29)/('Inputs-Results'!$V29-'Inputs-Results'!$X29)*I24)*I24)+IF(I24&gt;'Inputs-Results'!$Z29-'Inputs-Results'!$X29,(0.5*((I24+'Inputs-Results'!$X29-'Inputs-Results'!$Z29)+I24)*ABS('Inputs-Results'!$Y29-'Inputs-Results'!$W29)),0.5*(ABS('Inputs-Results'!$W29-'Inputs-Results'!$Y29)/('Inputs-Results'!$Z29-'Inputs-Results'!$X29)*I24)*I24)+IF(I24&gt;'Inputs-Results'!$Z29-'Inputs-Results'!$X29,(0.5*(ABS('Inputs-Results'!$Y29-'Inputs-Results'!$AA29)/('Inputs-Results'!$AB29-'Inputs-Results'!$Z29)*(I24-('Inputs-Results'!$Z29-'Inputs-Results'!$X29)))*(I24-('Inputs-Results'!$Z29-'Inputs-Results'!$X29))),0)</f>
        <v>#DIV/0!</v>
      </c>
      <c r="K24" s="19" t="e">
        <f>IF(I24&gt;'Inputs-Results'!$V$9-'Inputs-Results'!$X$9,SQRT(('Inputs-Results'!$U$9-'Inputs-Results'!$W$9)^2+('Inputs-Results'!$V$9-'Inputs-Results'!$X$9)^2)+SQRT(('Inputs-Results'!$W$9-'Inputs-Results'!$Y$9)^2+('Inputs-Results'!$X$9-'Inputs-Results'!$Z$9)^2)+SQRT((('Inputs-Results'!$S$9-'Inputs-Results'!$U$9)*(I24+'Inputs-Results'!$X$9-'Inputs-Results'!$V$9)/('Inputs-Results'!$T$9-'Inputs-Results'!$V$9))^2+(I24+'Inputs-Results'!$X$9-'Inputs-Results'!$V$9)^2)+SQRT((('Inputs-Results'!$AA$9-'Inputs-Results'!$Y$9)*(I24+'Inputs-Results'!$X$9-'Inputs-Results'!$Z$9)/('Inputs-Results'!$AB$9-'Inputs-Results'!$Z$9))^2+(I24+'Inputs-Results'!$X$9-'Inputs-Results'!$Z$9)^2),SQRT((('Inputs-Results'!$U$9-'Inputs-Results'!$W$9)*(I24)/('Inputs-Results'!$V$9-'Inputs-Results'!$X$9))^2+I24^2)+SQRT((('Inputs-Results'!$Y$9-'Inputs-Results'!$W$9)*I24/('Inputs-Results'!$Z$9-'Inputs-Results'!$X$9))^2+I24^2))</f>
        <v>#DIV/0!</v>
      </c>
      <c r="L24" s="19" t="e">
        <f t="shared" si="3"/>
        <v>#DIV/0!</v>
      </c>
      <c r="M24" s="19" t="e">
        <f>1.49/'Inputs-Results'!$AC29*J24*L24^(2/3)*'Inputs-Results'!$AD29^0.5</f>
        <v>#DIV/0!</v>
      </c>
      <c r="N24" s="27" t="e">
        <f t="shared" si="4"/>
        <v>#DIV/0!</v>
      </c>
      <c r="O24" s="26">
        <f t="shared" si="5"/>
        <v>0</v>
      </c>
      <c r="P24" s="19" t="e">
        <f>IF(O24&gt;'Inputs-Results'!$V29-'Inputs-Results'!$X29,(0.5*(ABS('Inputs-Results'!$S29-'Inputs-Results'!$U29)/('Inputs-Results'!$T29-'Inputs-Results'!$V29)*(O24-('Inputs-Results'!$V29-'Inputs-Results'!$X29)))*(O24-('Inputs-Results'!$V29-'Inputs-Results'!$X29))),0)+IF(O24&gt;'Inputs-Results'!$V29-'Inputs-Results'!$X29,(0.5*((O24+'Inputs-Results'!$X29-'Inputs-Results'!$V29)+O24)*ABS('Inputs-Results'!$U29-'Inputs-Results'!$W29)),0.5*(ABS('Inputs-Results'!$U29-'Inputs-Results'!$W29)/('Inputs-Results'!$V29-'Inputs-Results'!$X29)*O24)*O24)+IF(O24&gt;'Inputs-Results'!$Z29-'Inputs-Results'!$X29,(0.5*((O24+'Inputs-Results'!$X29-'Inputs-Results'!$Z29)+O24)*ABS('Inputs-Results'!$Y29-'Inputs-Results'!$W29)),0.5*(ABS('Inputs-Results'!$W29-'Inputs-Results'!$Y29)/('Inputs-Results'!$Z29-'Inputs-Results'!$X29)*O24)*O24)+IF(O24&gt;'Inputs-Results'!$Z29-'Inputs-Results'!$X29,(0.5*(ABS('Inputs-Results'!$Y29-'Inputs-Results'!$AA29)/('Inputs-Results'!$AB29-'Inputs-Results'!$Z29)*(O24-('Inputs-Results'!$Z29-'Inputs-Results'!$X29)))*(O24-('Inputs-Results'!$Z29-'Inputs-Results'!$X29))),0)</f>
        <v>#DIV/0!</v>
      </c>
      <c r="Q24" s="19" t="e">
        <f>IF(O24&gt;'Inputs-Results'!$V$9-'Inputs-Results'!$X$9,SQRT(('Inputs-Results'!$U$9-'Inputs-Results'!$W$9)^2+('Inputs-Results'!$V$9-'Inputs-Results'!$X$9)^2)+SQRT(('Inputs-Results'!$W$9-'Inputs-Results'!$Y$9)^2+('Inputs-Results'!$X$9-'Inputs-Results'!$Z$9)^2)+SQRT((('Inputs-Results'!$S$9-'Inputs-Results'!$U$9)*(O24+'Inputs-Results'!$X$9-'Inputs-Results'!$V$9)/('Inputs-Results'!$T$9-'Inputs-Results'!$V$9))^2+(O24+'Inputs-Results'!$X$9-'Inputs-Results'!$V$9)^2)+SQRT((('Inputs-Results'!$AA$9-'Inputs-Results'!$Y$9)*(O24+'Inputs-Results'!$X$9-'Inputs-Results'!$Z$9)/('Inputs-Results'!$AB$9-'Inputs-Results'!$Z$9))^2+(O24+'Inputs-Results'!$X$9-'Inputs-Results'!$Z$9)^2),SQRT((('Inputs-Results'!$U$9-'Inputs-Results'!$W$9)*(O24)/('Inputs-Results'!$V$9-'Inputs-Results'!$X$9))^2+O24^2)+SQRT((('Inputs-Results'!$Y$9-'Inputs-Results'!$W$9)*O24/('Inputs-Results'!$Z$9-'Inputs-Results'!$X$9))^2+O24^2))</f>
        <v>#DIV/0!</v>
      </c>
      <c r="R24" s="19" t="e">
        <f t="shared" si="6"/>
        <v>#DIV/0!</v>
      </c>
      <c r="S24" s="19" t="e">
        <f>1.49/'Inputs-Results'!$AC29*P24*R24^(2/3)*'Inputs-Results'!$AD29^0.5</f>
        <v>#DIV/0!</v>
      </c>
      <c r="T24" s="27" t="e">
        <f t="shared" si="7"/>
        <v>#DIV/0!</v>
      </c>
      <c r="U24" s="26">
        <f t="shared" si="8"/>
        <v>0</v>
      </c>
      <c r="V24" s="19" t="e">
        <f>IF(U24&gt;'Inputs-Results'!$V29-'Inputs-Results'!$X29,(0.5*(ABS('Inputs-Results'!$S29-'Inputs-Results'!$U29)/('Inputs-Results'!$T29-'Inputs-Results'!$V29)*(U24-('Inputs-Results'!$V29-'Inputs-Results'!$X29)))*(U24-('Inputs-Results'!$V29-'Inputs-Results'!$X29))),0)+IF(U24&gt;'Inputs-Results'!$V29-'Inputs-Results'!$X29,(0.5*((U24+'Inputs-Results'!$X29-'Inputs-Results'!$V29)+U24)*ABS('Inputs-Results'!$U29-'Inputs-Results'!$W29)),0.5*(ABS('Inputs-Results'!$U29-'Inputs-Results'!$W29)/('Inputs-Results'!$V29-'Inputs-Results'!$X29)*U24)*U24)+IF(U24&gt;'Inputs-Results'!$Z29-'Inputs-Results'!$X29,(0.5*((U24+'Inputs-Results'!$X29-'Inputs-Results'!$Z29)+U24)*ABS('Inputs-Results'!$Y29-'Inputs-Results'!$W29)),0.5*(ABS('Inputs-Results'!$W29-'Inputs-Results'!$Y29)/('Inputs-Results'!$Z29-'Inputs-Results'!$X29)*U24)*U24)+IF(U24&gt;'Inputs-Results'!$Z29-'Inputs-Results'!$X29,(0.5*(ABS('Inputs-Results'!$Y29-'Inputs-Results'!$AA29)/('Inputs-Results'!$AB29-'Inputs-Results'!$Z29)*(U24-('Inputs-Results'!$Z29-'Inputs-Results'!$X29)))*(U24-('Inputs-Results'!$Z29-'Inputs-Results'!$X29))),0)</f>
        <v>#DIV/0!</v>
      </c>
      <c r="W24" s="19" t="e">
        <f>IF(U24&gt;'Inputs-Results'!$V$9-'Inputs-Results'!$X$9,SQRT(('Inputs-Results'!$U$9-'Inputs-Results'!$W$9)^2+('Inputs-Results'!$V$9-'Inputs-Results'!$X$9)^2)+SQRT(('Inputs-Results'!$W$9-'Inputs-Results'!$Y$9)^2+('Inputs-Results'!$X$9-'Inputs-Results'!$Z$9)^2)+SQRT((('Inputs-Results'!$S$9-'Inputs-Results'!$U$9)*(U24+'Inputs-Results'!$X$9-'Inputs-Results'!$V$9)/('Inputs-Results'!$T$9-'Inputs-Results'!$V$9))^2+(U24+'Inputs-Results'!$X$9-'Inputs-Results'!$V$9)^2)+SQRT((('Inputs-Results'!$AA$9-'Inputs-Results'!$Y$9)*(U24+'Inputs-Results'!$X$9-'Inputs-Results'!$Z$9)/('Inputs-Results'!$AB$9-'Inputs-Results'!$Z$9))^2+(U24+'Inputs-Results'!$X$9-'Inputs-Results'!$Z$9)^2),SQRT((('Inputs-Results'!$U$9-'Inputs-Results'!$W$9)*(U24)/('Inputs-Results'!$V$9-'Inputs-Results'!$X$9))^2+U24^2)+SQRT((('Inputs-Results'!$Y$9-'Inputs-Results'!$W$9)*U24/('Inputs-Results'!$Z$9-'Inputs-Results'!$X$9))^2+U24^2))</f>
        <v>#DIV/0!</v>
      </c>
      <c r="X24" s="19" t="e">
        <f t="shared" si="9"/>
        <v>#DIV/0!</v>
      </c>
      <c r="Y24" s="19" t="e">
        <f>1.49/'Inputs-Results'!$AC29*V24*X24^(2/3)*'Inputs-Results'!$AD29^0.5</f>
        <v>#DIV/0!</v>
      </c>
      <c r="Z24" s="27" t="e">
        <f t="shared" si="10"/>
        <v>#DIV/0!</v>
      </c>
      <c r="AA24" s="26">
        <f t="shared" si="11"/>
        <v>0</v>
      </c>
      <c r="AB24" s="19" t="e">
        <f>IF(AA24&gt;'Inputs-Results'!$V29-'Inputs-Results'!$X29,(0.5*(ABS('Inputs-Results'!$S29-'Inputs-Results'!$U29)/('Inputs-Results'!$T29-'Inputs-Results'!$V29)*(AA24-('Inputs-Results'!$V29-'Inputs-Results'!$X29)))*(AA24-('Inputs-Results'!$V29-'Inputs-Results'!$X29))),0)+IF(AA24&gt;'Inputs-Results'!$V29-'Inputs-Results'!$X29,(0.5*((AA24+'Inputs-Results'!$X29-'Inputs-Results'!$V29)+AA24)*ABS('Inputs-Results'!$U29-'Inputs-Results'!$W29)),0.5*(ABS('Inputs-Results'!$U29-'Inputs-Results'!$W29)/('Inputs-Results'!$V29-'Inputs-Results'!$X29)*AA24)*AA24)+IF(AA24&gt;'Inputs-Results'!$Z29-'Inputs-Results'!$X29,(0.5*((AA24+'Inputs-Results'!$X29-'Inputs-Results'!$Z29)+AA24)*ABS('Inputs-Results'!$Y29-'Inputs-Results'!$W29)),0.5*(ABS('Inputs-Results'!$W29-'Inputs-Results'!$Y29)/('Inputs-Results'!$Z29-'Inputs-Results'!$X29)*AA24)*AA24)+IF(AA24&gt;'Inputs-Results'!$Z29-'Inputs-Results'!$X29,(0.5*(ABS('Inputs-Results'!$Y29-'Inputs-Results'!$AA29)/('Inputs-Results'!$AB29-'Inputs-Results'!$Z29)*(AA24-('Inputs-Results'!$Z29-'Inputs-Results'!$X29)))*(AA24-('Inputs-Results'!$Z29-'Inputs-Results'!$X29))),0)</f>
        <v>#DIV/0!</v>
      </c>
      <c r="AC24" s="19" t="e">
        <f>IF(AA24&gt;'Inputs-Results'!$V$9-'Inputs-Results'!$X$9,SQRT(('Inputs-Results'!$U$9-'Inputs-Results'!$W$9)^2+('Inputs-Results'!$V$9-'Inputs-Results'!$X$9)^2)+SQRT(('Inputs-Results'!$W$9-'Inputs-Results'!$Y$9)^2+('Inputs-Results'!$X$9-'Inputs-Results'!$Z$9)^2)+SQRT((('Inputs-Results'!$S$9-'Inputs-Results'!$U$9)*(AA24+'Inputs-Results'!$X$9-'Inputs-Results'!$V$9)/('Inputs-Results'!$T$9-'Inputs-Results'!$V$9))^2+(AA24+'Inputs-Results'!$X$9-'Inputs-Results'!$V$9)^2)+SQRT((('Inputs-Results'!$AA$9-'Inputs-Results'!$Y$9)*(AA24+'Inputs-Results'!$X$9-'Inputs-Results'!$Z$9)/('Inputs-Results'!$AB$9-'Inputs-Results'!$Z$9))^2+(AA24+'Inputs-Results'!$X$9-'Inputs-Results'!$Z$9)^2),SQRT((('Inputs-Results'!$U$9-'Inputs-Results'!$W$9)*(AA24)/('Inputs-Results'!$V$9-'Inputs-Results'!$X$9))^2+AA24^2)+SQRT((('Inputs-Results'!$Y$9-'Inputs-Results'!$W$9)*AA24/('Inputs-Results'!$Z$9-'Inputs-Results'!$X$9))^2+AA24^2))</f>
        <v>#DIV/0!</v>
      </c>
      <c r="AD24" s="19" t="e">
        <f t="shared" si="12"/>
        <v>#DIV/0!</v>
      </c>
      <c r="AE24" s="19" t="e">
        <f>1.49/'Inputs-Results'!$AC29*AB24*AD24^(2/3)*'Inputs-Results'!$AD29^0.5</f>
        <v>#DIV/0!</v>
      </c>
      <c r="AF24" s="27" t="e">
        <f t="shared" si="13"/>
        <v>#DIV/0!</v>
      </c>
      <c r="AG24" s="26">
        <f t="shared" si="14"/>
        <v>0</v>
      </c>
      <c r="AH24" s="19" t="e">
        <f>IF(AG24&gt;'Inputs-Results'!$V29-'Inputs-Results'!$X29,(0.5*(ABS('Inputs-Results'!$S29-'Inputs-Results'!$U29)/('Inputs-Results'!$T29-'Inputs-Results'!$V29)*(AG24-('Inputs-Results'!$V29-'Inputs-Results'!$X29)))*(AG24-('Inputs-Results'!$V29-'Inputs-Results'!$X29))),0)+IF(AG24&gt;'Inputs-Results'!$V29-'Inputs-Results'!$X29,(0.5*((AG24+'Inputs-Results'!$X29-'Inputs-Results'!$V29)+AG24)*ABS('Inputs-Results'!$U29-'Inputs-Results'!$W29)),0.5*(ABS('Inputs-Results'!$U29-'Inputs-Results'!$W29)/('Inputs-Results'!$V29-'Inputs-Results'!$X29)*AG24)*AG24)+IF(AG24&gt;'Inputs-Results'!$Z29-'Inputs-Results'!$X29,(0.5*((AG24+'Inputs-Results'!$X29-'Inputs-Results'!$Z29)+AG24)*ABS('Inputs-Results'!$Y29-'Inputs-Results'!$W29)),0.5*(ABS('Inputs-Results'!$W29-'Inputs-Results'!$Y29)/('Inputs-Results'!$Z29-'Inputs-Results'!$X29)*AG24)*AG24)+IF(AG24&gt;'Inputs-Results'!$Z29-'Inputs-Results'!$X29,(0.5*(ABS('Inputs-Results'!$Y29-'Inputs-Results'!$AA29)/('Inputs-Results'!$AB29-'Inputs-Results'!$Z29)*(AG24-('Inputs-Results'!$Z29-'Inputs-Results'!$X29)))*(AG24-('Inputs-Results'!$Z29-'Inputs-Results'!$X29))),0)</f>
        <v>#DIV/0!</v>
      </c>
      <c r="AI24" s="19" t="e">
        <f>IF(AG24&gt;'Inputs-Results'!$V$9-'Inputs-Results'!$X$9,SQRT(('Inputs-Results'!$U$9-'Inputs-Results'!$W$9)^2+('Inputs-Results'!$V$9-'Inputs-Results'!$X$9)^2)+SQRT(('Inputs-Results'!$W$9-'Inputs-Results'!$Y$9)^2+('Inputs-Results'!$X$9-'Inputs-Results'!$Z$9)^2)+SQRT((('Inputs-Results'!$S$9-'Inputs-Results'!$U$9)*(AG24+'Inputs-Results'!$X$9-'Inputs-Results'!$V$9)/('Inputs-Results'!$T$9-'Inputs-Results'!$V$9))^2+(AG24+'Inputs-Results'!$X$9-'Inputs-Results'!$V$9)^2)+SQRT((('Inputs-Results'!$AA$9-'Inputs-Results'!$Y$9)*(AG24+'Inputs-Results'!$X$9-'Inputs-Results'!$Z$9)/('Inputs-Results'!$AB$9-'Inputs-Results'!$Z$9))^2+(AG24+'Inputs-Results'!$X$9-'Inputs-Results'!$Z$9)^2),SQRT((('Inputs-Results'!$U$9-'Inputs-Results'!$W$9)*(AG24)/('Inputs-Results'!$V$9-'Inputs-Results'!$X$9))^2+AG24^2)+SQRT((('Inputs-Results'!$Y$9-'Inputs-Results'!$W$9)*AG24/('Inputs-Results'!$Z$9-'Inputs-Results'!$X$9))^2+AG24^2))</f>
        <v>#DIV/0!</v>
      </c>
      <c r="AJ24" s="19" t="e">
        <f t="shared" si="15"/>
        <v>#DIV/0!</v>
      </c>
      <c r="AK24" s="19" t="e">
        <f>1.49/'Inputs-Results'!$AC29*AH24*AJ24^(2/3)*'Inputs-Results'!$AD29^0.5</f>
        <v>#DIV/0!</v>
      </c>
      <c r="AL24" s="27" t="e">
        <f t="shared" si="16"/>
        <v>#DIV/0!</v>
      </c>
      <c r="AM24" s="26">
        <f t="shared" si="17"/>
        <v>0</v>
      </c>
      <c r="AN24" s="19" t="e">
        <f>IF(AM24&gt;'Inputs-Results'!$V29-'Inputs-Results'!$X29,(0.5*(ABS('Inputs-Results'!$S29-'Inputs-Results'!$U29)/('Inputs-Results'!$T29-'Inputs-Results'!$V29)*(AM24-('Inputs-Results'!$V29-'Inputs-Results'!$X29)))*(AM24-('Inputs-Results'!$V29-'Inputs-Results'!$X29))),0)+IF(AM24&gt;'Inputs-Results'!$V29-'Inputs-Results'!$X29,(0.5*((AM24+'Inputs-Results'!$X29-'Inputs-Results'!$V29)+AM24)*ABS('Inputs-Results'!$U29-'Inputs-Results'!$W29)),0.5*(ABS('Inputs-Results'!$U29-'Inputs-Results'!$W29)/('Inputs-Results'!$V29-'Inputs-Results'!$X29)*AM24)*AM24)+IF(AM24&gt;'Inputs-Results'!$Z29-'Inputs-Results'!$X29,(0.5*((AM24+'Inputs-Results'!$X29-'Inputs-Results'!$Z29)+AM24)*ABS('Inputs-Results'!$Y29-'Inputs-Results'!$W29)),0.5*(ABS('Inputs-Results'!$W29-'Inputs-Results'!$Y29)/('Inputs-Results'!$Z29-'Inputs-Results'!$X29)*AM24)*AM24)+IF(AM24&gt;'Inputs-Results'!$Z29-'Inputs-Results'!$X29,(0.5*(ABS('Inputs-Results'!$Y29-'Inputs-Results'!$AA29)/('Inputs-Results'!$AB29-'Inputs-Results'!$Z29)*(AM24-('Inputs-Results'!$Z29-'Inputs-Results'!$X29)))*(AM24-('Inputs-Results'!$Z29-'Inputs-Results'!$X29))),0)</f>
        <v>#DIV/0!</v>
      </c>
      <c r="AO24" s="19" t="e">
        <f>IF(AM24&gt;'Inputs-Results'!$V$9-'Inputs-Results'!$X$9,SQRT(('Inputs-Results'!$U$9-'Inputs-Results'!$W$9)^2+('Inputs-Results'!$V$9-'Inputs-Results'!$X$9)^2)+SQRT(('Inputs-Results'!$W$9-'Inputs-Results'!$Y$9)^2+('Inputs-Results'!$X$9-'Inputs-Results'!$Z$9)^2)+SQRT((('Inputs-Results'!$S$9-'Inputs-Results'!$U$9)*(AM24+'Inputs-Results'!$X$9-'Inputs-Results'!$V$9)/('Inputs-Results'!$T$9-'Inputs-Results'!$V$9))^2+(AM24+'Inputs-Results'!$X$9-'Inputs-Results'!$V$9)^2)+SQRT((('Inputs-Results'!$AA$9-'Inputs-Results'!$Y$9)*(AM24+'Inputs-Results'!$X$9-'Inputs-Results'!$Z$9)/('Inputs-Results'!$AB$9-'Inputs-Results'!$Z$9))^2+(AM24+'Inputs-Results'!$X$9-'Inputs-Results'!$Z$9)^2),SQRT((('Inputs-Results'!$U$9-'Inputs-Results'!$W$9)*(AM24)/('Inputs-Results'!$V$9-'Inputs-Results'!$X$9))^2+AM24^2)+SQRT((('Inputs-Results'!$Y$9-'Inputs-Results'!$W$9)*AM24/('Inputs-Results'!$Z$9-'Inputs-Results'!$X$9))^2+AM24^2))</f>
        <v>#DIV/0!</v>
      </c>
      <c r="AP24" s="19" t="e">
        <f t="shared" si="18"/>
        <v>#DIV/0!</v>
      </c>
      <c r="AQ24" s="19" t="e">
        <f>1.49/'Inputs-Results'!$AC29*AN24*AP24^(2/3)*'Inputs-Results'!$AD29^0.5</f>
        <v>#DIV/0!</v>
      </c>
      <c r="AR24" s="27" t="e">
        <f t="shared" si="19"/>
        <v>#DIV/0!</v>
      </c>
      <c r="AS24" s="26">
        <f t="shared" si="20"/>
        <v>0</v>
      </c>
      <c r="AT24" s="19" t="e">
        <f>IF(AS24&gt;'Inputs-Results'!$V29-'Inputs-Results'!$X29,(0.5*(ABS('Inputs-Results'!$S29-'Inputs-Results'!$U29)/('Inputs-Results'!$T29-'Inputs-Results'!$V29)*(AS24-('Inputs-Results'!$V29-'Inputs-Results'!$X29)))*(AS24-('Inputs-Results'!$V29-'Inputs-Results'!$X29))),0)+IF(AS24&gt;'Inputs-Results'!$V29-'Inputs-Results'!$X29,(0.5*((AS24+'Inputs-Results'!$X29-'Inputs-Results'!$V29)+AS24)*ABS('Inputs-Results'!$U29-'Inputs-Results'!$W29)),0.5*(ABS('Inputs-Results'!$U29-'Inputs-Results'!$W29)/('Inputs-Results'!$V29-'Inputs-Results'!$X29)*AS24)*AS24)+IF(AS24&gt;'Inputs-Results'!$Z29-'Inputs-Results'!$X29,(0.5*((AS24+'Inputs-Results'!$X29-'Inputs-Results'!$Z29)+AS24)*ABS('Inputs-Results'!$Y29-'Inputs-Results'!$W29)),0.5*(ABS('Inputs-Results'!$W29-'Inputs-Results'!$Y29)/('Inputs-Results'!$Z29-'Inputs-Results'!$X29)*AS24)*AS24)+IF(AS24&gt;'Inputs-Results'!$Z29-'Inputs-Results'!$X29,(0.5*(ABS('Inputs-Results'!$Y29-'Inputs-Results'!$AA29)/('Inputs-Results'!$AB29-'Inputs-Results'!$Z29)*(AS24-('Inputs-Results'!$Z29-'Inputs-Results'!$X29)))*(AS24-('Inputs-Results'!$Z29-'Inputs-Results'!$X29))),0)</f>
        <v>#DIV/0!</v>
      </c>
      <c r="AU24" s="19" t="e">
        <f>IF(AS24&gt;'Inputs-Results'!$V$9-'Inputs-Results'!$X$9,SQRT(('Inputs-Results'!$U$9-'Inputs-Results'!$W$9)^2+('Inputs-Results'!$V$9-'Inputs-Results'!$X$9)^2)+SQRT(('Inputs-Results'!$W$9-'Inputs-Results'!$Y$9)^2+('Inputs-Results'!$X$9-'Inputs-Results'!$Z$9)^2)+SQRT((('Inputs-Results'!$S$9-'Inputs-Results'!$U$9)*(AS24+'Inputs-Results'!$X$9-'Inputs-Results'!$V$9)/('Inputs-Results'!$T$9-'Inputs-Results'!$V$9))^2+(AS24+'Inputs-Results'!$X$9-'Inputs-Results'!$V$9)^2)+SQRT((('Inputs-Results'!$AA$9-'Inputs-Results'!$Y$9)*(AS24+'Inputs-Results'!$X$9-'Inputs-Results'!$Z$9)/('Inputs-Results'!$AB$9-'Inputs-Results'!$Z$9))^2+(AS24+'Inputs-Results'!$X$9-'Inputs-Results'!$Z$9)^2),SQRT((('Inputs-Results'!$U$9-'Inputs-Results'!$W$9)*(AS24)/('Inputs-Results'!$V$9-'Inputs-Results'!$X$9))^2+AS24^2)+SQRT((('Inputs-Results'!$Y$9-'Inputs-Results'!$W$9)*AS24/('Inputs-Results'!$Z$9-'Inputs-Results'!$X$9))^2+AS24^2))</f>
        <v>#DIV/0!</v>
      </c>
      <c r="AV24" s="19" t="e">
        <f t="shared" si="21"/>
        <v>#DIV/0!</v>
      </c>
      <c r="AW24" s="19" t="e">
        <f>1.49/'Inputs-Results'!$AC29*AT24*AV24^(2/3)*'Inputs-Results'!$AD29^0.5</f>
        <v>#DIV/0!</v>
      </c>
      <c r="AX24" s="27" t="e">
        <f t="shared" si="22"/>
        <v>#DIV/0!</v>
      </c>
      <c r="AY24" s="26">
        <f t="shared" si="23"/>
        <v>0</v>
      </c>
      <c r="AZ24" s="19" t="e">
        <f>IF(AY24&gt;'Inputs-Results'!$V29-'Inputs-Results'!$X29,(0.5*(ABS('Inputs-Results'!$S29-'Inputs-Results'!$U29)/('Inputs-Results'!$T29-'Inputs-Results'!$V29)*(AY24-('Inputs-Results'!$V29-'Inputs-Results'!$X29)))*(AY24-('Inputs-Results'!$V29-'Inputs-Results'!$X29))),0)+IF(AY24&gt;'Inputs-Results'!$V29-'Inputs-Results'!$X29,(0.5*((AY24+'Inputs-Results'!$X29-'Inputs-Results'!$V29)+AY24)*ABS('Inputs-Results'!$U29-'Inputs-Results'!$W29)),0.5*(ABS('Inputs-Results'!$U29-'Inputs-Results'!$W29)/('Inputs-Results'!$V29-'Inputs-Results'!$X29)*AY24)*AY24)+IF(AY24&gt;'Inputs-Results'!$Z29-'Inputs-Results'!$X29,(0.5*((AY24+'Inputs-Results'!$X29-'Inputs-Results'!$Z29)+AY24)*ABS('Inputs-Results'!$Y29-'Inputs-Results'!$W29)),0.5*(ABS('Inputs-Results'!$W29-'Inputs-Results'!$Y29)/('Inputs-Results'!$Z29-'Inputs-Results'!$X29)*AY24)*AY24)+IF(AY24&gt;'Inputs-Results'!$Z29-'Inputs-Results'!$X29,(0.5*(ABS('Inputs-Results'!$Y29-'Inputs-Results'!$AA29)/('Inputs-Results'!$AB29-'Inputs-Results'!$Z29)*(AY24-('Inputs-Results'!$Z29-'Inputs-Results'!$X29)))*(AY24-('Inputs-Results'!$Z29-'Inputs-Results'!$X29))),0)</f>
        <v>#DIV/0!</v>
      </c>
      <c r="BA24" s="19" t="e">
        <f>IF(AY24&gt;'Inputs-Results'!$V$9-'Inputs-Results'!$X$9,SQRT(('Inputs-Results'!$U$9-'Inputs-Results'!$W$9)^2+('Inputs-Results'!$V$9-'Inputs-Results'!$X$9)^2)+SQRT(('Inputs-Results'!$W$9-'Inputs-Results'!$Y$9)^2+('Inputs-Results'!$X$9-'Inputs-Results'!$Z$9)^2)+SQRT((('Inputs-Results'!$S$9-'Inputs-Results'!$U$9)*(AY24+'Inputs-Results'!$X$9-'Inputs-Results'!$V$9)/('Inputs-Results'!$T$9-'Inputs-Results'!$V$9))^2+(AY24+'Inputs-Results'!$X$9-'Inputs-Results'!$V$9)^2)+SQRT((('Inputs-Results'!$AA$9-'Inputs-Results'!$Y$9)*(AY24+'Inputs-Results'!$X$9-'Inputs-Results'!$Z$9)/('Inputs-Results'!$AB$9-'Inputs-Results'!$Z$9))^2+(AY24+'Inputs-Results'!$X$9-'Inputs-Results'!$Z$9)^2),SQRT((('Inputs-Results'!$U$9-'Inputs-Results'!$W$9)*(AY24)/('Inputs-Results'!$V$9-'Inputs-Results'!$X$9))^2+AY24^2)+SQRT((('Inputs-Results'!$Y$9-'Inputs-Results'!$W$9)*AY24/('Inputs-Results'!$Z$9-'Inputs-Results'!$X$9))^2+AY24^2))</f>
        <v>#DIV/0!</v>
      </c>
      <c r="BB24" s="19" t="e">
        <f t="shared" si="24"/>
        <v>#DIV/0!</v>
      </c>
      <c r="BC24" s="19" t="e">
        <f>1.49/'Inputs-Results'!$AC29*AZ24*BB24^(2/3)*'Inputs-Results'!$AD29^0.5</f>
        <v>#DIV/0!</v>
      </c>
      <c r="BD24" s="27" t="e">
        <f t="shared" si="25"/>
        <v>#DIV/0!</v>
      </c>
      <c r="BE24" s="26">
        <f t="shared" si="26"/>
        <v>0</v>
      </c>
      <c r="BF24" s="19" t="e">
        <f>IF(BE24&gt;'Inputs-Results'!$V29-'Inputs-Results'!$X29,(0.5*(ABS('Inputs-Results'!$S29-'Inputs-Results'!$U29)/('Inputs-Results'!$T29-'Inputs-Results'!$V29)*(BE24-('Inputs-Results'!$V29-'Inputs-Results'!$X29)))*(BE24-('Inputs-Results'!$V29-'Inputs-Results'!$X29))),0)+IF(BE24&gt;'Inputs-Results'!$V29-'Inputs-Results'!$X29,(0.5*((BE24+'Inputs-Results'!$X29-'Inputs-Results'!$V29)+BE24)*ABS('Inputs-Results'!$U29-'Inputs-Results'!$W29)),0.5*(ABS('Inputs-Results'!$U29-'Inputs-Results'!$W29)/('Inputs-Results'!$V29-'Inputs-Results'!$X29)*BE24)*BE24)+IF(BE24&gt;'Inputs-Results'!$Z29-'Inputs-Results'!$X29,(0.5*((BE24+'Inputs-Results'!$X29-'Inputs-Results'!$Z29)+BE24)*ABS('Inputs-Results'!$Y29-'Inputs-Results'!$W29)),0.5*(ABS('Inputs-Results'!$W29-'Inputs-Results'!$Y29)/('Inputs-Results'!$Z29-'Inputs-Results'!$X29)*BE24)*BE24)+IF(BE24&gt;'Inputs-Results'!$Z29-'Inputs-Results'!$X29,(0.5*(ABS('Inputs-Results'!$Y29-'Inputs-Results'!$AA29)/('Inputs-Results'!$AB29-'Inputs-Results'!$Z29)*(BE24-('Inputs-Results'!$Z29-'Inputs-Results'!$X29)))*(BE24-('Inputs-Results'!$Z29-'Inputs-Results'!$X29))),0)</f>
        <v>#DIV/0!</v>
      </c>
      <c r="BG24" s="19" t="e">
        <f>IF(BE24&gt;'Inputs-Results'!$V$9-'Inputs-Results'!$X$9,SQRT(('Inputs-Results'!$U$9-'Inputs-Results'!$W$9)^2+('Inputs-Results'!$V$9-'Inputs-Results'!$X$9)^2)+SQRT(('Inputs-Results'!$W$9-'Inputs-Results'!$Y$9)^2+('Inputs-Results'!$X$9-'Inputs-Results'!$Z$9)^2)+SQRT((('Inputs-Results'!$S$9-'Inputs-Results'!$U$9)*(BE24+'Inputs-Results'!$X$9-'Inputs-Results'!$V$9)/('Inputs-Results'!$T$9-'Inputs-Results'!$V$9))^2+(BE24+'Inputs-Results'!$X$9-'Inputs-Results'!$V$9)^2)+SQRT((('Inputs-Results'!$AA$9-'Inputs-Results'!$Y$9)*(BE24+'Inputs-Results'!$X$9-'Inputs-Results'!$Z$9)/('Inputs-Results'!$AB$9-'Inputs-Results'!$Z$9))^2+(BE24+'Inputs-Results'!$X$9-'Inputs-Results'!$Z$9)^2),SQRT((('Inputs-Results'!$U$9-'Inputs-Results'!$W$9)*(BE24)/('Inputs-Results'!$V$9-'Inputs-Results'!$X$9))^2+BE24^2)+SQRT((('Inputs-Results'!$Y$9-'Inputs-Results'!$W$9)*BE24/('Inputs-Results'!$Z$9-'Inputs-Results'!$X$9))^2+BE24^2))</f>
        <v>#DIV/0!</v>
      </c>
      <c r="BH24" s="19" t="e">
        <f t="shared" si="27"/>
        <v>#DIV/0!</v>
      </c>
      <c r="BI24" s="19" t="e">
        <f>1.49/'Inputs-Results'!$AC29*BF24*BH24^(2/3)*'Inputs-Results'!$AD29^0.5</f>
        <v>#DIV/0!</v>
      </c>
      <c r="BJ24" s="27" t="e">
        <f t="shared" si="28"/>
        <v>#DIV/0!</v>
      </c>
    </row>
    <row r="25" spans="1:62" x14ac:dyDescent="0.25">
      <c r="A25" s="2">
        <v>0</v>
      </c>
      <c r="B25" s="17"/>
      <c r="C25" s="26">
        <f>MIN('Inputs-Results'!T30-'Inputs-Results'!X30,'Inputs-Results'!AB30-'Inputs-Results'!X30)</f>
        <v>0</v>
      </c>
      <c r="D25" s="19" t="e">
        <f>IF(C25&gt;'Inputs-Results'!$V30-'Inputs-Results'!$X30,(0.5*(ABS('Inputs-Results'!$S30-'Inputs-Results'!$U30)/('Inputs-Results'!$T30-'Inputs-Results'!$V30)*(C25-('Inputs-Results'!$V30-'Inputs-Results'!$X30)))*(C25-('Inputs-Results'!$V30-'Inputs-Results'!$X30))),0)+IF(C25&gt;'Inputs-Results'!$V30-'Inputs-Results'!$X30,(0.5*((C25+'Inputs-Results'!$X30-'Inputs-Results'!$V30)+C25)*ABS('Inputs-Results'!$U30-'Inputs-Results'!$W30)),0.5*(ABS('Inputs-Results'!$U30-'Inputs-Results'!$W30)/('Inputs-Results'!$V30-'Inputs-Results'!$X30)*C25)*C25)+IF(C25&gt;'Inputs-Results'!$Z30-'Inputs-Results'!$X30,(0.5*((C25+'Inputs-Results'!$X30-'Inputs-Results'!$Z30)+C25)*ABS('Inputs-Results'!$Y30-'Inputs-Results'!$W30)),0.5*(ABS('Inputs-Results'!$W30-'Inputs-Results'!$Y30)/('Inputs-Results'!$Z30-'Inputs-Results'!$X30)*C25)*C25)+IF(C25&gt;'Inputs-Results'!$Z30-'Inputs-Results'!$X30,(0.5*(ABS('Inputs-Results'!$Y30-'Inputs-Results'!$AA30)/('Inputs-Results'!$AB30-'Inputs-Results'!$Z30)*(C25-('Inputs-Results'!$Z30-'Inputs-Results'!$X30)))*(C25-('Inputs-Results'!$Z30-'Inputs-Results'!$X30))),0)</f>
        <v>#DIV/0!</v>
      </c>
      <c r="E25" s="19" t="e">
        <f>IF(C25&gt;'Inputs-Results'!$V$9-'Inputs-Results'!$X$9,SQRT(('Inputs-Results'!$U$9-'Inputs-Results'!$W$9)^2+('Inputs-Results'!$V$9-'Inputs-Results'!$X$9)^2)+SQRT(('Inputs-Results'!$W$9-'Inputs-Results'!$Y$9)^2+('Inputs-Results'!$X$9-'Inputs-Results'!$Z$9)^2)+SQRT((('Inputs-Results'!$S$9-'Inputs-Results'!$U$9)*(C25+'Inputs-Results'!$X$9-'Inputs-Results'!$V$9)/('Inputs-Results'!$T$9-'Inputs-Results'!$V$9))^2+(C25+'Inputs-Results'!$X$9-'Inputs-Results'!$V$9)^2)+SQRT((('Inputs-Results'!$AA$9-'Inputs-Results'!$Y$9)*(C25+'Inputs-Results'!$X$9-'Inputs-Results'!$Z$9)/('Inputs-Results'!$AB$9-'Inputs-Results'!$Z$9))^2+(C25+'Inputs-Results'!$X$9-'Inputs-Results'!$Z$9)^2),SQRT((('Inputs-Results'!$U$9-'Inputs-Results'!$W$9)*(C25)/('Inputs-Results'!$V$9-'Inputs-Results'!$X$9))^2+C25^2)+SQRT((('Inputs-Results'!$Y$9-'Inputs-Results'!$W$9)*C25/('Inputs-Results'!$Z$9-'Inputs-Results'!$X$9))^2+C25^2))</f>
        <v>#DIV/0!</v>
      </c>
      <c r="F25" s="19" t="e">
        <f t="shared" si="0"/>
        <v>#DIV/0!</v>
      </c>
      <c r="G25" s="19" t="e">
        <f>1.49/'Inputs-Results'!AC30*D25*F25^(2/3)*'Inputs-Results'!AD30^0.5</f>
        <v>#DIV/0!</v>
      </c>
      <c r="H25" s="27" t="e">
        <f t="shared" si="1"/>
        <v>#DIV/0!</v>
      </c>
      <c r="I25" s="26">
        <f t="shared" si="2"/>
        <v>0</v>
      </c>
      <c r="J25" s="19" t="e">
        <f>IF(I25&gt;'Inputs-Results'!$V30-'Inputs-Results'!$X30,(0.5*(ABS('Inputs-Results'!$S30-'Inputs-Results'!$U30)/('Inputs-Results'!$T30-'Inputs-Results'!$V30)*(I25-('Inputs-Results'!$V30-'Inputs-Results'!$X30)))*(I25-('Inputs-Results'!$V30-'Inputs-Results'!$X30))),0)+IF(I25&gt;'Inputs-Results'!$V30-'Inputs-Results'!$X30,(0.5*((I25+'Inputs-Results'!$X30-'Inputs-Results'!$V30)+I25)*ABS('Inputs-Results'!$U30-'Inputs-Results'!$W30)),0.5*(ABS('Inputs-Results'!$U30-'Inputs-Results'!$W30)/('Inputs-Results'!$V30-'Inputs-Results'!$X30)*I25)*I25)+IF(I25&gt;'Inputs-Results'!$Z30-'Inputs-Results'!$X30,(0.5*((I25+'Inputs-Results'!$X30-'Inputs-Results'!$Z30)+I25)*ABS('Inputs-Results'!$Y30-'Inputs-Results'!$W30)),0.5*(ABS('Inputs-Results'!$W30-'Inputs-Results'!$Y30)/('Inputs-Results'!$Z30-'Inputs-Results'!$X30)*I25)*I25)+IF(I25&gt;'Inputs-Results'!$Z30-'Inputs-Results'!$X30,(0.5*(ABS('Inputs-Results'!$Y30-'Inputs-Results'!$AA30)/('Inputs-Results'!$AB30-'Inputs-Results'!$Z30)*(I25-('Inputs-Results'!$Z30-'Inputs-Results'!$X30)))*(I25-('Inputs-Results'!$Z30-'Inputs-Results'!$X30))),0)</f>
        <v>#DIV/0!</v>
      </c>
      <c r="K25" s="19" t="e">
        <f>IF(I25&gt;'Inputs-Results'!$V$9-'Inputs-Results'!$X$9,SQRT(('Inputs-Results'!$U$9-'Inputs-Results'!$W$9)^2+('Inputs-Results'!$V$9-'Inputs-Results'!$X$9)^2)+SQRT(('Inputs-Results'!$W$9-'Inputs-Results'!$Y$9)^2+('Inputs-Results'!$X$9-'Inputs-Results'!$Z$9)^2)+SQRT((('Inputs-Results'!$S$9-'Inputs-Results'!$U$9)*(I25+'Inputs-Results'!$X$9-'Inputs-Results'!$V$9)/('Inputs-Results'!$T$9-'Inputs-Results'!$V$9))^2+(I25+'Inputs-Results'!$X$9-'Inputs-Results'!$V$9)^2)+SQRT((('Inputs-Results'!$AA$9-'Inputs-Results'!$Y$9)*(I25+'Inputs-Results'!$X$9-'Inputs-Results'!$Z$9)/('Inputs-Results'!$AB$9-'Inputs-Results'!$Z$9))^2+(I25+'Inputs-Results'!$X$9-'Inputs-Results'!$Z$9)^2),SQRT((('Inputs-Results'!$U$9-'Inputs-Results'!$W$9)*(I25)/('Inputs-Results'!$V$9-'Inputs-Results'!$X$9))^2+I25^2)+SQRT((('Inputs-Results'!$Y$9-'Inputs-Results'!$W$9)*I25/('Inputs-Results'!$Z$9-'Inputs-Results'!$X$9))^2+I25^2))</f>
        <v>#DIV/0!</v>
      </c>
      <c r="L25" s="19" t="e">
        <f t="shared" si="3"/>
        <v>#DIV/0!</v>
      </c>
      <c r="M25" s="19" t="e">
        <f>1.49/'Inputs-Results'!$AC30*J25*L25^(2/3)*'Inputs-Results'!$AD30^0.5</f>
        <v>#DIV/0!</v>
      </c>
      <c r="N25" s="27" t="e">
        <f t="shared" si="4"/>
        <v>#DIV/0!</v>
      </c>
      <c r="O25" s="26">
        <f t="shared" si="5"/>
        <v>0</v>
      </c>
      <c r="P25" s="19" t="e">
        <f>IF(O25&gt;'Inputs-Results'!$V30-'Inputs-Results'!$X30,(0.5*(ABS('Inputs-Results'!$S30-'Inputs-Results'!$U30)/('Inputs-Results'!$T30-'Inputs-Results'!$V30)*(O25-('Inputs-Results'!$V30-'Inputs-Results'!$X30)))*(O25-('Inputs-Results'!$V30-'Inputs-Results'!$X30))),0)+IF(O25&gt;'Inputs-Results'!$V30-'Inputs-Results'!$X30,(0.5*((O25+'Inputs-Results'!$X30-'Inputs-Results'!$V30)+O25)*ABS('Inputs-Results'!$U30-'Inputs-Results'!$W30)),0.5*(ABS('Inputs-Results'!$U30-'Inputs-Results'!$W30)/('Inputs-Results'!$V30-'Inputs-Results'!$X30)*O25)*O25)+IF(O25&gt;'Inputs-Results'!$Z30-'Inputs-Results'!$X30,(0.5*((O25+'Inputs-Results'!$X30-'Inputs-Results'!$Z30)+O25)*ABS('Inputs-Results'!$Y30-'Inputs-Results'!$W30)),0.5*(ABS('Inputs-Results'!$W30-'Inputs-Results'!$Y30)/('Inputs-Results'!$Z30-'Inputs-Results'!$X30)*O25)*O25)+IF(O25&gt;'Inputs-Results'!$Z30-'Inputs-Results'!$X30,(0.5*(ABS('Inputs-Results'!$Y30-'Inputs-Results'!$AA30)/('Inputs-Results'!$AB30-'Inputs-Results'!$Z30)*(O25-('Inputs-Results'!$Z30-'Inputs-Results'!$X30)))*(O25-('Inputs-Results'!$Z30-'Inputs-Results'!$X30))),0)</f>
        <v>#DIV/0!</v>
      </c>
      <c r="Q25" s="19" t="e">
        <f>IF(O25&gt;'Inputs-Results'!$V$9-'Inputs-Results'!$X$9,SQRT(('Inputs-Results'!$U$9-'Inputs-Results'!$W$9)^2+('Inputs-Results'!$V$9-'Inputs-Results'!$X$9)^2)+SQRT(('Inputs-Results'!$W$9-'Inputs-Results'!$Y$9)^2+('Inputs-Results'!$X$9-'Inputs-Results'!$Z$9)^2)+SQRT((('Inputs-Results'!$S$9-'Inputs-Results'!$U$9)*(O25+'Inputs-Results'!$X$9-'Inputs-Results'!$V$9)/('Inputs-Results'!$T$9-'Inputs-Results'!$V$9))^2+(O25+'Inputs-Results'!$X$9-'Inputs-Results'!$V$9)^2)+SQRT((('Inputs-Results'!$AA$9-'Inputs-Results'!$Y$9)*(O25+'Inputs-Results'!$X$9-'Inputs-Results'!$Z$9)/('Inputs-Results'!$AB$9-'Inputs-Results'!$Z$9))^2+(O25+'Inputs-Results'!$X$9-'Inputs-Results'!$Z$9)^2),SQRT((('Inputs-Results'!$U$9-'Inputs-Results'!$W$9)*(O25)/('Inputs-Results'!$V$9-'Inputs-Results'!$X$9))^2+O25^2)+SQRT((('Inputs-Results'!$Y$9-'Inputs-Results'!$W$9)*O25/('Inputs-Results'!$Z$9-'Inputs-Results'!$X$9))^2+O25^2))</f>
        <v>#DIV/0!</v>
      </c>
      <c r="R25" s="19" t="e">
        <f t="shared" si="6"/>
        <v>#DIV/0!</v>
      </c>
      <c r="S25" s="19" t="e">
        <f>1.49/'Inputs-Results'!$AC30*P25*R25^(2/3)*'Inputs-Results'!$AD30^0.5</f>
        <v>#DIV/0!</v>
      </c>
      <c r="T25" s="27" t="e">
        <f t="shared" si="7"/>
        <v>#DIV/0!</v>
      </c>
      <c r="U25" s="26">
        <f t="shared" si="8"/>
        <v>0</v>
      </c>
      <c r="V25" s="19" t="e">
        <f>IF(U25&gt;'Inputs-Results'!$V30-'Inputs-Results'!$X30,(0.5*(ABS('Inputs-Results'!$S30-'Inputs-Results'!$U30)/('Inputs-Results'!$T30-'Inputs-Results'!$V30)*(U25-('Inputs-Results'!$V30-'Inputs-Results'!$X30)))*(U25-('Inputs-Results'!$V30-'Inputs-Results'!$X30))),0)+IF(U25&gt;'Inputs-Results'!$V30-'Inputs-Results'!$X30,(0.5*((U25+'Inputs-Results'!$X30-'Inputs-Results'!$V30)+U25)*ABS('Inputs-Results'!$U30-'Inputs-Results'!$W30)),0.5*(ABS('Inputs-Results'!$U30-'Inputs-Results'!$W30)/('Inputs-Results'!$V30-'Inputs-Results'!$X30)*U25)*U25)+IF(U25&gt;'Inputs-Results'!$Z30-'Inputs-Results'!$X30,(0.5*((U25+'Inputs-Results'!$X30-'Inputs-Results'!$Z30)+U25)*ABS('Inputs-Results'!$Y30-'Inputs-Results'!$W30)),0.5*(ABS('Inputs-Results'!$W30-'Inputs-Results'!$Y30)/('Inputs-Results'!$Z30-'Inputs-Results'!$X30)*U25)*U25)+IF(U25&gt;'Inputs-Results'!$Z30-'Inputs-Results'!$X30,(0.5*(ABS('Inputs-Results'!$Y30-'Inputs-Results'!$AA30)/('Inputs-Results'!$AB30-'Inputs-Results'!$Z30)*(U25-('Inputs-Results'!$Z30-'Inputs-Results'!$X30)))*(U25-('Inputs-Results'!$Z30-'Inputs-Results'!$X30))),0)</f>
        <v>#DIV/0!</v>
      </c>
      <c r="W25" s="19" t="e">
        <f>IF(U25&gt;'Inputs-Results'!$V$9-'Inputs-Results'!$X$9,SQRT(('Inputs-Results'!$U$9-'Inputs-Results'!$W$9)^2+('Inputs-Results'!$V$9-'Inputs-Results'!$X$9)^2)+SQRT(('Inputs-Results'!$W$9-'Inputs-Results'!$Y$9)^2+('Inputs-Results'!$X$9-'Inputs-Results'!$Z$9)^2)+SQRT((('Inputs-Results'!$S$9-'Inputs-Results'!$U$9)*(U25+'Inputs-Results'!$X$9-'Inputs-Results'!$V$9)/('Inputs-Results'!$T$9-'Inputs-Results'!$V$9))^2+(U25+'Inputs-Results'!$X$9-'Inputs-Results'!$V$9)^2)+SQRT((('Inputs-Results'!$AA$9-'Inputs-Results'!$Y$9)*(U25+'Inputs-Results'!$X$9-'Inputs-Results'!$Z$9)/('Inputs-Results'!$AB$9-'Inputs-Results'!$Z$9))^2+(U25+'Inputs-Results'!$X$9-'Inputs-Results'!$Z$9)^2),SQRT((('Inputs-Results'!$U$9-'Inputs-Results'!$W$9)*(U25)/('Inputs-Results'!$V$9-'Inputs-Results'!$X$9))^2+U25^2)+SQRT((('Inputs-Results'!$Y$9-'Inputs-Results'!$W$9)*U25/('Inputs-Results'!$Z$9-'Inputs-Results'!$X$9))^2+U25^2))</f>
        <v>#DIV/0!</v>
      </c>
      <c r="X25" s="19" t="e">
        <f t="shared" si="9"/>
        <v>#DIV/0!</v>
      </c>
      <c r="Y25" s="19" t="e">
        <f>1.49/'Inputs-Results'!$AC30*V25*X25^(2/3)*'Inputs-Results'!$AD30^0.5</f>
        <v>#DIV/0!</v>
      </c>
      <c r="Z25" s="27" t="e">
        <f t="shared" si="10"/>
        <v>#DIV/0!</v>
      </c>
      <c r="AA25" s="26">
        <f t="shared" si="11"/>
        <v>0</v>
      </c>
      <c r="AB25" s="19" t="e">
        <f>IF(AA25&gt;'Inputs-Results'!$V30-'Inputs-Results'!$X30,(0.5*(ABS('Inputs-Results'!$S30-'Inputs-Results'!$U30)/('Inputs-Results'!$T30-'Inputs-Results'!$V30)*(AA25-('Inputs-Results'!$V30-'Inputs-Results'!$X30)))*(AA25-('Inputs-Results'!$V30-'Inputs-Results'!$X30))),0)+IF(AA25&gt;'Inputs-Results'!$V30-'Inputs-Results'!$X30,(0.5*((AA25+'Inputs-Results'!$X30-'Inputs-Results'!$V30)+AA25)*ABS('Inputs-Results'!$U30-'Inputs-Results'!$W30)),0.5*(ABS('Inputs-Results'!$U30-'Inputs-Results'!$W30)/('Inputs-Results'!$V30-'Inputs-Results'!$X30)*AA25)*AA25)+IF(AA25&gt;'Inputs-Results'!$Z30-'Inputs-Results'!$X30,(0.5*((AA25+'Inputs-Results'!$X30-'Inputs-Results'!$Z30)+AA25)*ABS('Inputs-Results'!$Y30-'Inputs-Results'!$W30)),0.5*(ABS('Inputs-Results'!$W30-'Inputs-Results'!$Y30)/('Inputs-Results'!$Z30-'Inputs-Results'!$X30)*AA25)*AA25)+IF(AA25&gt;'Inputs-Results'!$Z30-'Inputs-Results'!$X30,(0.5*(ABS('Inputs-Results'!$Y30-'Inputs-Results'!$AA30)/('Inputs-Results'!$AB30-'Inputs-Results'!$Z30)*(AA25-('Inputs-Results'!$Z30-'Inputs-Results'!$X30)))*(AA25-('Inputs-Results'!$Z30-'Inputs-Results'!$X30))),0)</f>
        <v>#DIV/0!</v>
      </c>
      <c r="AC25" s="19" t="e">
        <f>IF(AA25&gt;'Inputs-Results'!$V$9-'Inputs-Results'!$X$9,SQRT(('Inputs-Results'!$U$9-'Inputs-Results'!$W$9)^2+('Inputs-Results'!$V$9-'Inputs-Results'!$X$9)^2)+SQRT(('Inputs-Results'!$W$9-'Inputs-Results'!$Y$9)^2+('Inputs-Results'!$X$9-'Inputs-Results'!$Z$9)^2)+SQRT((('Inputs-Results'!$S$9-'Inputs-Results'!$U$9)*(AA25+'Inputs-Results'!$X$9-'Inputs-Results'!$V$9)/('Inputs-Results'!$T$9-'Inputs-Results'!$V$9))^2+(AA25+'Inputs-Results'!$X$9-'Inputs-Results'!$V$9)^2)+SQRT((('Inputs-Results'!$AA$9-'Inputs-Results'!$Y$9)*(AA25+'Inputs-Results'!$X$9-'Inputs-Results'!$Z$9)/('Inputs-Results'!$AB$9-'Inputs-Results'!$Z$9))^2+(AA25+'Inputs-Results'!$X$9-'Inputs-Results'!$Z$9)^2),SQRT((('Inputs-Results'!$U$9-'Inputs-Results'!$W$9)*(AA25)/('Inputs-Results'!$V$9-'Inputs-Results'!$X$9))^2+AA25^2)+SQRT((('Inputs-Results'!$Y$9-'Inputs-Results'!$W$9)*AA25/('Inputs-Results'!$Z$9-'Inputs-Results'!$X$9))^2+AA25^2))</f>
        <v>#DIV/0!</v>
      </c>
      <c r="AD25" s="19" t="e">
        <f t="shared" si="12"/>
        <v>#DIV/0!</v>
      </c>
      <c r="AE25" s="19" t="e">
        <f>1.49/'Inputs-Results'!$AC30*AB25*AD25^(2/3)*'Inputs-Results'!$AD30^0.5</f>
        <v>#DIV/0!</v>
      </c>
      <c r="AF25" s="27" t="e">
        <f t="shared" si="13"/>
        <v>#DIV/0!</v>
      </c>
      <c r="AG25" s="26">
        <f t="shared" si="14"/>
        <v>0</v>
      </c>
      <c r="AH25" s="19" t="e">
        <f>IF(AG25&gt;'Inputs-Results'!$V30-'Inputs-Results'!$X30,(0.5*(ABS('Inputs-Results'!$S30-'Inputs-Results'!$U30)/('Inputs-Results'!$T30-'Inputs-Results'!$V30)*(AG25-('Inputs-Results'!$V30-'Inputs-Results'!$X30)))*(AG25-('Inputs-Results'!$V30-'Inputs-Results'!$X30))),0)+IF(AG25&gt;'Inputs-Results'!$V30-'Inputs-Results'!$X30,(0.5*((AG25+'Inputs-Results'!$X30-'Inputs-Results'!$V30)+AG25)*ABS('Inputs-Results'!$U30-'Inputs-Results'!$W30)),0.5*(ABS('Inputs-Results'!$U30-'Inputs-Results'!$W30)/('Inputs-Results'!$V30-'Inputs-Results'!$X30)*AG25)*AG25)+IF(AG25&gt;'Inputs-Results'!$Z30-'Inputs-Results'!$X30,(0.5*((AG25+'Inputs-Results'!$X30-'Inputs-Results'!$Z30)+AG25)*ABS('Inputs-Results'!$Y30-'Inputs-Results'!$W30)),0.5*(ABS('Inputs-Results'!$W30-'Inputs-Results'!$Y30)/('Inputs-Results'!$Z30-'Inputs-Results'!$X30)*AG25)*AG25)+IF(AG25&gt;'Inputs-Results'!$Z30-'Inputs-Results'!$X30,(0.5*(ABS('Inputs-Results'!$Y30-'Inputs-Results'!$AA30)/('Inputs-Results'!$AB30-'Inputs-Results'!$Z30)*(AG25-('Inputs-Results'!$Z30-'Inputs-Results'!$X30)))*(AG25-('Inputs-Results'!$Z30-'Inputs-Results'!$X30))),0)</f>
        <v>#DIV/0!</v>
      </c>
      <c r="AI25" s="19" t="e">
        <f>IF(AG25&gt;'Inputs-Results'!$V$9-'Inputs-Results'!$X$9,SQRT(('Inputs-Results'!$U$9-'Inputs-Results'!$W$9)^2+('Inputs-Results'!$V$9-'Inputs-Results'!$X$9)^2)+SQRT(('Inputs-Results'!$W$9-'Inputs-Results'!$Y$9)^2+('Inputs-Results'!$X$9-'Inputs-Results'!$Z$9)^2)+SQRT((('Inputs-Results'!$S$9-'Inputs-Results'!$U$9)*(AG25+'Inputs-Results'!$X$9-'Inputs-Results'!$V$9)/('Inputs-Results'!$T$9-'Inputs-Results'!$V$9))^2+(AG25+'Inputs-Results'!$X$9-'Inputs-Results'!$V$9)^2)+SQRT((('Inputs-Results'!$AA$9-'Inputs-Results'!$Y$9)*(AG25+'Inputs-Results'!$X$9-'Inputs-Results'!$Z$9)/('Inputs-Results'!$AB$9-'Inputs-Results'!$Z$9))^2+(AG25+'Inputs-Results'!$X$9-'Inputs-Results'!$Z$9)^2),SQRT((('Inputs-Results'!$U$9-'Inputs-Results'!$W$9)*(AG25)/('Inputs-Results'!$V$9-'Inputs-Results'!$X$9))^2+AG25^2)+SQRT((('Inputs-Results'!$Y$9-'Inputs-Results'!$W$9)*AG25/('Inputs-Results'!$Z$9-'Inputs-Results'!$X$9))^2+AG25^2))</f>
        <v>#DIV/0!</v>
      </c>
      <c r="AJ25" s="19" t="e">
        <f t="shared" si="15"/>
        <v>#DIV/0!</v>
      </c>
      <c r="AK25" s="19" t="e">
        <f>1.49/'Inputs-Results'!$AC30*AH25*AJ25^(2/3)*'Inputs-Results'!$AD30^0.5</f>
        <v>#DIV/0!</v>
      </c>
      <c r="AL25" s="27" t="e">
        <f t="shared" si="16"/>
        <v>#DIV/0!</v>
      </c>
      <c r="AM25" s="26">
        <f t="shared" si="17"/>
        <v>0</v>
      </c>
      <c r="AN25" s="19" t="e">
        <f>IF(AM25&gt;'Inputs-Results'!$V30-'Inputs-Results'!$X30,(0.5*(ABS('Inputs-Results'!$S30-'Inputs-Results'!$U30)/('Inputs-Results'!$T30-'Inputs-Results'!$V30)*(AM25-('Inputs-Results'!$V30-'Inputs-Results'!$X30)))*(AM25-('Inputs-Results'!$V30-'Inputs-Results'!$X30))),0)+IF(AM25&gt;'Inputs-Results'!$V30-'Inputs-Results'!$X30,(0.5*((AM25+'Inputs-Results'!$X30-'Inputs-Results'!$V30)+AM25)*ABS('Inputs-Results'!$U30-'Inputs-Results'!$W30)),0.5*(ABS('Inputs-Results'!$U30-'Inputs-Results'!$W30)/('Inputs-Results'!$V30-'Inputs-Results'!$X30)*AM25)*AM25)+IF(AM25&gt;'Inputs-Results'!$Z30-'Inputs-Results'!$X30,(0.5*((AM25+'Inputs-Results'!$X30-'Inputs-Results'!$Z30)+AM25)*ABS('Inputs-Results'!$Y30-'Inputs-Results'!$W30)),0.5*(ABS('Inputs-Results'!$W30-'Inputs-Results'!$Y30)/('Inputs-Results'!$Z30-'Inputs-Results'!$X30)*AM25)*AM25)+IF(AM25&gt;'Inputs-Results'!$Z30-'Inputs-Results'!$X30,(0.5*(ABS('Inputs-Results'!$Y30-'Inputs-Results'!$AA30)/('Inputs-Results'!$AB30-'Inputs-Results'!$Z30)*(AM25-('Inputs-Results'!$Z30-'Inputs-Results'!$X30)))*(AM25-('Inputs-Results'!$Z30-'Inputs-Results'!$X30))),0)</f>
        <v>#DIV/0!</v>
      </c>
      <c r="AO25" s="19" t="e">
        <f>IF(AM25&gt;'Inputs-Results'!$V$9-'Inputs-Results'!$X$9,SQRT(('Inputs-Results'!$U$9-'Inputs-Results'!$W$9)^2+('Inputs-Results'!$V$9-'Inputs-Results'!$X$9)^2)+SQRT(('Inputs-Results'!$W$9-'Inputs-Results'!$Y$9)^2+('Inputs-Results'!$X$9-'Inputs-Results'!$Z$9)^2)+SQRT((('Inputs-Results'!$S$9-'Inputs-Results'!$U$9)*(AM25+'Inputs-Results'!$X$9-'Inputs-Results'!$V$9)/('Inputs-Results'!$T$9-'Inputs-Results'!$V$9))^2+(AM25+'Inputs-Results'!$X$9-'Inputs-Results'!$V$9)^2)+SQRT((('Inputs-Results'!$AA$9-'Inputs-Results'!$Y$9)*(AM25+'Inputs-Results'!$X$9-'Inputs-Results'!$Z$9)/('Inputs-Results'!$AB$9-'Inputs-Results'!$Z$9))^2+(AM25+'Inputs-Results'!$X$9-'Inputs-Results'!$Z$9)^2),SQRT((('Inputs-Results'!$U$9-'Inputs-Results'!$W$9)*(AM25)/('Inputs-Results'!$V$9-'Inputs-Results'!$X$9))^2+AM25^2)+SQRT((('Inputs-Results'!$Y$9-'Inputs-Results'!$W$9)*AM25/('Inputs-Results'!$Z$9-'Inputs-Results'!$X$9))^2+AM25^2))</f>
        <v>#DIV/0!</v>
      </c>
      <c r="AP25" s="19" t="e">
        <f t="shared" si="18"/>
        <v>#DIV/0!</v>
      </c>
      <c r="AQ25" s="19" t="e">
        <f>1.49/'Inputs-Results'!$AC30*AN25*AP25^(2/3)*'Inputs-Results'!$AD30^0.5</f>
        <v>#DIV/0!</v>
      </c>
      <c r="AR25" s="27" t="e">
        <f t="shared" si="19"/>
        <v>#DIV/0!</v>
      </c>
      <c r="AS25" s="26">
        <f t="shared" si="20"/>
        <v>0</v>
      </c>
      <c r="AT25" s="19" t="e">
        <f>IF(AS25&gt;'Inputs-Results'!$V30-'Inputs-Results'!$X30,(0.5*(ABS('Inputs-Results'!$S30-'Inputs-Results'!$U30)/('Inputs-Results'!$T30-'Inputs-Results'!$V30)*(AS25-('Inputs-Results'!$V30-'Inputs-Results'!$X30)))*(AS25-('Inputs-Results'!$V30-'Inputs-Results'!$X30))),0)+IF(AS25&gt;'Inputs-Results'!$V30-'Inputs-Results'!$X30,(0.5*((AS25+'Inputs-Results'!$X30-'Inputs-Results'!$V30)+AS25)*ABS('Inputs-Results'!$U30-'Inputs-Results'!$W30)),0.5*(ABS('Inputs-Results'!$U30-'Inputs-Results'!$W30)/('Inputs-Results'!$V30-'Inputs-Results'!$X30)*AS25)*AS25)+IF(AS25&gt;'Inputs-Results'!$Z30-'Inputs-Results'!$X30,(0.5*((AS25+'Inputs-Results'!$X30-'Inputs-Results'!$Z30)+AS25)*ABS('Inputs-Results'!$Y30-'Inputs-Results'!$W30)),0.5*(ABS('Inputs-Results'!$W30-'Inputs-Results'!$Y30)/('Inputs-Results'!$Z30-'Inputs-Results'!$X30)*AS25)*AS25)+IF(AS25&gt;'Inputs-Results'!$Z30-'Inputs-Results'!$X30,(0.5*(ABS('Inputs-Results'!$Y30-'Inputs-Results'!$AA30)/('Inputs-Results'!$AB30-'Inputs-Results'!$Z30)*(AS25-('Inputs-Results'!$Z30-'Inputs-Results'!$X30)))*(AS25-('Inputs-Results'!$Z30-'Inputs-Results'!$X30))),0)</f>
        <v>#DIV/0!</v>
      </c>
      <c r="AU25" s="19" t="e">
        <f>IF(AS25&gt;'Inputs-Results'!$V$9-'Inputs-Results'!$X$9,SQRT(('Inputs-Results'!$U$9-'Inputs-Results'!$W$9)^2+('Inputs-Results'!$V$9-'Inputs-Results'!$X$9)^2)+SQRT(('Inputs-Results'!$W$9-'Inputs-Results'!$Y$9)^2+('Inputs-Results'!$X$9-'Inputs-Results'!$Z$9)^2)+SQRT((('Inputs-Results'!$S$9-'Inputs-Results'!$U$9)*(AS25+'Inputs-Results'!$X$9-'Inputs-Results'!$V$9)/('Inputs-Results'!$T$9-'Inputs-Results'!$V$9))^2+(AS25+'Inputs-Results'!$X$9-'Inputs-Results'!$V$9)^2)+SQRT((('Inputs-Results'!$AA$9-'Inputs-Results'!$Y$9)*(AS25+'Inputs-Results'!$X$9-'Inputs-Results'!$Z$9)/('Inputs-Results'!$AB$9-'Inputs-Results'!$Z$9))^2+(AS25+'Inputs-Results'!$X$9-'Inputs-Results'!$Z$9)^2),SQRT((('Inputs-Results'!$U$9-'Inputs-Results'!$W$9)*(AS25)/('Inputs-Results'!$V$9-'Inputs-Results'!$X$9))^2+AS25^2)+SQRT((('Inputs-Results'!$Y$9-'Inputs-Results'!$W$9)*AS25/('Inputs-Results'!$Z$9-'Inputs-Results'!$X$9))^2+AS25^2))</f>
        <v>#DIV/0!</v>
      </c>
      <c r="AV25" s="19" t="e">
        <f t="shared" si="21"/>
        <v>#DIV/0!</v>
      </c>
      <c r="AW25" s="19" t="e">
        <f>1.49/'Inputs-Results'!$AC30*AT25*AV25^(2/3)*'Inputs-Results'!$AD30^0.5</f>
        <v>#DIV/0!</v>
      </c>
      <c r="AX25" s="27" t="e">
        <f t="shared" si="22"/>
        <v>#DIV/0!</v>
      </c>
      <c r="AY25" s="26">
        <f t="shared" si="23"/>
        <v>0</v>
      </c>
      <c r="AZ25" s="19" t="e">
        <f>IF(AY25&gt;'Inputs-Results'!$V30-'Inputs-Results'!$X30,(0.5*(ABS('Inputs-Results'!$S30-'Inputs-Results'!$U30)/('Inputs-Results'!$T30-'Inputs-Results'!$V30)*(AY25-('Inputs-Results'!$V30-'Inputs-Results'!$X30)))*(AY25-('Inputs-Results'!$V30-'Inputs-Results'!$X30))),0)+IF(AY25&gt;'Inputs-Results'!$V30-'Inputs-Results'!$X30,(0.5*((AY25+'Inputs-Results'!$X30-'Inputs-Results'!$V30)+AY25)*ABS('Inputs-Results'!$U30-'Inputs-Results'!$W30)),0.5*(ABS('Inputs-Results'!$U30-'Inputs-Results'!$W30)/('Inputs-Results'!$V30-'Inputs-Results'!$X30)*AY25)*AY25)+IF(AY25&gt;'Inputs-Results'!$Z30-'Inputs-Results'!$X30,(0.5*((AY25+'Inputs-Results'!$X30-'Inputs-Results'!$Z30)+AY25)*ABS('Inputs-Results'!$Y30-'Inputs-Results'!$W30)),0.5*(ABS('Inputs-Results'!$W30-'Inputs-Results'!$Y30)/('Inputs-Results'!$Z30-'Inputs-Results'!$X30)*AY25)*AY25)+IF(AY25&gt;'Inputs-Results'!$Z30-'Inputs-Results'!$X30,(0.5*(ABS('Inputs-Results'!$Y30-'Inputs-Results'!$AA30)/('Inputs-Results'!$AB30-'Inputs-Results'!$Z30)*(AY25-('Inputs-Results'!$Z30-'Inputs-Results'!$X30)))*(AY25-('Inputs-Results'!$Z30-'Inputs-Results'!$X30))),0)</f>
        <v>#DIV/0!</v>
      </c>
      <c r="BA25" s="19" t="e">
        <f>IF(AY25&gt;'Inputs-Results'!$V$9-'Inputs-Results'!$X$9,SQRT(('Inputs-Results'!$U$9-'Inputs-Results'!$W$9)^2+('Inputs-Results'!$V$9-'Inputs-Results'!$X$9)^2)+SQRT(('Inputs-Results'!$W$9-'Inputs-Results'!$Y$9)^2+('Inputs-Results'!$X$9-'Inputs-Results'!$Z$9)^2)+SQRT((('Inputs-Results'!$S$9-'Inputs-Results'!$U$9)*(AY25+'Inputs-Results'!$X$9-'Inputs-Results'!$V$9)/('Inputs-Results'!$T$9-'Inputs-Results'!$V$9))^2+(AY25+'Inputs-Results'!$X$9-'Inputs-Results'!$V$9)^2)+SQRT((('Inputs-Results'!$AA$9-'Inputs-Results'!$Y$9)*(AY25+'Inputs-Results'!$X$9-'Inputs-Results'!$Z$9)/('Inputs-Results'!$AB$9-'Inputs-Results'!$Z$9))^2+(AY25+'Inputs-Results'!$X$9-'Inputs-Results'!$Z$9)^2),SQRT((('Inputs-Results'!$U$9-'Inputs-Results'!$W$9)*(AY25)/('Inputs-Results'!$V$9-'Inputs-Results'!$X$9))^2+AY25^2)+SQRT((('Inputs-Results'!$Y$9-'Inputs-Results'!$W$9)*AY25/('Inputs-Results'!$Z$9-'Inputs-Results'!$X$9))^2+AY25^2))</f>
        <v>#DIV/0!</v>
      </c>
      <c r="BB25" s="19" t="e">
        <f t="shared" si="24"/>
        <v>#DIV/0!</v>
      </c>
      <c r="BC25" s="19" t="e">
        <f>1.49/'Inputs-Results'!$AC30*AZ25*BB25^(2/3)*'Inputs-Results'!$AD30^0.5</f>
        <v>#DIV/0!</v>
      </c>
      <c r="BD25" s="27" t="e">
        <f t="shared" si="25"/>
        <v>#DIV/0!</v>
      </c>
      <c r="BE25" s="26">
        <f t="shared" si="26"/>
        <v>0</v>
      </c>
      <c r="BF25" s="19" t="e">
        <f>IF(BE25&gt;'Inputs-Results'!$V30-'Inputs-Results'!$X30,(0.5*(ABS('Inputs-Results'!$S30-'Inputs-Results'!$U30)/('Inputs-Results'!$T30-'Inputs-Results'!$V30)*(BE25-('Inputs-Results'!$V30-'Inputs-Results'!$X30)))*(BE25-('Inputs-Results'!$V30-'Inputs-Results'!$X30))),0)+IF(BE25&gt;'Inputs-Results'!$V30-'Inputs-Results'!$X30,(0.5*((BE25+'Inputs-Results'!$X30-'Inputs-Results'!$V30)+BE25)*ABS('Inputs-Results'!$U30-'Inputs-Results'!$W30)),0.5*(ABS('Inputs-Results'!$U30-'Inputs-Results'!$W30)/('Inputs-Results'!$V30-'Inputs-Results'!$X30)*BE25)*BE25)+IF(BE25&gt;'Inputs-Results'!$Z30-'Inputs-Results'!$X30,(0.5*((BE25+'Inputs-Results'!$X30-'Inputs-Results'!$Z30)+BE25)*ABS('Inputs-Results'!$Y30-'Inputs-Results'!$W30)),0.5*(ABS('Inputs-Results'!$W30-'Inputs-Results'!$Y30)/('Inputs-Results'!$Z30-'Inputs-Results'!$X30)*BE25)*BE25)+IF(BE25&gt;'Inputs-Results'!$Z30-'Inputs-Results'!$X30,(0.5*(ABS('Inputs-Results'!$Y30-'Inputs-Results'!$AA30)/('Inputs-Results'!$AB30-'Inputs-Results'!$Z30)*(BE25-('Inputs-Results'!$Z30-'Inputs-Results'!$X30)))*(BE25-('Inputs-Results'!$Z30-'Inputs-Results'!$X30))),0)</f>
        <v>#DIV/0!</v>
      </c>
      <c r="BG25" s="19" t="e">
        <f>IF(BE25&gt;'Inputs-Results'!$V$9-'Inputs-Results'!$X$9,SQRT(('Inputs-Results'!$U$9-'Inputs-Results'!$W$9)^2+('Inputs-Results'!$V$9-'Inputs-Results'!$X$9)^2)+SQRT(('Inputs-Results'!$W$9-'Inputs-Results'!$Y$9)^2+('Inputs-Results'!$X$9-'Inputs-Results'!$Z$9)^2)+SQRT((('Inputs-Results'!$S$9-'Inputs-Results'!$U$9)*(BE25+'Inputs-Results'!$X$9-'Inputs-Results'!$V$9)/('Inputs-Results'!$T$9-'Inputs-Results'!$V$9))^2+(BE25+'Inputs-Results'!$X$9-'Inputs-Results'!$V$9)^2)+SQRT((('Inputs-Results'!$AA$9-'Inputs-Results'!$Y$9)*(BE25+'Inputs-Results'!$X$9-'Inputs-Results'!$Z$9)/('Inputs-Results'!$AB$9-'Inputs-Results'!$Z$9))^2+(BE25+'Inputs-Results'!$X$9-'Inputs-Results'!$Z$9)^2),SQRT((('Inputs-Results'!$U$9-'Inputs-Results'!$W$9)*(BE25)/('Inputs-Results'!$V$9-'Inputs-Results'!$X$9))^2+BE25^2)+SQRT((('Inputs-Results'!$Y$9-'Inputs-Results'!$W$9)*BE25/('Inputs-Results'!$Z$9-'Inputs-Results'!$X$9))^2+BE25^2))</f>
        <v>#DIV/0!</v>
      </c>
      <c r="BH25" s="19" t="e">
        <f t="shared" si="27"/>
        <v>#DIV/0!</v>
      </c>
      <c r="BI25" s="19" t="e">
        <f>1.49/'Inputs-Results'!$AC30*BF25*BH25^(2/3)*'Inputs-Results'!$AD30^0.5</f>
        <v>#DIV/0!</v>
      </c>
      <c r="BJ25" s="27" t="e">
        <f t="shared" si="28"/>
        <v>#DIV/0!</v>
      </c>
    </row>
    <row r="26" spans="1:62" x14ac:dyDescent="0.25">
      <c r="A26" s="2">
        <v>0</v>
      </c>
      <c r="B26" s="17"/>
      <c r="C26" s="26">
        <f>MIN('Inputs-Results'!T31-'Inputs-Results'!X31,'Inputs-Results'!AB31-'Inputs-Results'!X31)</f>
        <v>0</v>
      </c>
      <c r="D26" s="19" t="e">
        <f>IF(C26&gt;'Inputs-Results'!$V31-'Inputs-Results'!$X31,(0.5*(ABS('Inputs-Results'!$S31-'Inputs-Results'!$U31)/('Inputs-Results'!$T31-'Inputs-Results'!$V31)*(C26-('Inputs-Results'!$V31-'Inputs-Results'!$X31)))*(C26-('Inputs-Results'!$V31-'Inputs-Results'!$X31))),0)+IF(C26&gt;'Inputs-Results'!$V31-'Inputs-Results'!$X31,(0.5*((C26+'Inputs-Results'!$X31-'Inputs-Results'!$V31)+C26)*ABS('Inputs-Results'!$U31-'Inputs-Results'!$W31)),0.5*(ABS('Inputs-Results'!$U31-'Inputs-Results'!$W31)/('Inputs-Results'!$V31-'Inputs-Results'!$X31)*C26)*C26)+IF(C26&gt;'Inputs-Results'!$Z31-'Inputs-Results'!$X31,(0.5*((C26+'Inputs-Results'!$X31-'Inputs-Results'!$Z31)+C26)*ABS('Inputs-Results'!$Y31-'Inputs-Results'!$W31)),0.5*(ABS('Inputs-Results'!$W31-'Inputs-Results'!$Y31)/('Inputs-Results'!$Z31-'Inputs-Results'!$X31)*C26)*C26)+IF(C26&gt;'Inputs-Results'!$Z31-'Inputs-Results'!$X31,(0.5*(ABS('Inputs-Results'!$Y31-'Inputs-Results'!$AA31)/('Inputs-Results'!$AB31-'Inputs-Results'!$Z31)*(C26-('Inputs-Results'!$Z31-'Inputs-Results'!$X31)))*(C26-('Inputs-Results'!$Z31-'Inputs-Results'!$X31))),0)</f>
        <v>#DIV/0!</v>
      </c>
      <c r="E26" s="19" t="e">
        <f>IF(C26&gt;'Inputs-Results'!$V$9-'Inputs-Results'!$X$9,SQRT(('Inputs-Results'!$U$9-'Inputs-Results'!$W$9)^2+('Inputs-Results'!$V$9-'Inputs-Results'!$X$9)^2)+SQRT(('Inputs-Results'!$W$9-'Inputs-Results'!$Y$9)^2+('Inputs-Results'!$X$9-'Inputs-Results'!$Z$9)^2)+SQRT((('Inputs-Results'!$S$9-'Inputs-Results'!$U$9)*(C26+'Inputs-Results'!$X$9-'Inputs-Results'!$V$9)/('Inputs-Results'!$T$9-'Inputs-Results'!$V$9))^2+(C26+'Inputs-Results'!$X$9-'Inputs-Results'!$V$9)^2)+SQRT((('Inputs-Results'!$AA$9-'Inputs-Results'!$Y$9)*(C26+'Inputs-Results'!$X$9-'Inputs-Results'!$Z$9)/('Inputs-Results'!$AB$9-'Inputs-Results'!$Z$9))^2+(C26+'Inputs-Results'!$X$9-'Inputs-Results'!$Z$9)^2),SQRT((('Inputs-Results'!$U$9-'Inputs-Results'!$W$9)*(C26)/('Inputs-Results'!$V$9-'Inputs-Results'!$X$9))^2+C26^2)+SQRT((('Inputs-Results'!$Y$9-'Inputs-Results'!$W$9)*C26/('Inputs-Results'!$Z$9-'Inputs-Results'!$X$9))^2+C26^2))</f>
        <v>#DIV/0!</v>
      </c>
      <c r="F26" s="19" t="e">
        <f t="shared" si="0"/>
        <v>#DIV/0!</v>
      </c>
      <c r="G26" s="19" t="e">
        <f>1.49/'Inputs-Results'!AC31*D26*F26^(2/3)*'Inputs-Results'!AD31^0.5</f>
        <v>#DIV/0!</v>
      </c>
      <c r="H26" s="27" t="e">
        <f t="shared" si="1"/>
        <v>#DIV/0!</v>
      </c>
      <c r="I26" s="26">
        <f t="shared" si="2"/>
        <v>0</v>
      </c>
      <c r="J26" s="19" t="e">
        <f>IF(I26&gt;'Inputs-Results'!$V31-'Inputs-Results'!$X31,(0.5*(ABS('Inputs-Results'!$S31-'Inputs-Results'!$U31)/('Inputs-Results'!$T31-'Inputs-Results'!$V31)*(I26-('Inputs-Results'!$V31-'Inputs-Results'!$X31)))*(I26-('Inputs-Results'!$V31-'Inputs-Results'!$X31))),0)+IF(I26&gt;'Inputs-Results'!$V31-'Inputs-Results'!$X31,(0.5*((I26+'Inputs-Results'!$X31-'Inputs-Results'!$V31)+I26)*ABS('Inputs-Results'!$U31-'Inputs-Results'!$W31)),0.5*(ABS('Inputs-Results'!$U31-'Inputs-Results'!$W31)/('Inputs-Results'!$V31-'Inputs-Results'!$X31)*I26)*I26)+IF(I26&gt;'Inputs-Results'!$Z31-'Inputs-Results'!$X31,(0.5*((I26+'Inputs-Results'!$X31-'Inputs-Results'!$Z31)+I26)*ABS('Inputs-Results'!$Y31-'Inputs-Results'!$W31)),0.5*(ABS('Inputs-Results'!$W31-'Inputs-Results'!$Y31)/('Inputs-Results'!$Z31-'Inputs-Results'!$X31)*I26)*I26)+IF(I26&gt;'Inputs-Results'!$Z31-'Inputs-Results'!$X31,(0.5*(ABS('Inputs-Results'!$Y31-'Inputs-Results'!$AA31)/('Inputs-Results'!$AB31-'Inputs-Results'!$Z31)*(I26-('Inputs-Results'!$Z31-'Inputs-Results'!$X31)))*(I26-('Inputs-Results'!$Z31-'Inputs-Results'!$X31))),0)</f>
        <v>#DIV/0!</v>
      </c>
      <c r="K26" s="19" t="e">
        <f>IF(I26&gt;'Inputs-Results'!$V$9-'Inputs-Results'!$X$9,SQRT(('Inputs-Results'!$U$9-'Inputs-Results'!$W$9)^2+('Inputs-Results'!$V$9-'Inputs-Results'!$X$9)^2)+SQRT(('Inputs-Results'!$W$9-'Inputs-Results'!$Y$9)^2+('Inputs-Results'!$X$9-'Inputs-Results'!$Z$9)^2)+SQRT((('Inputs-Results'!$S$9-'Inputs-Results'!$U$9)*(I26+'Inputs-Results'!$X$9-'Inputs-Results'!$V$9)/('Inputs-Results'!$T$9-'Inputs-Results'!$V$9))^2+(I26+'Inputs-Results'!$X$9-'Inputs-Results'!$V$9)^2)+SQRT((('Inputs-Results'!$AA$9-'Inputs-Results'!$Y$9)*(I26+'Inputs-Results'!$X$9-'Inputs-Results'!$Z$9)/('Inputs-Results'!$AB$9-'Inputs-Results'!$Z$9))^2+(I26+'Inputs-Results'!$X$9-'Inputs-Results'!$Z$9)^2),SQRT((('Inputs-Results'!$U$9-'Inputs-Results'!$W$9)*(I26)/('Inputs-Results'!$V$9-'Inputs-Results'!$X$9))^2+I26^2)+SQRT((('Inputs-Results'!$Y$9-'Inputs-Results'!$W$9)*I26/('Inputs-Results'!$Z$9-'Inputs-Results'!$X$9))^2+I26^2))</f>
        <v>#DIV/0!</v>
      </c>
      <c r="L26" s="19" t="e">
        <f t="shared" si="3"/>
        <v>#DIV/0!</v>
      </c>
      <c r="M26" s="19" t="e">
        <f>1.49/'Inputs-Results'!$AC31*J26*L26^(2/3)*'Inputs-Results'!$AD31^0.5</f>
        <v>#DIV/0!</v>
      </c>
      <c r="N26" s="27" t="e">
        <f t="shared" si="4"/>
        <v>#DIV/0!</v>
      </c>
      <c r="O26" s="26">
        <f t="shared" si="5"/>
        <v>0</v>
      </c>
      <c r="P26" s="19" t="e">
        <f>IF(O26&gt;'Inputs-Results'!$V31-'Inputs-Results'!$X31,(0.5*(ABS('Inputs-Results'!$S31-'Inputs-Results'!$U31)/('Inputs-Results'!$T31-'Inputs-Results'!$V31)*(O26-('Inputs-Results'!$V31-'Inputs-Results'!$X31)))*(O26-('Inputs-Results'!$V31-'Inputs-Results'!$X31))),0)+IF(O26&gt;'Inputs-Results'!$V31-'Inputs-Results'!$X31,(0.5*((O26+'Inputs-Results'!$X31-'Inputs-Results'!$V31)+O26)*ABS('Inputs-Results'!$U31-'Inputs-Results'!$W31)),0.5*(ABS('Inputs-Results'!$U31-'Inputs-Results'!$W31)/('Inputs-Results'!$V31-'Inputs-Results'!$X31)*O26)*O26)+IF(O26&gt;'Inputs-Results'!$Z31-'Inputs-Results'!$X31,(0.5*((O26+'Inputs-Results'!$X31-'Inputs-Results'!$Z31)+O26)*ABS('Inputs-Results'!$Y31-'Inputs-Results'!$W31)),0.5*(ABS('Inputs-Results'!$W31-'Inputs-Results'!$Y31)/('Inputs-Results'!$Z31-'Inputs-Results'!$X31)*O26)*O26)+IF(O26&gt;'Inputs-Results'!$Z31-'Inputs-Results'!$X31,(0.5*(ABS('Inputs-Results'!$Y31-'Inputs-Results'!$AA31)/('Inputs-Results'!$AB31-'Inputs-Results'!$Z31)*(O26-('Inputs-Results'!$Z31-'Inputs-Results'!$X31)))*(O26-('Inputs-Results'!$Z31-'Inputs-Results'!$X31))),0)</f>
        <v>#DIV/0!</v>
      </c>
      <c r="Q26" s="19" t="e">
        <f>IF(O26&gt;'Inputs-Results'!$V$9-'Inputs-Results'!$X$9,SQRT(('Inputs-Results'!$U$9-'Inputs-Results'!$W$9)^2+('Inputs-Results'!$V$9-'Inputs-Results'!$X$9)^2)+SQRT(('Inputs-Results'!$W$9-'Inputs-Results'!$Y$9)^2+('Inputs-Results'!$X$9-'Inputs-Results'!$Z$9)^2)+SQRT((('Inputs-Results'!$S$9-'Inputs-Results'!$U$9)*(O26+'Inputs-Results'!$X$9-'Inputs-Results'!$V$9)/('Inputs-Results'!$T$9-'Inputs-Results'!$V$9))^2+(O26+'Inputs-Results'!$X$9-'Inputs-Results'!$V$9)^2)+SQRT((('Inputs-Results'!$AA$9-'Inputs-Results'!$Y$9)*(O26+'Inputs-Results'!$X$9-'Inputs-Results'!$Z$9)/('Inputs-Results'!$AB$9-'Inputs-Results'!$Z$9))^2+(O26+'Inputs-Results'!$X$9-'Inputs-Results'!$Z$9)^2),SQRT((('Inputs-Results'!$U$9-'Inputs-Results'!$W$9)*(O26)/('Inputs-Results'!$V$9-'Inputs-Results'!$X$9))^2+O26^2)+SQRT((('Inputs-Results'!$Y$9-'Inputs-Results'!$W$9)*O26/('Inputs-Results'!$Z$9-'Inputs-Results'!$X$9))^2+O26^2))</f>
        <v>#DIV/0!</v>
      </c>
      <c r="R26" s="19" t="e">
        <f t="shared" si="6"/>
        <v>#DIV/0!</v>
      </c>
      <c r="S26" s="19" t="e">
        <f>1.49/'Inputs-Results'!$AC31*P26*R26^(2/3)*'Inputs-Results'!$AD31^0.5</f>
        <v>#DIV/0!</v>
      </c>
      <c r="T26" s="27" t="e">
        <f t="shared" si="7"/>
        <v>#DIV/0!</v>
      </c>
      <c r="U26" s="26">
        <f t="shared" si="8"/>
        <v>0</v>
      </c>
      <c r="V26" s="19" t="e">
        <f>IF(U26&gt;'Inputs-Results'!$V31-'Inputs-Results'!$X31,(0.5*(ABS('Inputs-Results'!$S31-'Inputs-Results'!$U31)/('Inputs-Results'!$T31-'Inputs-Results'!$V31)*(U26-('Inputs-Results'!$V31-'Inputs-Results'!$X31)))*(U26-('Inputs-Results'!$V31-'Inputs-Results'!$X31))),0)+IF(U26&gt;'Inputs-Results'!$V31-'Inputs-Results'!$X31,(0.5*((U26+'Inputs-Results'!$X31-'Inputs-Results'!$V31)+U26)*ABS('Inputs-Results'!$U31-'Inputs-Results'!$W31)),0.5*(ABS('Inputs-Results'!$U31-'Inputs-Results'!$W31)/('Inputs-Results'!$V31-'Inputs-Results'!$X31)*U26)*U26)+IF(U26&gt;'Inputs-Results'!$Z31-'Inputs-Results'!$X31,(0.5*((U26+'Inputs-Results'!$X31-'Inputs-Results'!$Z31)+U26)*ABS('Inputs-Results'!$Y31-'Inputs-Results'!$W31)),0.5*(ABS('Inputs-Results'!$W31-'Inputs-Results'!$Y31)/('Inputs-Results'!$Z31-'Inputs-Results'!$X31)*U26)*U26)+IF(U26&gt;'Inputs-Results'!$Z31-'Inputs-Results'!$X31,(0.5*(ABS('Inputs-Results'!$Y31-'Inputs-Results'!$AA31)/('Inputs-Results'!$AB31-'Inputs-Results'!$Z31)*(U26-('Inputs-Results'!$Z31-'Inputs-Results'!$X31)))*(U26-('Inputs-Results'!$Z31-'Inputs-Results'!$X31))),0)</f>
        <v>#DIV/0!</v>
      </c>
      <c r="W26" s="19" t="e">
        <f>IF(U26&gt;'Inputs-Results'!$V$9-'Inputs-Results'!$X$9,SQRT(('Inputs-Results'!$U$9-'Inputs-Results'!$W$9)^2+('Inputs-Results'!$V$9-'Inputs-Results'!$X$9)^2)+SQRT(('Inputs-Results'!$W$9-'Inputs-Results'!$Y$9)^2+('Inputs-Results'!$X$9-'Inputs-Results'!$Z$9)^2)+SQRT((('Inputs-Results'!$S$9-'Inputs-Results'!$U$9)*(U26+'Inputs-Results'!$X$9-'Inputs-Results'!$V$9)/('Inputs-Results'!$T$9-'Inputs-Results'!$V$9))^2+(U26+'Inputs-Results'!$X$9-'Inputs-Results'!$V$9)^2)+SQRT((('Inputs-Results'!$AA$9-'Inputs-Results'!$Y$9)*(U26+'Inputs-Results'!$X$9-'Inputs-Results'!$Z$9)/('Inputs-Results'!$AB$9-'Inputs-Results'!$Z$9))^2+(U26+'Inputs-Results'!$X$9-'Inputs-Results'!$Z$9)^2),SQRT((('Inputs-Results'!$U$9-'Inputs-Results'!$W$9)*(U26)/('Inputs-Results'!$V$9-'Inputs-Results'!$X$9))^2+U26^2)+SQRT((('Inputs-Results'!$Y$9-'Inputs-Results'!$W$9)*U26/('Inputs-Results'!$Z$9-'Inputs-Results'!$X$9))^2+U26^2))</f>
        <v>#DIV/0!</v>
      </c>
      <c r="X26" s="19" t="e">
        <f t="shared" si="9"/>
        <v>#DIV/0!</v>
      </c>
      <c r="Y26" s="19" t="e">
        <f>1.49/'Inputs-Results'!$AC31*V26*X26^(2/3)*'Inputs-Results'!$AD31^0.5</f>
        <v>#DIV/0!</v>
      </c>
      <c r="Z26" s="27" t="e">
        <f t="shared" si="10"/>
        <v>#DIV/0!</v>
      </c>
      <c r="AA26" s="26">
        <f t="shared" si="11"/>
        <v>0</v>
      </c>
      <c r="AB26" s="19" t="e">
        <f>IF(AA26&gt;'Inputs-Results'!$V31-'Inputs-Results'!$X31,(0.5*(ABS('Inputs-Results'!$S31-'Inputs-Results'!$U31)/('Inputs-Results'!$T31-'Inputs-Results'!$V31)*(AA26-('Inputs-Results'!$V31-'Inputs-Results'!$X31)))*(AA26-('Inputs-Results'!$V31-'Inputs-Results'!$X31))),0)+IF(AA26&gt;'Inputs-Results'!$V31-'Inputs-Results'!$X31,(0.5*((AA26+'Inputs-Results'!$X31-'Inputs-Results'!$V31)+AA26)*ABS('Inputs-Results'!$U31-'Inputs-Results'!$W31)),0.5*(ABS('Inputs-Results'!$U31-'Inputs-Results'!$W31)/('Inputs-Results'!$V31-'Inputs-Results'!$X31)*AA26)*AA26)+IF(AA26&gt;'Inputs-Results'!$Z31-'Inputs-Results'!$X31,(0.5*((AA26+'Inputs-Results'!$X31-'Inputs-Results'!$Z31)+AA26)*ABS('Inputs-Results'!$Y31-'Inputs-Results'!$W31)),0.5*(ABS('Inputs-Results'!$W31-'Inputs-Results'!$Y31)/('Inputs-Results'!$Z31-'Inputs-Results'!$X31)*AA26)*AA26)+IF(AA26&gt;'Inputs-Results'!$Z31-'Inputs-Results'!$X31,(0.5*(ABS('Inputs-Results'!$Y31-'Inputs-Results'!$AA31)/('Inputs-Results'!$AB31-'Inputs-Results'!$Z31)*(AA26-('Inputs-Results'!$Z31-'Inputs-Results'!$X31)))*(AA26-('Inputs-Results'!$Z31-'Inputs-Results'!$X31))),0)</f>
        <v>#DIV/0!</v>
      </c>
      <c r="AC26" s="19" t="e">
        <f>IF(AA26&gt;'Inputs-Results'!$V$9-'Inputs-Results'!$X$9,SQRT(('Inputs-Results'!$U$9-'Inputs-Results'!$W$9)^2+('Inputs-Results'!$V$9-'Inputs-Results'!$X$9)^2)+SQRT(('Inputs-Results'!$W$9-'Inputs-Results'!$Y$9)^2+('Inputs-Results'!$X$9-'Inputs-Results'!$Z$9)^2)+SQRT((('Inputs-Results'!$S$9-'Inputs-Results'!$U$9)*(AA26+'Inputs-Results'!$X$9-'Inputs-Results'!$V$9)/('Inputs-Results'!$T$9-'Inputs-Results'!$V$9))^2+(AA26+'Inputs-Results'!$X$9-'Inputs-Results'!$V$9)^2)+SQRT((('Inputs-Results'!$AA$9-'Inputs-Results'!$Y$9)*(AA26+'Inputs-Results'!$X$9-'Inputs-Results'!$Z$9)/('Inputs-Results'!$AB$9-'Inputs-Results'!$Z$9))^2+(AA26+'Inputs-Results'!$X$9-'Inputs-Results'!$Z$9)^2),SQRT((('Inputs-Results'!$U$9-'Inputs-Results'!$W$9)*(AA26)/('Inputs-Results'!$V$9-'Inputs-Results'!$X$9))^2+AA26^2)+SQRT((('Inputs-Results'!$Y$9-'Inputs-Results'!$W$9)*AA26/('Inputs-Results'!$Z$9-'Inputs-Results'!$X$9))^2+AA26^2))</f>
        <v>#DIV/0!</v>
      </c>
      <c r="AD26" s="19" t="e">
        <f t="shared" si="12"/>
        <v>#DIV/0!</v>
      </c>
      <c r="AE26" s="19" t="e">
        <f>1.49/'Inputs-Results'!$AC31*AB26*AD26^(2/3)*'Inputs-Results'!$AD31^0.5</f>
        <v>#DIV/0!</v>
      </c>
      <c r="AF26" s="27" t="e">
        <f t="shared" si="13"/>
        <v>#DIV/0!</v>
      </c>
      <c r="AG26" s="26">
        <f t="shared" si="14"/>
        <v>0</v>
      </c>
      <c r="AH26" s="19" t="e">
        <f>IF(AG26&gt;'Inputs-Results'!$V31-'Inputs-Results'!$X31,(0.5*(ABS('Inputs-Results'!$S31-'Inputs-Results'!$U31)/('Inputs-Results'!$T31-'Inputs-Results'!$V31)*(AG26-('Inputs-Results'!$V31-'Inputs-Results'!$X31)))*(AG26-('Inputs-Results'!$V31-'Inputs-Results'!$X31))),0)+IF(AG26&gt;'Inputs-Results'!$V31-'Inputs-Results'!$X31,(0.5*((AG26+'Inputs-Results'!$X31-'Inputs-Results'!$V31)+AG26)*ABS('Inputs-Results'!$U31-'Inputs-Results'!$W31)),0.5*(ABS('Inputs-Results'!$U31-'Inputs-Results'!$W31)/('Inputs-Results'!$V31-'Inputs-Results'!$X31)*AG26)*AG26)+IF(AG26&gt;'Inputs-Results'!$Z31-'Inputs-Results'!$X31,(0.5*((AG26+'Inputs-Results'!$X31-'Inputs-Results'!$Z31)+AG26)*ABS('Inputs-Results'!$Y31-'Inputs-Results'!$W31)),0.5*(ABS('Inputs-Results'!$W31-'Inputs-Results'!$Y31)/('Inputs-Results'!$Z31-'Inputs-Results'!$X31)*AG26)*AG26)+IF(AG26&gt;'Inputs-Results'!$Z31-'Inputs-Results'!$X31,(0.5*(ABS('Inputs-Results'!$Y31-'Inputs-Results'!$AA31)/('Inputs-Results'!$AB31-'Inputs-Results'!$Z31)*(AG26-('Inputs-Results'!$Z31-'Inputs-Results'!$X31)))*(AG26-('Inputs-Results'!$Z31-'Inputs-Results'!$X31))),0)</f>
        <v>#DIV/0!</v>
      </c>
      <c r="AI26" s="19" t="e">
        <f>IF(AG26&gt;'Inputs-Results'!$V$9-'Inputs-Results'!$X$9,SQRT(('Inputs-Results'!$U$9-'Inputs-Results'!$W$9)^2+('Inputs-Results'!$V$9-'Inputs-Results'!$X$9)^2)+SQRT(('Inputs-Results'!$W$9-'Inputs-Results'!$Y$9)^2+('Inputs-Results'!$X$9-'Inputs-Results'!$Z$9)^2)+SQRT((('Inputs-Results'!$S$9-'Inputs-Results'!$U$9)*(AG26+'Inputs-Results'!$X$9-'Inputs-Results'!$V$9)/('Inputs-Results'!$T$9-'Inputs-Results'!$V$9))^2+(AG26+'Inputs-Results'!$X$9-'Inputs-Results'!$V$9)^2)+SQRT((('Inputs-Results'!$AA$9-'Inputs-Results'!$Y$9)*(AG26+'Inputs-Results'!$X$9-'Inputs-Results'!$Z$9)/('Inputs-Results'!$AB$9-'Inputs-Results'!$Z$9))^2+(AG26+'Inputs-Results'!$X$9-'Inputs-Results'!$Z$9)^2),SQRT((('Inputs-Results'!$U$9-'Inputs-Results'!$W$9)*(AG26)/('Inputs-Results'!$V$9-'Inputs-Results'!$X$9))^2+AG26^2)+SQRT((('Inputs-Results'!$Y$9-'Inputs-Results'!$W$9)*AG26/('Inputs-Results'!$Z$9-'Inputs-Results'!$X$9))^2+AG26^2))</f>
        <v>#DIV/0!</v>
      </c>
      <c r="AJ26" s="19" t="e">
        <f t="shared" si="15"/>
        <v>#DIV/0!</v>
      </c>
      <c r="AK26" s="19" t="e">
        <f>1.49/'Inputs-Results'!$AC31*AH26*AJ26^(2/3)*'Inputs-Results'!$AD31^0.5</f>
        <v>#DIV/0!</v>
      </c>
      <c r="AL26" s="27" t="e">
        <f t="shared" si="16"/>
        <v>#DIV/0!</v>
      </c>
      <c r="AM26" s="26">
        <f t="shared" si="17"/>
        <v>0</v>
      </c>
      <c r="AN26" s="19" t="e">
        <f>IF(AM26&gt;'Inputs-Results'!$V31-'Inputs-Results'!$X31,(0.5*(ABS('Inputs-Results'!$S31-'Inputs-Results'!$U31)/('Inputs-Results'!$T31-'Inputs-Results'!$V31)*(AM26-('Inputs-Results'!$V31-'Inputs-Results'!$X31)))*(AM26-('Inputs-Results'!$V31-'Inputs-Results'!$X31))),0)+IF(AM26&gt;'Inputs-Results'!$V31-'Inputs-Results'!$X31,(0.5*((AM26+'Inputs-Results'!$X31-'Inputs-Results'!$V31)+AM26)*ABS('Inputs-Results'!$U31-'Inputs-Results'!$W31)),0.5*(ABS('Inputs-Results'!$U31-'Inputs-Results'!$W31)/('Inputs-Results'!$V31-'Inputs-Results'!$X31)*AM26)*AM26)+IF(AM26&gt;'Inputs-Results'!$Z31-'Inputs-Results'!$X31,(0.5*((AM26+'Inputs-Results'!$X31-'Inputs-Results'!$Z31)+AM26)*ABS('Inputs-Results'!$Y31-'Inputs-Results'!$W31)),0.5*(ABS('Inputs-Results'!$W31-'Inputs-Results'!$Y31)/('Inputs-Results'!$Z31-'Inputs-Results'!$X31)*AM26)*AM26)+IF(AM26&gt;'Inputs-Results'!$Z31-'Inputs-Results'!$X31,(0.5*(ABS('Inputs-Results'!$Y31-'Inputs-Results'!$AA31)/('Inputs-Results'!$AB31-'Inputs-Results'!$Z31)*(AM26-('Inputs-Results'!$Z31-'Inputs-Results'!$X31)))*(AM26-('Inputs-Results'!$Z31-'Inputs-Results'!$X31))),0)</f>
        <v>#DIV/0!</v>
      </c>
      <c r="AO26" s="19" t="e">
        <f>IF(AM26&gt;'Inputs-Results'!$V$9-'Inputs-Results'!$X$9,SQRT(('Inputs-Results'!$U$9-'Inputs-Results'!$W$9)^2+('Inputs-Results'!$V$9-'Inputs-Results'!$X$9)^2)+SQRT(('Inputs-Results'!$W$9-'Inputs-Results'!$Y$9)^2+('Inputs-Results'!$X$9-'Inputs-Results'!$Z$9)^2)+SQRT((('Inputs-Results'!$S$9-'Inputs-Results'!$U$9)*(AM26+'Inputs-Results'!$X$9-'Inputs-Results'!$V$9)/('Inputs-Results'!$T$9-'Inputs-Results'!$V$9))^2+(AM26+'Inputs-Results'!$X$9-'Inputs-Results'!$V$9)^2)+SQRT((('Inputs-Results'!$AA$9-'Inputs-Results'!$Y$9)*(AM26+'Inputs-Results'!$X$9-'Inputs-Results'!$Z$9)/('Inputs-Results'!$AB$9-'Inputs-Results'!$Z$9))^2+(AM26+'Inputs-Results'!$X$9-'Inputs-Results'!$Z$9)^2),SQRT((('Inputs-Results'!$U$9-'Inputs-Results'!$W$9)*(AM26)/('Inputs-Results'!$V$9-'Inputs-Results'!$X$9))^2+AM26^2)+SQRT((('Inputs-Results'!$Y$9-'Inputs-Results'!$W$9)*AM26/('Inputs-Results'!$Z$9-'Inputs-Results'!$X$9))^2+AM26^2))</f>
        <v>#DIV/0!</v>
      </c>
      <c r="AP26" s="19" t="e">
        <f t="shared" si="18"/>
        <v>#DIV/0!</v>
      </c>
      <c r="AQ26" s="19" t="e">
        <f>1.49/'Inputs-Results'!$AC31*AN26*AP26^(2/3)*'Inputs-Results'!$AD31^0.5</f>
        <v>#DIV/0!</v>
      </c>
      <c r="AR26" s="27" t="e">
        <f t="shared" si="19"/>
        <v>#DIV/0!</v>
      </c>
      <c r="AS26" s="26">
        <f t="shared" si="20"/>
        <v>0</v>
      </c>
      <c r="AT26" s="19" t="e">
        <f>IF(AS26&gt;'Inputs-Results'!$V31-'Inputs-Results'!$X31,(0.5*(ABS('Inputs-Results'!$S31-'Inputs-Results'!$U31)/('Inputs-Results'!$T31-'Inputs-Results'!$V31)*(AS26-('Inputs-Results'!$V31-'Inputs-Results'!$X31)))*(AS26-('Inputs-Results'!$V31-'Inputs-Results'!$X31))),0)+IF(AS26&gt;'Inputs-Results'!$V31-'Inputs-Results'!$X31,(0.5*((AS26+'Inputs-Results'!$X31-'Inputs-Results'!$V31)+AS26)*ABS('Inputs-Results'!$U31-'Inputs-Results'!$W31)),0.5*(ABS('Inputs-Results'!$U31-'Inputs-Results'!$W31)/('Inputs-Results'!$V31-'Inputs-Results'!$X31)*AS26)*AS26)+IF(AS26&gt;'Inputs-Results'!$Z31-'Inputs-Results'!$X31,(0.5*((AS26+'Inputs-Results'!$X31-'Inputs-Results'!$Z31)+AS26)*ABS('Inputs-Results'!$Y31-'Inputs-Results'!$W31)),0.5*(ABS('Inputs-Results'!$W31-'Inputs-Results'!$Y31)/('Inputs-Results'!$Z31-'Inputs-Results'!$X31)*AS26)*AS26)+IF(AS26&gt;'Inputs-Results'!$Z31-'Inputs-Results'!$X31,(0.5*(ABS('Inputs-Results'!$Y31-'Inputs-Results'!$AA31)/('Inputs-Results'!$AB31-'Inputs-Results'!$Z31)*(AS26-('Inputs-Results'!$Z31-'Inputs-Results'!$X31)))*(AS26-('Inputs-Results'!$Z31-'Inputs-Results'!$X31))),0)</f>
        <v>#DIV/0!</v>
      </c>
      <c r="AU26" s="19" t="e">
        <f>IF(AS26&gt;'Inputs-Results'!$V$9-'Inputs-Results'!$X$9,SQRT(('Inputs-Results'!$U$9-'Inputs-Results'!$W$9)^2+('Inputs-Results'!$V$9-'Inputs-Results'!$X$9)^2)+SQRT(('Inputs-Results'!$W$9-'Inputs-Results'!$Y$9)^2+('Inputs-Results'!$X$9-'Inputs-Results'!$Z$9)^2)+SQRT((('Inputs-Results'!$S$9-'Inputs-Results'!$U$9)*(AS26+'Inputs-Results'!$X$9-'Inputs-Results'!$V$9)/('Inputs-Results'!$T$9-'Inputs-Results'!$V$9))^2+(AS26+'Inputs-Results'!$X$9-'Inputs-Results'!$V$9)^2)+SQRT((('Inputs-Results'!$AA$9-'Inputs-Results'!$Y$9)*(AS26+'Inputs-Results'!$X$9-'Inputs-Results'!$Z$9)/('Inputs-Results'!$AB$9-'Inputs-Results'!$Z$9))^2+(AS26+'Inputs-Results'!$X$9-'Inputs-Results'!$Z$9)^2),SQRT((('Inputs-Results'!$U$9-'Inputs-Results'!$W$9)*(AS26)/('Inputs-Results'!$V$9-'Inputs-Results'!$X$9))^2+AS26^2)+SQRT((('Inputs-Results'!$Y$9-'Inputs-Results'!$W$9)*AS26/('Inputs-Results'!$Z$9-'Inputs-Results'!$X$9))^2+AS26^2))</f>
        <v>#DIV/0!</v>
      </c>
      <c r="AV26" s="19" t="e">
        <f t="shared" si="21"/>
        <v>#DIV/0!</v>
      </c>
      <c r="AW26" s="19" t="e">
        <f>1.49/'Inputs-Results'!$AC31*AT26*AV26^(2/3)*'Inputs-Results'!$AD31^0.5</f>
        <v>#DIV/0!</v>
      </c>
      <c r="AX26" s="27" t="e">
        <f t="shared" si="22"/>
        <v>#DIV/0!</v>
      </c>
      <c r="AY26" s="26">
        <f t="shared" si="23"/>
        <v>0</v>
      </c>
      <c r="AZ26" s="19" t="e">
        <f>IF(AY26&gt;'Inputs-Results'!$V31-'Inputs-Results'!$X31,(0.5*(ABS('Inputs-Results'!$S31-'Inputs-Results'!$U31)/('Inputs-Results'!$T31-'Inputs-Results'!$V31)*(AY26-('Inputs-Results'!$V31-'Inputs-Results'!$X31)))*(AY26-('Inputs-Results'!$V31-'Inputs-Results'!$X31))),0)+IF(AY26&gt;'Inputs-Results'!$V31-'Inputs-Results'!$X31,(0.5*((AY26+'Inputs-Results'!$X31-'Inputs-Results'!$V31)+AY26)*ABS('Inputs-Results'!$U31-'Inputs-Results'!$W31)),0.5*(ABS('Inputs-Results'!$U31-'Inputs-Results'!$W31)/('Inputs-Results'!$V31-'Inputs-Results'!$X31)*AY26)*AY26)+IF(AY26&gt;'Inputs-Results'!$Z31-'Inputs-Results'!$X31,(0.5*((AY26+'Inputs-Results'!$X31-'Inputs-Results'!$Z31)+AY26)*ABS('Inputs-Results'!$Y31-'Inputs-Results'!$W31)),0.5*(ABS('Inputs-Results'!$W31-'Inputs-Results'!$Y31)/('Inputs-Results'!$Z31-'Inputs-Results'!$X31)*AY26)*AY26)+IF(AY26&gt;'Inputs-Results'!$Z31-'Inputs-Results'!$X31,(0.5*(ABS('Inputs-Results'!$Y31-'Inputs-Results'!$AA31)/('Inputs-Results'!$AB31-'Inputs-Results'!$Z31)*(AY26-('Inputs-Results'!$Z31-'Inputs-Results'!$X31)))*(AY26-('Inputs-Results'!$Z31-'Inputs-Results'!$X31))),0)</f>
        <v>#DIV/0!</v>
      </c>
      <c r="BA26" s="19" t="e">
        <f>IF(AY26&gt;'Inputs-Results'!$V$9-'Inputs-Results'!$X$9,SQRT(('Inputs-Results'!$U$9-'Inputs-Results'!$W$9)^2+('Inputs-Results'!$V$9-'Inputs-Results'!$X$9)^2)+SQRT(('Inputs-Results'!$W$9-'Inputs-Results'!$Y$9)^2+('Inputs-Results'!$X$9-'Inputs-Results'!$Z$9)^2)+SQRT((('Inputs-Results'!$S$9-'Inputs-Results'!$U$9)*(AY26+'Inputs-Results'!$X$9-'Inputs-Results'!$V$9)/('Inputs-Results'!$T$9-'Inputs-Results'!$V$9))^2+(AY26+'Inputs-Results'!$X$9-'Inputs-Results'!$V$9)^2)+SQRT((('Inputs-Results'!$AA$9-'Inputs-Results'!$Y$9)*(AY26+'Inputs-Results'!$X$9-'Inputs-Results'!$Z$9)/('Inputs-Results'!$AB$9-'Inputs-Results'!$Z$9))^2+(AY26+'Inputs-Results'!$X$9-'Inputs-Results'!$Z$9)^2),SQRT((('Inputs-Results'!$U$9-'Inputs-Results'!$W$9)*(AY26)/('Inputs-Results'!$V$9-'Inputs-Results'!$X$9))^2+AY26^2)+SQRT((('Inputs-Results'!$Y$9-'Inputs-Results'!$W$9)*AY26/('Inputs-Results'!$Z$9-'Inputs-Results'!$X$9))^2+AY26^2))</f>
        <v>#DIV/0!</v>
      </c>
      <c r="BB26" s="19" t="e">
        <f t="shared" si="24"/>
        <v>#DIV/0!</v>
      </c>
      <c r="BC26" s="19" t="e">
        <f>1.49/'Inputs-Results'!$AC31*AZ26*BB26^(2/3)*'Inputs-Results'!$AD31^0.5</f>
        <v>#DIV/0!</v>
      </c>
      <c r="BD26" s="27" t="e">
        <f t="shared" si="25"/>
        <v>#DIV/0!</v>
      </c>
      <c r="BE26" s="26">
        <f t="shared" si="26"/>
        <v>0</v>
      </c>
      <c r="BF26" s="19" t="e">
        <f>IF(BE26&gt;'Inputs-Results'!$V31-'Inputs-Results'!$X31,(0.5*(ABS('Inputs-Results'!$S31-'Inputs-Results'!$U31)/('Inputs-Results'!$T31-'Inputs-Results'!$V31)*(BE26-('Inputs-Results'!$V31-'Inputs-Results'!$X31)))*(BE26-('Inputs-Results'!$V31-'Inputs-Results'!$X31))),0)+IF(BE26&gt;'Inputs-Results'!$V31-'Inputs-Results'!$X31,(0.5*((BE26+'Inputs-Results'!$X31-'Inputs-Results'!$V31)+BE26)*ABS('Inputs-Results'!$U31-'Inputs-Results'!$W31)),0.5*(ABS('Inputs-Results'!$U31-'Inputs-Results'!$W31)/('Inputs-Results'!$V31-'Inputs-Results'!$X31)*BE26)*BE26)+IF(BE26&gt;'Inputs-Results'!$Z31-'Inputs-Results'!$X31,(0.5*((BE26+'Inputs-Results'!$X31-'Inputs-Results'!$Z31)+BE26)*ABS('Inputs-Results'!$Y31-'Inputs-Results'!$W31)),0.5*(ABS('Inputs-Results'!$W31-'Inputs-Results'!$Y31)/('Inputs-Results'!$Z31-'Inputs-Results'!$X31)*BE26)*BE26)+IF(BE26&gt;'Inputs-Results'!$Z31-'Inputs-Results'!$X31,(0.5*(ABS('Inputs-Results'!$Y31-'Inputs-Results'!$AA31)/('Inputs-Results'!$AB31-'Inputs-Results'!$Z31)*(BE26-('Inputs-Results'!$Z31-'Inputs-Results'!$X31)))*(BE26-('Inputs-Results'!$Z31-'Inputs-Results'!$X31))),0)</f>
        <v>#DIV/0!</v>
      </c>
      <c r="BG26" s="19" t="e">
        <f>IF(BE26&gt;'Inputs-Results'!$V$9-'Inputs-Results'!$X$9,SQRT(('Inputs-Results'!$U$9-'Inputs-Results'!$W$9)^2+('Inputs-Results'!$V$9-'Inputs-Results'!$X$9)^2)+SQRT(('Inputs-Results'!$W$9-'Inputs-Results'!$Y$9)^2+('Inputs-Results'!$X$9-'Inputs-Results'!$Z$9)^2)+SQRT((('Inputs-Results'!$S$9-'Inputs-Results'!$U$9)*(BE26+'Inputs-Results'!$X$9-'Inputs-Results'!$V$9)/('Inputs-Results'!$T$9-'Inputs-Results'!$V$9))^2+(BE26+'Inputs-Results'!$X$9-'Inputs-Results'!$V$9)^2)+SQRT((('Inputs-Results'!$AA$9-'Inputs-Results'!$Y$9)*(BE26+'Inputs-Results'!$X$9-'Inputs-Results'!$Z$9)/('Inputs-Results'!$AB$9-'Inputs-Results'!$Z$9))^2+(BE26+'Inputs-Results'!$X$9-'Inputs-Results'!$Z$9)^2),SQRT((('Inputs-Results'!$U$9-'Inputs-Results'!$W$9)*(BE26)/('Inputs-Results'!$V$9-'Inputs-Results'!$X$9))^2+BE26^2)+SQRT((('Inputs-Results'!$Y$9-'Inputs-Results'!$W$9)*BE26/('Inputs-Results'!$Z$9-'Inputs-Results'!$X$9))^2+BE26^2))</f>
        <v>#DIV/0!</v>
      </c>
      <c r="BH26" s="19" t="e">
        <f t="shared" si="27"/>
        <v>#DIV/0!</v>
      </c>
      <c r="BI26" s="19" t="e">
        <f>1.49/'Inputs-Results'!$AC31*BF26*BH26^(2/3)*'Inputs-Results'!$AD31^0.5</f>
        <v>#DIV/0!</v>
      </c>
      <c r="BJ26" s="27" t="e">
        <f t="shared" si="28"/>
        <v>#DIV/0!</v>
      </c>
    </row>
    <row r="27" spans="1:62" x14ac:dyDescent="0.25">
      <c r="A27" s="2">
        <v>0</v>
      </c>
      <c r="B27" s="17"/>
      <c r="C27" s="26">
        <f>MIN('Inputs-Results'!T32-'Inputs-Results'!X32,'Inputs-Results'!AB32-'Inputs-Results'!X32)</f>
        <v>0</v>
      </c>
      <c r="D27" s="19" t="e">
        <f>IF(C27&gt;'Inputs-Results'!$V32-'Inputs-Results'!$X32,(0.5*(ABS('Inputs-Results'!$S32-'Inputs-Results'!$U32)/('Inputs-Results'!$T32-'Inputs-Results'!$V32)*(C27-('Inputs-Results'!$V32-'Inputs-Results'!$X32)))*(C27-('Inputs-Results'!$V32-'Inputs-Results'!$X32))),0)+IF(C27&gt;'Inputs-Results'!$V32-'Inputs-Results'!$X32,(0.5*((C27+'Inputs-Results'!$X32-'Inputs-Results'!$V32)+C27)*ABS('Inputs-Results'!$U32-'Inputs-Results'!$W32)),0.5*(ABS('Inputs-Results'!$U32-'Inputs-Results'!$W32)/('Inputs-Results'!$V32-'Inputs-Results'!$X32)*C27)*C27)+IF(C27&gt;'Inputs-Results'!$Z32-'Inputs-Results'!$X32,(0.5*((C27+'Inputs-Results'!$X32-'Inputs-Results'!$Z32)+C27)*ABS('Inputs-Results'!$Y32-'Inputs-Results'!$W32)),0.5*(ABS('Inputs-Results'!$W32-'Inputs-Results'!$Y32)/('Inputs-Results'!$Z32-'Inputs-Results'!$X32)*C27)*C27)+IF(C27&gt;'Inputs-Results'!$Z32-'Inputs-Results'!$X32,(0.5*(ABS('Inputs-Results'!$Y32-'Inputs-Results'!$AA32)/('Inputs-Results'!$AB32-'Inputs-Results'!$Z32)*(C27-('Inputs-Results'!$Z32-'Inputs-Results'!$X32)))*(C27-('Inputs-Results'!$Z32-'Inputs-Results'!$X32))),0)</f>
        <v>#DIV/0!</v>
      </c>
      <c r="E27" s="19" t="e">
        <f>IF(C27&gt;'Inputs-Results'!$V$9-'Inputs-Results'!$X$9,SQRT(('Inputs-Results'!$U$9-'Inputs-Results'!$W$9)^2+('Inputs-Results'!$V$9-'Inputs-Results'!$X$9)^2)+SQRT(('Inputs-Results'!$W$9-'Inputs-Results'!$Y$9)^2+('Inputs-Results'!$X$9-'Inputs-Results'!$Z$9)^2)+SQRT((('Inputs-Results'!$S$9-'Inputs-Results'!$U$9)*(C27+'Inputs-Results'!$X$9-'Inputs-Results'!$V$9)/('Inputs-Results'!$T$9-'Inputs-Results'!$V$9))^2+(C27+'Inputs-Results'!$X$9-'Inputs-Results'!$V$9)^2)+SQRT((('Inputs-Results'!$AA$9-'Inputs-Results'!$Y$9)*(C27+'Inputs-Results'!$X$9-'Inputs-Results'!$Z$9)/('Inputs-Results'!$AB$9-'Inputs-Results'!$Z$9))^2+(C27+'Inputs-Results'!$X$9-'Inputs-Results'!$Z$9)^2),SQRT((('Inputs-Results'!$U$9-'Inputs-Results'!$W$9)*(C27)/('Inputs-Results'!$V$9-'Inputs-Results'!$X$9))^2+C27^2)+SQRT((('Inputs-Results'!$Y$9-'Inputs-Results'!$W$9)*C27/('Inputs-Results'!$Z$9-'Inputs-Results'!$X$9))^2+C27^2))</f>
        <v>#DIV/0!</v>
      </c>
      <c r="F27" s="19" t="e">
        <f t="shared" si="0"/>
        <v>#DIV/0!</v>
      </c>
      <c r="G27" s="19" t="e">
        <f>1.49/'Inputs-Results'!AC32*D27*F27^(2/3)*'Inputs-Results'!AD32^0.5</f>
        <v>#DIV/0!</v>
      </c>
      <c r="H27" s="27" t="e">
        <f t="shared" si="1"/>
        <v>#DIV/0!</v>
      </c>
      <c r="I27" s="26">
        <f t="shared" si="2"/>
        <v>0</v>
      </c>
      <c r="J27" s="19" t="e">
        <f>IF(I27&gt;'Inputs-Results'!$V32-'Inputs-Results'!$X32,(0.5*(ABS('Inputs-Results'!$S32-'Inputs-Results'!$U32)/('Inputs-Results'!$T32-'Inputs-Results'!$V32)*(I27-('Inputs-Results'!$V32-'Inputs-Results'!$X32)))*(I27-('Inputs-Results'!$V32-'Inputs-Results'!$X32))),0)+IF(I27&gt;'Inputs-Results'!$V32-'Inputs-Results'!$X32,(0.5*((I27+'Inputs-Results'!$X32-'Inputs-Results'!$V32)+I27)*ABS('Inputs-Results'!$U32-'Inputs-Results'!$W32)),0.5*(ABS('Inputs-Results'!$U32-'Inputs-Results'!$W32)/('Inputs-Results'!$V32-'Inputs-Results'!$X32)*I27)*I27)+IF(I27&gt;'Inputs-Results'!$Z32-'Inputs-Results'!$X32,(0.5*((I27+'Inputs-Results'!$X32-'Inputs-Results'!$Z32)+I27)*ABS('Inputs-Results'!$Y32-'Inputs-Results'!$W32)),0.5*(ABS('Inputs-Results'!$W32-'Inputs-Results'!$Y32)/('Inputs-Results'!$Z32-'Inputs-Results'!$X32)*I27)*I27)+IF(I27&gt;'Inputs-Results'!$Z32-'Inputs-Results'!$X32,(0.5*(ABS('Inputs-Results'!$Y32-'Inputs-Results'!$AA32)/('Inputs-Results'!$AB32-'Inputs-Results'!$Z32)*(I27-('Inputs-Results'!$Z32-'Inputs-Results'!$X32)))*(I27-('Inputs-Results'!$Z32-'Inputs-Results'!$X32))),0)</f>
        <v>#DIV/0!</v>
      </c>
      <c r="K27" s="19" t="e">
        <f>IF(I27&gt;'Inputs-Results'!$V$9-'Inputs-Results'!$X$9,SQRT(('Inputs-Results'!$U$9-'Inputs-Results'!$W$9)^2+('Inputs-Results'!$V$9-'Inputs-Results'!$X$9)^2)+SQRT(('Inputs-Results'!$W$9-'Inputs-Results'!$Y$9)^2+('Inputs-Results'!$X$9-'Inputs-Results'!$Z$9)^2)+SQRT((('Inputs-Results'!$S$9-'Inputs-Results'!$U$9)*(I27+'Inputs-Results'!$X$9-'Inputs-Results'!$V$9)/('Inputs-Results'!$T$9-'Inputs-Results'!$V$9))^2+(I27+'Inputs-Results'!$X$9-'Inputs-Results'!$V$9)^2)+SQRT((('Inputs-Results'!$AA$9-'Inputs-Results'!$Y$9)*(I27+'Inputs-Results'!$X$9-'Inputs-Results'!$Z$9)/('Inputs-Results'!$AB$9-'Inputs-Results'!$Z$9))^2+(I27+'Inputs-Results'!$X$9-'Inputs-Results'!$Z$9)^2),SQRT((('Inputs-Results'!$U$9-'Inputs-Results'!$W$9)*(I27)/('Inputs-Results'!$V$9-'Inputs-Results'!$X$9))^2+I27^2)+SQRT((('Inputs-Results'!$Y$9-'Inputs-Results'!$W$9)*I27/('Inputs-Results'!$Z$9-'Inputs-Results'!$X$9))^2+I27^2))</f>
        <v>#DIV/0!</v>
      </c>
      <c r="L27" s="19" t="e">
        <f t="shared" si="3"/>
        <v>#DIV/0!</v>
      </c>
      <c r="M27" s="19" t="e">
        <f>1.49/'Inputs-Results'!$AC32*J27*L27^(2/3)*'Inputs-Results'!$AD32^0.5</f>
        <v>#DIV/0!</v>
      </c>
      <c r="N27" s="27" t="e">
        <f t="shared" si="4"/>
        <v>#DIV/0!</v>
      </c>
      <c r="O27" s="26">
        <f t="shared" si="5"/>
        <v>0</v>
      </c>
      <c r="P27" s="19" t="e">
        <f>IF(O27&gt;'Inputs-Results'!$V32-'Inputs-Results'!$X32,(0.5*(ABS('Inputs-Results'!$S32-'Inputs-Results'!$U32)/('Inputs-Results'!$T32-'Inputs-Results'!$V32)*(O27-('Inputs-Results'!$V32-'Inputs-Results'!$X32)))*(O27-('Inputs-Results'!$V32-'Inputs-Results'!$X32))),0)+IF(O27&gt;'Inputs-Results'!$V32-'Inputs-Results'!$X32,(0.5*((O27+'Inputs-Results'!$X32-'Inputs-Results'!$V32)+O27)*ABS('Inputs-Results'!$U32-'Inputs-Results'!$W32)),0.5*(ABS('Inputs-Results'!$U32-'Inputs-Results'!$W32)/('Inputs-Results'!$V32-'Inputs-Results'!$X32)*O27)*O27)+IF(O27&gt;'Inputs-Results'!$Z32-'Inputs-Results'!$X32,(0.5*((O27+'Inputs-Results'!$X32-'Inputs-Results'!$Z32)+O27)*ABS('Inputs-Results'!$Y32-'Inputs-Results'!$W32)),0.5*(ABS('Inputs-Results'!$W32-'Inputs-Results'!$Y32)/('Inputs-Results'!$Z32-'Inputs-Results'!$X32)*O27)*O27)+IF(O27&gt;'Inputs-Results'!$Z32-'Inputs-Results'!$X32,(0.5*(ABS('Inputs-Results'!$Y32-'Inputs-Results'!$AA32)/('Inputs-Results'!$AB32-'Inputs-Results'!$Z32)*(O27-('Inputs-Results'!$Z32-'Inputs-Results'!$X32)))*(O27-('Inputs-Results'!$Z32-'Inputs-Results'!$X32))),0)</f>
        <v>#DIV/0!</v>
      </c>
      <c r="Q27" s="19" t="e">
        <f>IF(O27&gt;'Inputs-Results'!$V$9-'Inputs-Results'!$X$9,SQRT(('Inputs-Results'!$U$9-'Inputs-Results'!$W$9)^2+('Inputs-Results'!$V$9-'Inputs-Results'!$X$9)^2)+SQRT(('Inputs-Results'!$W$9-'Inputs-Results'!$Y$9)^2+('Inputs-Results'!$X$9-'Inputs-Results'!$Z$9)^2)+SQRT((('Inputs-Results'!$S$9-'Inputs-Results'!$U$9)*(O27+'Inputs-Results'!$X$9-'Inputs-Results'!$V$9)/('Inputs-Results'!$T$9-'Inputs-Results'!$V$9))^2+(O27+'Inputs-Results'!$X$9-'Inputs-Results'!$V$9)^2)+SQRT((('Inputs-Results'!$AA$9-'Inputs-Results'!$Y$9)*(O27+'Inputs-Results'!$X$9-'Inputs-Results'!$Z$9)/('Inputs-Results'!$AB$9-'Inputs-Results'!$Z$9))^2+(O27+'Inputs-Results'!$X$9-'Inputs-Results'!$Z$9)^2),SQRT((('Inputs-Results'!$U$9-'Inputs-Results'!$W$9)*(O27)/('Inputs-Results'!$V$9-'Inputs-Results'!$X$9))^2+O27^2)+SQRT((('Inputs-Results'!$Y$9-'Inputs-Results'!$W$9)*O27/('Inputs-Results'!$Z$9-'Inputs-Results'!$X$9))^2+O27^2))</f>
        <v>#DIV/0!</v>
      </c>
      <c r="R27" s="19" t="e">
        <f t="shared" si="6"/>
        <v>#DIV/0!</v>
      </c>
      <c r="S27" s="19" t="e">
        <f>1.49/'Inputs-Results'!$AC32*P27*R27^(2/3)*'Inputs-Results'!$AD32^0.5</f>
        <v>#DIV/0!</v>
      </c>
      <c r="T27" s="27" t="e">
        <f t="shared" si="7"/>
        <v>#DIV/0!</v>
      </c>
      <c r="U27" s="26">
        <f t="shared" si="8"/>
        <v>0</v>
      </c>
      <c r="V27" s="19" t="e">
        <f>IF(U27&gt;'Inputs-Results'!$V32-'Inputs-Results'!$X32,(0.5*(ABS('Inputs-Results'!$S32-'Inputs-Results'!$U32)/('Inputs-Results'!$T32-'Inputs-Results'!$V32)*(U27-('Inputs-Results'!$V32-'Inputs-Results'!$X32)))*(U27-('Inputs-Results'!$V32-'Inputs-Results'!$X32))),0)+IF(U27&gt;'Inputs-Results'!$V32-'Inputs-Results'!$X32,(0.5*((U27+'Inputs-Results'!$X32-'Inputs-Results'!$V32)+U27)*ABS('Inputs-Results'!$U32-'Inputs-Results'!$W32)),0.5*(ABS('Inputs-Results'!$U32-'Inputs-Results'!$W32)/('Inputs-Results'!$V32-'Inputs-Results'!$X32)*U27)*U27)+IF(U27&gt;'Inputs-Results'!$Z32-'Inputs-Results'!$X32,(0.5*((U27+'Inputs-Results'!$X32-'Inputs-Results'!$Z32)+U27)*ABS('Inputs-Results'!$Y32-'Inputs-Results'!$W32)),0.5*(ABS('Inputs-Results'!$W32-'Inputs-Results'!$Y32)/('Inputs-Results'!$Z32-'Inputs-Results'!$X32)*U27)*U27)+IF(U27&gt;'Inputs-Results'!$Z32-'Inputs-Results'!$X32,(0.5*(ABS('Inputs-Results'!$Y32-'Inputs-Results'!$AA32)/('Inputs-Results'!$AB32-'Inputs-Results'!$Z32)*(U27-('Inputs-Results'!$Z32-'Inputs-Results'!$X32)))*(U27-('Inputs-Results'!$Z32-'Inputs-Results'!$X32))),0)</f>
        <v>#DIV/0!</v>
      </c>
      <c r="W27" s="19" t="e">
        <f>IF(U27&gt;'Inputs-Results'!$V$9-'Inputs-Results'!$X$9,SQRT(('Inputs-Results'!$U$9-'Inputs-Results'!$W$9)^2+('Inputs-Results'!$V$9-'Inputs-Results'!$X$9)^2)+SQRT(('Inputs-Results'!$W$9-'Inputs-Results'!$Y$9)^2+('Inputs-Results'!$X$9-'Inputs-Results'!$Z$9)^2)+SQRT((('Inputs-Results'!$S$9-'Inputs-Results'!$U$9)*(U27+'Inputs-Results'!$X$9-'Inputs-Results'!$V$9)/('Inputs-Results'!$T$9-'Inputs-Results'!$V$9))^2+(U27+'Inputs-Results'!$X$9-'Inputs-Results'!$V$9)^2)+SQRT((('Inputs-Results'!$AA$9-'Inputs-Results'!$Y$9)*(U27+'Inputs-Results'!$X$9-'Inputs-Results'!$Z$9)/('Inputs-Results'!$AB$9-'Inputs-Results'!$Z$9))^2+(U27+'Inputs-Results'!$X$9-'Inputs-Results'!$Z$9)^2),SQRT((('Inputs-Results'!$U$9-'Inputs-Results'!$W$9)*(U27)/('Inputs-Results'!$V$9-'Inputs-Results'!$X$9))^2+U27^2)+SQRT((('Inputs-Results'!$Y$9-'Inputs-Results'!$W$9)*U27/('Inputs-Results'!$Z$9-'Inputs-Results'!$X$9))^2+U27^2))</f>
        <v>#DIV/0!</v>
      </c>
      <c r="X27" s="19" t="e">
        <f t="shared" si="9"/>
        <v>#DIV/0!</v>
      </c>
      <c r="Y27" s="19" t="e">
        <f>1.49/'Inputs-Results'!$AC32*V27*X27^(2/3)*'Inputs-Results'!$AD32^0.5</f>
        <v>#DIV/0!</v>
      </c>
      <c r="Z27" s="27" t="e">
        <f t="shared" si="10"/>
        <v>#DIV/0!</v>
      </c>
      <c r="AA27" s="26">
        <f t="shared" si="11"/>
        <v>0</v>
      </c>
      <c r="AB27" s="19" t="e">
        <f>IF(AA27&gt;'Inputs-Results'!$V32-'Inputs-Results'!$X32,(0.5*(ABS('Inputs-Results'!$S32-'Inputs-Results'!$U32)/('Inputs-Results'!$T32-'Inputs-Results'!$V32)*(AA27-('Inputs-Results'!$V32-'Inputs-Results'!$X32)))*(AA27-('Inputs-Results'!$V32-'Inputs-Results'!$X32))),0)+IF(AA27&gt;'Inputs-Results'!$V32-'Inputs-Results'!$X32,(0.5*((AA27+'Inputs-Results'!$X32-'Inputs-Results'!$V32)+AA27)*ABS('Inputs-Results'!$U32-'Inputs-Results'!$W32)),0.5*(ABS('Inputs-Results'!$U32-'Inputs-Results'!$W32)/('Inputs-Results'!$V32-'Inputs-Results'!$X32)*AA27)*AA27)+IF(AA27&gt;'Inputs-Results'!$Z32-'Inputs-Results'!$X32,(0.5*((AA27+'Inputs-Results'!$X32-'Inputs-Results'!$Z32)+AA27)*ABS('Inputs-Results'!$Y32-'Inputs-Results'!$W32)),0.5*(ABS('Inputs-Results'!$W32-'Inputs-Results'!$Y32)/('Inputs-Results'!$Z32-'Inputs-Results'!$X32)*AA27)*AA27)+IF(AA27&gt;'Inputs-Results'!$Z32-'Inputs-Results'!$X32,(0.5*(ABS('Inputs-Results'!$Y32-'Inputs-Results'!$AA32)/('Inputs-Results'!$AB32-'Inputs-Results'!$Z32)*(AA27-('Inputs-Results'!$Z32-'Inputs-Results'!$X32)))*(AA27-('Inputs-Results'!$Z32-'Inputs-Results'!$X32))),0)</f>
        <v>#DIV/0!</v>
      </c>
      <c r="AC27" s="19" t="e">
        <f>IF(AA27&gt;'Inputs-Results'!$V$9-'Inputs-Results'!$X$9,SQRT(('Inputs-Results'!$U$9-'Inputs-Results'!$W$9)^2+('Inputs-Results'!$V$9-'Inputs-Results'!$X$9)^2)+SQRT(('Inputs-Results'!$W$9-'Inputs-Results'!$Y$9)^2+('Inputs-Results'!$X$9-'Inputs-Results'!$Z$9)^2)+SQRT((('Inputs-Results'!$S$9-'Inputs-Results'!$U$9)*(AA27+'Inputs-Results'!$X$9-'Inputs-Results'!$V$9)/('Inputs-Results'!$T$9-'Inputs-Results'!$V$9))^2+(AA27+'Inputs-Results'!$X$9-'Inputs-Results'!$V$9)^2)+SQRT((('Inputs-Results'!$AA$9-'Inputs-Results'!$Y$9)*(AA27+'Inputs-Results'!$X$9-'Inputs-Results'!$Z$9)/('Inputs-Results'!$AB$9-'Inputs-Results'!$Z$9))^2+(AA27+'Inputs-Results'!$X$9-'Inputs-Results'!$Z$9)^2),SQRT((('Inputs-Results'!$U$9-'Inputs-Results'!$W$9)*(AA27)/('Inputs-Results'!$V$9-'Inputs-Results'!$X$9))^2+AA27^2)+SQRT((('Inputs-Results'!$Y$9-'Inputs-Results'!$W$9)*AA27/('Inputs-Results'!$Z$9-'Inputs-Results'!$X$9))^2+AA27^2))</f>
        <v>#DIV/0!</v>
      </c>
      <c r="AD27" s="19" t="e">
        <f t="shared" si="12"/>
        <v>#DIV/0!</v>
      </c>
      <c r="AE27" s="19" t="e">
        <f>1.49/'Inputs-Results'!$AC32*AB27*AD27^(2/3)*'Inputs-Results'!$AD32^0.5</f>
        <v>#DIV/0!</v>
      </c>
      <c r="AF27" s="27" t="e">
        <f t="shared" si="13"/>
        <v>#DIV/0!</v>
      </c>
      <c r="AG27" s="26">
        <f t="shared" si="14"/>
        <v>0</v>
      </c>
      <c r="AH27" s="19" t="e">
        <f>IF(AG27&gt;'Inputs-Results'!$V32-'Inputs-Results'!$X32,(0.5*(ABS('Inputs-Results'!$S32-'Inputs-Results'!$U32)/('Inputs-Results'!$T32-'Inputs-Results'!$V32)*(AG27-('Inputs-Results'!$V32-'Inputs-Results'!$X32)))*(AG27-('Inputs-Results'!$V32-'Inputs-Results'!$X32))),0)+IF(AG27&gt;'Inputs-Results'!$V32-'Inputs-Results'!$X32,(0.5*((AG27+'Inputs-Results'!$X32-'Inputs-Results'!$V32)+AG27)*ABS('Inputs-Results'!$U32-'Inputs-Results'!$W32)),0.5*(ABS('Inputs-Results'!$U32-'Inputs-Results'!$W32)/('Inputs-Results'!$V32-'Inputs-Results'!$X32)*AG27)*AG27)+IF(AG27&gt;'Inputs-Results'!$Z32-'Inputs-Results'!$X32,(0.5*((AG27+'Inputs-Results'!$X32-'Inputs-Results'!$Z32)+AG27)*ABS('Inputs-Results'!$Y32-'Inputs-Results'!$W32)),0.5*(ABS('Inputs-Results'!$W32-'Inputs-Results'!$Y32)/('Inputs-Results'!$Z32-'Inputs-Results'!$X32)*AG27)*AG27)+IF(AG27&gt;'Inputs-Results'!$Z32-'Inputs-Results'!$X32,(0.5*(ABS('Inputs-Results'!$Y32-'Inputs-Results'!$AA32)/('Inputs-Results'!$AB32-'Inputs-Results'!$Z32)*(AG27-('Inputs-Results'!$Z32-'Inputs-Results'!$X32)))*(AG27-('Inputs-Results'!$Z32-'Inputs-Results'!$X32))),0)</f>
        <v>#DIV/0!</v>
      </c>
      <c r="AI27" s="19" t="e">
        <f>IF(AG27&gt;'Inputs-Results'!$V$9-'Inputs-Results'!$X$9,SQRT(('Inputs-Results'!$U$9-'Inputs-Results'!$W$9)^2+('Inputs-Results'!$V$9-'Inputs-Results'!$X$9)^2)+SQRT(('Inputs-Results'!$W$9-'Inputs-Results'!$Y$9)^2+('Inputs-Results'!$X$9-'Inputs-Results'!$Z$9)^2)+SQRT((('Inputs-Results'!$S$9-'Inputs-Results'!$U$9)*(AG27+'Inputs-Results'!$X$9-'Inputs-Results'!$V$9)/('Inputs-Results'!$T$9-'Inputs-Results'!$V$9))^2+(AG27+'Inputs-Results'!$X$9-'Inputs-Results'!$V$9)^2)+SQRT((('Inputs-Results'!$AA$9-'Inputs-Results'!$Y$9)*(AG27+'Inputs-Results'!$X$9-'Inputs-Results'!$Z$9)/('Inputs-Results'!$AB$9-'Inputs-Results'!$Z$9))^2+(AG27+'Inputs-Results'!$X$9-'Inputs-Results'!$Z$9)^2),SQRT((('Inputs-Results'!$U$9-'Inputs-Results'!$W$9)*(AG27)/('Inputs-Results'!$V$9-'Inputs-Results'!$X$9))^2+AG27^2)+SQRT((('Inputs-Results'!$Y$9-'Inputs-Results'!$W$9)*AG27/('Inputs-Results'!$Z$9-'Inputs-Results'!$X$9))^2+AG27^2))</f>
        <v>#DIV/0!</v>
      </c>
      <c r="AJ27" s="19" t="e">
        <f t="shared" si="15"/>
        <v>#DIV/0!</v>
      </c>
      <c r="AK27" s="19" t="e">
        <f>1.49/'Inputs-Results'!$AC32*AH27*AJ27^(2/3)*'Inputs-Results'!$AD32^0.5</f>
        <v>#DIV/0!</v>
      </c>
      <c r="AL27" s="27" t="e">
        <f t="shared" si="16"/>
        <v>#DIV/0!</v>
      </c>
      <c r="AM27" s="26">
        <f t="shared" si="17"/>
        <v>0</v>
      </c>
      <c r="AN27" s="19" t="e">
        <f>IF(AM27&gt;'Inputs-Results'!$V32-'Inputs-Results'!$X32,(0.5*(ABS('Inputs-Results'!$S32-'Inputs-Results'!$U32)/('Inputs-Results'!$T32-'Inputs-Results'!$V32)*(AM27-('Inputs-Results'!$V32-'Inputs-Results'!$X32)))*(AM27-('Inputs-Results'!$V32-'Inputs-Results'!$X32))),0)+IF(AM27&gt;'Inputs-Results'!$V32-'Inputs-Results'!$X32,(0.5*((AM27+'Inputs-Results'!$X32-'Inputs-Results'!$V32)+AM27)*ABS('Inputs-Results'!$U32-'Inputs-Results'!$W32)),0.5*(ABS('Inputs-Results'!$U32-'Inputs-Results'!$W32)/('Inputs-Results'!$V32-'Inputs-Results'!$X32)*AM27)*AM27)+IF(AM27&gt;'Inputs-Results'!$Z32-'Inputs-Results'!$X32,(0.5*((AM27+'Inputs-Results'!$X32-'Inputs-Results'!$Z32)+AM27)*ABS('Inputs-Results'!$Y32-'Inputs-Results'!$W32)),0.5*(ABS('Inputs-Results'!$W32-'Inputs-Results'!$Y32)/('Inputs-Results'!$Z32-'Inputs-Results'!$X32)*AM27)*AM27)+IF(AM27&gt;'Inputs-Results'!$Z32-'Inputs-Results'!$X32,(0.5*(ABS('Inputs-Results'!$Y32-'Inputs-Results'!$AA32)/('Inputs-Results'!$AB32-'Inputs-Results'!$Z32)*(AM27-('Inputs-Results'!$Z32-'Inputs-Results'!$X32)))*(AM27-('Inputs-Results'!$Z32-'Inputs-Results'!$X32))),0)</f>
        <v>#DIV/0!</v>
      </c>
      <c r="AO27" s="19" t="e">
        <f>IF(AM27&gt;'Inputs-Results'!$V$9-'Inputs-Results'!$X$9,SQRT(('Inputs-Results'!$U$9-'Inputs-Results'!$W$9)^2+('Inputs-Results'!$V$9-'Inputs-Results'!$X$9)^2)+SQRT(('Inputs-Results'!$W$9-'Inputs-Results'!$Y$9)^2+('Inputs-Results'!$X$9-'Inputs-Results'!$Z$9)^2)+SQRT((('Inputs-Results'!$S$9-'Inputs-Results'!$U$9)*(AM27+'Inputs-Results'!$X$9-'Inputs-Results'!$V$9)/('Inputs-Results'!$T$9-'Inputs-Results'!$V$9))^2+(AM27+'Inputs-Results'!$X$9-'Inputs-Results'!$V$9)^2)+SQRT((('Inputs-Results'!$AA$9-'Inputs-Results'!$Y$9)*(AM27+'Inputs-Results'!$X$9-'Inputs-Results'!$Z$9)/('Inputs-Results'!$AB$9-'Inputs-Results'!$Z$9))^2+(AM27+'Inputs-Results'!$X$9-'Inputs-Results'!$Z$9)^2),SQRT((('Inputs-Results'!$U$9-'Inputs-Results'!$W$9)*(AM27)/('Inputs-Results'!$V$9-'Inputs-Results'!$X$9))^2+AM27^2)+SQRT((('Inputs-Results'!$Y$9-'Inputs-Results'!$W$9)*AM27/('Inputs-Results'!$Z$9-'Inputs-Results'!$X$9))^2+AM27^2))</f>
        <v>#DIV/0!</v>
      </c>
      <c r="AP27" s="19" t="e">
        <f t="shared" si="18"/>
        <v>#DIV/0!</v>
      </c>
      <c r="AQ27" s="19" t="e">
        <f>1.49/'Inputs-Results'!$AC32*AN27*AP27^(2/3)*'Inputs-Results'!$AD32^0.5</f>
        <v>#DIV/0!</v>
      </c>
      <c r="AR27" s="27" t="e">
        <f t="shared" si="19"/>
        <v>#DIV/0!</v>
      </c>
      <c r="AS27" s="26">
        <f t="shared" si="20"/>
        <v>0</v>
      </c>
      <c r="AT27" s="19" t="e">
        <f>IF(AS27&gt;'Inputs-Results'!$V32-'Inputs-Results'!$X32,(0.5*(ABS('Inputs-Results'!$S32-'Inputs-Results'!$U32)/('Inputs-Results'!$T32-'Inputs-Results'!$V32)*(AS27-('Inputs-Results'!$V32-'Inputs-Results'!$X32)))*(AS27-('Inputs-Results'!$V32-'Inputs-Results'!$X32))),0)+IF(AS27&gt;'Inputs-Results'!$V32-'Inputs-Results'!$X32,(0.5*((AS27+'Inputs-Results'!$X32-'Inputs-Results'!$V32)+AS27)*ABS('Inputs-Results'!$U32-'Inputs-Results'!$W32)),0.5*(ABS('Inputs-Results'!$U32-'Inputs-Results'!$W32)/('Inputs-Results'!$V32-'Inputs-Results'!$X32)*AS27)*AS27)+IF(AS27&gt;'Inputs-Results'!$Z32-'Inputs-Results'!$X32,(0.5*((AS27+'Inputs-Results'!$X32-'Inputs-Results'!$Z32)+AS27)*ABS('Inputs-Results'!$Y32-'Inputs-Results'!$W32)),0.5*(ABS('Inputs-Results'!$W32-'Inputs-Results'!$Y32)/('Inputs-Results'!$Z32-'Inputs-Results'!$X32)*AS27)*AS27)+IF(AS27&gt;'Inputs-Results'!$Z32-'Inputs-Results'!$X32,(0.5*(ABS('Inputs-Results'!$Y32-'Inputs-Results'!$AA32)/('Inputs-Results'!$AB32-'Inputs-Results'!$Z32)*(AS27-('Inputs-Results'!$Z32-'Inputs-Results'!$X32)))*(AS27-('Inputs-Results'!$Z32-'Inputs-Results'!$X32))),0)</f>
        <v>#DIV/0!</v>
      </c>
      <c r="AU27" s="19" t="e">
        <f>IF(AS27&gt;'Inputs-Results'!$V$9-'Inputs-Results'!$X$9,SQRT(('Inputs-Results'!$U$9-'Inputs-Results'!$W$9)^2+('Inputs-Results'!$V$9-'Inputs-Results'!$X$9)^2)+SQRT(('Inputs-Results'!$W$9-'Inputs-Results'!$Y$9)^2+('Inputs-Results'!$X$9-'Inputs-Results'!$Z$9)^2)+SQRT((('Inputs-Results'!$S$9-'Inputs-Results'!$U$9)*(AS27+'Inputs-Results'!$X$9-'Inputs-Results'!$V$9)/('Inputs-Results'!$T$9-'Inputs-Results'!$V$9))^2+(AS27+'Inputs-Results'!$X$9-'Inputs-Results'!$V$9)^2)+SQRT((('Inputs-Results'!$AA$9-'Inputs-Results'!$Y$9)*(AS27+'Inputs-Results'!$X$9-'Inputs-Results'!$Z$9)/('Inputs-Results'!$AB$9-'Inputs-Results'!$Z$9))^2+(AS27+'Inputs-Results'!$X$9-'Inputs-Results'!$Z$9)^2),SQRT((('Inputs-Results'!$U$9-'Inputs-Results'!$W$9)*(AS27)/('Inputs-Results'!$V$9-'Inputs-Results'!$X$9))^2+AS27^2)+SQRT((('Inputs-Results'!$Y$9-'Inputs-Results'!$W$9)*AS27/('Inputs-Results'!$Z$9-'Inputs-Results'!$X$9))^2+AS27^2))</f>
        <v>#DIV/0!</v>
      </c>
      <c r="AV27" s="19" t="e">
        <f t="shared" si="21"/>
        <v>#DIV/0!</v>
      </c>
      <c r="AW27" s="19" t="e">
        <f>1.49/'Inputs-Results'!$AC32*AT27*AV27^(2/3)*'Inputs-Results'!$AD32^0.5</f>
        <v>#DIV/0!</v>
      </c>
      <c r="AX27" s="27" t="e">
        <f t="shared" si="22"/>
        <v>#DIV/0!</v>
      </c>
      <c r="AY27" s="26">
        <f t="shared" si="23"/>
        <v>0</v>
      </c>
      <c r="AZ27" s="19" t="e">
        <f>IF(AY27&gt;'Inputs-Results'!$V32-'Inputs-Results'!$X32,(0.5*(ABS('Inputs-Results'!$S32-'Inputs-Results'!$U32)/('Inputs-Results'!$T32-'Inputs-Results'!$V32)*(AY27-('Inputs-Results'!$V32-'Inputs-Results'!$X32)))*(AY27-('Inputs-Results'!$V32-'Inputs-Results'!$X32))),0)+IF(AY27&gt;'Inputs-Results'!$V32-'Inputs-Results'!$X32,(0.5*((AY27+'Inputs-Results'!$X32-'Inputs-Results'!$V32)+AY27)*ABS('Inputs-Results'!$U32-'Inputs-Results'!$W32)),0.5*(ABS('Inputs-Results'!$U32-'Inputs-Results'!$W32)/('Inputs-Results'!$V32-'Inputs-Results'!$X32)*AY27)*AY27)+IF(AY27&gt;'Inputs-Results'!$Z32-'Inputs-Results'!$X32,(0.5*((AY27+'Inputs-Results'!$X32-'Inputs-Results'!$Z32)+AY27)*ABS('Inputs-Results'!$Y32-'Inputs-Results'!$W32)),0.5*(ABS('Inputs-Results'!$W32-'Inputs-Results'!$Y32)/('Inputs-Results'!$Z32-'Inputs-Results'!$X32)*AY27)*AY27)+IF(AY27&gt;'Inputs-Results'!$Z32-'Inputs-Results'!$X32,(0.5*(ABS('Inputs-Results'!$Y32-'Inputs-Results'!$AA32)/('Inputs-Results'!$AB32-'Inputs-Results'!$Z32)*(AY27-('Inputs-Results'!$Z32-'Inputs-Results'!$X32)))*(AY27-('Inputs-Results'!$Z32-'Inputs-Results'!$X32))),0)</f>
        <v>#DIV/0!</v>
      </c>
      <c r="BA27" s="19" t="e">
        <f>IF(AY27&gt;'Inputs-Results'!$V$9-'Inputs-Results'!$X$9,SQRT(('Inputs-Results'!$U$9-'Inputs-Results'!$W$9)^2+('Inputs-Results'!$V$9-'Inputs-Results'!$X$9)^2)+SQRT(('Inputs-Results'!$W$9-'Inputs-Results'!$Y$9)^2+('Inputs-Results'!$X$9-'Inputs-Results'!$Z$9)^2)+SQRT((('Inputs-Results'!$S$9-'Inputs-Results'!$U$9)*(AY27+'Inputs-Results'!$X$9-'Inputs-Results'!$V$9)/('Inputs-Results'!$T$9-'Inputs-Results'!$V$9))^2+(AY27+'Inputs-Results'!$X$9-'Inputs-Results'!$V$9)^2)+SQRT((('Inputs-Results'!$AA$9-'Inputs-Results'!$Y$9)*(AY27+'Inputs-Results'!$X$9-'Inputs-Results'!$Z$9)/('Inputs-Results'!$AB$9-'Inputs-Results'!$Z$9))^2+(AY27+'Inputs-Results'!$X$9-'Inputs-Results'!$Z$9)^2),SQRT((('Inputs-Results'!$U$9-'Inputs-Results'!$W$9)*(AY27)/('Inputs-Results'!$V$9-'Inputs-Results'!$X$9))^2+AY27^2)+SQRT((('Inputs-Results'!$Y$9-'Inputs-Results'!$W$9)*AY27/('Inputs-Results'!$Z$9-'Inputs-Results'!$X$9))^2+AY27^2))</f>
        <v>#DIV/0!</v>
      </c>
      <c r="BB27" s="19" t="e">
        <f t="shared" si="24"/>
        <v>#DIV/0!</v>
      </c>
      <c r="BC27" s="19" t="e">
        <f>1.49/'Inputs-Results'!$AC32*AZ27*BB27^(2/3)*'Inputs-Results'!$AD32^0.5</f>
        <v>#DIV/0!</v>
      </c>
      <c r="BD27" s="27" t="e">
        <f t="shared" si="25"/>
        <v>#DIV/0!</v>
      </c>
      <c r="BE27" s="26">
        <f t="shared" si="26"/>
        <v>0</v>
      </c>
      <c r="BF27" s="19" t="e">
        <f>IF(BE27&gt;'Inputs-Results'!$V32-'Inputs-Results'!$X32,(0.5*(ABS('Inputs-Results'!$S32-'Inputs-Results'!$U32)/('Inputs-Results'!$T32-'Inputs-Results'!$V32)*(BE27-('Inputs-Results'!$V32-'Inputs-Results'!$X32)))*(BE27-('Inputs-Results'!$V32-'Inputs-Results'!$X32))),0)+IF(BE27&gt;'Inputs-Results'!$V32-'Inputs-Results'!$X32,(0.5*((BE27+'Inputs-Results'!$X32-'Inputs-Results'!$V32)+BE27)*ABS('Inputs-Results'!$U32-'Inputs-Results'!$W32)),0.5*(ABS('Inputs-Results'!$U32-'Inputs-Results'!$W32)/('Inputs-Results'!$V32-'Inputs-Results'!$X32)*BE27)*BE27)+IF(BE27&gt;'Inputs-Results'!$Z32-'Inputs-Results'!$X32,(0.5*((BE27+'Inputs-Results'!$X32-'Inputs-Results'!$Z32)+BE27)*ABS('Inputs-Results'!$Y32-'Inputs-Results'!$W32)),0.5*(ABS('Inputs-Results'!$W32-'Inputs-Results'!$Y32)/('Inputs-Results'!$Z32-'Inputs-Results'!$X32)*BE27)*BE27)+IF(BE27&gt;'Inputs-Results'!$Z32-'Inputs-Results'!$X32,(0.5*(ABS('Inputs-Results'!$Y32-'Inputs-Results'!$AA32)/('Inputs-Results'!$AB32-'Inputs-Results'!$Z32)*(BE27-('Inputs-Results'!$Z32-'Inputs-Results'!$X32)))*(BE27-('Inputs-Results'!$Z32-'Inputs-Results'!$X32))),0)</f>
        <v>#DIV/0!</v>
      </c>
      <c r="BG27" s="19" t="e">
        <f>IF(BE27&gt;'Inputs-Results'!$V$9-'Inputs-Results'!$X$9,SQRT(('Inputs-Results'!$U$9-'Inputs-Results'!$W$9)^2+('Inputs-Results'!$V$9-'Inputs-Results'!$X$9)^2)+SQRT(('Inputs-Results'!$W$9-'Inputs-Results'!$Y$9)^2+('Inputs-Results'!$X$9-'Inputs-Results'!$Z$9)^2)+SQRT((('Inputs-Results'!$S$9-'Inputs-Results'!$U$9)*(BE27+'Inputs-Results'!$X$9-'Inputs-Results'!$V$9)/('Inputs-Results'!$T$9-'Inputs-Results'!$V$9))^2+(BE27+'Inputs-Results'!$X$9-'Inputs-Results'!$V$9)^2)+SQRT((('Inputs-Results'!$AA$9-'Inputs-Results'!$Y$9)*(BE27+'Inputs-Results'!$X$9-'Inputs-Results'!$Z$9)/('Inputs-Results'!$AB$9-'Inputs-Results'!$Z$9))^2+(BE27+'Inputs-Results'!$X$9-'Inputs-Results'!$Z$9)^2),SQRT((('Inputs-Results'!$U$9-'Inputs-Results'!$W$9)*(BE27)/('Inputs-Results'!$V$9-'Inputs-Results'!$X$9))^2+BE27^2)+SQRT((('Inputs-Results'!$Y$9-'Inputs-Results'!$W$9)*BE27/('Inputs-Results'!$Z$9-'Inputs-Results'!$X$9))^2+BE27^2))</f>
        <v>#DIV/0!</v>
      </c>
      <c r="BH27" s="19" t="e">
        <f t="shared" si="27"/>
        <v>#DIV/0!</v>
      </c>
      <c r="BI27" s="19" t="e">
        <f>1.49/'Inputs-Results'!$AC32*BF27*BH27^(2/3)*'Inputs-Results'!$AD32^0.5</f>
        <v>#DIV/0!</v>
      </c>
      <c r="BJ27" s="27" t="e">
        <f t="shared" si="28"/>
        <v>#DIV/0!</v>
      </c>
    </row>
    <row r="28" spans="1:62" x14ac:dyDescent="0.25">
      <c r="A28" s="2">
        <v>0</v>
      </c>
      <c r="B28" s="17"/>
      <c r="C28" s="26">
        <f>MIN('Inputs-Results'!T33-'Inputs-Results'!X33,'Inputs-Results'!AB33-'Inputs-Results'!X33)</f>
        <v>0</v>
      </c>
      <c r="D28" s="19" t="e">
        <f>IF(C28&gt;'Inputs-Results'!$V33-'Inputs-Results'!$X33,(0.5*(ABS('Inputs-Results'!$S33-'Inputs-Results'!$U33)/('Inputs-Results'!$T33-'Inputs-Results'!$V33)*(C28-('Inputs-Results'!$V33-'Inputs-Results'!$X33)))*(C28-('Inputs-Results'!$V33-'Inputs-Results'!$X33))),0)+IF(C28&gt;'Inputs-Results'!$V33-'Inputs-Results'!$X33,(0.5*((C28+'Inputs-Results'!$X33-'Inputs-Results'!$V33)+C28)*ABS('Inputs-Results'!$U33-'Inputs-Results'!$W33)),0.5*(ABS('Inputs-Results'!$U33-'Inputs-Results'!$W33)/('Inputs-Results'!$V33-'Inputs-Results'!$X33)*C28)*C28)+IF(C28&gt;'Inputs-Results'!$Z33-'Inputs-Results'!$X33,(0.5*((C28+'Inputs-Results'!$X33-'Inputs-Results'!$Z33)+C28)*ABS('Inputs-Results'!$Y33-'Inputs-Results'!$W33)),0.5*(ABS('Inputs-Results'!$W33-'Inputs-Results'!$Y33)/('Inputs-Results'!$Z33-'Inputs-Results'!$X33)*C28)*C28)+IF(C28&gt;'Inputs-Results'!$Z33-'Inputs-Results'!$X33,(0.5*(ABS('Inputs-Results'!$Y33-'Inputs-Results'!$AA33)/('Inputs-Results'!$AB33-'Inputs-Results'!$Z33)*(C28-('Inputs-Results'!$Z33-'Inputs-Results'!$X33)))*(C28-('Inputs-Results'!$Z33-'Inputs-Results'!$X33))),0)</f>
        <v>#DIV/0!</v>
      </c>
      <c r="E28" s="19" t="e">
        <f>IF(C28&gt;'Inputs-Results'!$V$9-'Inputs-Results'!$X$9,SQRT(('Inputs-Results'!$U$9-'Inputs-Results'!$W$9)^2+('Inputs-Results'!$V$9-'Inputs-Results'!$X$9)^2)+SQRT(('Inputs-Results'!$W$9-'Inputs-Results'!$Y$9)^2+('Inputs-Results'!$X$9-'Inputs-Results'!$Z$9)^2)+SQRT((('Inputs-Results'!$S$9-'Inputs-Results'!$U$9)*(C28+'Inputs-Results'!$X$9-'Inputs-Results'!$V$9)/('Inputs-Results'!$T$9-'Inputs-Results'!$V$9))^2+(C28+'Inputs-Results'!$X$9-'Inputs-Results'!$V$9)^2)+SQRT((('Inputs-Results'!$AA$9-'Inputs-Results'!$Y$9)*(C28+'Inputs-Results'!$X$9-'Inputs-Results'!$Z$9)/('Inputs-Results'!$AB$9-'Inputs-Results'!$Z$9))^2+(C28+'Inputs-Results'!$X$9-'Inputs-Results'!$Z$9)^2),SQRT((('Inputs-Results'!$U$9-'Inputs-Results'!$W$9)*(C28)/('Inputs-Results'!$V$9-'Inputs-Results'!$X$9))^2+C28^2)+SQRT((('Inputs-Results'!$Y$9-'Inputs-Results'!$W$9)*C28/('Inputs-Results'!$Z$9-'Inputs-Results'!$X$9))^2+C28^2))</f>
        <v>#DIV/0!</v>
      </c>
      <c r="F28" s="19" t="e">
        <f t="shared" si="0"/>
        <v>#DIV/0!</v>
      </c>
      <c r="G28" s="19" t="e">
        <f>1.49/'Inputs-Results'!AC33*D28*F28^(2/3)*'Inputs-Results'!AD33^0.5</f>
        <v>#DIV/0!</v>
      </c>
      <c r="H28" s="27" t="e">
        <f t="shared" si="1"/>
        <v>#DIV/0!</v>
      </c>
      <c r="I28" s="26">
        <f t="shared" si="2"/>
        <v>0</v>
      </c>
      <c r="J28" s="19" t="e">
        <f>IF(I28&gt;'Inputs-Results'!$V33-'Inputs-Results'!$X33,(0.5*(ABS('Inputs-Results'!$S33-'Inputs-Results'!$U33)/('Inputs-Results'!$T33-'Inputs-Results'!$V33)*(I28-('Inputs-Results'!$V33-'Inputs-Results'!$X33)))*(I28-('Inputs-Results'!$V33-'Inputs-Results'!$X33))),0)+IF(I28&gt;'Inputs-Results'!$V33-'Inputs-Results'!$X33,(0.5*((I28+'Inputs-Results'!$X33-'Inputs-Results'!$V33)+I28)*ABS('Inputs-Results'!$U33-'Inputs-Results'!$W33)),0.5*(ABS('Inputs-Results'!$U33-'Inputs-Results'!$W33)/('Inputs-Results'!$V33-'Inputs-Results'!$X33)*I28)*I28)+IF(I28&gt;'Inputs-Results'!$Z33-'Inputs-Results'!$X33,(0.5*((I28+'Inputs-Results'!$X33-'Inputs-Results'!$Z33)+I28)*ABS('Inputs-Results'!$Y33-'Inputs-Results'!$W33)),0.5*(ABS('Inputs-Results'!$W33-'Inputs-Results'!$Y33)/('Inputs-Results'!$Z33-'Inputs-Results'!$X33)*I28)*I28)+IF(I28&gt;'Inputs-Results'!$Z33-'Inputs-Results'!$X33,(0.5*(ABS('Inputs-Results'!$Y33-'Inputs-Results'!$AA33)/('Inputs-Results'!$AB33-'Inputs-Results'!$Z33)*(I28-('Inputs-Results'!$Z33-'Inputs-Results'!$X33)))*(I28-('Inputs-Results'!$Z33-'Inputs-Results'!$X33))),0)</f>
        <v>#DIV/0!</v>
      </c>
      <c r="K28" s="19" t="e">
        <f>IF(I28&gt;'Inputs-Results'!$V$9-'Inputs-Results'!$X$9,SQRT(('Inputs-Results'!$U$9-'Inputs-Results'!$W$9)^2+('Inputs-Results'!$V$9-'Inputs-Results'!$X$9)^2)+SQRT(('Inputs-Results'!$W$9-'Inputs-Results'!$Y$9)^2+('Inputs-Results'!$X$9-'Inputs-Results'!$Z$9)^2)+SQRT((('Inputs-Results'!$S$9-'Inputs-Results'!$U$9)*(I28+'Inputs-Results'!$X$9-'Inputs-Results'!$V$9)/('Inputs-Results'!$T$9-'Inputs-Results'!$V$9))^2+(I28+'Inputs-Results'!$X$9-'Inputs-Results'!$V$9)^2)+SQRT((('Inputs-Results'!$AA$9-'Inputs-Results'!$Y$9)*(I28+'Inputs-Results'!$X$9-'Inputs-Results'!$Z$9)/('Inputs-Results'!$AB$9-'Inputs-Results'!$Z$9))^2+(I28+'Inputs-Results'!$X$9-'Inputs-Results'!$Z$9)^2),SQRT((('Inputs-Results'!$U$9-'Inputs-Results'!$W$9)*(I28)/('Inputs-Results'!$V$9-'Inputs-Results'!$X$9))^2+I28^2)+SQRT((('Inputs-Results'!$Y$9-'Inputs-Results'!$W$9)*I28/('Inputs-Results'!$Z$9-'Inputs-Results'!$X$9))^2+I28^2))</f>
        <v>#DIV/0!</v>
      </c>
      <c r="L28" s="19" t="e">
        <f t="shared" si="3"/>
        <v>#DIV/0!</v>
      </c>
      <c r="M28" s="19" t="e">
        <f>1.49/'Inputs-Results'!$AC33*J28*L28^(2/3)*'Inputs-Results'!$AD33^0.5</f>
        <v>#DIV/0!</v>
      </c>
      <c r="N28" s="27" t="e">
        <f t="shared" si="4"/>
        <v>#DIV/0!</v>
      </c>
      <c r="O28" s="26">
        <f t="shared" si="5"/>
        <v>0</v>
      </c>
      <c r="P28" s="19" t="e">
        <f>IF(O28&gt;'Inputs-Results'!$V33-'Inputs-Results'!$X33,(0.5*(ABS('Inputs-Results'!$S33-'Inputs-Results'!$U33)/('Inputs-Results'!$T33-'Inputs-Results'!$V33)*(O28-('Inputs-Results'!$V33-'Inputs-Results'!$X33)))*(O28-('Inputs-Results'!$V33-'Inputs-Results'!$X33))),0)+IF(O28&gt;'Inputs-Results'!$V33-'Inputs-Results'!$X33,(0.5*((O28+'Inputs-Results'!$X33-'Inputs-Results'!$V33)+O28)*ABS('Inputs-Results'!$U33-'Inputs-Results'!$W33)),0.5*(ABS('Inputs-Results'!$U33-'Inputs-Results'!$W33)/('Inputs-Results'!$V33-'Inputs-Results'!$X33)*O28)*O28)+IF(O28&gt;'Inputs-Results'!$Z33-'Inputs-Results'!$X33,(0.5*((O28+'Inputs-Results'!$X33-'Inputs-Results'!$Z33)+O28)*ABS('Inputs-Results'!$Y33-'Inputs-Results'!$W33)),0.5*(ABS('Inputs-Results'!$W33-'Inputs-Results'!$Y33)/('Inputs-Results'!$Z33-'Inputs-Results'!$X33)*O28)*O28)+IF(O28&gt;'Inputs-Results'!$Z33-'Inputs-Results'!$X33,(0.5*(ABS('Inputs-Results'!$Y33-'Inputs-Results'!$AA33)/('Inputs-Results'!$AB33-'Inputs-Results'!$Z33)*(O28-('Inputs-Results'!$Z33-'Inputs-Results'!$X33)))*(O28-('Inputs-Results'!$Z33-'Inputs-Results'!$X33))),0)</f>
        <v>#DIV/0!</v>
      </c>
      <c r="Q28" s="19" t="e">
        <f>IF(O28&gt;'Inputs-Results'!$V$9-'Inputs-Results'!$X$9,SQRT(('Inputs-Results'!$U$9-'Inputs-Results'!$W$9)^2+('Inputs-Results'!$V$9-'Inputs-Results'!$X$9)^2)+SQRT(('Inputs-Results'!$W$9-'Inputs-Results'!$Y$9)^2+('Inputs-Results'!$X$9-'Inputs-Results'!$Z$9)^2)+SQRT((('Inputs-Results'!$S$9-'Inputs-Results'!$U$9)*(O28+'Inputs-Results'!$X$9-'Inputs-Results'!$V$9)/('Inputs-Results'!$T$9-'Inputs-Results'!$V$9))^2+(O28+'Inputs-Results'!$X$9-'Inputs-Results'!$V$9)^2)+SQRT((('Inputs-Results'!$AA$9-'Inputs-Results'!$Y$9)*(O28+'Inputs-Results'!$X$9-'Inputs-Results'!$Z$9)/('Inputs-Results'!$AB$9-'Inputs-Results'!$Z$9))^2+(O28+'Inputs-Results'!$X$9-'Inputs-Results'!$Z$9)^2),SQRT((('Inputs-Results'!$U$9-'Inputs-Results'!$W$9)*(O28)/('Inputs-Results'!$V$9-'Inputs-Results'!$X$9))^2+O28^2)+SQRT((('Inputs-Results'!$Y$9-'Inputs-Results'!$W$9)*O28/('Inputs-Results'!$Z$9-'Inputs-Results'!$X$9))^2+O28^2))</f>
        <v>#DIV/0!</v>
      </c>
      <c r="R28" s="19" t="e">
        <f t="shared" si="6"/>
        <v>#DIV/0!</v>
      </c>
      <c r="S28" s="19" t="e">
        <f>1.49/'Inputs-Results'!$AC33*P28*R28^(2/3)*'Inputs-Results'!$AD33^0.5</f>
        <v>#DIV/0!</v>
      </c>
      <c r="T28" s="27" t="e">
        <f t="shared" si="7"/>
        <v>#DIV/0!</v>
      </c>
      <c r="U28" s="26">
        <f t="shared" si="8"/>
        <v>0</v>
      </c>
      <c r="V28" s="19" t="e">
        <f>IF(U28&gt;'Inputs-Results'!$V33-'Inputs-Results'!$X33,(0.5*(ABS('Inputs-Results'!$S33-'Inputs-Results'!$U33)/('Inputs-Results'!$T33-'Inputs-Results'!$V33)*(U28-('Inputs-Results'!$V33-'Inputs-Results'!$X33)))*(U28-('Inputs-Results'!$V33-'Inputs-Results'!$X33))),0)+IF(U28&gt;'Inputs-Results'!$V33-'Inputs-Results'!$X33,(0.5*((U28+'Inputs-Results'!$X33-'Inputs-Results'!$V33)+U28)*ABS('Inputs-Results'!$U33-'Inputs-Results'!$W33)),0.5*(ABS('Inputs-Results'!$U33-'Inputs-Results'!$W33)/('Inputs-Results'!$V33-'Inputs-Results'!$X33)*U28)*U28)+IF(U28&gt;'Inputs-Results'!$Z33-'Inputs-Results'!$X33,(0.5*((U28+'Inputs-Results'!$X33-'Inputs-Results'!$Z33)+U28)*ABS('Inputs-Results'!$Y33-'Inputs-Results'!$W33)),0.5*(ABS('Inputs-Results'!$W33-'Inputs-Results'!$Y33)/('Inputs-Results'!$Z33-'Inputs-Results'!$X33)*U28)*U28)+IF(U28&gt;'Inputs-Results'!$Z33-'Inputs-Results'!$X33,(0.5*(ABS('Inputs-Results'!$Y33-'Inputs-Results'!$AA33)/('Inputs-Results'!$AB33-'Inputs-Results'!$Z33)*(U28-('Inputs-Results'!$Z33-'Inputs-Results'!$X33)))*(U28-('Inputs-Results'!$Z33-'Inputs-Results'!$X33))),0)</f>
        <v>#DIV/0!</v>
      </c>
      <c r="W28" s="19" t="e">
        <f>IF(U28&gt;'Inputs-Results'!$V$9-'Inputs-Results'!$X$9,SQRT(('Inputs-Results'!$U$9-'Inputs-Results'!$W$9)^2+('Inputs-Results'!$V$9-'Inputs-Results'!$X$9)^2)+SQRT(('Inputs-Results'!$W$9-'Inputs-Results'!$Y$9)^2+('Inputs-Results'!$X$9-'Inputs-Results'!$Z$9)^2)+SQRT((('Inputs-Results'!$S$9-'Inputs-Results'!$U$9)*(U28+'Inputs-Results'!$X$9-'Inputs-Results'!$V$9)/('Inputs-Results'!$T$9-'Inputs-Results'!$V$9))^2+(U28+'Inputs-Results'!$X$9-'Inputs-Results'!$V$9)^2)+SQRT((('Inputs-Results'!$AA$9-'Inputs-Results'!$Y$9)*(U28+'Inputs-Results'!$X$9-'Inputs-Results'!$Z$9)/('Inputs-Results'!$AB$9-'Inputs-Results'!$Z$9))^2+(U28+'Inputs-Results'!$X$9-'Inputs-Results'!$Z$9)^2),SQRT((('Inputs-Results'!$U$9-'Inputs-Results'!$W$9)*(U28)/('Inputs-Results'!$V$9-'Inputs-Results'!$X$9))^2+U28^2)+SQRT((('Inputs-Results'!$Y$9-'Inputs-Results'!$W$9)*U28/('Inputs-Results'!$Z$9-'Inputs-Results'!$X$9))^2+U28^2))</f>
        <v>#DIV/0!</v>
      </c>
      <c r="X28" s="19" t="e">
        <f t="shared" si="9"/>
        <v>#DIV/0!</v>
      </c>
      <c r="Y28" s="19" t="e">
        <f>1.49/'Inputs-Results'!$AC33*V28*X28^(2/3)*'Inputs-Results'!$AD33^0.5</f>
        <v>#DIV/0!</v>
      </c>
      <c r="Z28" s="27" t="e">
        <f t="shared" si="10"/>
        <v>#DIV/0!</v>
      </c>
      <c r="AA28" s="26">
        <f t="shared" si="11"/>
        <v>0</v>
      </c>
      <c r="AB28" s="19" t="e">
        <f>IF(AA28&gt;'Inputs-Results'!$V33-'Inputs-Results'!$X33,(0.5*(ABS('Inputs-Results'!$S33-'Inputs-Results'!$U33)/('Inputs-Results'!$T33-'Inputs-Results'!$V33)*(AA28-('Inputs-Results'!$V33-'Inputs-Results'!$X33)))*(AA28-('Inputs-Results'!$V33-'Inputs-Results'!$X33))),0)+IF(AA28&gt;'Inputs-Results'!$V33-'Inputs-Results'!$X33,(0.5*((AA28+'Inputs-Results'!$X33-'Inputs-Results'!$V33)+AA28)*ABS('Inputs-Results'!$U33-'Inputs-Results'!$W33)),0.5*(ABS('Inputs-Results'!$U33-'Inputs-Results'!$W33)/('Inputs-Results'!$V33-'Inputs-Results'!$X33)*AA28)*AA28)+IF(AA28&gt;'Inputs-Results'!$Z33-'Inputs-Results'!$X33,(0.5*((AA28+'Inputs-Results'!$X33-'Inputs-Results'!$Z33)+AA28)*ABS('Inputs-Results'!$Y33-'Inputs-Results'!$W33)),0.5*(ABS('Inputs-Results'!$W33-'Inputs-Results'!$Y33)/('Inputs-Results'!$Z33-'Inputs-Results'!$X33)*AA28)*AA28)+IF(AA28&gt;'Inputs-Results'!$Z33-'Inputs-Results'!$X33,(0.5*(ABS('Inputs-Results'!$Y33-'Inputs-Results'!$AA33)/('Inputs-Results'!$AB33-'Inputs-Results'!$Z33)*(AA28-('Inputs-Results'!$Z33-'Inputs-Results'!$X33)))*(AA28-('Inputs-Results'!$Z33-'Inputs-Results'!$X33))),0)</f>
        <v>#DIV/0!</v>
      </c>
      <c r="AC28" s="19" t="e">
        <f>IF(AA28&gt;'Inputs-Results'!$V$9-'Inputs-Results'!$X$9,SQRT(('Inputs-Results'!$U$9-'Inputs-Results'!$W$9)^2+('Inputs-Results'!$V$9-'Inputs-Results'!$X$9)^2)+SQRT(('Inputs-Results'!$W$9-'Inputs-Results'!$Y$9)^2+('Inputs-Results'!$X$9-'Inputs-Results'!$Z$9)^2)+SQRT((('Inputs-Results'!$S$9-'Inputs-Results'!$U$9)*(AA28+'Inputs-Results'!$X$9-'Inputs-Results'!$V$9)/('Inputs-Results'!$T$9-'Inputs-Results'!$V$9))^2+(AA28+'Inputs-Results'!$X$9-'Inputs-Results'!$V$9)^2)+SQRT((('Inputs-Results'!$AA$9-'Inputs-Results'!$Y$9)*(AA28+'Inputs-Results'!$X$9-'Inputs-Results'!$Z$9)/('Inputs-Results'!$AB$9-'Inputs-Results'!$Z$9))^2+(AA28+'Inputs-Results'!$X$9-'Inputs-Results'!$Z$9)^2),SQRT((('Inputs-Results'!$U$9-'Inputs-Results'!$W$9)*(AA28)/('Inputs-Results'!$V$9-'Inputs-Results'!$X$9))^2+AA28^2)+SQRT((('Inputs-Results'!$Y$9-'Inputs-Results'!$W$9)*AA28/('Inputs-Results'!$Z$9-'Inputs-Results'!$X$9))^2+AA28^2))</f>
        <v>#DIV/0!</v>
      </c>
      <c r="AD28" s="19" t="e">
        <f t="shared" si="12"/>
        <v>#DIV/0!</v>
      </c>
      <c r="AE28" s="19" t="e">
        <f>1.49/'Inputs-Results'!$AC33*AB28*AD28^(2/3)*'Inputs-Results'!$AD33^0.5</f>
        <v>#DIV/0!</v>
      </c>
      <c r="AF28" s="27" t="e">
        <f t="shared" si="13"/>
        <v>#DIV/0!</v>
      </c>
      <c r="AG28" s="26">
        <f t="shared" si="14"/>
        <v>0</v>
      </c>
      <c r="AH28" s="19" t="e">
        <f>IF(AG28&gt;'Inputs-Results'!$V33-'Inputs-Results'!$X33,(0.5*(ABS('Inputs-Results'!$S33-'Inputs-Results'!$U33)/('Inputs-Results'!$T33-'Inputs-Results'!$V33)*(AG28-('Inputs-Results'!$V33-'Inputs-Results'!$X33)))*(AG28-('Inputs-Results'!$V33-'Inputs-Results'!$X33))),0)+IF(AG28&gt;'Inputs-Results'!$V33-'Inputs-Results'!$X33,(0.5*((AG28+'Inputs-Results'!$X33-'Inputs-Results'!$V33)+AG28)*ABS('Inputs-Results'!$U33-'Inputs-Results'!$W33)),0.5*(ABS('Inputs-Results'!$U33-'Inputs-Results'!$W33)/('Inputs-Results'!$V33-'Inputs-Results'!$X33)*AG28)*AG28)+IF(AG28&gt;'Inputs-Results'!$Z33-'Inputs-Results'!$X33,(0.5*((AG28+'Inputs-Results'!$X33-'Inputs-Results'!$Z33)+AG28)*ABS('Inputs-Results'!$Y33-'Inputs-Results'!$W33)),0.5*(ABS('Inputs-Results'!$W33-'Inputs-Results'!$Y33)/('Inputs-Results'!$Z33-'Inputs-Results'!$X33)*AG28)*AG28)+IF(AG28&gt;'Inputs-Results'!$Z33-'Inputs-Results'!$X33,(0.5*(ABS('Inputs-Results'!$Y33-'Inputs-Results'!$AA33)/('Inputs-Results'!$AB33-'Inputs-Results'!$Z33)*(AG28-('Inputs-Results'!$Z33-'Inputs-Results'!$X33)))*(AG28-('Inputs-Results'!$Z33-'Inputs-Results'!$X33))),0)</f>
        <v>#DIV/0!</v>
      </c>
      <c r="AI28" s="19" t="e">
        <f>IF(AG28&gt;'Inputs-Results'!$V$9-'Inputs-Results'!$X$9,SQRT(('Inputs-Results'!$U$9-'Inputs-Results'!$W$9)^2+('Inputs-Results'!$V$9-'Inputs-Results'!$X$9)^2)+SQRT(('Inputs-Results'!$W$9-'Inputs-Results'!$Y$9)^2+('Inputs-Results'!$X$9-'Inputs-Results'!$Z$9)^2)+SQRT((('Inputs-Results'!$S$9-'Inputs-Results'!$U$9)*(AG28+'Inputs-Results'!$X$9-'Inputs-Results'!$V$9)/('Inputs-Results'!$T$9-'Inputs-Results'!$V$9))^2+(AG28+'Inputs-Results'!$X$9-'Inputs-Results'!$V$9)^2)+SQRT((('Inputs-Results'!$AA$9-'Inputs-Results'!$Y$9)*(AG28+'Inputs-Results'!$X$9-'Inputs-Results'!$Z$9)/('Inputs-Results'!$AB$9-'Inputs-Results'!$Z$9))^2+(AG28+'Inputs-Results'!$X$9-'Inputs-Results'!$Z$9)^2),SQRT((('Inputs-Results'!$U$9-'Inputs-Results'!$W$9)*(AG28)/('Inputs-Results'!$V$9-'Inputs-Results'!$X$9))^2+AG28^2)+SQRT((('Inputs-Results'!$Y$9-'Inputs-Results'!$W$9)*AG28/('Inputs-Results'!$Z$9-'Inputs-Results'!$X$9))^2+AG28^2))</f>
        <v>#DIV/0!</v>
      </c>
      <c r="AJ28" s="19" t="e">
        <f t="shared" si="15"/>
        <v>#DIV/0!</v>
      </c>
      <c r="AK28" s="19" t="e">
        <f>1.49/'Inputs-Results'!$AC33*AH28*AJ28^(2/3)*'Inputs-Results'!$AD33^0.5</f>
        <v>#DIV/0!</v>
      </c>
      <c r="AL28" s="27" t="e">
        <f t="shared" si="16"/>
        <v>#DIV/0!</v>
      </c>
      <c r="AM28" s="26">
        <f t="shared" si="17"/>
        <v>0</v>
      </c>
      <c r="AN28" s="19" t="e">
        <f>IF(AM28&gt;'Inputs-Results'!$V33-'Inputs-Results'!$X33,(0.5*(ABS('Inputs-Results'!$S33-'Inputs-Results'!$U33)/('Inputs-Results'!$T33-'Inputs-Results'!$V33)*(AM28-('Inputs-Results'!$V33-'Inputs-Results'!$X33)))*(AM28-('Inputs-Results'!$V33-'Inputs-Results'!$X33))),0)+IF(AM28&gt;'Inputs-Results'!$V33-'Inputs-Results'!$X33,(0.5*((AM28+'Inputs-Results'!$X33-'Inputs-Results'!$V33)+AM28)*ABS('Inputs-Results'!$U33-'Inputs-Results'!$W33)),0.5*(ABS('Inputs-Results'!$U33-'Inputs-Results'!$W33)/('Inputs-Results'!$V33-'Inputs-Results'!$X33)*AM28)*AM28)+IF(AM28&gt;'Inputs-Results'!$Z33-'Inputs-Results'!$X33,(0.5*((AM28+'Inputs-Results'!$X33-'Inputs-Results'!$Z33)+AM28)*ABS('Inputs-Results'!$Y33-'Inputs-Results'!$W33)),0.5*(ABS('Inputs-Results'!$W33-'Inputs-Results'!$Y33)/('Inputs-Results'!$Z33-'Inputs-Results'!$X33)*AM28)*AM28)+IF(AM28&gt;'Inputs-Results'!$Z33-'Inputs-Results'!$X33,(0.5*(ABS('Inputs-Results'!$Y33-'Inputs-Results'!$AA33)/('Inputs-Results'!$AB33-'Inputs-Results'!$Z33)*(AM28-('Inputs-Results'!$Z33-'Inputs-Results'!$X33)))*(AM28-('Inputs-Results'!$Z33-'Inputs-Results'!$X33))),0)</f>
        <v>#DIV/0!</v>
      </c>
      <c r="AO28" s="19" t="e">
        <f>IF(AM28&gt;'Inputs-Results'!$V$9-'Inputs-Results'!$X$9,SQRT(('Inputs-Results'!$U$9-'Inputs-Results'!$W$9)^2+('Inputs-Results'!$V$9-'Inputs-Results'!$X$9)^2)+SQRT(('Inputs-Results'!$W$9-'Inputs-Results'!$Y$9)^2+('Inputs-Results'!$X$9-'Inputs-Results'!$Z$9)^2)+SQRT((('Inputs-Results'!$S$9-'Inputs-Results'!$U$9)*(AM28+'Inputs-Results'!$X$9-'Inputs-Results'!$V$9)/('Inputs-Results'!$T$9-'Inputs-Results'!$V$9))^2+(AM28+'Inputs-Results'!$X$9-'Inputs-Results'!$V$9)^2)+SQRT((('Inputs-Results'!$AA$9-'Inputs-Results'!$Y$9)*(AM28+'Inputs-Results'!$X$9-'Inputs-Results'!$Z$9)/('Inputs-Results'!$AB$9-'Inputs-Results'!$Z$9))^2+(AM28+'Inputs-Results'!$X$9-'Inputs-Results'!$Z$9)^2),SQRT((('Inputs-Results'!$U$9-'Inputs-Results'!$W$9)*(AM28)/('Inputs-Results'!$V$9-'Inputs-Results'!$X$9))^2+AM28^2)+SQRT((('Inputs-Results'!$Y$9-'Inputs-Results'!$W$9)*AM28/('Inputs-Results'!$Z$9-'Inputs-Results'!$X$9))^2+AM28^2))</f>
        <v>#DIV/0!</v>
      </c>
      <c r="AP28" s="19" t="e">
        <f t="shared" si="18"/>
        <v>#DIV/0!</v>
      </c>
      <c r="AQ28" s="19" t="e">
        <f>1.49/'Inputs-Results'!$AC33*AN28*AP28^(2/3)*'Inputs-Results'!$AD33^0.5</f>
        <v>#DIV/0!</v>
      </c>
      <c r="AR28" s="27" t="e">
        <f t="shared" si="19"/>
        <v>#DIV/0!</v>
      </c>
      <c r="AS28" s="26">
        <f t="shared" si="20"/>
        <v>0</v>
      </c>
      <c r="AT28" s="19" t="e">
        <f>IF(AS28&gt;'Inputs-Results'!$V33-'Inputs-Results'!$X33,(0.5*(ABS('Inputs-Results'!$S33-'Inputs-Results'!$U33)/('Inputs-Results'!$T33-'Inputs-Results'!$V33)*(AS28-('Inputs-Results'!$V33-'Inputs-Results'!$X33)))*(AS28-('Inputs-Results'!$V33-'Inputs-Results'!$X33))),0)+IF(AS28&gt;'Inputs-Results'!$V33-'Inputs-Results'!$X33,(0.5*((AS28+'Inputs-Results'!$X33-'Inputs-Results'!$V33)+AS28)*ABS('Inputs-Results'!$U33-'Inputs-Results'!$W33)),0.5*(ABS('Inputs-Results'!$U33-'Inputs-Results'!$W33)/('Inputs-Results'!$V33-'Inputs-Results'!$X33)*AS28)*AS28)+IF(AS28&gt;'Inputs-Results'!$Z33-'Inputs-Results'!$X33,(0.5*((AS28+'Inputs-Results'!$X33-'Inputs-Results'!$Z33)+AS28)*ABS('Inputs-Results'!$Y33-'Inputs-Results'!$W33)),0.5*(ABS('Inputs-Results'!$W33-'Inputs-Results'!$Y33)/('Inputs-Results'!$Z33-'Inputs-Results'!$X33)*AS28)*AS28)+IF(AS28&gt;'Inputs-Results'!$Z33-'Inputs-Results'!$X33,(0.5*(ABS('Inputs-Results'!$Y33-'Inputs-Results'!$AA33)/('Inputs-Results'!$AB33-'Inputs-Results'!$Z33)*(AS28-('Inputs-Results'!$Z33-'Inputs-Results'!$X33)))*(AS28-('Inputs-Results'!$Z33-'Inputs-Results'!$X33))),0)</f>
        <v>#DIV/0!</v>
      </c>
      <c r="AU28" s="19" t="e">
        <f>IF(AS28&gt;'Inputs-Results'!$V$9-'Inputs-Results'!$X$9,SQRT(('Inputs-Results'!$U$9-'Inputs-Results'!$W$9)^2+('Inputs-Results'!$V$9-'Inputs-Results'!$X$9)^2)+SQRT(('Inputs-Results'!$W$9-'Inputs-Results'!$Y$9)^2+('Inputs-Results'!$X$9-'Inputs-Results'!$Z$9)^2)+SQRT((('Inputs-Results'!$S$9-'Inputs-Results'!$U$9)*(AS28+'Inputs-Results'!$X$9-'Inputs-Results'!$V$9)/('Inputs-Results'!$T$9-'Inputs-Results'!$V$9))^2+(AS28+'Inputs-Results'!$X$9-'Inputs-Results'!$V$9)^2)+SQRT((('Inputs-Results'!$AA$9-'Inputs-Results'!$Y$9)*(AS28+'Inputs-Results'!$X$9-'Inputs-Results'!$Z$9)/('Inputs-Results'!$AB$9-'Inputs-Results'!$Z$9))^2+(AS28+'Inputs-Results'!$X$9-'Inputs-Results'!$Z$9)^2),SQRT((('Inputs-Results'!$U$9-'Inputs-Results'!$W$9)*(AS28)/('Inputs-Results'!$V$9-'Inputs-Results'!$X$9))^2+AS28^2)+SQRT((('Inputs-Results'!$Y$9-'Inputs-Results'!$W$9)*AS28/('Inputs-Results'!$Z$9-'Inputs-Results'!$X$9))^2+AS28^2))</f>
        <v>#DIV/0!</v>
      </c>
      <c r="AV28" s="19" t="e">
        <f t="shared" si="21"/>
        <v>#DIV/0!</v>
      </c>
      <c r="AW28" s="19" t="e">
        <f>1.49/'Inputs-Results'!$AC33*AT28*AV28^(2/3)*'Inputs-Results'!$AD33^0.5</f>
        <v>#DIV/0!</v>
      </c>
      <c r="AX28" s="27" t="e">
        <f t="shared" si="22"/>
        <v>#DIV/0!</v>
      </c>
      <c r="AY28" s="26">
        <f t="shared" si="23"/>
        <v>0</v>
      </c>
      <c r="AZ28" s="19" t="e">
        <f>IF(AY28&gt;'Inputs-Results'!$V33-'Inputs-Results'!$X33,(0.5*(ABS('Inputs-Results'!$S33-'Inputs-Results'!$U33)/('Inputs-Results'!$T33-'Inputs-Results'!$V33)*(AY28-('Inputs-Results'!$V33-'Inputs-Results'!$X33)))*(AY28-('Inputs-Results'!$V33-'Inputs-Results'!$X33))),0)+IF(AY28&gt;'Inputs-Results'!$V33-'Inputs-Results'!$X33,(0.5*((AY28+'Inputs-Results'!$X33-'Inputs-Results'!$V33)+AY28)*ABS('Inputs-Results'!$U33-'Inputs-Results'!$W33)),0.5*(ABS('Inputs-Results'!$U33-'Inputs-Results'!$W33)/('Inputs-Results'!$V33-'Inputs-Results'!$X33)*AY28)*AY28)+IF(AY28&gt;'Inputs-Results'!$Z33-'Inputs-Results'!$X33,(0.5*((AY28+'Inputs-Results'!$X33-'Inputs-Results'!$Z33)+AY28)*ABS('Inputs-Results'!$Y33-'Inputs-Results'!$W33)),0.5*(ABS('Inputs-Results'!$W33-'Inputs-Results'!$Y33)/('Inputs-Results'!$Z33-'Inputs-Results'!$X33)*AY28)*AY28)+IF(AY28&gt;'Inputs-Results'!$Z33-'Inputs-Results'!$X33,(0.5*(ABS('Inputs-Results'!$Y33-'Inputs-Results'!$AA33)/('Inputs-Results'!$AB33-'Inputs-Results'!$Z33)*(AY28-('Inputs-Results'!$Z33-'Inputs-Results'!$X33)))*(AY28-('Inputs-Results'!$Z33-'Inputs-Results'!$X33))),0)</f>
        <v>#DIV/0!</v>
      </c>
      <c r="BA28" s="19" t="e">
        <f>IF(AY28&gt;'Inputs-Results'!$V$9-'Inputs-Results'!$X$9,SQRT(('Inputs-Results'!$U$9-'Inputs-Results'!$W$9)^2+('Inputs-Results'!$V$9-'Inputs-Results'!$X$9)^2)+SQRT(('Inputs-Results'!$W$9-'Inputs-Results'!$Y$9)^2+('Inputs-Results'!$X$9-'Inputs-Results'!$Z$9)^2)+SQRT((('Inputs-Results'!$S$9-'Inputs-Results'!$U$9)*(AY28+'Inputs-Results'!$X$9-'Inputs-Results'!$V$9)/('Inputs-Results'!$T$9-'Inputs-Results'!$V$9))^2+(AY28+'Inputs-Results'!$X$9-'Inputs-Results'!$V$9)^2)+SQRT((('Inputs-Results'!$AA$9-'Inputs-Results'!$Y$9)*(AY28+'Inputs-Results'!$X$9-'Inputs-Results'!$Z$9)/('Inputs-Results'!$AB$9-'Inputs-Results'!$Z$9))^2+(AY28+'Inputs-Results'!$X$9-'Inputs-Results'!$Z$9)^2),SQRT((('Inputs-Results'!$U$9-'Inputs-Results'!$W$9)*(AY28)/('Inputs-Results'!$V$9-'Inputs-Results'!$X$9))^2+AY28^2)+SQRT((('Inputs-Results'!$Y$9-'Inputs-Results'!$W$9)*AY28/('Inputs-Results'!$Z$9-'Inputs-Results'!$X$9))^2+AY28^2))</f>
        <v>#DIV/0!</v>
      </c>
      <c r="BB28" s="19" t="e">
        <f t="shared" si="24"/>
        <v>#DIV/0!</v>
      </c>
      <c r="BC28" s="19" t="e">
        <f>1.49/'Inputs-Results'!$AC33*AZ28*BB28^(2/3)*'Inputs-Results'!$AD33^0.5</f>
        <v>#DIV/0!</v>
      </c>
      <c r="BD28" s="27" t="e">
        <f t="shared" si="25"/>
        <v>#DIV/0!</v>
      </c>
      <c r="BE28" s="26">
        <f t="shared" si="26"/>
        <v>0</v>
      </c>
      <c r="BF28" s="19" t="e">
        <f>IF(BE28&gt;'Inputs-Results'!$V33-'Inputs-Results'!$X33,(0.5*(ABS('Inputs-Results'!$S33-'Inputs-Results'!$U33)/('Inputs-Results'!$T33-'Inputs-Results'!$V33)*(BE28-('Inputs-Results'!$V33-'Inputs-Results'!$X33)))*(BE28-('Inputs-Results'!$V33-'Inputs-Results'!$X33))),0)+IF(BE28&gt;'Inputs-Results'!$V33-'Inputs-Results'!$X33,(0.5*((BE28+'Inputs-Results'!$X33-'Inputs-Results'!$V33)+BE28)*ABS('Inputs-Results'!$U33-'Inputs-Results'!$W33)),0.5*(ABS('Inputs-Results'!$U33-'Inputs-Results'!$W33)/('Inputs-Results'!$V33-'Inputs-Results'!$X33)*BE28)*BE28)+IF(BE28&gt;'Inputs-Results'!$Z33-'Inputs-Results'!$X33,(0.5*((BE28+'Inputs-Results'!$X33-'Inputs-Results'!$Z33)+BE28)*ABS('Inputs-Results'!$Y33-'Inputs-Results'!$W33)),0.5*(ABS('Inputs-Results'!$W33-'Inputs-Results'!$Y33)/('Inputs-Results'!$Z33-'Inputs-Results'!$X33)*BE28)*BE28)+IF(BE28&gt;'Inputs-Results'!$Z33-'Inputs-Results'!$X33,(0.5*(ABS('Inputs-Results'!$Y33-'Inputs-Results'!$AA33)/('Inputs-Results'!$AB33-'Inputs-Results'!$Z33)*(BE28-('Inputs-Results'!$Z33-'Inputs-Results'!$X33)))*(BE28-('Inputs-Results'!$Z33-'Inputs-Results'!$X33))),0)</f>
        <v>#DIV/0!</v>
      </c>
      <c r="BG28" s="19" t="e">
        <f>IF(BE28&gt;'Inputs-Results'!$V$9-'Inputs-Results'!$X$9,SQRT(('Inputs-Results'!$U$9-'Inputs-Results'!$W$9)^2+('Inputs-Results'!$V$9-'Inputs-Results'!$X$9)^2)+SQRT(('Inputs-Results'!$W$9-'Inputs-Results'!$Y$9)^2+('Inputs-Results'!$X$9-'Inputs-Results'!$Z$9)^2)+SQRT((('Inputs-Results'!$S$9-'Inputs-Results'!$U$9)*(BE28+'Inputs-Results'!$X$9-'Inputs-Results'!$V$9)/('Inputs-Results'!$T$9-'Inputs-Results'!$V$9))^2+(BE28+'Inputs-Results'!$X$9-'Inputs-Results'!$V$9)^2)+SQRT((('Inputs-Results'!$AA$9-'Inputs-Results'!$Y$9)*(BE28+'Inputs-Results'!$X$9-'Inputs-Results'!$Z$9)/('Inputs-Results'!$AB$9-'Inputs-Results'!$Z$9))^2+(BE28+'Inputs-Results'!$X$9-'Inputs-Results'!$Z$9)^2),SQRT((('Inputs-Results'!$U$9-'Inputs-Results'!$W$9)*(BE28)/('Inputs-Results'!$V$9-'Inputs-Results'!$X$9))^2+BE28^2)+SQRT((('Inputs-Results'!$Y$9-'Inputs-Results'!$W$9)*BE28/('Inputs-Results'!$Z$9-'Inputs-Results'!$X$9))^2+BE28^2))</f>
        <v>#DIV/0!</v>
      </c>
      <c r="BH28" s="19" t="e">
        <f t="shared" si="27"/>
        <v>#DIV/0!</v>
      </c>
      <c r="BI28" s="19" t="e">
        <f>1.49/'Inputs-Results'!$AC33*BF28*BH28^(2/3)*'Inputs-Results'!$AD33^0.5</f>
        <v>#DIV/0!</v>
      </c>
      <c r="BJ28" s="27" t="e">
        <f t="shared" si="28"/>
        <v>#DIV/0!</v>
      </c>
    </row>
    <row r="29" spans="1:62" x14ac:dyDescent="0.25">
      <c r="A29" s="2">
        <v>0</v>
      </c>
      <c r="B29" s="17"/>
      <c r="C29" s="26">
        <f>MIN('Inputs-Results'!T34-'Inputs-Results'!X34,'Inputs-Results'!AB34-'Inputs-Results'!X34)</f>
        <v>0</v>
      </c>
      <c r="D29" s="19" t="e">
        <f>IF(C29&gt;'Inputs-Results'!$V34-'Inputs-Results'!$X34,(0.5*(ABS('Inputs-Results'!$S34-'Inputs-Results'!$U34)/('Inputs-Results'!$T34-'Inputs-Results'!$V34)*(C29-('Inputs-Results'!$V34-'Inputs-Results'!$X34)))*(C29-('Inputs-Results'!$V34-'Inputs-Results'!$X34))),0)+IF(C29&gt;'Inputs-Results'!$V34-'Inputs-Results'!$X34,(0.5*((C29+'Inputs-Results'!$X34-'Inputs-Results'!$V34)+C29)*ABS('Inputs-Results'!$U34-'Inputs-Results'!$W34)),0.5*(ABS('Inputs-Results'!$U34-'Inputs-Results'!$W34)/('Inputs-Results'!$V34-'Inputs-Results'!$X34)*C29)*C29)+IF(C29&gt;'Inputs-Results'!$Z34-'Inputs-Results'!$X34,(0.5*((C29+'Inputs-Results'!$X34-'Inputs-Results'!$Z34)+C29)*ABS('Inputs-Results'!$Y34-'Inputs-Results'!$W34)),0.5*(ABS('Inputs-Results'!$W34-'Inputs-Results'!$Y34)/('Inputs-Results'!$Z34-'Inputs-Results'!$X34)*C29)*C29)+IF(C29&gt;'Inputs-Results'!$Z34-'Inputs-Results'!$X34,(0.5*(ABS('Inputs-Results'!$Y34-'Inputs-Results'!$AA34)/('Inputs-Results'!$AB34-'Inputs-Results'!$Z34)*(C29-('Inputs-Results'!$Z34-'Inputs-Results'!$X34)))*(C29-('Inputs-Results'!$Z34-'Inputs-Results'!$X34))),0)</f>
        <v>#DIV/0!</v>
      </c>
      <c r="E29" s="19" t="e">
        <f>IF(C29&gt;'Inputs-Results'!$V$9-'Inputs-Results'!$X$9,SQRT(('Inputs-Results'!$U$9-'Inputs-Results'!$W$9)^2+('Inputs-Results'!$V$9-'Inputs-Results'!$X$9)^2)+SQRT(('Inputs-Results'!$W$9-'Inputs-Results'!$Y$9)^2+('Inputs-Results'!$X$9-'Inputs-Results'!$Z$9)^2)+SQRT((('Inputs-Results'!$S$9-'Inputs-Results'!$U$9)*(C29+'Inputs-Results'!$X$9-'Inputs-Results'!$V$9)/('Inputs-Results'!$T$9-'Inputs-Results'!$V$9))^2+(C29+'Inputs-Results'!$X$9-'Inputs-Results'!$V$9)^2)+SQRT((('Inputs-Results'!$AA$9-'Inputs-Results'!$Y$9)*(C29+'Inputs-Results'!$X$9-'Inputs-Results'!$Z$9)/('Inputs-Results'!$AB$9-'Inputs-Results'!$Z$9))^2+(C29+'Inputs-Results'!$X$9-'Inputs-Results'!$Z$9)^2),SQRT((('Inputs-Results'!$U$9-'Inputs-Results'!$W$9)*(C29)/('Inputs-Results'!$V$9-'Inputs-Results'!$X$9))^2+C29^2)+SQRT((('Inputs-Results'!$Y$9-'Inputs-Results'!$W$9)*C29/('Inputs-Results'!$Z$9-'Inputs-Results'!$X$9))^2+C29^2))</f>
        <v>#DIV/0!</v>
      </c>
      <c r="F29" s="19" t="e">
        <f t="shared" si="0"/>
        <v>#DIV/0!</v>
      </c>
      <c r="G29" s="19" t="e">
        <f>1.49/'Inputs-Results'!AC34*D29*F29^(2/3)*'Inputs-Results'!AD34^0.5</f>
        <v>#DIV/0!</v>
      </c>
      <c r="H29" s="27" t="e">
        <f t="shared" si="1"/>
        <v>#DIV/0!</v>
      </c>
      <c r="I29" s="26">
        <f t="shared" si="2"/>
        <v>0</v>
      </c>
      <c r="J29" s="19" t="e">
        <f>IF(I29&gt;'Inputs-Results'!$V34-'Inputs-Results'!$X34,(0.5*(ABS('Inputs-Results'!$S34-'Inputs-Results'!$U34)/('Inputs-Results'!$T34-'Inputs-Results'!$V34)*(I29-('Inputs-Results'!$V34-'Inputs-Results'!$X34)))*(I29-('Inputs-Results'!$V34-'Inputs-Results'!$X34))),0)+IF(I29&gt;'Inputs-Results'!$V34-'Inputs-Results'!$X34,(0.5*((I29+'Inputs-Results'!$X34-'Inputs-Results'!$V34)+I29)*ABS('Inputs-Results'!$U34-'Inputs-Results'!$W34)),0.5*(ABS('Inputs-Results'!$U34-'Inputs-Results'!$W34)/('Inputs-Results'!$V34-'Inputs-Results'!$X34)*I29)*I29)+IF(I29&gt;'Inputs-Results'!$Z34-'Inputs-Results'!$X34,(0.5*((I29+'Inputs-Results'!$X34-'Inputs-Results'!$Z34)+I29)*ABS('Inputs-Results'!$Y34-'Inputs-Results'!$W34)),0.5*(ABS('Inputs-Results'!$W34-'Inputs-Results'!$Y34)/('Inputs-Results'!$Z34-'Inputs-Results'!$X34)*I29)*I29)+IF(I29&gt;'Inputs-Results'!$Z34-'Inputs-Results'!$X34,(0.5*(ABS('Inputs-Results'!$Y34-'Inputs-Results'!$AA34)/('Inputs-Results'!$AB34-'Inputs-Results'!$Z34)*(I29-('Inputs-Results'!$Z34-'Inputs-Results'!$X34)))*(I29-('Inputs-Results'!$Z34-'Inputs-Results'!$X34))),0)</f>
        <v>#DIV/0!</v>
      </c>
      <c r="K29" s="19" t="e">
        <f>IF(I29&gt;'Inputs-Results'!$V$9-'Inputs-Results'!$X$9,SQRT(('Inputs-Results'!$U$9-'Inputs-Results'!$W$9)^2+('Inputs-Results'!$V$9-'Inputs-Results'!$X$9)^2)+SQRT(('Inputs-Results'!$W$9-'Inputs-Results'!$Y$9)^2+('Inputs-Results'!$X$9-'Inputs-Results'!$Z$9)^2)+SQRT((('Inputs-Results'!$S$9-'Inputs-Results'!$U$9)*(I29+'Inputs-Results'!$X$9-'Inputs-Results'!$V$9)/('Inputs-Results'!$T$9-'Inputs-Results'!$V$9))^2+(I29+'Inputs-Results'!$X$9-'Inputs-Results'!$V$9)^2)+SQRT((('Inputs-Results'!$AA$9-'Inputs-Results'!$Y$9)*(I29+'Inputs-Results'!$X$9-'Inputs-Results'!$Z$9)/('Inputs-Results'!$AB$9-'Inputs-Results'!$Z$9))^2+(I29+'Inputs-Results'!$X$9-'Inputs-Results'!$Z$9)^2),SQRT((('Inputs-Results'!$U$9-'Inputs-Results'!$W$9)*(I29)/('Inputs-Results'!$V$9-'Inputs-Results'!$X$9))^2+I29^2)+SQRT((('Inputs-Results'!$Y$9-'Inputs-Results'!$W$9)*I29/('Inputs-Results'!$Z$9-'Inputs-Results'!$X$9))^2+I29^2))</f>
        <v>#DIV/0!</v>
      </c>
      <c r="L29" s="19" t="e">
        <f t="shared" si="3"/>
        <v>#DIV/0!</v>
      </c>
      <c r="M29" s="19" t="e">
        <f>1.49/'Inputs-Results'!$AC34*J29*L29^(2/3)*'Inputs-Results'!$AD34^0.5</f>
        <v>#DIV/0!</v>
      </c>
      <c r="N29" s="27" t="e">
        <f t="shared" si="4"/>
        <v>#DIV/0!</v>
      </c>
      <c r="O29" s="26">
        <f t="shared" si="5"/>
        <v>0</v>
      </c>
      <c r="P29" s="19" t="e">
        <f>IF(O29&gt;'Inputs-Results'!$V34-'Inputs-Results'!$X34,(0.5*(ABS('Inputs-Results'!$S34-'Inputs-Results'!$U34)/('Inputs-Results'!$T34-'Inputs-Results'!$V34)*(O29-('Inputs-Results'!$V34-'Inputs-Results'!$X34)))*(O29-('Inputs-Results'!$V34-'Inputs-Results'!$X34))),0)+IF(O29&gt;'Inputs-Results'!$V34-'Inputs-Results'!$X34,(0.5*((O29+'Inputs-Results'!$X34-'Inputs-Results'!$V34)+O29)*ABS('Inputs-Results'!$U34-'Inputs-Results'!$W34)),0.5*(ABS('Inputs-Results'!$U34-'Inputs-Results'!$W34)/('Inputs-Results'!$V34-'Inputs-Results'!$X34)*O29)*O29)+IF(O29&gt;'Inputs-Results'!$Z34-'Inputs-Results'!$X34,(0.5*((O29+'Inputs-Results'!$X34-'Inputs-Results'!$Z34)+O29)*ABS('Inputs-Results'!$Y34-'Inputs-Results'!$W34)),0.5*(ABS('Inputs-Results'!$W34-'Inputs-Results'!$Y34)/('Inputs-Results'!$Z34-'Inputs-Results'!$X34)*O29)*O29)+IF(O29&gt;'Inputs-Results'!$Z34-'Inputs-Results'!$X34,(0.5*(ABS('Inputs-Results'!$Y34-'Inputs-Results'!$AA34)/('Inputs-Results'!$AB34-'Inputs-Results'!$Z34)*(O29-('Inputs-Results'!$Z34-'Inputs-Results'!$X34)))*(O29-('Inputs-Results'!$Z34-'Inputs-Results'!$X34))),0)</f>
        <v>#DIV/0!</v>
      </c>
      <c r="Q29" s="19" t="e">
        <f>IF(O29&gt;'Inputs-Results'!$V$9-'Inputs-Results'!$X$9,SQRT(('Inputs-Results'!$U$9-'Inputs-Results'!$W$9)^2+('Inputs-Results'!$V$9-'Inputs-Results'!$X$9)^2)+SQRT(('Inputs-Results'!$W$9-'Inputs-Results'!$Y$9)^2+('Inputs-Results'!$X$9-'Inputs-Results'!$Z$9)^2)+SQRT((('Inputs-Results'!$S$9-'Inputs-Results'!$U$9)*(O29+'Inputs-Results'!$X$9-'Inputs-Results'!$V$9)/('Inputs-Results'!$T$9-'Inputs-Results'!$V$9))^2+(O29+'Inputs-Results'!$X$9-'Inputs-Results'!$V$9)^2)+SQRT((('Inputs-Results'!$AA$9-'Inputs-Results'!$Y$9)*(O29+'Inputs-Results'!$X$9-'Inputs-Results'!$Z$9)/('Inputs-Results'!$AB$9-'Inputs-Results'!$Z$9))^2+(O29+'Inputs-Results'!$X$9-'Inputs-Results'!$Z$9)^2),SQRT((('Inputs-Results'!$U$9-'Inputs-Results'!$W$9)*(O29)/('Inputs-Results'!$V$9-'Inputs-Results'!$X$9))^2+O29^2)+SQRT((('Inputs-Results'!$Y$9-'Inputs-Results'!$W$9)*O29/('Inputs-Results'!$Z$9-'Inputs-Results'!$X$9))^2+O29^2))</f>
        <v>#DIV/0!</v>
      </c>
      <c r="R29" s="19" t="e">
        <f t="shared" si="6"/>
        <v>#DIV/0!</v>
      </c>
      <c r="S29" s="19" t="e">
        <f>1.49/'Inputs-Results'!$AC34*P29*R29^(2/3)*'Inputs-Results'!$AD34^0.5</f>
        <v>#DIV/0!</v>
      </c>
      <c r="T29" s="27" t="e">
        <f t="shared" si="7"/>
        <v>#DIV/0!</v>
      </c>
      <c r="U29" s="26">
        <f t="shared" si="8"/>
        <v>0</v>
      </c>
      <c r="V29" s="19" t="e">
        <f>IF(U29&gt;'Inputs-Results'!$V34-'Inputs-Results'!$X34,(0.5*(ABS('Inputs-Results'!$S34-'Inputs-Results'!$U34)/('Inputs-Results'!$T34-'Inputs-Results'!$V34)*(U29-('Inputs-Results'!$V34-'Inputs-Results'!$X34)))*(U29-('Inputs-Results'!$V34-'Inputs-Results'!$X34))),0)+IF(U29&gt;'Inputs-Results'!$V34-'Inputs-Results'!$X34,(0.5*((U29+'Inputs-Results'!$X34-'Inputs-Results'!$V34)+U29)*ABS('Inputs-Results'!$U34-'Inputs-Results'!$W34)),0.5*(ABS('Inputs-Results'!$U34-'Inputs-Results'!$W34)/('Inputs-Results'!$V34-'Inputs-Results'!$X34)*U29)*U29)+IF(U29&gt;'Inputs-Results'!$Z34-'Inputs-Results'!$X34,(0.5*((U29+'Inputs-Results'!$X34-'Inputs-Results'!$Z34)+U29)*ABS('Inputs-Results'!$Y34-'Inputs-Results'!$W34)),0.5*(ABS('Inputs-Results'!$W34-'Inputs-Results'!$Y34)/('Inputs-Results'!$Z34-'Inputs-Results'!$X34)*U29)*U29)+IF(U29&gt;'Inputs-Results'!$Z34-'Inputs-Results'!$X34,(0.5*(ABS('Inputs-Results'!$Y34-'Inputs-Results'!$AA34)/('Inputs-Results'!$AB34-'Inputs-Results'!$Z34)*(U29-('Inputs-Results'!$Z34-'Inputs-Results'!$X34)))*(U29-('Inputs-Results'!$Z34-'Inputs-Results'!$X34))),0)</f>
        <v>#DIV/0!</v>
      </c>
      <c r="W29" s="19" t="e">
        <f>IF(U29&gt;'Inputs-Results'!$V$9-'Inputs-Results'!$X$9,SQRT(('Inputs-Results'!$U$9-'Inputs-Results'!$W$9)^2+('Inputs-Results'!$V$9-'Inputs-Results'!$X$9)^2)+SQRT(('Inputs-Results'!$W$9-'Inputs-Results'!$Y$9)^2+('Inputs-Results'!$X$9-'Inputs-Results'!$Z$9)^2)+SQRT((('Inputs-Results'!$S$9-'Inputs-Results'!$U$9)*(U29+'Inputs-Results'!$X$9-'Inputs-Results'!$V$9)/('Inputs-Results'!$T$9-'Inputs-Results'!$V$9))^2+(U29+'Inputs-Results'!$X$9-'Inputs-Results'!$V$9)^2)+SQRT((('Inputs-Results'!$AA$9-'Inputs-Results'!$Y$9)*(U29+'Inputs-Results'!$X$9-'Inputs-Results'!$Z$9)/('Inputs-Results'!$AB$9-'Inputs-Results'!$Z$9))^2+(U29+'Inputs-Results'!$X$9-'Inputs-Results'!$Z$9)^2),SQRT((('Inputs-Results'!$U$9-'Inputs-Results'!$W$9)*(U29)/('Inputs-Results'!$V$9-'Inputs-Results'!$X$9))^2+U29^2)+SQRT((('Inputs-Results'!$Y$9-'Inputs-Results'!$W$9)*U29/('Inputs-Results'!$Z$9-'Inputs-Results'!$X$9))^2+U29^2))</f>
        <v>#DIV/0!</v>
      </c>
      <c r="X29" s="19" t="e">
        <f t="shared" si="9"/>
        <v>#DIV/0!</v>
      </c>
      <c r="Y29" s="19" t="e">
        <f>1.49/'Inputs-Results'!$AC34*V29*X29^(2/3)*'Inputs-Results'!$AD34^0.5</f>
        <v>#DIV/0!</v>
      </c>
      <c r="Z29" s="27" t="e">
        <f t="shared" si="10"/>
        <v>#DIV/0!</v>
      </c>
      <c r="AA29" s="26">
        <f t="shared" si="11"/>
        <v>0</v>
      </c>
      <c r="AB29" s="19" t="e">
        <f>IF(AA29&gt;'Inputs-Results'!$V34-'Inputs-Results'!$X34,(0.5*(ABS('Inputs-Results'!$S34-'Inputs-Results'!$U34)/('Inputs-Results'!$T34-'Inputs-Results'!$V34)*(AA29-('Inputs-Results'!$V34-'Inputs-Results'!$X34)))*(AA29-('Inputs-Results'!$V34-'Inputs-Results'!$X34))),0)+IF(AA29&gt;'Inputs-Results'!$V34-'Inputs-Results'!$X34,(0.5*((AA29+'Inputs-Results'!$X34-'Inputs-Results'!$V34)+AA29)*ABS('Inputs-Results'!$U34-'Inputs-Results'!$W34)),0.5*(ABS('Inputs-Results'!$U34-'Inputs-Results'!$W34)/('Inputs-Results'!$V34-'Inputs-Results'!$X34)*AA29)*AA29)+IF(AA29&gt;'Inputs-Results'!$Z34-'Inputs-Results'!$X34,(0.5*((AA29+'Inputs-Results'!$X34-'Inputs-Results'!$Z34)+AA29)*ABS('Inputs-Results'!$Y34-'Inputs-Results'!$W34)),0.5*(ABS('Inputs-Results'!$W34-'Inputs-Results'!$Y34)/('Inputs-Results'!$Z34-'Inputs-Results'!$X34)*AA29)*AA29)+IF(AA29&gt;'Inputs-Results'!$Z34-'Inputs-Results'!$X34,(0.5*(ABS('Inputs-Results'!$Y34-'Inputs-Results'!$AA34)/('Inputs-Results'!$AB34-'Inputs-Results'!$Z34)*(AA29-('Inputs-Results'!$Z34-'Inputs-Results'!$X34)))*(AA29-('Inputs-Results'!$Z34-'Inputs-Results'!$X34))),0)</f>
        <v>#DIV/0!</v>
      </c>
      <c r="AC29" s="19" t="e">
        <f>IF(AA29&gt;'Inputs-Results'!$V$9-'Inputs-Results'!$X$9,SQRT(('Inputs-Results'!$U$9-'Inputs-Results'!$W$9)^2+('Inputs-Results'!$V$9-'Inputs-Results'!$X$9)^2)+SQRT(('Inputs-Results'!$W$9-'Inputs-Results'!$Y$9)^2+('Inputs-Results'!$X$9-'Inputs-Results'!$Z$9)^2)+SQRT((('Inputs-Results'!$S$9-'Inputs-Results'!$U$9)*(AA29+'Inputs-Results'!$X$9-'Inputs-Results'!$V$9)/('Inputs-Results'!$T$9-'Inputs-Results'!$V$9))^2+(AA29+'Inputs-Results'!$X$9-'Inputs-Results'!$V$9)^2)+SQRT((('Inputs-Results'!$AA$9-'Inputs-Results'!$Y$9)*(AA29+'Inputs-Results'!$X$9-'Inputs-Results'!$Z$9)/('Inputs-Results'!$AB$9-'Inputs-Results'!$Z$9))^2+(AA29+'Inputs-Results'!$X$9-'Inputs-Results'!$Z$9)^2),SQRT((('Inputs-Results'!$U$9-'Inputs-Results'!$W$9)*(AA29)/('Inputs-Results'!$V$9-'Inputs-Results'!$X$9))^2+AA29^2)+SQRT((('Inputs-Results'!$Y$9-'Inputs-Results'!$W$9)*AA29/('Inputs-Results'!$Z$9-'Inputs-Results'!$X$9))^2+AA29^2))</f>
        <v>#DIV/0!</v>
      </c>
      <c r="AD29" s="19" t="e">
        <f t="shared" si="12"/>
        <v>#DIV/0!</v>
      </c>
      <c r="AE29" s="19" t="e">
        <f>1.49/'Inputs-Results'!$AC34*AB29*AD29^(2/3)*'Inputs-Results'!$AD34^0.5</f>
        <v>#DIV/0!</v>
      </c>
      <c r="AF29" s="27" t="e">
        <f t="shared" si="13"/>
        <v>#DIV/0!</v>
      </c>
      <c r="AG29" s="26">
        <f t="shared" si="14"/>
        <v>0</v>
      </c>
      <c r="AH29" s="19" t="e">
        <f>IF(AG29&gt;'Inputs-Results'!$V34-'Inputs-Results'!$X34,(0.5*(ABS('Inputs-Results'!$S34-'Inputs-Results'!$U34)/('Inputs-Results'!$T34-'Inputs-Results'!$V34)*(AG29-('Inputs-Results'!$V34-'Inputs-Results'!$X34)))*(AG29-('Inputs-Results'!$V34-'Inputs-Results'!$X34))),0)+IF(AG29&gt;'Inputs-Results'!$V34-'Inputs-Results'!$X34,(0.5*((AG29+'Inputs-Results'!$X34-'Inputs-Results'!$V34)+AG29)*ABS('Inputs-Results'!$U34-'Inputs-Results'!$W34)),0.5*(ABS('Inputs-Results'!$U34-'Inputs-Results'!$W34)/('Inputs-Results'!$V34-'Inputs-Results'!$X34)*AG29)*AG29)+IF(AG29&gt;'Inputs-Results'!$Z34-'Inputs-Results'!$X34,(0.5*((AG29+'Inputs-Results'!$X34-'Inputs-Results'!$Z34)+AG29)*ABS('Inputs-Results'!$Y34-'Inputs-Results'!$W34)),0.5*(ABS('Inputs-Results'!$W34-'Inputs-Results'!$Y34)/('Inputs-Results'!$Z34-'Inputs-Results'!$X34)*AG29)*AG29)+IF(AG29&gt;'Inputs-Results'!$Z34-'Inputs-Results'!$X34,(0.5*(ABS('Inputs-Results'!$Y34-'Inputs-Results'!$AA34)/('Inputs-Results'!$AB34-'Inputs-Results'!$Z34)*(AG29-('Inputs-Results'!$Z34-'Inputs-Results'!$X34)))*(AG29-('Inputs-Results'!$Z34-'Inputs-Results'!$X34))),0)</f>
        <v>#DIV/0!</v>
      </c>
      <c r="AI29" s="19" t="e">
        <f>IF(AG29&gt;'Inputs-Results'!$V$9-'Inputs-Results'!$X$9,SQRT(('Inputs-Results'!$U$9-'Inputs-Results'!$W$9)^2+('Inputs-Results'!$V$9-'Inputs-Results'!$X$9)^2)+SQRT(('Inputs-Results'!$W$9-'Inputs-Results'!$Y$9)^2+('Inputs-Results'!$X$9-'Inputs-Results'!$Z$9)^2)+SQRT((('Inputs-Results'!$S$9-'Inputs-Results'!$U$9)*(AG29+'Inputs-Results'!$X$9-'Inputs-Results'!$V$9)/('Inputs-Results'!$T$9-'Inputs-Results'!$V$9))^2+(AG29+'Inputs-Results'!$X$9-'Inputs-Results'!$V$9)^2)+SQRT((('Inputs-Results'!$AA$9-'Inputs-Results'!$Y$9)*(AG29+'Inputs-Results'!$X$9-'Inputs-Results'!$Z$9)/('Inputs-Results'!$AB$9-'Inputs-Results'!$Z$9))^2+(AG29+'Inputs-Results'!$X$9-'Inputs-Results'!$Z$9)^2),SQRT((('Inputs-Results'!$U$9-'Inputs-Results'!$W$9)*(AG29)/('Inputs-Results'!$V$9-'Inputs-Results'!$X$9))^2+AG29^2)+SQRT((('Inputs-Results'!$Y$9-'Inputs-Results'!$W$9)*AG29/('Inputs-Results'!$Z$9-'Inputs-Results'!$X$9))^2+AG29^2))</f>
        <v>#DIV/0!</v>
      </c>
      <c r="AJ29" s="19" t="e">
        <f t="shared" si="15"/>
        <v>#DIV/0!</v>
      </c>
      <c r="AK29" s="19" t="e">
        <f>1.49/'Inputs-Results'!$AC34*AH29*AJ29^(2/3)*'Inputs-Results'!$AD34^0.5</f>
        <v>#DIV/0!</v>
      </c>
      <c r="AL29" s="27" t="e">
        <f t="shared" si="16"/>
        <v>#DIV/0!</v>
      </c>
      <c r="AM29" s="26">
        <f t="shared" si="17"/>
        <v>0</v>
      </c>
      <c r="AN29" s="19" t="e">
        <f>IF(AM29&gt;'Inputs-Results'!$V34-'Inputs-Results'!$X34,(0.5*(ABS('Inputs-Results'!$S34-'Inputs-Results'!$U34)/('Inputs-Results'!$T34-'Inputs-Results'!$V34)*(AM29-('Inputs-Results'!$V34-'Inputs-Results'!$X34)))*(AM29-('Inputs-Results'!$V34-'Inputs-Results'!$X34))),0)+IF(AM29&gt;'Inputs-Results'!$V34-'Inputs-Results'!$X34,(0.5*((AM29+'Inputs-Results'!$X34-'Inputs-Results'!$V34)+AM29)*ABS('Inputs-Results'!$U34-'Inputs-Results'!$W34)),0.5*(ABS('Inputs-Results'!$U34-'Inputs-Results'!$W34)/('Inputs-Results'!$V34-'Inputs-Results'!$X34)*AM29)*AM29)+IF(AM29&gt;'Inputs-Results'!$Z34-'Inputs-Results'!$X34,(0.5*((AM29+'Inputs-Results'!$X34-'Inputs-Results'!$Z34)+AM29)*ABS('Inputs-Results'!$Y34-'Inputs-Results'!$W34)),0.5*(ABS('Inputs-Results'!$W34-'Inputs-Results'!$Y34)/('Inputs-Results'!$Z34-'Inputs-Results'!$X34)*AM29)*AM29)+IF(AM29&gt;'Inputs-Results'!$Z34-'Inputs-Results'!$X34,(0.5*(ABS('Inputs-Results'!$Y34-'Inputs-Results'!$AA34)/('Inputs-Results'!$AB34-'Inputs-Results'!$Z34)*(AM29-('Inputs-Results'!$Z34-'Inputs-Results'!$X34)))*(AM29-('Inputs-Results'!$Z34-'Inputs-Results'!$X34))),0)</f>
        <v>#DIV/0!</v>
      </c>
      <c r="AO29" s="19" t="e">
        <f>IF(AM29&gt;'Inputs-Results'!$V$9-'Inputs-Results'!$X$9,SQRT(('Inputs-Results'!$U$9-'Inputs-Results'!$W$9)^2+('Inputs-Results'!$V$9-'Inputs-Results'!$X$9)^2)+SQRT(('Inputs-Results'!$W$9-'Inputs-Results'!$Y$9)^2+('Inputs-Results'!$X$9-'Inputs-Results'!$Z$9)^2)+SQRT((('Inputs-Results'!$S$9-'Inputs-Results'!$U$9)*(AM29+'Inputs-Results'!$X$9-'Inputs-Results'!$V$9)/('Inputs-Results'!$T$9-'Inputs-Results'!$V$9))^2+(AM29+'Inputs-Results'!$X$9-'Inputs-Results'!$V$9)^2)+SQRT((('Inputs-Results'!$AA$9-'Inputs-Results'!$Y$9)*(AM29+'Inputs-Results'!$X$9-'Inputs-Results'!$Z$9)/('Inputs-Results'!$AB$9-'Inputs-Results'!$Z$9))^2+(AM29+'Inputs-Results'!$X$9-'Inputs-Results'!$Z$9)^2),SQRT((('Inputs-Results'!$U$9-'Inputs-Results'!$W$9)*(AM29)/('Inputs-Results'!$V$9-'Inputs-Results'!$X$9))^2+AM29^2)+SQRT((('Inputs-Results'!$Y$9-'Inputs-Results'!$W$9)*AM29/('Inputs-Results'!$Z$9-'Inputs-Results'!$X$9))^2+AM29^2))</f>
        <v>#DIV/0!</v>
      </c>
      <c r="AP29" s="19" t="e">
        <f t="shared" si="18"/>
        <v>#DIV/0!</v>
      </c>
      <c r="AQ29" s="19" t="e">
        <f>1.49/'Inputs-Results'!$AC34*AN29*AP29^(2/3)*'Inputs-Results'!$AD34^0.5</f>
        <v>#DIV/0!</v>
      </c>
      <c r="AR29" s="27" t="e">
        <f t="shared" si="19"/>
        <v>#DIV/0!</v>
      </c>
      <c r="AS29" s="26">
        <f t="shared" si="20"/>
        <v>0</v>
      </c>
      <c r="AT29" s="19" t="e">
        <f>IF(AS29&gt;'Inputs-Results'!$V34-'Inputs-Results'!$X34,(0.5*(ABS('Inputs-Results'!$S34-'Inputs-Results'!$U34)/('Inputs-Results'!$T34-'Inputs-Results'!$V34)*(AS29-('Inputs-Results'!$V34-'Inputs-Results'!$X34)))*(AS29-('Inputs-Results'!$V34-'Inputs-Results'!$X34))),0)+IF(AS29&gt;'Inputs-Results'!$V34-'Inputs-Results'!$X34,(0.5*((AS29+'Inputs-Results'!$X34-'Inputs-Results'!$V34)+AS29)*ABS('Inputs-Results'!$U34-'Inputs-Results'!$W34)),0.5*(ABS('Inputs-Results'!$U34-'Inputs-Results'!$W34)/('Inputs-Results'!$V34-'Inputs-Results'!$X34)*AS29)*AS29)+IF(AS29&gt;'Inputs-Results'!$Z34-'Inputs-Results'!$X34,(0.5*((AS29+'Inputs-Results'!$X34-'Inputs-Results'!$Z34)+AS29)*ABS('Inputs-Results'!$Y34-'Inputs-Results'!$W34)),0.5*(ABS('Inputs-Results'!$W34-'Inputs-Results'!$Y34)/('Inputs-Results'!$Z34-'Inputs-Results'!$X34)*AS29)*AS29)+IF(AS29&gt;'Inputs-Results'!$Z34-'Inputs-Results'!$X34,(0.5*(ABS('Inputs-Results'!$Y34-'Inputs-Results'!$AA34)/('Inputs-Results'!$AB34-'Inputs-Results'!$Z34)*(AS29-('Inputs-Results'!$Z34-'Inputs-Results'!$X34)))*(AS29-('Inputs-Results'!$Z34-'Inputs-Results'!$X34))),0)</f>
        <v>#DIV/0!</v>
      </c>
      <c r="AU29" s="19" t="e">
        <f>IF(AS29&gt;'Inputs-Results'!$V$9-'Inputs-Results'!$X$9,SQRT(('Inputs-Results'!$U$9-'Inputs-Results'!$W$9)^2+('Inputs-Results'!$V$9-'Inputs-Results'!$X$9)^2)+SQRT(('Inputs-Results'!$W$9-'Inputs-Results'!$Y$9)^2+('Inputs-Results'!$X$9-'Inputs-Results'!$Z$9)^2)+SQRT((('Inputs-Results'!$S$9-'Inputs-Results'!$U$9)*(AS29+'Inputs-Results'!$X$9-'Inputs-Results'!$V$9)/('Inputs-Results'!$T$9-'Inputs-Results'!$V$9))^2+(AS29+'Inputs-Results'!$X$9-'Inputs-Results'!$V$9)^2)+SQRT((('Inputs-Results'!$AA$9-'Inputs-Results'!$Y$9)*(AS29+'Inputs-Results'!$X$9-'Inputs-Results'!$Z$9)/('Inputs-Results'!$AB$9-'Inputs-Results'!$Z$9))^2+(AS29+'Inputs-Results'!$X$9-'Inputs-Results'!$Z$9)^2),SQRT((('Inputs-Results'!$U$9-'Inputs-Results'!$W$9)*(AS29)/('Inputs-Results'!$V$9-'Inputs-Results'!$X$9))^2+AS29^2)+SQRT((('Inputs-Results'!$Y$9-'Inputs-Results'!$W$9)*AS29/('Inputs-Results'!$Z$9-'Inputs-Results'!$X$9))^2+AS29^2))</f>
        <v>#DIV/0!</v>
      </c>
      <c r="AV29" s="19" t="e">
        <f t="shared" si="21"/>
        <v>#DIV/0!</v>
      </c>
      <c r="AW29" s="19" t="e">
        <f>1.49/'Inputs-Results'!$AC34*AT29*AV29^(2/3)*'Inputs-Results'!$AD34^0.5</f>
        <v>#DIV/0!</v>
      </c>
      <c r="AX29" s="27" t="e">
        <f t="shared" si="22"/>
        <v>#DIV/0!</v>
      </c>
      <c r="AY29" s="26">
        <f t="shared" si="23"/>
        <v>0</v>
      </c>
      <c r="AZ29" s="19" t="e">
        <f>IF(AY29&gt;'Inputs-Results'!$V34-'Inputs-Results'!$X34,(0.5*(ABS('Inputs-Results'!$S34-'Inputs-Results'!$U34)/('Inputs-Results'!$T34-'Inputs-Results'!$V34)*(AY29-('Inputs-Results'!$V34-'Inputs-Results'!$X34)))*(AY29-('Inputs-Results'!$V34-'Inputs-Results'!$X34))),0)+IF(AY29&gt;'Inputs-Results'!$V34-'Inputs-Results'!$X34,(0.5*((AY29+'Inputs-Results'!$X34-'Inputs-Results'!$V34)+AY29)*ABS('Inputs-Results'!$U34-'Inputs-Results'!$W34)),0.5*(ABS('Inputs-Results'!$U34-'Inputs-Results'!$W34)/('Inputs-Results'!$V34-'Inputs-Results'!$X34)*AY29)*AY29)+IF(AY29&gt;'Inputs-Results'!$Z34-'Inputs-Results'!$X34,(0.5*((AY29+'Inputs-Results'!$X34-'Inputs-Results'!$Z34)+AY29)*ABS('Inputs-Results'!$Y34-'Inputs-Results'!$W34)),0.5*(ABS('Inputs-Results'!$W34-'Inputs-Results'!$Y34)/('Inputs-Results'!$Z34-'Inputs-Results'!$X34)*AY29)*AY29)+IF(AY29&gt;'Inputs-Results'!$Z34-'Inputs-Results'!$X34,(0.5*(ABS('Inputs-Results'!$Y34-'Inputs-Results'!$AA34)/('Inputs-Results'!$AB34-'Inputs-Results'!$Z34)*(AY29-('Inputs-Results'!$Z34-'Inputs-Results'!$X34)))*(AY29-('Inputs-Results'!$Z34-'Inputs-Results'!$X34))),0)</f>
        <v>#DIV/0!</v>
      </c>
      <c r="BA29" s="19" t="e">
        <f>IF(AY29&gt;'Inputs-Results'!$V$9-'Inputs-Results'!$X$9,SQRT(('Inputs-Results'!$U$9-'Inputs-Results'!$W$9)^2+('Inputs-Results'!$V$9-'Inputs-Results'!$X$9)^2)+SQRT(('Inputs-Results'!$W$9-'Inputs-Results'!$Y$9)^2+('Inputs-Results'!$X$9-'Inputs-Results'!$Z$9)^2)+SQRT((('Inputs-Results'!$S$9-'Inputs-Results'!$U$9)*(AY29+'Inputs-Results'!$X$9-'Inputs-Results'!$V$9)/('Inputs-Results'!$T$9-'Inputs-Results'!$V$9))^2+(AY29+'Inputs-Results'!$X$9-'Inputs-Results'!$V$9)^2)+SQRT((('Inputs-Results'!$AA$9-'Inputs-Results'!$Y$9)*(AY29+'Inputs-Results'!$X$9-'Inputs-Results'!$Z$9)/('Inputs-Results'!$AB$9-'Inputs-Results'!$Z$9))^2+(AY29+'Inputs-Results'!$X$9-'Inputs-Results'!$Z$9)^2),SQRT((('Inputs-Results'!$U$9-'Inputs-Results'!$W$9)*(AY29)/('Inputs-Results'!$V$9-'Inputs-Results'!$X$9))^2+AY29^2)+SQRT((('Inputs-Results'!$Y$9-'Inputs-Results'!$W$9)*AY29/('Inputs-Results'!$Z$9-'Inputs-Results'!$X$9))^2+AY29^2))</f>
        <v>#DIV/0!</v>
      </c>
      <c r="BB29" s="19" t="e">
        <f t="shared" si="24"/>
        <v>#DIV/0!</v>
      </c>
      <c r="BC29" s="19" t="e">
        <f>1.49/'Inputs-Results'!$AC34*AZ29*BB29^(2/3)*'Inputs-Results'!$AD34^0.5</f>
        <v>#DIV/0!</v>
      </c>
      <c r="BD29" s="27" t="e">
        <f t="shared" si="25"/>
        <v>#DIV/0!</v>
      </c>
      <c r="BE29" s="26">
        <f t="shared" si="26"/>
        <v>0</v>
      </c>
      <c r="BF29" s="19" t="e">
        <f>IF(BE29&gt;'Inputs-Results'!$V34-'Inputs-Results'!$X34,(0.5*(ABS('Inputs-Results'!$S34-'Inputs-Results'!$U34)/('Inputs-Results'!$T34-'Inputs-Results'!$V34)*(BE29-('Inputs-Results'!$V34-'Inputs-Results'!$X34)))*(BE29-('Inputs-Results'!$V34-'Inputs-Results'!$X34))),0)+IF(BE29&gt;'Inputs-Results'!$V34-'Inputs-Results'!$X34,(0.5*((BE29+'Inputs-Results'!$X34-'Inputs-Results'!$V34)+BE29)*ABS('Inputs-Results'!$U34-'Inputs-Results'!$W34)),0.5*(ABS('Inputs-Results'!$U34-'Inputs-Results'!$W34)/('Inputs-Results'!$V34-'Inputs-Results'!$X34)*BE29)*BE29)+IF(BE29&gt;'Inputs-Results'!$Z34-'Inputs-Results'!$X34,(0.5*((BE29+'Inputs-Results'!$X34-'Inputs-Results'!$Z34)+BE29)*ABS('Inputs-Results'!$Y34-'Inputs-Results'!$W34)),0.5*(ABS('Inputs-Results'!$W34-'Inputs-Results'!$Y34)/('Inputs-Results'!$Z34-'Inputs-Results'!$X34)*BE29)*BE29)+IF(BE29&gt;'Inputs-Results'!$Z34-'Inputs-Results'!$X34,(0.5*(ABS('Inputs-Results'!$Y34-'Inputs-Results'!$AA34)/('Inputs-Results'!$AB34-'Inputs-Results'!$Z34)*(BE29-('Inputs-Results'!$Z34-'Inputs-Results'!$X34)))*(BE29-('Inputs-Results'!$Z34-'Inputs-Results'!$X34))),0)</f>
        <v>#DIV/0!</v>
      </c>
      <c r="BG29" s="19" t="e">
        <f>IF(BE29&gt;'Inputs-Results'!$V$9-'Inputs-Results'!$X$9,SQRT(('Inputs-Results'!$U$9-'Inputs-Results'!$W$9)^2+('Inputs-Results'!$V$9-'Inputs-Results'!$X$9)^2)+SQRT(('Inputs-Results'!$W$9-'Inputs-Results'!$Y$9)^2+('Inputs-Results'!$X$9-'Inputs-Results'!$Z$9)^2)+SQRT((('Inputs-Results'!$S$9-'Inputs-Results'!$U$9)*(BE29+'Inputs-Results'!$X$9-'Inputs-Results'!$V$9)/('Inputs-Results'!$T$9-'Inputs-Results'!$V$9))^2+(BE29+'Inputs-Results'!$X$9-'Inputs-Results'!$V$9)^2)+SQRT((('Inputs-Results'!$AA$9-'Inputs-Results'!$Y$9)*(BE29+'Inputs-Results'!$X$9-'Inputs-Results'!$Z$9)/('Inputs-Results'!$AB$9-'Inputs-Results'!$Z$9))^2+(BE29+'Inputs-Results'!$X$9-'Inputs-Results'!$Z$9)^2),SQRT((('Inputs-Results'!$U$9-'Inputs-Results'!$W$9)*(BE29)/('Inputs-Results'!$V$9-'Inputs-Results'!$X$9))^2+BE29^2)+SQRT((('Inputs-Results'!$Y$9-'Inputs-Results'!$W$9)*BE29/('Inputs-Results'!$Z$9-'Inputs-Results'!$X$9))^2+BE29^2))</f>
        <v>#DIV/0!</v>
      </c>
      <c r="BH29" s="19" t="e">
        <f t="shared" si="27"/>
        <v>#DIV/0!</v>
      </c>
      <c r="BI29" s="19" t="e">
        <f>1.49/'Inputs-Results'!$AC34*BF29*BH29^(2/3)*'Inputs-Results'!$AD34^0.5</f>
        <v>#DIV/0!</v>
      </c>
      <c r="BJ29" s="27" t="e">
        <f t="shared" si="28"/>
        <v>#DIV/0!</v>
      </c>
    </row>
    <row r="30" spans="1:62" ht="15.75" thickBot="1" x14ac:dyDescent="0.3">
      <c r="A30" s="2">
        <v>0</v>
      </c>
      <c r="B30" s="17"/>
      <c r="C30" s="26">
        <f>MIN('Inputs-Results'!T35-'Inputs-Results'!X35,'Inputs-Results'!AB35-'Inputs-Results'!X35)</f>
        <v>0</v>
      </c>
      <c r="D30" s="19" t="e">
        <f>IF(C30&gt;'Inputs-Results'!$V35-'Inputs-Results'!$X35,(0.5*(ABS('Inputs-Results'!$S35-'Inputs-Results'!$U35)/('Inputs-Results'!$T35-'Inputs-Results'!$V35)*(C30-('Inputs-Results'!$V35-'Inputs-Results'!$X35)))*(C30-('Inputs-Results'!$V35-'Inputs-Results'!$X35))),0)+IF(C30&gt;'Inputs-Results'!$V35-'Inputs-Results'!$X35,(0.5*((C30+'Inputs-Results'!$X35-'Inputs-Results'!$V35)+C30)*ABS('Inputs-Results'!$U35-'Inputs-Results'!$W35)),0.5*(ABS('Inputs-Results'!$U35-'Inputs-Results'!$W35)/('Inputs-Results'!$V35-'Inputs-Results'!$X35)*C30)*C30)+IF(C30&gt;'Inputs-Results'!$Z35-'Inputs-Results'!$X35,(0.5*((C30+'Inputs-Results'!$X35-'Inputs-Results'!$Z35)+C30)*ABS('Inputs-Results'!$Y35-'Inputs-Results'!$W35)),0.5*(ABS('Inputs-Results'!$W35-'Inputs-Results'!$Y35)/('Inputs-Results'!$Z35-'Inputs-Results'!$X35)*C30)*C30)+IF(C30&gt;'Inputs-Results'!$Z35-'Inputs-Results'!$X35,(0.5*(ABS('Inputs-Results'!$Y35-'Inputs-Results'!$AA35)/('Inputs-Results'!$AB35-'Inputs-Results'!$Z35)*(C30-('Inputs-Results'!$Z35-'Inputs-Results'!$X35)))*(C30-('Inputs-Results'!$Z35-'Inputs-Results'!$X35))),0)</f>
        <v>#DIV/0!</v>
      </c>
      <c r="E30" s="19" t="e">
        <f>IF(C30&gt;'Inputs-Results'!$V$9-'Inputs-Results'!$X$9,SQRT(('Inputs-Results'!$U$9-'Inputs-Results'!$W$9)^2+('Inputs-Results'!$V$9-'Inputs-Results'!$X$9)^2)+SQRT(('Inputs-Results'!$W$9-'Inputs-Results'!$Y$9)^2+('Inputs-Results'!$X$9-'Inputs-Results'!$Z$9)^2)+SQRT((('Inputs-Results'!$S$9-'Inputs-Results'!$U$9)*(C30+'Inputs-Results'!$X$9-'Inputs-Results'!$V$9)/('Inputs-Results'!$T$9-'Inputs-Results'!$V$9))^2+(C30+'Inputs-Results'!$X$9-'Inputs-Results'!$V$9)^2)+SQRT((('Inputs-Results'!$AA$9-'Inputs-Results'!$Y$9)*(C30+'Inputs-Results'!$X$9-'Inputs-Results'!$Z$9)/('Inputs-Results'!$AB$9-'Inputs-Results'!$Z$9))^2+(C30+'Inputs-Results'!$X$9-'Inputs-Results'!$Z$9)^2),SQRT((('Inputs-Results'!$U$9-'Inputs-Results'!$W$9)*(C30)/('Inputs-Results'!$V$9-'Inputs-Results'!$X$9))^2+C30^2)+SQRT((('Inputs-Results'!$Y$9-'Inputs-Results'!$W$9)*C30/('Inputs-Results'!$Z$9-'Inputs-Results'!$X$9))^2+C30^2))</f>
        <v>#DIV/0!</v>
      </c>
      <c r="F30" s="28" t="e">
        <f t="shared" si="0"/>
        <v>#DIV/0!</v>
      </c>
      <c r="G30" s="19" t="e">
        <f>1.49/'Inputs-Results'!AC35*D30*F30^(2/3)*'Inputs-Results'!AD35^0.5</f>
        <v>#DIV/0!</v>
      </c>
      <c r="H30" s="29" t="e">
        <f t="shared" si="1"/>
        <v>#DIV/0!</v>
      </c>
      <c r="I30" s="26">
        <f t="shared" si="2"/>
        <v>0</v>
      </c>
      <c r="J30" s="19" t="e">
        <f>IF(I30&gt;'Inputs-Results'!$V35-'Inputs-Results'!$X35,(0.5*(ABS('Inputs-Results'!$S35-'Inputs-Results'!$U35)/('Inputs-Results'!$T35-'Inputs-Results'!$V35)*(I30-('Inputs-Results'!$V35-'Inputs-Results'!$X35)))*(I30-('Inputs-Results'!$V35-'Inputs-Results'!$X35))),0)+IF(I30&gt;'Inputs-Results'!$V35-'Inputs-Results'!$X35,(0.5*((I30+'Inputs-Results'!$X35-'Inputs-Results'!$V35)+I30)*ABS('Inputs-Results'!$U35-'Inputs-Results'!$W35)),0.5*(ABS('Inputs-Results'!$U35-'Inputs-Results'!$W35)/('Inputs-Results'!$V35-'Inputs-Results'!$X35)*I30)*I30)+IF(I30&gt;'Inputs-Results'!$Z35-'Inputs-Results'!$X35,(0.5*((I30+'Inputs-Results'!$X35-'Inputs-Results'!$Z35)+I30)*ABS('Inputs-Results'!$Y35-'Inputs-Results'!$W35)),0.5*(ABS('Inputs-Results'!$W35-'Inputs-Results'!$Y35)/('Inputs-Results'!$Z35-'Inputs-Results'!$X35)*I30)*I30)+IF(I30&gt;'Inputs-Results'!$Z35-'Inputs-Results'!$X35,(0.5*(ABS('Inputs-Results'!$Y35-'Inputs-Results'!$AA35)/('Inputs-Results'!$AB35-'Inputs-Results'!$Z35)*(I30-('Inputs-Results'!$Z35-'Inputs-Results'!$X35)))*(I30-('Inputs-Results'!$Z35-'Inputs-Results'!$X35))),0)</f>
        <v>#DIV/0!</v>
      </c>
      <c r="K30" s="19" t="e">
        <f>IF(I30&gt;'Inputs-Results'!$V$9-'Inputs-Results'!$X$9,SQRT(('Inputs-Results'!$U$9-'Inputs-Results'!$W$9)^2+('Inputs-Results'!$V$9-'Inputs-Results'!$X$9)^2)+SQRT(('Inputs-Results'!$W$9-'Inputs-Results'!$Y$9)^2+('Inputs-Results'!$X$9-'Inputs-Results'!$Z$9)^2)+SQRT((('Inputs-Results'!$S$9-'Inputs-Results'!$U$9)*(I30+'Inputs-Results'!$X$9-'Inputs-Results'!$V$9)/('Inputs-Results'!$T$9-'Inputs-Results'!$V$9))^2+(I30+'Inputs-Results'!$X$9-'Inputs-Results'!$V$9)^2)+SQRT((('Inputs-Results'!$AA$9-'Inputs-Results'!$Y$9)*(I30+'Inputs-Results'!$X$9-'Inputs-Results'!$Z$9)/('Inputs-Results'!$AB$9-'Inputs-Results'!$Z$9))^2+(I30+'Inputs-Results'!$X$9-'Inputs-Results'!$Z$9)^2),SQRT((('Inputs-Results'!$U$9-'Inputs-Results'!$W$9)*(I30)/('Inputs-Results'!$V$9-'Inputs-Results'!$X$9))^2+I30^2)+SQRT((('Inputs-Results'!$Y$9-'Inputs-Results'!$W$9)*I30/('Inputs-Results'!$Z$9-'Inputs-Results'!$X$9))^2+I30^2))</f>
        <v>#DIV/0!</v>
      </c>
      <c r="L30" s="28" t="e">
        <f t="shared" si="3"/>
        <v>#DIV/0!</v>
      </c>
      <c r="M30" s="28" t="e">
        <f>1.49/'Inputs-Results'!$AC35*J30*L30^(2/3)*'Inputs-Results'!$AD35^0.5</f>
        <v>#DIV/0!</v>
      </c>
      <c r="N30" s="29" t="e">
        <f t="shared" si="4"/>
        <v>#DIV/0!</v>
      </c>
      <c r="O30" s="26">
        <f t="shared" si="5"/>
        <v>0</v>
      </c>
      <c r="P30" s="19" t="e">
        <f>IF(O30&gt;'Inputs-Results'!$V35-'Inputs-Results'!$X35,(0.5*(ABS('Inputs-Results'!$S35-'Inputs-Results'!$U35)/('Inputs-Results'!$T35-'Inputs-Results'!$V35)*(O30-('Inputs-Results'!$V35-'Inputs-Results'!$X35)))*(O30-('Inputs-Results'!$V35-'Inputs-Results'!$X35))),0)+IF(O30&gt;'Inputs-Results'!$V35-'Inputs-Results'!$X35,(0.5*((O30+'Inputs-Results'!$X35-'Inputs-Results'!$V35)+O30)*ABS('Inputs-Results'!$U35-'Inputs-Results'!$W35)),0.5*(ABS('Inputs-Results'!$U35-'Inputs-Results'!$W35)/('Inputs-Results'!$V35-'Inputs-Results'!$X35)*O30)*O30)+IF(O30&gt;'Inputs-Results'!$Z35-'Inputs-Results'!$X35,(0.5*((O30+'Inputs-Results'!$X35-'Inputs-Results'!$Z35)+O30)*ABS('Inputs-Results'!$Y35-'Inputs-Results'!$W35)),0.5*(ABS('Inputs-Results'!$W35-'Inputs-Results'!$Y35)/('Inputs-Results'!$Z35-'Inputs-Results'!$X35)*O30)*O30)+IF(O30&gt;'Inputs-Results'!$Z35-'Inputs-Results'!$X35,(0.5*(ABS('Inputs-Results'!$Y35-'Inputs-Results'!$AA35)/('Inputs-Results'!$AB35-'Inputs-Results'!$Z35)*(O30-('Inputs-Results'!$Z35-'Inputs-Results'!$X35)))*(O30-('Inputs-Results'!$Z35-'Inputs-Results'!$X35))),0)</f>
        <v>#DIV/0!</v>
      </c>
      <c r="Q30" s="19" t="e">
        <f>IF(O30&gt;'Inputs-Results'!$V$9-'Inputs-Results'!$X$9,SQRT(('Inputs-Results'!$U$9-'Inputs-Results'!$W$9)^2+('Inputs-Results'!$V$9-'Inputs-Results'!$X$9)^2)+SQRT(('Inputs-Results'!$W$9-'Inputs-Results'!$Y$9)^2+('Inputs-Results'!$X$9-'Inputs-Results'!$Z$9)^2)+SQRT((('Inputs-Results'!$S$9-'Inputs-Results'!$U$9)*(O30+'Inputs-Results'!$X$9-'Inputs-Results'!$V$9)/('Inputs-Results'!$T$9-'Inputs-Results'!$V$9))^2+(O30+'Inputs-Results'!$X$9-'Inputs-Results'!$V$9)^2)+SQRT((('Inputs-Results'!$AA$9-'Inputs-Results'!$Y$9)*(O30+'Inputs-Results'!$X$9-'Inputs-Results'!$Z$9)/('Inputs-Results'!$AB$9-'Inputs-Results'!$Z$9))^2+(O30+'Inputs-Results'!$X$9-'Inputs-Results'!$Z$9)^2),SQRT((('Inputs-Results'!$U$9-'Inputs-Results'!$W$9)*(O30)/('Inputs-Results'!$V$9-'Inputs-Results'!$X$9))^2+O30^2)+SQRT((('Inputs-Results'!$Y$9-'Inputs-Results'!$W$9)*O30/('Inputs-Results'!$Z$9-'Inputs-Results'!$X$9))^2+O30^2))</f>
        <v>#DIV/0!</v>
      </c>
      <c r="R30" s="28" t="e">
        <f t="shared" si="6"/>
        <v>#DIV/0!</v>
      </c>
      <c r="S30" s="28" t="e">
        <f>1.49/'Inputs-Results'!$AC35*P30*R30^(2/3)*'Inputs-Results'!$AD35^0.5</f>
        <v>#DIV/0!</v>
      </c>
      <c r="T30" s="29" t="e">
        <f t="shared" si="7"/>
        <v>#DIV/0!</v>
      </c>
      <c r="U30" s="26">
        <f t="shared" si="8"/>
        <v>0</v>
      </c>
      <c r="V30" s="19" t="e">
        <f>IF(U30&gt;'Inputs-Results'!$V35-'Inputs-Results'!$X35,(0.5*(ABS('Inputs-Results'!$S35-'Inputs-Results'!$U35)/('Inputs-Results'!$T35-'Inputs-Results'!$V35)*(U30-('Inputs-Results'!$V35-'Inputs-Results'!$X35)))*(U30-('Inputs-Results'!$V35-'Inputs-Results'!$X35))),0)+IF(U30&gt;'Inputs-Results'!$V35-'Inputs-Results'!$X35,(0.5*((U30+'Inputs-Results'!$X35-'Inputs-Results'!$V35)+U30)*ABS('Inputs-Results'!$U35-'Inputs-Results'!$W35)),0.5*(ABS('Inputs-Results'!$U35-'Inputs-Results'!$W35)/('Inputs-Results'!$V35-'Inputs-Results'!$X35)*U30)*U30)+IF(U30&gt;'Inputs-Results'!$Z35-'Inputs-Results'!$X35,(0.5*((U30+'Inputs-Results'!$X35-'Inputs-Results'!$Z35)+U30)*ABS('Inputs-Results'!$Y35-'Inputs-Results'!$W35)),0.5*(ABS('Inputs-Results'!$W35-'Inputs-Results'!$Y35)/('Inputs-Results'!$Z35-'Inputs-Results'!$X35)*U30)*U30)+IF(U30&gt;'Inputs-Results'!$Z35-'Inputs-Results'!$X35,(0.5*(ABS('Inputs-Results'!$Y35-'Inputs-Results'!$AA35)/('Inputs-Results'!$AB35-'Inputs-Results'!$Z35)*(U30-('Inputs-Results'!$Z35-'Inputs-Results'!$X35)))*(U30-('Inputs-Results'!$Z35-'Inputs-Results'!$X35))),0)</f>
        <v>#DIV/0!</v>
      </c>
      <c r="W30" s="19" t="e">
        <f>IF(U30&gt;'Inputs-Results'!$V$9-'Inputs-Results'!$X$9,SQRT(('Inputs-Results'!$U$9-'Inputs-Results'!$W$9)^2+('Inputs-Results'!$V$9-'Inputs-Results'!$X$9)^2)+SQRT(('Inputs-Results'!$W$9-'Inputs-Results'!$Y$9)^2+('Inputs-Results'!$X$9-'Inputs-Results'!$Z$9)^2)+SQRT((('Inputs-Results'!$S$9-'Inputs-Results'!$U$9)*(U30+'Inputs-Results'!$X$9-'Inputs-Results'!$V$9)/('Inputs-Results'!$T$9-'Inputs-Results'!$V$9))^2+(U30+'Inputs-Results'!$X$9-'Inputs-Results'!$V$9)^2)+SQRT((('Inputs-Results'!$AA$9-'Inputs-Results'!$Y$9)*(U30+'Inputs-Results'!$X$9-'Inputs-Results'!$Z$9)/('Inputs-Results'!$AB$9-'Inputs-Results'!$Z$9))^2+(U30+'Inputs-Results'!$X$9-'Inputs-Results'!$Z$9)^2),SQRT((('Inputs-Results'!$U$9-'Inputs-Results'!$W$9)*(U30)/('Inputs-Results'!$V$9-'Inputs-Results'!$X$9))^2+U30^2)+SQRT((('Inputs-Results'!$Y$9-'Inputs-Results'!$W$9)*U30/('Inputs-Results'!$Z$9-'Inputs-Results'!$X$9))^2+U30^2))</f>
        <v>#DIV/0!</v>
      </c>
      <c r="X30" s="28" t="e">
        <f t="shared" si="9"/>
        <v>#DIV/0!</v>
      </c>
      <c r="Y30" s="28" t="e">
        <f>1.49/'Inputs-Results'!$AC35*V30*X30^(2/3)*'Inputs-Results'!$AD35^0.5</f>
        <v>#DIV/0!</v>
      </c>
      <c r="Z30" s="29" t="e">
        <f t="shared" si="10"/>
        <v>#DIV/0!</v>
      </c>
      <c r="AA30" s="26">
        <f t="shared" si="11"/>
        <v>0</v>
      </c>
      <c r="AB30" s="19" t="e">
        <f>IF(AA30&gt;'Inputs-Results'!$V35-'Inputs-Results'!$X35,(0.5*(ABS('Inputs-Results'!$S35-'Inputs-Results'!$U35)/('Inputs-Results'!$T35-'Inputs-Results'!$V35)*(AA30-('Inputs-Results'!$V35-'Inputs-Results'!$X35)))*(AA30-('Inputs-Results'!$V35-'Inputs-Results'!$X35))),0)+IF(AA30&gt;'Inputs-Results'!$V35-'Inputs-Results'!$X35,(0.5*((AA30+'Inputs-Results'!$X35-'Inputs-Results'!$V35)+AA30)*ABS('Inputs-Results'!$U35-'Inputs-Results'!$W35)),0.5*(ABS('Inputs-Results'!$U35-'Inputs-Results'!$W35)/('Inputs-Results'!$V35-'Inputs-Results'!$X35)*AA30)*AA30)+IF(AA30&gt;'Inputs-Results'!$Z35-'Inputs-Results'!$X35,(0.5*((AA30+'Inputs-Results'!$X35-'Inputs-Results'!$Z35)+AA30)*ABS('Inputs-Results'!$Y35-'Inputs-Results'!$W35)),0.5*(ABS('Inputs-Results'!$W35-'Inputs-Results'!$Y35)/('Inputs-Results'!$Z35-'Inputs-Results'!$X35)*AA30)*AA30)+IF(AA30&gt;'Inputs-Results'!$Z35-'Inputs-Results'!$X35,(0.5*(ABS('Inputs-Results'!$Y35-'Inputs-Results'!$AA35)/('Inputs-Results'!$AB35-'Inputs-Results'!$Z35)*(AA30-('Inputs-Results'!$Z35-'Inputs-Results'!$X35)))*(AA30-('Inputs-Results'!$Z35-'Inputs-Results'!$X35))),0)</f>
        <v>#DIV/0!</v>
      </c>
      <c r="AC30" s="19" t="e">
        <f>IF(AA30&gt;'Inputs-Results'!$V$9-'Inputs-Results'!$X$9,SQRT(('Inputs-Results'!$U$9-'Inputs-Results'!$W$9)^2+('Inputs-Results'!$V$9-'Inputs-Results'!$X$9)^2)+SQRT(('Inputs-Results'!$W$9-'Inputs-Results'!$Y$9)^2+('Inputs-Results'!$X$9-'Inputs-Results'!$Z$9)^2)+SQRT((('Inputs-Results'!$S$9-'Inputs-Results'!$U$9)*(AA30+'Inputs-Results'!$X$9-'Inputs-Results'!$V$9)/('Inputs-Results'!$T$9-'Inputs-Results'!$V$9))^2+(AA30+'Inputs-Results'!$X$9-'Inputs-Results'!$V$9)^2)+SQRT((('Inputs-Results'!$AA$9-'Inputs-Results'!$Y$9)*(AA30+'Inputs-Results'!$X$9-'Inputs-Results'!$Z$9)/('Inputs-Results'!$AB$9-'Inputs-Results'!$Z$9))^2+(AA30+'Inputs-Results'!$X$9-'Inputs-Results'!$Z$9)^2),SQRT((('Inputs-Results'!$U$9-'Inputs-Results'!$W$9)*(AA30)/('Inputs-Results'!$V$9-'Inputs-Results'!$X$9))^2+AA30^2)+SQRT((('Inputs-Results'!$Y$9-'Inputs-Results'!$W$9)*AA30/('Inputs-Results'!$Z$9-'Inputs-Results'!$X$9))^2+AA30^2))</f>
        <v>#DIV/0!</v>
      </c>
      <c r="AD30" s="28" t="e">
        <f t="shared" si="12"/>
        <v>#DIV/0!</v>
      </c>
      <c r="AE30" s="28" t="e">
        <f>1.49/'Inputs-Results'!$AC35*AB30*AD30^(2/3)*'Inputs-Results'!$AD35^0.5</f>
        <v>#DIV/0!</v>
      </c>
      <c r="AF30" s="29" t="e">
        <f t="shared" si="13"/>
        <v>#DIV/0!</v>
      </c>
      <c r="AG30" s="26">
        <f t="shared" si="14"/>
        <v>0</v>
      </c>
      <c r="AH30" s="19" t="e">
        <f>IF(AG30&gt;'Inputs-Results'!$V35-'Inputs-Results'!$X35,(0.5*(ABS('Inputs-Results'!$S35-'Inputs-Results'!$U35)/('Inputs-Results'!$T35-'Inputs-Results'!$V35)*(AG30-('Inputs-Results'!$V35-'Inputs-Results'!$X35)))*(AG30-('Inputs-Results'!$V35-'Inputs-Results'!$X35))),0)+IF(AG30&gt;'Inputs-Results'!$V35-'Inputs-Results'!$X35,(0.5*((AG30+'Inputs-Results'!$X35-'Inputs-Results'!$V35)+AG30)*ABS('Inputs-Results'!$U35-'Inputs-Results'!$W35)),0.5*(ABS('Inputs-Results'!$U35-'Inputs-Results'!$W35)/('Inputs-Results'!$V35-'Inputs-Results'!$X35)*AG30)*AG30)+IF(AG30&gt;'Inputs-Results'!$Z35-'Inputs-Results'!$X35,(0.5*((AG30+'Inputs-Results'!$X35-'Inputs-Results'!$Z35)+AG30)*ABS('Inputs-Results'!$Y35-'Inputs-Results'!$W35)),0.5*(ABS('Inputs-Results'!$W35-'Inputs-Results'!$Y35)/('Inputs-Results'!$Z35-'Inputs-Results'!$X35)*AG30)*AG30)+IF(AG30&gt;'Inputs-Results'!$Z35-'Inputs-Results'!$X35,(0.5*(ABS('Inputs-Results'!$Y35-'Inputs-Results'!$AA35)/('Inputs-Results'!$AB35-'Inputs-Results'!$Z35)*(AG30-('Inputs-Results'!$Z35-'Inputs-Results'!$X35)))*(AG30-('Inputs-Results'!$Z35-'Inputs-Results'!$X35))),0)</f>
        <v>#DIV/0!</v>
      </c>
      <c r="AI30" s="19" t="e">
        <f>IF(AG30&gt;'Inputs-Results'!$V$9-'Inputs-Results'!$X$9,SQRT(('Inputs-Results'!$U$9-'Inputs-Results'!$W$9)^2+('Inputs-Results'!$V$9-'Inputs-Results'!$X$9)^2)+SQRT(('Inputs-Results'!$W$9-'Inputs-Results'!$Y$9)^2+('Inputs-Results'!$X$9-'Inputs-Results'!$Z$9)^2)+SQRT((('Inputs-Results'!$S$9-'Inputs-Results'!$U$9)*(AG30+'Inputs-Results'!$X$9-'Inputs-Results'!$V$9)/('Inputs-Results'!$T$9-'Inputs-Results'!$V$9))^2+(AG30+'Inputs-Results'!$X$9-'Inputs-Results'!$V$9)^2)+SQRT((('Inputs-Results'!$AA$9-'Inputs-Results'!$Y$9)*(AG30+'Inputs-Results'!$X$9-'Inputs-Results'!$Z$9)/('Inputs-Results'!$AB$9-'Inputs-Results'!$Z$9))^2+(AG30+'Inputs-Results'!$X$9-'Inputs-Results'!$Z$9)^2),SQRT((('Inputs-Results'!$U$9-'Inputs-Results'!$W$9)*(AG30)/('Inputs-Results'!$V$9-'Inputs-Results'!$X$9))^2+AG30^2)+SQRT((('Inputs-Results'!$Y$9-'Inputs-Results'!$W$9)*AG30/('Inputs-Results'!$Z$9-'Inputs-Results'!$X$9))^2+AG30^2))</f>
        <v>#DIV/0!</v>
      </c>
      <c r="AJ30" s="28" t="e">
        <f t="shared" si="15"/>
        <v>#DIV/0!</v>
      </c>
      <c r="AK30" s="28" t="e">
        <f>1.49/'Inputs-Results'!$AC35*AH30*AJ30^(2/3)*'Inputs-Results'!$AD35^0.5</f>
        <v>#DIV/0!</v>
      </c>
      <c r="AL30" s="29" t="e">
        <f t="shared" si="16"/>
        <v>#DIV/0!</v>
      </c>
      <c r="AM30" s="26">
        <f t="shared" si="17"/>
        <v>0</v>
      </c>
      <c r="AN30" s="19" t="e">
        <f>IF(AM30&gt;'Inputs-Results'!$V35-'Inputs-Results'!$X35,(0.5*(ABS('Inputs-Results'!$S35-'Inputs-Results'!$U35)/('Inputs-Results'!$T35-'Inputs-Results'!$V35)*(AM30-('Inputs-Results'!$V35-'Inputs-Results'!$X35)))*(AM30-('Inputs-Results'!$V35-'Inputs-Results'!$X35))),0)+IF(AM30&gt;'Inputs-Results'!$V35-'Inputs-Results'!$X35,(0.5*((AM30+'Inputs-Results'!$X35-'Inputs-Results'!$V35)+AM30)*ABS('Inputs-Results'!$U35-'Inputs-Results'!$W35)),0.5*(ABS('Inputs-Results'!$U35-'Inputs-Results'!$W35)/('Inputs-Results'!$V35-'Inputs-Results'!$X35)*AM30)*AM30)+IF(AM30&gt;'Inputs-Results'!$Z35-'Inputs-Results'!$X35,(0.5*((AM30+'Inputs-Results'!$X35-'Inputs-Results'!$Z35)+AM30)*ABS('Inputs-Results'!$Y35-'Inputs-Results'!$W35)),0.5*(ABS('Inputs-Results'!$W35-'Inputs-Results'!$Y35)/('Inputs-Results'!$Z35-'Inputs-Results'!$X35)*AM30)*AM30)+IF(AM30&gt;'Inputs-Results'!$Z35-'Inputs-Results'!$X35,(0.5*(ABS('Inputs-Results'!$Y35-'Inputs-Results'!$AA35)/('Inputs-Results'!$AB35-'Inputs-Results'!$Z35)*(AM30-('Inputs-Results'!$Z35-'Inputs-Results'!$X35)))*(AM30-('Inputs-Results'!$Z35-'Inputs-Results'!$X35))),0)</f>
        <v>#DIV/0!</v>
      </c>
      <c r="AO30" s="19" t="e">
        <f>IF(AM30&gt;'Inputs-Results'!$V$9-'Inputs-Results'!$X$9,SQRT(('Inputs-Results'!$U$9-'Inputs-Results'!$W$9)^2+('Inputs-Results'!$V$9-'Inputs-Results'!$X$9)^2)+SQRT(('Inputs-Results'!$W$9-'Inputs-Results'!$Y$9)^2+('Inputs-Results'!$X$9-'Inputs-Results'!$Z$9)^2)+SQRT((('Inputs-Results'!$S$9-'Inputs-Results'!$U$9)*(AM30+'Inputs-Results'!$X$9-'Inputs-Results'!$V$9)/('Inputs-Results'!$T$9-'Inputs-Results'!$V$9))^2+(AM30+'Inputs-Results'!$X$9-'Inputs-Results'!$V$9)^2)+SQRT((('Inputs-Results'!$AA$9-'Inputs-Results'!$Y$9)*(AM30+'Inputs-Results'!$X$9-'Inputs-Results'!$Z$9)/('Inputs-Results'!$AB$9-'Inputs-Results'!$Z$9))^2+(AM30+'Inputs-Results'!$X$9-'Inputs-Results'!$Z$9)^2),SQRT((('Inputs-Results'!$U$9-'Inputs-Results'!$W$9)*(AM30)/('Inputs-Results'!$V$9-'Inputs-Results'!$X$9))^2+AM30^2)+SQRT((('Inputs-Results'!$Y$9-'Inputs-Results'!$W$9)*AM30/('Inputs-Results'!$Z$9-'Inputs-Results'!$X$9))^2+AM30^2))</f>
        <v>#DIV/0!</v>
      </c>
      <c r="AP30" s="28" t="e">
        <f t="shared" si="18"/>
        <v>#DIV/0!</v>
      </c>
      <c r="AQ30" s="28" t="e">
        <f>1.49/'Inputs-Results'!$AC35*AN30*AP30^(2/3)*'Inputs-Results'!$AD35^0.5</f>
        <v>#DIV/0!</v>
      </c>
      <c r="AR30" s="29" t="e">
        <f t="shared" si="19"/>
        <v>#DIV/0!</v>
      </c>
      <c r="AS30" s="26">
        <f t="shared" si="20"/>
        <v>0</v>
      </c>
      <c r="AT30" s="19" t="e">
        <f>IF(AS30&gt;'Inputs-Results'!$V35-'Inputs-Results'!$X35,(0.5*(ABS('Inputs-Results'!$S35-'Inputs-Results'!$U35)/('Inputs-Results'!$T35-'Inputs-Results'!$V35)*(AS30-('Inputs-Results'!$V35-'Inputs-Results'!$X35)))*(AS30-('Inputs-Results'!$V35-'Inputs-Results'!$X35))),0)+IF(AS30&gt;'Inputs-Results'!$V35-'Inputs-Results'!$X35,(0.5*((AS30+'Inputs-Results'!$X35-'Inputs-Results'!$V35)+AS30)*ABS('Inputs-Results'!$U35-'Inputs-Results'!$W35)),0.5*(ABS('Inputs-Results'!$U35-'Inputs-Results'!$W35)/('Inputs-Results'!$V35-'Inputs-Results'!$X35)*AS30)*AS30)+IF(AS30&gt;'Inputs-Results'!$Z35-'Inputs-Results'!$X35,(0.5*((AS30+'Inputs-Results'!$X35-'Inputs-Results'!$Z35)+AS30)*ABS('Inputs-Results'!$Y35-'Inputs-Results'!$W35)),0.5*(ABS('Inputs-Results'!$W35-'Inputs-Results'!$Y35)/('Inputs-Results'!$Z35-'Inputs-Results'!$X35)*AS30)*AS30)+IF(AS30&gt;'Inputs-Results'!$Z35-'Inputs-Results'!$X35,(0.5*(ABS('Inputs-Results'!$Y35-'Inputs-Results'!$AA35)/('Inputs-Results'!$AB35-'Inputs-Results'!$Z35)*(AS30-('Inputs-Results'!$Z35-'Inputs-Results'!$X35)))*(AS30-('Inputs-Results'!$Z35-'Inputs-Results'!$X35))),0)</f>
        <v>#DIV/0!</v>
      </c>
      <c r="AU30" s="19" t="e">
        <f>IF(AS30&gt;'Inputs-Results'!$V$9-'Inputs-Results'!$X$9,SQRT(('Inputs-Results'!$U$9-'Inputs-Results'!$W$9)^2+('Inputs-Results'!$V$9-'Inputs-Results'!$X$9)^2)+SQRT(('Inputs-Results'!$W$9-'Inputs-Results'!$Y$9)^2+('Inputs-Results'!$X$9-'Inputs-Results'!$Z$9)^2)+SQRT((('Inputs-Results'!$S$9-'Inputs-Results'!$U$9)*(AS30+'Inputs-Results'!$X$9-'Inputs-Results'!$V$9)/('Inputs-Results'!$T$9-'Inputs-Results'!$V$9))^2+(AS30+'Inputs-Results'!$X$9-'Inputs-Results'!$V$9)^2)+SQRT((('Inputs-Results'!$AA$9-'Inputs-Results'!$Y$9)*(AS30+'Inputs-Results'!$X$9-'Inputs-Results'!$Z$9)/('Inputs-Results'!$AB$9-'Inputs-Results'!$Z$9))^2+(AS30+'Inputs-Results'!$X$9-'Inputs-Results'!$Z$9)^2),SQRT((('Inputs-Results'!$U$9-'Inputs-Results'!$W$9)*(AS30)/('Inputs-Results'!$V$9-'Inputs-Results'!$X$9))^2+AS30^2)+SQRT((('Inputs-Results'!$Y$9-'Inputs-Results'!$W$9)*AS30/('Inputs-Results'!$Z$9-'Inputs-Results'!$X$9))^2+AS30^2))</f>
        <v>#DIV/0!</v>
      </c>
      <c r="AV30" s="28" t="e">
        <f t="shared" si="21"/>
        <v>#DIV/0!</v>
      </c>
      <c r="AW30" s="28" t="e">
        <f>1.49/'Inputs-Results'!$AC35*AT30*AV30^(2/3)*'Inputs-Results'!$AD35^0.5</f>
        <v>#DIV/0!</v>
      </c>
      <c r="AX30" s="29" t="e">
        <f t="shared" si="22"/>
        <v>#DIV/0!</v>
      </c>
      <c r="AY30" s="26">
        <f t="shared" si="23"/>
        <v>0</v>
      </c>
      <c r="AZ30" s="19" t="e">
        <f>IF(AY30&gt;'Inputs-Results'!$V35-'Inputs-Results'!$X35,(0.5*(ABS('Inputs-Results'!$S35-'Inputs-Results'!$U35)/('Inputs-Results'!$T35-'Inputs-Results'!$V35)*(AY30-('Inputs-Results'!$V35-'Inputs-Results'!$X35)))*(AY30-('Inputs-Results'!$V35-'Inputs-Results'!$X35))),0)+IF(AY30&gt;'Inputs-Results'!$V35-'Inputs-Results'!$X35,(0.5*((AY30+'Inputs-Results'!$X35-'Inputs-Results'!$V35)+AY30)*ABS('Inputs-Results'!$U35-'Inputs-Results'!$W35)),0.5*(ABS('Inputs-Results'!$U35-'Inputs-Results'!$W35)/('Inputs-Results'!$V35-'Inputs-Results'!$X35)*AY30)*AY30)+IF(AY30&gt;'Inputs-Results'!$Z35-'Inputs-Results'!$X35,(0.5*((AY30+'Inputs-Results'!$X35-'Inputs-Results'!$Z35)+AY30)*ABS('Inputs-Results'!$Y35-'Inputs-Results'!$W35)),0.5*(ABS('Inputs-Results'!$W35-'Inputs-Results'!$Y35)/('Inputs-Results'!$Z35-'Inputs-Results'!$X35)*AY30)*AY30)+IF(AY30&gt;'Inputs-Results'!$Z35-'Inputs-Results'!$X35,(0.5*(ABS('Inputs-Results'!$Y35-'Inputs-Results'!$AA35)/('Inputs-Results'!$AB35-'Inputs-Results'!$Z35)*(AY30-('Inputs-Results'!$Z35-'Inputs-Results'!$X35)))*(AY30-('Inputs-Results'!$Z35-'Inputs-Results'!$X35))),0)</f>
        <v>#DIV/0!</v>
      </c>
      <c r="BA30" s="19" t="e">
        <f>IF(AY30&gt;'Inputs-Results'!$V$9-'Inputs-Results'!$X$9,SQRT(('Inputs-Results'!$U$9-'Inputs-Results'!$W$9)^2+('Inputs-Results'!$V$9-'Inputs-Results'!$X$9)^2)+SQRT(('Inputs-Results'!$W$9-'Inputs-Results'!$Y$9)^2+('Inputs-Results'!$X$9-'Inputs-Results'!$Z$9)^2)+SQRT((('Inputs-Results'!$S$9-'Inputs-Results'!$U$9)*(AY30+'Inputs-Results'!$X$9-'Inputs-Results'!$V$9)/('Inputs-Results'!$T$9-'Inputs-Results'!$V$9))^2+(AY30+'Inputs-Results'!$X$9-'Inputs-Results'!$V$9)^2)+SQRT((('Inputs-Results'!$AA$9-'Inputs-Results'!$Y$9)*(AY30+'Inputs-Results'!$X$9-'Inputs-Results'!$Z$9)/('Inputs-Results'!$AB$9-'Inputs-Results'!$Z$9))^2+(AY30+'Inputs-Results'!$X$9-'Inputs-Results'!$Z$9)^2),SQRT((('Inputs-Results'!$U$9-'Inputs-Results'!$W$9)*(AY30)/('Inputs-Results'!$V$9-'Inputs-Results'!$X$9))^2+AY30^2)+SQRT((('Inputs-Results'!$Y$9-'Inputs-Results'!$W$9)*AY30/('Inputs-Results'!$Z$9-'Inputs-Results'!$X$9))^2+AY30^2))</f>
        <v>#DIV/0!</v>
      </c>
      <c r="BB30" s="28" t="e">
        <f t="shared" si="24"/>
        <v>#DIV/0!</v>
      </c>
      <c r="BC30" s="28" t="e">
        <f>1.49/'Inputs-Results'!$AC35*AZ30*BB30^(2/3)*'Inputs-Results'!$AD35^0.5</f>
        <v>#DIV/0!</v>
      </c>
      <c r="BD30" s="29" t="e">
        <f t="shared" si="25"/>
        <v>#DIV/0!</v>
      </c>
      <c r="BE30" s="26">
        <f t="shared" si="26"/>
        <v>0</v>
      </c>
      <c r="BF30" s="19" t="e">
        <f>IF(BE30&gt;'Inputs-Results'!$V35-'Inputs-Results'!$X35,(0.5*(ABS('Inputs-Results'!$S35-'Inputs-Results'!$U35)/('Inputs-Results'!$T35-'Inputs-Results'!$V35)*(BE30-('Inputs-Results'!$V35-'Inputs-Results'!$X35)))*(BE30-('Inputs-Results'!$V35-'Inputs-Results'!$X35))),0)+IF(BE30&gt;'Inputs-Results'!$V35-'Inputs-Results'!$X35,(0.5*((BE30+'Inputs-Results'!$X35-'Inputs-Results'!$V35)+BE30)*ABS('Inputs-Results'!$U35-'Inputs-Results'!$W35)),0.5*(ABS('Inputs-Results'!$U35-'Inputs-Results'!$W35)/('Inputs-Results'!$V35-'Inputs-Results'!$X35)*BE30)*BE30)+IF(BE30&gt;'Inputs-Results'!$Z35-'Inputs-Results'!$X35,(0.5*((BE30+'Inputs-Results'!$X35-'Inputs-Results'!$Z35)+BE30)*ABS('Inputs-Results'!$Y35-'Inputs-Results'!$W35)),0.5*(ABS('Inputs-Results'!$W35-'Inputs-Results'!$Y35)/('Inputs-Results'!$Z35-'Inputs-Results'!$X35)*BE30)*BE30)+IF(BE30&gt;'Inputs-Results'!$Z35-'Inputs-Results'!$X35,(0.5*(ABS('Inputs-Results'!$Y35-'Inputs-Results'!$AA35)/('Inputs-Results'!$AB35-'Inputs-Results'!$Z35)*(BE30-('Inputs-Results'!$Z35-'Inputs-Results'!$X35)))*(BE30-('Inputs-Results'!$Z35-'Inputs-Results'!$X35))),0)</f>
        <v>#DIV/0!</v>
      </c>
      <c r="BG30" s="19" t="e">
        <f>IF(BE30&gt;'Inputs-Results'!$V$9-'Inputs-Results'!$X$9,SQRT(('Inputs-Results'!$U$9-'Inputs-Results'!$W$9)^2+('Inputs-Results'!$V$9-'Inputs-Results'!$X$9)^2)+SQRT(('Inputs-Results'!$W$9-'Inputs-Results'!$Y$9)^2+('Inputs-Results'!$X$9-'Inputs-Results'!$Z$9)^2)+SQRT((('Inputs-Results'!$S$9-'Inputs-Results'!$U$9)*(BE30+'Inputs-Results'!$X$9-'Inputs-Results'!$V$9)/('Inputs-Results'!$T$9-'Inputs-Results'!$V$9))^2+(BE30+'Inputs-Results'!$X$9-'Inputs-Results'!$V$9)^2)+SQRT((('Inputs-Results'!$AA$9-'Inputs-Results'!$Y$9)*(BE30+'Inputs-Results'!$X$9-'Inputs-Results'!$Z$9)/('Inputs-Results'!$AB$9-'Inputs-Results'!$Z$9))^2+(BE30+'Inputs-Results'!$X$9-'Inputs-Results'!$Z$9)^2),SQRT((('Inputs-Results'!$U$9-'Inputs-Results'!$W$9)*(BE30)/('Inputs-Results'!$V$9-'Inputs-Results'!$X$9))^2+BE30^2)+SQRT((('Inputs-Results'!$Y$9-'Inputs-Results'!$W$9)*BE30/('Inputs-Results'!$Z$9-'Inputs-Results'!$X$9))^2+BE30^2))</f>
        <v>#DIV/0!</v>
      </c>
      <c r="BH30" s="28" t="e">
        <f t="shared" si="27"/>
        <v>#DIV/0!</v>
      </c>
      <c r="BI30" s="28" t="e">
        <f>1.49/'Inputs-Results'!$AC35*BF30*BH30^(2/3)*'Inputs-Results'!$AD35^0.5</f>
        <v>#DIV/0!</v>
      </c>
      <c r="BJ30" s="29" t="e">
        <f t="shared" si="28"/>
        <v>#DIV/0!</v>
      </c>
    </row>
    <row r="32" spans="1:62" x14ac:dyDescent="0.25">
      <c r="D32">
        <v>0</v>
      </c>
      <c r="E32">
        <v>1</v>
      </c>
      <c r="F32">
        <v>2</v>
      </c>
      <c r="G32">
        <v>3</v>
      </c>
      <c r="H32">
        <v>4</v>
      </c>
      <c r="I32">
        <v>5</v>
      </c>
      <c r="J32">
        <v>6</v>
      </c>
      <c r="K32">
        <v>7</v>
      </c>
      <c r="L32">
        <v>8</v>
      </c>
      <c r="M32">
        <v>9</v>
      </c>
      <c r="N32">
        <v>10</v>
      </c>
    </row>
    <row r="33" spans="1:15" x14ac:dyDescent="0.25">
      <c r="A33" t="s">
        <v>81</v>
      </c>
      <c r="C33" t="s">
        <v>103</v>
      </c>
      <c r="D33" s="32">
        <v>1</v>
      </c>
      <c r="E33" s="32">
        <v>0.9</v>
      </c>
      <c r="F33" s="32">
        <v>0.8</v>
      </c>
      <c r="G33" s="32">
        <v>0.7</v>
      </c>
      <c r="H33" s="32">
        <v>0.6</v>
      </c>
      <c r="I33" s="32">
        <v>0.5</v>
      </c>
      <c r="J33" s="32">
        <v>0.4</v>
      </c>
      <c r="K33" s="32">
        <v>0.3</v>
      </c>
      <c r="L33" s="32">
        <v>0.2</v>
      </c>
      <c r="M33" s="32">
        <v>0.1</v>
      </c>
      <c r="N33" s="32">
        <v>0</v>
      </c>
    </row>
    <row r="34" spans="1:15" x14ac:dyDescent="0.25">
      <c r="A34" s="35">
        <f>A4</f>
        <v>0</v>
      </c>
      <c r="B34" t="s">
        <v>102</v>
      </c>
      <c r="C34" s="24" t="e">
        <f>_xlfn.FORECAST.LINEAR(_xlfn.XLOOKUP(A34,'Inputs-Results'!$A$9:$A$35,'Inputs-Results'!$M$9:$M$35),INDEX(D34:N34,_xlfn.XMATCH(_xlfn.XLOOKUP(A34,'Inputs-Results'!$A$9:$A$35,'Inputs-Results'!$M$9:$M$35),D36:N36,-1)):INDEX(D34:N34,_xlfn.XMATCH(_xlfn.XLOOKUP(A34,'Inputs-Results'!$A$9:$A$35,'Inputs-Results'!$M$9:$M$35),D36:N36,1)),INDEX(D36:N36,_xlfn.XMATCH(_xlfn.XLOOKUP(A34,'Inputs-Results'!$A$9:$A$35,'Inputs-Results'!$M$9:$M$35),D36:N36,-1)):INDEX(D36:N36,_xlfn.XMATCH(_xlfn.XLOOKUP(A34,'Inputs-Results'!$A$9:$A$35,'Inputs-Results'!$M$9:$M$35),D36:N36,1)))</f>
        <v>#N/A</v>
      </c>
      <c r="D34" s="19">
        <f t="shared" ref="D34:M34" si="29">VLOOKUP($A34,$A$4:$BJ$30,3+6*D$32,FALSE)</f>
        <v>0</v>
      </c>
      <c r="E34" s="19">
        <f t="shared" si="29"/>
        <v>0</v>
      </c>
      <c r="F34" s="19">
        <f t="shared" si="29"/>
        <v>0</v>
      </c>
      <c r="G34" s="19">
        <f t="shared" si="29"/>
        <v>0</v>
      </c>
      <c r="H34" s="19">
        <f t="shared" si="29"/>
        <v>0</v>
      </c>
      <c r="I34" s="19">
        <f t="shared" si="29"/>
        <v>0</v>
      </c>
      <c r="J34" s="19">
        <f t="shared" si="29"/>
        <v>0</v>
      </c>
      <c r="K34" s="19">
        <f t="shared" si="29"/>
        <v>0</v>
      </c>
      <c r="L34" s="19">
        <f t="shared" si="29"/>
        <v>0</v>
      </c>
      <c r="M34" s="19">
        <f t="shared" si="29"/>
        <v>0</v>
      </c>
      <c r="N34" s="19">
        <v>0</v>
      </c>
      <c r="O34" s="40"/>
    </row>
    <row r="35" spans="1:15" x14ac:dyDescent="0.25">
      <c r="A35" s="35">
        <f>A34</f>
        <v>0</v>
      </c>
      <c r="B35" t="s">
        <v>90</v>
      </c>
      <c r="C35" s="24" t="e">
        <f>IF(C34&gt;_xlfn.XLOOKUP(A35,'Inputs-Results'!$A$9:$A$35,'Inputs-Results'!$V$9:$V$35)-_xlfn.XLOOKUP(A35,'Inputs-Results'!$A$9:$A$35,'Inputs-Results'!$X$9:$X$35),(0.5*(ABS(_xlfn.XLOOKUP(A35,'Inputs-Results'!$A$9:$A$35,'Inputs-Results'!$S$9:$S$35)-_xlfn.XLOOKUP(A35,'Inputs-Results'!$A$9:$A$35,'Inputs-Results'!$U$9:$U$35))/(_xlfn.XLOOKUP(A35,'Inputs-Results'!$A$9:$A$35,'Inputs-Results'!$T$9:$T$35)-_xlfn.XLOOKUP(A35,'Inputs-Results'!$A$9:$A$35,'Inputs-Results'!$V$9:$V$35))*(C34-(_xlfn.XLOOKUP(A35,'Inputs-Results'!$A$9:$A$35,'Inputs-Results'!$V$9:$V$35)-_xlfn.XLOOKUP(A35,'Inputs-Results'!$A$9:$A$35,'Inputs-Results'!$X$9:$X$35))))*(C34-(_xlfn.XLOOKUP(A35,'Inputs-Results'!$A$9:$A$35,'Inputs-Results'!$V$9:$V$35)-_xlfn.XLOOKUP(A35,'Inputs-Results'!$A$9:$A$35,'Inputs-Results'!$X$9:$X$35)))),0)+IF(C34&gt;_xlfn.XLOOKUP(A35,'Inputs-Results'!$A$9:$A$35,'Inputs-Results'!$V$9:$V$35)-_xlfn.XLOOKUP(A35,'Inputs-Results'!$A$9:$A$35,'Inputs-Results'!$X$9:$X$35),(0.5*((C34+_xlfn.XLOOKUP(A35,'Inputs-Results'!$A$9:$A$35,'Inputs-Results'!$X$9:$X$35)-_xlfn.XLOOKUP(A35,'Inputs-Results'!$A$9:$A$35,'Inputs-Results'!$V$9:$V$35))+C34)*ABS(_xlfn.XLOOKUP(A35,'Inputs-Results'!$A$9:$A$35,'Inputs-Results'!$U$9:$U$35)-_xlfn.XLOOKUP(A35,'Inputs-Results'!$A$9:$A$35,'Inputs-Results'!$W$9:$W$35))),0.5*(ABS(_xlfn.XLOOKUP(A35,'Inputs-Results'!$A$9:$A$35,'Inputs-Results'!$U$9:$U$35)-_xlfn.XLOOKUP(A35,'Inputs-Results'!$A$9:$A$35,'Inputs-Results'!$W$9:$W$35))/(_xlfn.XLOOKUP(A35,'Inputs-Results'!$A$9:$A$35,'Inputs-Results'!$V$9:$V$35)-_xlfn.XLOOKUP(A35,'Inputs-Results'!$A$9:$A$35,'Inputs-Results'!$X$9:$X$35))*C34)*C34)+IF(C34&gt;_xlfn.XLOOKUP(A35,'Inputs-Results'!$A$9:$A$35,'Inputs-Results'!$Z$9:$Z$35)-_xlfn.XLOOKUP(A35,'Inputs-Results'!$A$9:$A$35,'Inputs-Results'!$X$9:$X$35),(0.5*((C34+_xlfn.XLOOKUP(A35,'Inputs-Results'!$A$9:$A$35,'Inputs-Results'!$X$9:$X$35)-_xlfn.XLOOKUP(A35,'Inputs-Results'!$A$9:$A$35,'Inputs-Results'!$Z$9:$Z$35))+C34)*ABS(_xlfn.XLOOKUP(A35,'Inputs-Results'!$A$9:$A$35,'Inputs-Results'!$Y$9:$Y$35)-_xlfn.XLOOKUP(A35,'Inputs-Results'!$A$9:$A$35,'Inputs-Results'!$W$9:$W$35))),0.5*(ABS(_xlfn.XLOOKUP(A35,'Inputs-Results'!$A$9:$A$35,'Inputs-Results'!$W$9:$W$35)-_xlfn.XLOOKUP(A35,'Inputs-Results'!$A$9:$A$35,'Inputs-Results'!$Y$9:$Y$35))/(_xlfn.XLOOKUP(A35,'Inputs-Results'!$A$9:$A$35,'Inputs-Results'!$Z$9:$Z$35)-_xlfn.XLOOKUP(A35,'Inputs-Results'!$A$9:$A$35,'Inputs-Results'!$X$9:$X$35))*C34)*C34)+IF(C34&gt;_xlfn.XLOOKUP(A35,'Inputs-Results'!$A$9:$A$35,'Inputs-Results'!$Z$9:$Z$35)-_xlfn.XLOOKUP(A35,'Inputs-Results'!$A$9:$A$35,'Inputs-Results'!$X$9:$X$35),(0.5*(ABS(_xlfn.XLOOKUP(A35,'Inputs-Results'!$A$9:$A$35,'Inputs-Results'!$Y$9:$Y$35)-_xlfn.XLOOKUP(A35,'Inputs-Results'!$A$9:$A$35,'Inputs-Results'!$AA$9:$AA$35))/(_xlfn.XLOOKUP(A35,'Inputs-Results'!$A$9:$A$35,'Inputs-Results'!$AB$9:$AB$35)-_xlfn.XLOOKUP(A35,'Inputs-Results'!$A$9:$A$35,'Inputs-Results'!$Z$9:$Z$35))*(C34-(_xlfn.XLOOKUP(A35,'Inputs-Results'!$A$9:$A$35,'Inputs-Results'!$Z$9:$Z$35)-_xlfn.XLOOKUP(A35,'Inputs-Results'!$A$9:$A$35,'Inputs-Results'!$X$9:$X$35))))*(C34-(_xlfn.XLOOKUP(A35,'Inputs-Results'!$A$9:$A$35,'Inputs-Results'!$Z$9:$Z$35)-_xlfn.XLOOKUP(A35,'Inputs-Results'!$A$9:$A$35,'Inputs-Results'!$X$9:$X$35)))),0)</f>
        <v>#N/A</v>
      </c>
      <c r="D35" s="19" t="e">
        <f>VLOOKUP($A35,$A$4:$BJ$30,4+6*D$32,FALSE)</f>
        <v>#DIV/0!</v>
      </c>
      <c r="E35" s="19" t="e">
        <f t="shared" ref="E35:M35" si="30">VLOOKUP($A35,$A$4:$BJ$30,4+6*E$32,FALSE)</f>
        <v>#DIV/0!</v>
      </c>
      <c r="F35" s="19" t="e">
        <f t="shared" si="30"/>
        <v>#DIV/0!</v>
      </c>
      <c r="G35" s="19" t="e">
        <f t="shared" si="30"/>
        <v>#DIV/0!</v>
      </c>
      <c r="H35" s="19" t="e">
        <f t="shared" si="30"/>
        <v>#DIV/0!</v>
      </c>
      <c r="I35" s="19" t="e">
        <f t="shared" si="30"/>
        <v>#DIV/0!</v>
      </c>
      <c r="J35" s="19" t="e">
        <f t="shared" si="30"/>
        <v>#DIV/0!</v>
      </c>
      <c r="K35" s="19" t="e">
        <f t="shared" si="30"/>
        <v>#DIV/0!</v>
      </c>
      <c r="L35" s="19" t="e">
        <f t="shared" si="30"/>
        <v>#DIV/0!</v>
      </c>
      <c r="M35" s="19" t="e">
        <f t="shared" si="30"/>
        <v>#DIV/0!</v>
      </c>
      <c r="N35" s="19">
        <v>0</v>
      </c>
      <c r="O35" s="40"/>
    </row>
    <row r="36" spans="1:15" x14ac:dyDescent="0.25">
      <c r="A36" s="35">
        <f>A34</f>
        <v>0</v>
      </c>
      <c r="B36" t="s">
        <v>71</v>
      </c>
      <c r="C36" s="24"/>
      <c r="D36" s="19" t="e">
        <f t="shared" ref="D36:M36" si="31">VLOOKUP($A36,$A$4:$BJ$30,7+6*D$32,FALSE)</f>
        <v>#DIV/0!</v>
      </c>
      <c r="E36" s="19" t="e">
        <f t="shared" si="31"/>
        <v>#DIV/0!</v>
      </c>
      <c r="F36" s="19" t="e">
        <f t="shared" si="31"/>
        <v>#DIV/0!</v>
      </c>
      <c r="G36" s="19" t="e">
        <f t="shared" si="31"/>
        <v>#DIV/0!</v>
      </c>
      <c r="H36" s="19" t="e">
        <f t="shared" si="31"/>
        <v>#DIV/0!</v>
      </c>
      <c r="I36" s="19" t="e">
        <f t="shared" si="31"/>
        <v>#DIV/0!</v>
      </c>
      <c r="J36" s="19" t="e">
        <f t="shared" si="31"/>
        <v>#DIV/0!</v>
      </c>
      <c r="K36" s="19" t="e">
        <f t="shared" si="31"/>
        <v>#DIV/0!</v>
      </c>
      <c r="L36" s="19" t="e">
        <f t="shared" si="31"/>
        <v>#DIV/0!</v>
      </c>
      <c r="M36" s="19" t="e">
        <f t="shared" si="31"/>
        <v>#DIV/0!</v>
      </c>
      <c r="N36" s="19">
        <v>0</v>
      </c>
    </row>
    <row r="37" spans="1:15" x14ac:dyDescent="0.25">
      <c r="A37" s="35">
        <f>A5</f>
        <v>0</v>
      </c>
      <c r="B37" t="s">
        <v>102</v>
      </c>
      <c r="C37" s="24" t="e">
        <f>_xlfn.FORECAST.LINEAR(_xlfn.XLOOKUP(A37,'Inputs-Results'!$A$9:$A$35,'Inputs-Results'!$M$9:$M$35),INDEX(D37:N37,_xlfn.XMATCH(_xlfn.XLOOKUP(A37,'Inputs-Results'!$A$9:$A$35,'Inputs-Results'!$M$9:$M$35),D39:N39,-1)):INDEX(D37:N37,_xlfn.XMATCH(_xlfn.XLOOKUP(A37,'Inputs-Results'!$A$9:$A$35,'Inputs-Results'!$M$9:$M$35),D39:N39,1)),INDEX(D39:N39,_xlfn.XMATCH(_xlfn.XLOOKUP(A37,'Inputs-Results'!$A$9:$A$35,'Inputs-Results'!$M$9:$M$35),D39:N39,-1)):INDEX(D39:N39,_xlfn.XMATCH(_xlfn.XLOOKUP(A37,'Inputs-Results'!$A$9:$A$35,'Inputs-Results'!$M$9:$M$35),D39:N39,1)))</f>
        <v>#N/A</v>
      </c>
      <c r="D37" s="19">
        <f t="shared" ref="D37:M37" si="32">VLOOKUP($A37,$A$4:$BJ$30,3+6*D$32,FALSE)</f>
        <v>0</v>
      </c>
      <c r="E37" s="19">
        <f t="shared" si="32"/>
        <v>0</v>
      </c>
      <c r="F37" s="19">
        <f t="shared" si="32"/>
        <v>0</v>
      </c>
      <c r="G37" s="19">
        <f t="shared" si="32"/>
        <v>0</v>
      </c>
      <c r="H37" s="19">
        <f t="shared" si="32"/>
        <v>0</v>
      </c>
      <c r="I37" s="19">
        <f t="shared" si="32"/>
        <v>0</v>
      </c>
      <c r="J37" s="19">
        <f t="shared" si="32"/>
        <v>0</v>
      </c>
      <c r="K37" s="19">
        <f t="shared" si="32"/>
        <v>0</v>
      </c>
      <c r="L37" s="19">
        <f t="shared" si="32"/>
        <v>0</v>
      </c>
      <c r="M37" s="19">
        <f t="shared" si="32"/>
        <v>0</v>
      </c>
      <c r="N37" s="19">
        <v>0</v>
      </c>
    </row>
    <row r="38" spans="1:15" x14ac:dyDescent="0.25">
      <c r="A38" s="35">
        <f>A37</f>
        <v>0</v>
      </c>
      <c r="B38" t="s">
        <v>90</v>
      </c>
      <c r="C38" s="24" t="e">
        <f>IF(C37&gt;_xlfn.XLOOKUP(A38,'Inputs-Results'!$A$9:$A$35,'Inputs-Results'!$V$9:$V$35)-_xlfn.XLOOKUP(A38,'Inputs-Results'!$A$9:$A$35,'Inputs-Results'!$X$9:$X$35),(0.5*(ABS(_xlfn.XLOOKUP(A38,'Inputs-Results'!$A$9:$A$35,'Inputs-Results'!$S$9:$S$35)-_xlfn.XLOOKUP(A38,'Inputs-Results'!$A$9:$A$35,'Inputs-Results'!$U$9:$U$35))/(_xlfn.XLOOKUP(A38,'Inputs-Results'!$A$9:$A$35,'Inputs-Results'!$T$9:$T$35)-_xlfn.XLOOKUP(A38,'Inputs-Results'!$A$9:$A$35,'Inputs-Results'!$V$9:$V$35))*(C37-(_xlfn.XLOOKUP(A38,'Inputs-Results'!$A$9:$A$35,'Inputs-Results'!$V$9:$V$35)-_xlfn.XLOOKUP(A38,'Inputs-Results'!$A$9:$A$35,'Inputs-Results'!$X$9:$X$35))))*(C37-(_xlfn.XLOOKUP(A38,'Inputs-Results'!$A$9:$A$35,'Inputs-Results'!$V$9:$V$35)-_xlfn.XLOOKUP(A38,'Inputs-Results'!$A$9:$A$35,'Inputs-Results'!$X$9:$X$35)))),0)+IF(C37&gt;_xlfn.XLOOKUP(A38,'Inputs-Results'!$A$9:$A$35,'Inputs-Results'!$V$9:$V$35)-_xlfn.XLOOKUP(A38,'Inputs-Results'!$A$9:$A$35,'Inputs-Results'!$X$9:$X$35),(0.5*((C37+_xlfn.XLOOKUP(A38,'Inputs-Results'!$A$9:$A$35,'Inputs-Results'!$X$9:$X$35)-_xlfn.XLOOKUP(A38,'Inputs-Results'!$A$9:$A$35,'Inputs-Results'!$V$9:$V$35))+C37)*ABS(_xlfn.XLOOKUP(A38,'Inputs-Results'!$A$9:$A$35,'Inputs-Results'!$U$9:$U$35)-_xlfn.XLOOKUP(A38,'Inputs-Results'!$A$9:$A$35,'Inputs-Results'!$W$9:$W$35))),0.5*(ABS(_xlfn.XLOOKUP(A38,'Inputs-Results'!$A$9:$A$35,'Inputs-Results'!$U$9:$U$35)-_xlfn.XLOOKUP(A38,'Inputs-Results'!$A$9:$A$35,'Inputs-Results'!$W$9:$W$35))/(_xlfn.XLOOKUP(A38,'Inputs-Results'!$A$9:$A$35,'Inputs-Results'!$V$9:$V$35)-_xlfn.XLOOKUP(A38,'Inputs-Results'!$A$9:$A$35,'Inputs-Results'!$X$9:$X$35))*C37)*C37)+IF(C37&gt;_xlfn.XLOOKUP(A38,'Inputs-Results'!$A$9:$A$35,'Inputs-Results'!$Z$9:$Z$35)-_xlfn.XLOOKUP(A38,'Inputs-Results'!$A$9:$A$35,'Inputs-Results'!$X$9:$X$35),(0.5*((C37+_xlfn.XLOOKUP(A38,'Inputs-Results'!$A$9:$A$35,'Inputs-Results'!$X$9:$X$35)-_xlfn.XLOOKUP(A38,'Inputs-Results'!$A$9:$A$35,'Inputs-Results'!$Z$9:$Z$35))+C37)*ABS(_xlfn.XLOOKUP(A38,'Inputs-Results'!$A$9:$A$35,'Inputs-Results'!$Y$9:$Y$35)-_xlfn.XLOOKUP(A38,'Inputs-Results'!$A$9:$A$35,'Inputs-Results'!$W$9:$W$35))),0.5*(ABS(_xlfn.XLOOKUP(A38,'Inputs-Results'!$A$9:$A$35,'Inputs-Results'!$W$9:$W$35)-_xlfn.XLOOKUP(A38,'Inputs-Results'!$A$9:$A$35,'Inputs-Results'!$Y$9:$Y$35))/(_xlfn.XLOOKUP(A38,'Inputs-Results'!$A$9:$A$35,'Inputs-Results'!$Z$9:$Z$35)-_xlfn.XLOOKUP(A38,'Inputs-Results'!$A$9:$A$35,'Inputs-Results'!$X$9:$X$35))*C37)*C37)+IF(C37&gt;_xlfn.XLOOKUP(A38,'Inputs-Results'!$A$9:$A$35,'Inputs-Results'!$Z$9:$Z$35)-_xlfn.XLOOKUP(A38,'Inputs-Results'!$A$9:$A$35,'Inputs-Results'!$X$9:$X$35),(0.5*(ABS(_xlfn.XLOOKUP(A38,'Inputs-Results'!$A$9:$A$35,'Inputs-Results'!$Y$9:$Y$35)-_xlfn.XLOOKUP(A38,'Inputs-Results'!$A$9:$A$35,'Inputs-Results'!$AA$9:$AA$35))/(_xlfn.XLOOKUP(A38,'Inputs-Results'!$A$9:$A$35,'Inputs-Results'!$AB$9:$AB$35)-_xlfn.XLOOKUP(A38,'Inputs-Results'!$A$9:$A$35,'Inputs-Results'!$Z$9:$Z$35))*(C37-(_xlfn.XLOOKUP(A38,'Inputs-Results'!$A$9:$A$35,'Inputs-Results'!$Z$9:$Z$35)-_xlfn.XLOOKUP(A38,'Inputs-Results'!$A$9:$A$35,'Inputs-Results'!$X$9:$X$35))))*(C37-(_xlfn.XLOOKUP(A38,'Inputs-Results'!$A$9:$A$35,'Inputs-Results'!$Z$9:$Z$35)-_xlfn.XLOOKUP(A38,'Inputs-Results'!$A$9:$A$35,'Inputs-Results'!$X$9:$X$35)))),0)</f>
        <v>#N/A</v>
      </c>
      <c r="D38" s="19" t="e">
        <f>VLOOKUP($A38,$A$4:$BJ$30,4+6*D$32,FALSE)</f>
        <v>#DIV/0!</v>
      </c>
      <c r="E38" s="19" t="e">
        <f t="shared" ref="E38:M38" si="33">VLOOKUP($A38,$A$4:$BJ$30,4+6*E$32,FALSE)</f>
        <v>#DIV/0!</v>
      </c>
      <c r="F38" s="19" t="e">
        <f t="shared" si="33"/>
        <v>#DIV/0!</v>
      </c>
      <c r="G38" s="19" t="e">
        <f t="shared" si="33"/>
        <v>#DIV/0!</v>
      </c>
      <c r="H38" s="19" t="e">
        <f t="shared" si="33"/>
        <v>#DIV/0!</v>
      </c>
      <c r="I38" s="19" t="e">
        <f t="shared" si="33"/>
        <v>#DIV/0!</v>
      </c>
      <c r="J38" s="19" t="e">
        <f t="shared" si="33"/>
        <v>#DIV/0!</v>
      </c>
      <c r="K38" s="19" t="e">
        <f t="shared" si="33"/>
        <v>#DIV/0!</v>
      </c>
      <c r="L38" s="19" t="e">
        <f t="shared" si="33"/>
        <v>#DIV/0!</v>
      </c>
      <c r="M38" s="19" t="e">
        <f t="shared" si="33"/>
        <v>#DIV/0!</v>
      </c>
      <c r="N38" s="19">
        <v>0</v>
      </c>
    </row>
    <row r="39" spans="1:15" x14ac:dyDescent="0.25">
      <c r="A39" s="35">
        <f>A37</f>
        <v>0</v>
      </c>
      <c r="B39" t="s">
        <v>71</v>
      </c>
      <c r="C39" s="24"/>
      <c r="D39" s="19" t="e">
        <f t="shared" ref="D39:M39" si="34">VLOOKUP($A39,$A$4:$BJ$30,7+6*D$32,FALSE)</f>
        <v>#DIV/0!</v>
      </c>
      <c r="E39" s="19" t="e">
        <f t="shared" si="34"/>
        <v>#DIV/0!</v>
      </c>
      <c r="F39" s="19" t="e">
        <f t="shared" si="34"/>
        <v>#DIV/0!</v>
      </c>
      <c r="G39" s="19" t="e">
        <f t="shared" si="34"/>
        <v>#DIV/0!</v>
      </c>
      <c r="H39" s="19" t="e">
        <f t="shared" si="34"/>
        <v>#DIV/0!</v>
      </c>
      <c r="I39" s="19" t="e">
        <f t="shared" si="34"/>
        <v>#DIV/0!</v>
      </c>
      <c r="J39" s="19" t="e">
        <f t="shared" si="34"/>
        <v>#DIV/0!</v>
      </c>
      <c r="K39" s="19" t="e">
        <f t="shared" si="34"/>
        <v>#DIV/0!</v>
      </c>
      <c r="L39" s="19" t="e">
        <f t="shared" si="34"/>
        <v>#DIV/0!</v>
      </c>
      <c r="M39" s="19" t="e">
        <f t="shared" si="34"/>
        <v>#DIV/0!</v>
      </c>
      <c r="N39" s="19">
        <v>0</v>
      </c>
    </row>
    <row r="40" spans="1:15" x14ac:dyDescent="0.25">
      <c r="A40" s="35">
        <f>A6</f>
        <v>0</v>
      </c>
      <c r="B40" t="s">
        <v>102</v>
      </c>
      <c r="C40" s="24" t="e">
        <f>_xlfn.FORECAST.LINEAR(_xlfn.XLOOKUP(A40,'Inputs-Results'!$A$9:$A$35,'Inputs-Results'!$M$9:$M$35),INDEX(D40:N40,_xlfn.XMATCH(_xlfn.XLOOKUP(A40,'Inputs-Results'!$A$9:$A$35,'Inputs-Results'!$M$9:$M$35),D42:N42,-1)):INDEX(D40:N40,_xlfn.XMATCH(_xlfn.XLOOKUP(A40,'Inputs-Results'!$A$9:$A$35,'Inputs-Results'!$M$9:$M$35),D42:N42,1)),INDEX(D42:N42,_xlfn.XMATCH(_xlfn.XLOOKUP(A40,'Inputs-Results'!$A$9:$A$35,'Inputs-Results'!$M$9:$M$35),D42:N42,-1)):INDEX(D42:N42,_xlfn.XMATCH(_xlfn.XLOOKUP(A40,'Inputs-Results'!$A$9:$A$35,'Inputs-Results'!$M$9:$M$35),D42:N42,1)))</f>
        <v>#N/A</v>
      </c>
      <c r="D40" s="19">
        <f t="shared" ref="D40:M40" si="35">VLOOKUP($A40,$A$4:$BJ$30,3+6*D$32,FALSE)</f>
        <v>0</v>
      </c>
      <c r="E40" s="19">
        <f t="shared" si="35"/>
        <v>0</v>
      </c>
      <c r="F40" s="19">
        <f t="shared" si="35"/>
        <v>0</v>
      </c>
      <c r="G40" s="19">
        <f t="shared" si="35"/>
        <v>0</v>
      </c>
      <c r="H40" s="19">
        <f t="shared" si="35"/>
        <v>0</v>
      </c>
      <c r="I40" s="19">
        <f t="shared" si="35"/>
        <v>0</v>
      </c>
      <c r="J40" s="19">
        <f t="shared" si="35"/>
        <v>0</v>
      </c>
      <c r="K40" s="19">
        <f t="shared" si="35"/>
        <v>0</v>
      </c>
      <c r="L40" s="19">
        <f t="shared" si="35"/>
        <v>0</v>
      </c>
      <c r="M40" s="19">
        <f t="shared" si="35"/>
        <v>0</v>
      </c>
      <c r="N40" s="19">
        <v>0</v>
      </c>
    </row>
    <row r="41" spans="1:15" x14ac:dyDescent="0.25">
      <c r="A41" s="35">
        <f>A40</f>
        <v>0</v>
      </c>
      <c r="B41" t="s">
        <v>90</v>
      </c>
      <c r="C41" s="24" t="e">
        <f>IF(C40&gt;_xlfn.XLOOKUP(A41,'Inputs-Results'!$A$9:$A$35,'Inputs-Results'!$V$9:$V$35)-_xlfn.XLOOKUP(A41,'Inputs-Results'!$A$9:$A$35,'Inputs-Results'!$X$9:$X$35),(0.5*(ABS(_xlfn.XLOOKUP(A41,'Inputs-Results'!$A$9:$A$35,'Inputs-Results'!$S$9:$S$35)-_xlfn.XLOOKUP(A41,'Inputs-Results'!$A$9:$A$35,'Inputs-Results'!$U$9:$U$35))/(_xlfn.XLOOKUP(A41,'Inputs-Results'!$A$9:$A$35,'Inputs-Results'!$T$9:$T$35)-_xlfn.XLOOKUP(A41,'Inputs-Results'!$A$9:$A$35,'Inputs-Results'!$V$9:$V$35))*(C40-(_xlfn.XLOOKUP(A41,'Inputs-Results'!$A$9:$A$35,'Inputs-Results'!$V$9:$V$35)-_xlfn.XLOOKUP(A41,'Inputs-Results'!$A$9:$A$35,'Inputs-Results'!$X$9:$X$35))))*(C40-(_xlfn.XLOOKUP(A41,'Inputs-Results'!$A$9:$A$35,'Inputs-Results'!$V$9:$V$35)-_xlfn.XLOOKUP(A41,'Inputs-Results'!$A$9:$A$35,'Inputs-Results'!$X$9:$X$35)))),0)+IF(C40&gt;_xlfn.XLOOKUP(A41,'Inputs-Results'!$A$9:$A$35,'Inputs-Results'!$V$9:$V$35)-_xlfn.XLOOKUP(A41,'Inputs-Results'!$A$9:$A$35,'Inputs-Results'!$X$9:$X$35),(0.5*((C40+_xlfn.XLOOKUP(A41,'Inputs-Results'!$A$9:$A$35,'Inputs-Results'!$X$9:$X$35)-_xlfn.XLOOKUP(A41,'Inputs-Results'!$A$9:$A$35,'Inputs-Results'!$V$9:$V$35))+C40)*ABS(_xlfn.XLOOKUP(A41,'Inputs-Results'!$A$9:$A$35,'Inputs-Results'!$U$9:$U$35)-_xlfn.XLOOKUP(A41,'Inputs-Results'!$A$9:$A$35,'Inputs-Results'!$W$9:$W$35))),0.5*(ABS(_xlfn.XLOOKUP(A41,'Inputs-Results'!$A$9:$A$35,'Inputs-Results'!$U$9:$U$35)-_xlfn.XLOOKUP(A41,'Inputs-Results'!$A$9:$A$35,'Inputs-Results'!$W$9:$W$35))/(_xlfn.XLOOKUP(A41,'Inputs-Results'!$A$9:$A$35,'Inputs-Results'!$V$9:$V$35)-_xlfn.XLOOKUP(A41,'Inputs-Results'!$A$9:$A$35,'Inputs-Results'!$X$9:$X$35))*C40)*C40)+IF(C40&gt;_xlfn.XLOOKUP(A41,'Inputs-Results'!$A$9:$A$35,'Inputs-Results'!$Z$9:$Z$35)-_xlfn.XLOOKUP(A41,'Inputs-Results'!$A$9:$A$35,'Inputs-Results'!$X$9:$X$35),(0.5*((C40+_xlfn.XLOOKUP(A41,'Inputs-Results'!$A$9:$A$35,'Inputs-Results'!$X$9:$X$35)-_xlfn.XLOOKUP(A41,'Inputs-Results'!$A$9:$A$35,'Inputs-Results'!$Z$9:$Z$35))+C40)*ABS(_xlfn.XLOOKUP(A41,'Inputs-Results'!$A$9:$A$35,'Inputs-Results'!$Y$9:$Y$35)-_xlfn.XLOOKUP(A41,'Inputs-Results'!$A$9:$A$35,'Inputs-Results'!$W$9:$W$35))),0.5*(ABS(_xlfn.XLOOKUP(A41,'Inputs-Results'!$A$9:$A$35,'Inputs-Results'!$W$9:$W$35)-_xlfn.XLOOKUP(A41,'Inputs-Results'!$A$9:$A$35,'Inputs-Results'!$Y$9:$Y$35))/(_xlfn.XLOOKUP(A41,'Inputs-Results'!$A$9:$A$35,'Inputs-Results'!$Z$9:$Z$35)-_xlfn.XLOOKUP(A41,'Inputs-Results'!$A$9:$A$35,'Inputs-Results'!$X$9:$X$35))*C40)*C40)+IF(C40&gt;_xlfn.XLOOKUP(A41,'Inputs-Results'!$A$9:$A$35,'Inputs-Results'!$Z$9:$Z$35)-_xlfn.XLOOKUP(A41,'Inputs-Results'!$A$9:$A$35,'Inputs-Results'!$X$9:$X$35),(0.5*(ABS(_xlfn.XLOOKUP(A41,'Inputs-Results'!$A$9:$A$35,'Inputs-Results'!$Y$9:$Y$35)-_xlfn.XLOOKUP(A41,'Inputs-Results'!$A$9:$A$35,'Inputs-Results'!$AA$9:$AA$35))/(_xlfn.XLOOKUP(A41,'Inputs-Results'!$A$9:$A$35,'Inputs-Results'!$AB$9:$AB$35)-_xlfn.XLOOKUP(A41,'Inputs-Results'!$A$9:$A$35,'Inputs-Results'!$Z$9:$Z$35))*(C40-(_xlfn.XLOOKUP(A41,'Inputs-Results'!$A$9:$A$35,'Inputs-Results'!$Z$9:$Z$35)-_xlfn.XLOOKUP(A41,'Inputs-Results'!$A$9:$A$35,'Inputs-Results'!$X$9:$X$35))))*(C40-(_xlfn.XLOOKUP(A41,'Inputs-Results'!$A$9:$A$35,'Inputs-Results'!$Z$9:$Z$35)-_xlfn.XLOOKUP(A41,'Inputs-Results'!$A$9:$A$35,'Inputs-Results'!$X$9:$X$35)))),0)</f>
        <v>#N/A</v>
      </c>
      <c r="D41" s="19" t="e">
        <f>VLOOKUP($A41,$A$4:$BJ$30,4+6*D$32,FALSE)</f>
        <v>#DIV/0!</v>
      </c>
      <c r="E41" s="19" t="e">
        <f t="shared" ref="E41:M41" si="36">VLOOKUP($A41,$A$4:$BJ$30,4+6*E$32,FALSE)</f>
        <v>#DIV/0!</v>
      </c>
      <c r="F41" s="19" t="e">
        <f t="shared" si="36"/>
        <v>#DIV/0!</v>
      </c>
      <c r="G41" s="19" t="e">
        <f t="shared" si="36"/>
        <v>#DIV/0!</v>
      </c>
      <c r="H41" s="19" t="e">
        <f t="shared" si="36"/>
        <v>#DIV/0!</v>
      </c>
      <c r="I41" s="19" t="e">
        <f t="shared" si="36"/>
        <v>#DIV/0!</v>
      </c>
      <c r="J41" s="19" t="e">
        <f t="shared" si="36"/>
        <v>#DIV/0!</v>
      </c>
      <c r="K41" s="19" t="e">
        <f t="shared" si="36"/>
        <v>#DIV/0!</v>
      </c>
      <c r="L41" s="19" t="e">
        <f t="shared" si="36"/>
        <v>#DIV/0!</v>
      </c>
      <c r="M41" s="19" t="e">
        <f t="shared" si="36"/>
        <v>#DIV/0!</v>
      </c>
      <c r="N41" s="19">
        <v>0</v>
      </c>
    </row>
    <row r="42" spans="1:15" x14ac:dyDescent="0.25">
      <c r="A42" s="35">
        <f>A40</f>
        <v>0</v>
      </c>
      <c r="B42" t="s">
        <v>71</v>
      </c>
      <c r="C42" s="24"/>
      <c r="D42" s="19" t="e">
        <f t="shared" ref="D42:M42" si="37">VLOOKUP($A42,$A$4:$BJ$30,7+6*D$32,FALSE)</f>
        <v>#DIV/0!</v>
      </c>
      <c r="E42" s="19" t="e">
        <f t="shared" si="37"/>
        <v>#DIV/0!</v>
      </c>
      <c r="F42" s="19" t="e">
        <f t="shared" si="37"/>
        <v>#DIV/0!</v>
      </c>
      <c r="G42" s="19" t="e">
        <f t="shared" si="37"/>
        <v>#DIV/0!</v>
      </c>
      <c r="H42" s="19" t="e">
        <f t="shared" si="37"/>
        <v>#DIV/0!</v>
      </c>
      <c r="I42" s="19" t="e">
        <f t="shared" si="37"/>
        <v>#DIV/0!</v>
      </c>
      <c r="J42" s="19" t="e">
        <f t="shared" si="37"/>
        <v>#DIV/0!</v>
      </c>
      <c r="K42" s="19" t="e">
        <f t="shared" si="37"/>
        <v>#DIV/0!</v>
      </c>
      <c r="L42" s="19" t="e">
        <f t="shared" si="37"/>
        <v>#DIV/0!</v>
      </c>
      <c r="M42" s="19" t="e">
        <f t="shared" si="37"/>
        <v>#DIV/0!</v>
      </c>
      <c r="N42" s="19">
        <v>0</v>
      </c>
    </row>
    <row r="43" spans="1:15" x14ac:dyDescent="0.25">
      <c r="A43" s="35">
        <f>A7</f>
        <v>0</v>
      </c>
      <c r="B43" t="s">
        <v>102</v>
      </c>
      <c r="C43" s="24" t="e">
        <f>_xlfn.FORECAST.LINEAR(_xlfn.XLOOKUP(A43,'Inputs-Results'!$A$9:$A$35,'Inputs-Results'!$M$9:$M$35),INDEX(D43:N43,_xlfn.XMATCH(_xlfn.XLOOKUP(A43,'Inputs-Results'!$A$9:$A$35,'Inputs-Results'!$M$9:$M$35),D45:N45,-1)):INDEX(D43:N43,_xlfn.XMATCH(_xlfn.XLOOKUP(A43,'Inputs-Results'!$A$9:$A$35,'Inputs-Results'!$M$9:$M$35),D45:N45,1)),INDEX(D45:N45,_xlfn.XMATCH(_xlfn.XLOOKUP(A43,'Inputs-Results'!$A$9:$A$35,'Inputs-Results'!$M$9:$M$35),D45:N45,-1)):INDEX(D45:N45,_xlfn.XMATCH(_xlfn.XLOOKUP(A43,'Inputs-Results'!$A$9:$A$35,'Inputs-Results'!$M$9:$M$35),D45:N45,1)))</f>
        <v>#N/A</v>
      </c>
      <c r="D43" s="19">
        <f t="shared" ref="D43:M43" si="38">VLOOKUP($A43,$A$4:$BJ$30,3+6*D$32,FALSE)</f>
        <v>0</v>
      </c>
      <c r="E43" s="19">
        <f t="shared" si="38"/>
        <v>0</v>
      </c>
      <c r="F43" s="19">
        <f t="shared" si="38"/>
        <v>0</v>
      </c>
      <c r="G43" s="19">
        <f t="shared" si="38"/>
        <v>0</v>
      </c>
      <c r="H43" s="19">
        <f t="shared" si="38"/>
        <v>0</v>
      </c>
      <c r="I43" s="19">
        <f t="shared" si="38"/>
        <v>0</v>
      </c>
      <c r="J43" s="19">
        <f t="shared" si="38"/>
        <v>0</v>
      </c>
      <c r="K43" s="19">
        <f t="shared" si="38"/>
        <v>0</v>
      </c>
      <c r="L43" s="19">
        <f t="shared" si="38"/>
        <v>0</v>
      </c>
      <c r="M43" s="19">
        <f t="shared" si="38"/>
        <v>0</v>
      </c>
      <c r="N43" s="19">
        <v>0</v>
      </c>
    </row>
    <row r="44" spans="1:15" x14ac:dyDescent="0.25">
      <c r="A44" s="35">
        <f>A43</f>
        <v>0</v>
      </c>
      <c r="B44" t="s">
        <v>90</v>
      </c>
      <c r="C44" s="24" t="e">
        <f>IF(C43&gt;_xlfn.XLOOKUP(A44,'Inputs-Results'!$A$9:$A$35,'Inputs-Results'!$V$9:$V$35)-_xlfn.XLOOKUP(A44,'Inputs-Results'!$A$9:$A$35,'Inputs-Results'!$X$9:$X$35),(0.5*(ABS(_xlfn.XLOOKUP(A44,'Inputs-Results'!$A$9:$A$35,'Inputs-Results'!$S$9:$S$35)-_xlfn.XLOOKUP(A44,'Inputs-Results'!$A$9:$A$35,'Inputs-Results'!$U$9:$U$35))/(_xlfn.XLOOKUP(A44,'Inputs-Results'!$A$9:$A$35,'Inputs-Results'!$T$9:$T$35)-_xlfn.XLOOKUP(A44,'Inputs-Results'!$A$9:$A$35,'Inputs-Results'!$V$9:$V$35))*(C43-(_xlfn.XLOOKUP(A44,'Inputs-Results'!$A$9:$A$35,'Inputs-Results'!$V$9:$V$35)-_xlfn.XLOOKUP(A44,'Inputs-Results'!$A$9:$A$35,'Inputs-Results'!$X$9:$X$35))))*(C43-(_xlfn.XLOOKUP(A44,'Inputs-Results'!$A$9:$A$35,'Inputs-Results'!$V$9:$V$35)-_xlfn.XLOOKUP(A44,'Inputs-Results'!$A$9:$A$35,'Inputs-Results'!$X$9:$X$35)))),0)+IF(C43&gt;_xlfn.XLOOKUP(A44,'Inputs-Results'!$A$9:$A$35,'Inputs-Results'!$V$9:$V$35)-_xlfn.XLOOKUP(A44,'Inputs-Results'!$A$9:$A$35,'Inputs-Results'!$X$9:$X$35),(0.5*((C43+_xlfn.XLOOKUP(A44,'Inputs-Results'!$A$9:$A$35,'Inputs-Results'!$X$9:$X$35)-_xlfn.XLOOKUP(A44,'Inputs-Results'!$A$9:$A$35,'Inputs-Results'!$V$9:$V$35))+C43)*ABS(_xlfn.XLOOKUP(A44,'Inputs-Results'!$A$9:$A$35,'Inputs-Results'!$U$9:$U$35)-_xlfn.XLOOKUP(A44,'Inputs-Results'!$A$9:$A$35,'Inputs-Results'!$W$9:$W$35))),0.5*(ABS(_xlfn.XLOOKUP(A44,'Inputs-Results'!$A$9:$A$35,'Inputs-Results'!$U$9:$U$35)-_xlfn.XLOOKUP(A44,'Inputs-Results'!$A$9:$A$35,'Inputs-Results'!$W$9:$W$35))/(_xlfn.XLOOKUP(A44,'Inputs-Results'!$A$9:$A$35,'Inputs-Results'!$V$9:$V$35)-_xlfn.XLOOKUP(A44,'Inputs-Results'!$A$9:$A$35,'Inputs-Results'!$X$9:$X$35))*C43)*C43)+IF(C43&gt;_xlfn.XLOOKUP(A44,'Inputs-Results'!$A$9:$A$35,'Inputs-Results'!$Z$9:$Z$35)-_xlfn.XLOOKUP(A44,'Inputs-Results'!$A$9:$A$35,'Inputs-Results'!$X$9:$X$35),(0.5*((C43+_xlfn.XLOOKUP(A44,'Inputs-Results'!$A$9:$A$35,'Inputs-Results'!$X$9:$X$35)-_xlfn.XLOOKUP(A44,'Inputs-Results'!$A$9:$A$35,'Inputs-Results'!$Z$9:$Z$35))+C43)*ABS(_xlfn.XLOOKUP(A44,'Inputs-Results'!$A$9:$A$35,'Inputs-Results'!$Y$9:$Y$35)-_xlfn.XLOOKUP(A44,'Inputs-Results'!$A$9:$A$35,'Inputs-Results'!$W$9:$W$35))),0.5*(ABS(_xlfn.XLOOKUP(A44,'Inputs-Results'!$A$9:$A$35,'Inputs-Results'!$W$9:$W$35)-_xlfn.XLOOKUP(A44,'Inputs-Results'!$A$9:$A$35,'Inputs-Results'!$Y$9:$Y$35))/(_xlfn.XLOOKUP(A44,'Inputs-Results'!$A$9:$A$35,'Inputs-Results'!$Z$9:$Z$35)-_xlfn.XLOOKUP(A44,'Inputs-Results'!$A$9:$A$35,'Inputs-Results'!$X$9:$X$35))*C43)*C43)+IF(C43&gt;_xlfn.XLOOKUP(A44,'Inputs-Results'!$A$9:$A$35,'Inputs-Results'!$Z$9:$Z$35)-_xlfn.XLOOKUP(A44,'Inputs-Results'!$A$9:$A$35,'Inputs-Results'!$X$9:$X$35),(0.5*(ABS(_xlfn.XLOOKUP(A44,'Inputs-Results'!$A$9:$A$35,'Inputs-Results'!$Y$9:$Y$35)-_xlfn.XLOOKUP(A44,'Inputs-Results'!$A$9:$A$35,'Inputs-Results'!$AA$9:$AA$35))/(_xlfn.XLOOKUP(A44,'Inputs-Results'!$A$9:$A$35,'Inputs-Results'!$AB$9:$AB$35)-_xlfn.XLOOKUP(A44,'Inputs-Results'!$A$9:$A$35,'Inputs-Results'!$Z$9:$Z$35))*(C43-(_xlfn.XLOOKUP(A44,'Inputs-Results'!$A$9:$A$35,'Inputs-Results'!$Z$9:$Z$35)-_xlfn.XLOOKUP(A44,'Inputs-Results'!$A$9:$A$35,'Inputs-Results'!$X$9:$X$35))))*(C43-(_xlfn.XLOOKUP(A44,'Inputs-Results'!$A$9:$A$35,'Inputs-Results'!$Z$9:$Z$35)-_xlfn.XLOOKUP(A44,'Inputs-Results'!$A$9:$A$35,'Inputs-Results'!$X$9:$X$35)))),0)</f>
        <v>#N/A</v>
      </c>
      <c r="D44" s="19" t="e">
        <f>VLOOKUP($A44,$A$4:$BJ$30,4+6*D$32,FALSE)</f>
        <v>#DIV/0!</v>
      </c>
      <c r="E44" s="19" t="e">
        <f t="shared" ref="E44:M44" si="39">VLOOKUP($A44,$A$4:$BJ$30,4+6*E$32,FALSE)</f>
        <v>#DIV/0!</v>
      </c>
      <c r="F44" s="19" t="e">
        <f t="shared" si="39"/>
        <v>#DIV/0!</v>
      </c>
      <c r="G44" s="19" t="e">
        <f t="shared" si="39"/>
        <v>#DIV/0!</v>
      </c>
      <c r="H44" s="19" t="e">
        <f t="shared" si="39"/>
        <v>#DIV/0!</v>
      </c>
      <c r="I44" s="19" t="e">
        <f t="shared" si="39"/>
        <v>#DIV/0!</v>
      </c>
      <c r="J44" s="19" t="e">
        <f t="shared" si="39"/>
        <v>#DIV/0!</v>
      </c>
      <c r="K44" s="19" t="e">
        <f t="shared" si="39"/>
        <v>#DIV/0!</v>
      </c>
      <c r="L44" s="19" t="e">
        <f t="shared" si="39"/>
        <v>#DIV/0!</v>
      </c>
      <c r="M44" s="19" t="e">
        <f t="shared" si="39"/>
        <v>#DIV/0!</v>
      </c>
      <c r="N44" s="19">
        <v>0</v>
      </c>
    </row>
    <row r="45" spans="1:15" x14ac:dyDescent="0.25">
      <c r="A45" s="35">
        <f>A43</f>
        <v>0</v>
      </c>
      <c r="B45" t="s">
        <v>71</v>
      </c>
      <c r="C45" s="24"/>
      <c r="D45" s="19" t="e">
        <f t="shared" ref="D45:M45" si="40">VLOOKUP($A45,$A$4:$BJ$30,7+6*D$32,FALSE)</f>
        <v>#DIV/0!</v>
      </c>
      <c r="E45" s="19" t="e">
        <f t="shared" si="40"/>
        <v>#DIV/0!</v>
      </c>
      <c r="F45" s="19" t="e">
        <f t="shared" si="40"/>
        <v>#DIV/0!</v>
      </c>
      <c r="G45" s="19" t="e">
        <f t="shared" si="40"/>
        <v>#DIV/0!</v>
      </c>
      <c r="H45" s="19" t="e">
        <f t="shared" si="40"/>
        <v>#DIV/0!</v>
      </c>
      <c r="I45" s="19" t="e">
        <f t="shared" si="40"/>
        <v>#DIV/0!</v>
      </c>
      <c r="J45" s="19" t="e">
        <f t="shared" si="40"/>
        <v>#DIV/0!</v>
      </c>
      <c r="K45" s="19" t="e">
        <f t="shared" si="40"/>
        <v>#DIV/0!</v>
      </c>
      <c r="L45" s="19" t="e">
        <f t="shared" si="40"/>
        <v>#DIV/0!</v>
      </c>
      <c r="M45" s="19" t="e">
        <f t="shared" si="40"/>
        <v>#DIV/0!</v>
      </c>
      <c r="N45" s="19">
        <v>0</v>
      </c>
    </row>
    <row r="46" spans="1:15" x14ac:dyDescent="0.25">
      <c r="A46" s="35">
        <f>A8</f>
        <v>0</v>
      </c>
      <c r="B46" t="s">
        <v>102</v>
      </c>
      <c r="C46" s="24" t="e">
        <f>_xlfn.FORECAST.LINEAR(_xlfn.XLOOKUP(A46,'Inputs-Results'!$A$9:$A$35,'Inputs-Results'!$M$9:$M$35),INDEX(D46:N46,_xlfn.XMATCH(_xlfn.XLOOKUP(A46,'Inputs-Results'!$A$9:$A$35,'Inputs-Results'!$M$9:$M$35),D48:N48,-1)):INDEX(D46:N46,_xlfn.XMATCH(_xlfn.XLOOKUP(A46,'Inputs-Results'!$A$9:$A$35,'Inputs-Results'!$M$9:$M$35),D48:N48,1)),INDEX(D48:N48,_xlfn.XMATCH(_xlfn.XLOOKUP(A46,'Inputs-Results'!$A$9:$A$35,'Inputs-Results'!$M$9:$M$35),D48:N48,-1)):INDEX(D48:N48,_xlfn.XMATCH(_xlfn.XLOOKUP(A46,'Inputs-Results'!$A$9:$A$35,'Inputs-Results'!$M$9:$M$35),D48:N48,1)))</f>
        <v>#N/A</v>
      </c>
      <c r="D46" s="19">
        <f t="shared" ref="D46:M46" si="41">VLOOKUP($A46,$A$4:$BJ$30,3+6*D$32,FALSE)</f>
        <v>0</v>
      </c>
      <c r="E46" s="19">
        <f t="shared" si="41"/>
        <v>0</v>
      </c>
      <c r="F46" s="19">
        <f t="shared" si="41"/>
        <v>0</v>
      </c>
      <c r="G46" s="19">
        <f t="shared" si="41"/>
        <v>0</v>
      </c>
      <c r="H46" s="19">
        <f t="shared" si="41"/>
        <v>0</v>
      </c>
      <c r="I46" s="19">
        <f t="shared" si="41"/>
        <v>0</v>
      </c>
      <c r="J46" s="19">
        <f t="shared" si="41"/>
        <v>0</v>
      </c>
      <c r="K46" s="19">
        <f t="shared" si="41"/>
        <v>0</v>
      </c>
      <c r="L46" s="19">
        <f t="shared" si="41"/>
        <v>0</v>
      </c>
      <c r="M46" s="19">
        <f t="shared" si="41"/>
        <v>0</v>
      </c>
      <c r="N46" s="19">
        <v>0</v>
      </c>
    </row>
    <row r="47" spans="1:15" x14ac:dyDescent="0.25">
      <c r="A47" s="35">
        <f>A46</f>
        <v>0</v>
      </c>
      <c r="B47" t="s">
        <v>90</v>
      </c>
      <c r="C47" s="24" t="e">
        <f>IF(C46&gt;_xlfn.XLOOKUP(A47,'Inputs-Results'!$A$9:$A$35,'Inputs-Results'!$V$9:$V$35)-_xlfn.XLOOKUP(A47,'Inputs-Results'!$A$9:$A$35,'Inputs-Results'!$X$9:$X$35),(0.5*(ABS(_xlfn.XLOOKUP(A47,'Inputs-Results'!$A$9:$A$35,'Inputs-Results'!$S$9:$S$35)-_xlfn.XLOOKUP(A47,'Inputs-Results'!$A$9:$A$35,'Inputs-Results'!$U$9:$U$35))/(_xlfn.XLOOKUP(A47,'Inputs-Results'!$A$9:$A$35,'Inputs-Results'!$T$9:$T$35)-_xlfn.XLOOKUP(A47,'Inputs-Results'!$A$9:$A$35,'Inputs-Results'!$V$9:$V$35))*(C46-(_xlfn.XLOOKUP(A47,'Inputs-Results'!$A$9:$A$35,'Inputs-Results'!$V$9:$V$35)-_xlfn.XLOOKUP(A47,'Inputs-Results'!$A$9:$A$35,'Inputs-Results'!$X$9:$X$35))))*(C46-(_xlfn.XLOOKUP(A47,'Inputs-Results'!$A$9:$A$35,'Inputs-Results'!$V$9:$V$35)-_xlfn.XLOOKUP(A47,'Inputs-Results'!$A$9:$A$35,'Inputs-Results'!$X$9:$X$35)))),0)+IF(C46&gt;_xlfn.XLOOKUP(A47,'Inputs-Results'!$A$9:$A$35,'Inputs-Results'!$V$9:$V$35)-_xlfn.XLOOKUP(A47,'Inputs-Results'!$A$9:$A$35,'Inputs-Results'!$X$9:$X$35),(0.5*((C46+_xlfn.XLOOKUP(A47,'Inputs-Results'!$A$9:$A$35,'Inputs-Results'!$X$9:$X$35)-_xlfn.XLOOKUP(A47,'Inputs-Results'!$A$9:$A$35,'Inputs-Results'!$V$9:$V$35))+C46)*ABS(_xlfn.XLOOKUP(A47,'Inputs-Results'!$A$9:$A$35,'Inputs-Results'!$U$9:$U$35)-_xlfn.XLOOKUP(A47,'Inputs-Results'!$A$9:$A$35,'Inputs-Results'!$W$9:$W$35))),0.5*(ABS(_xlfn.XLOOKUP(A47,'Inputs-Results'!$A$9:$A$35,'Inputs-Results'!$U$9:$U$35)-_xlfn.XLOOKUP(A47,'Inputs-Results'!$A$9:$A$35,'Inputs-Results'!$W$9:$W$35))/(_xlfn.XLOOKUP(A47,'Inputs-Results'!$A$9:$A$35,'Inputs-Results'!$V$9:$V$35)-_xlfn.XLOOKUP(A47,'Inputs-Results'!$A$9:$A$35,'Inputs-Results'!$X$9:$X$35))*C46)*C46)+IF(C46&gt;_xlfn.XLOOKUP(A47,'Inputs-Results'!$A$9:$A$35,'Inputs-Results'!$Z$9:$Z$35)-_xlfn.XLOOKUP(A47,'Inputs-Results'!$A$9:$A$35,'Inputs-Results'!$X$9:$X$35),(0.5*((C46+_xlfn.XLOOKUP(A47,'Inputs-Results'!$A$9:$A$35,'Inputs-Results'!$X$9:$X$35)-_xlfn.XLOOKUP(A47,'Inputs-Results'!$A$9:$A$35,'Inputs-Results'!$Z$9:$Z$35))+C46)*ABS(_xlfn.XLOOKUP(A47,'Inputs-Results'!$A$9:$A$35,'Inputs-Results'!$Y$9:$Y$35)-_xlfn.XLOOKUP(A47,'Inputs-Results'!$A$9:$A$35,'Inputs-Results'!$W$9:$W$35))),0.5*(ABS(_xlfn.XLOOKUP(A47,'Inputs-Results'!$A$9:$A$35,'Inputs-Results'!$W$9:$W$35)-_xlfn.XLOOKUP(A47,'Inputs-Results'!$A$9:$A$35,'Inputs-Results'!$Y$9:$Y$35))/(_xlfn.XLOOKUP(A47,'Inputs-Results'!$A$9:$A$35,'Inputs-Results'!$Z$9:$Z$35)-_xlfn.XLOOKUP(A47,'Inputs-Results'!$A$9:$A$35,'Inputs-Results'!$X$9:$X$35))*C46)*C46)+IF(C46&gt;_xlfn.XLOOKUP(A47,'Inputs-Results'!$A$9:$A$35,'Inputs-Results'!$Z$9:$Z$35)-_xlfn.XLOOKUP(A47,'Inputs-Results'!$A$9:$A$35,'Inputs-Results'!$X$9:$X$35),(0.5*(ABS(_xlfn.XLOOKUP(A47,'Inputs-Results'!$A$9:$A$35,'Inputs-Results'!$Y$9:$Y$35)-_xlfn.XLOOKUP(A47,'Inputs-Results'!$A$9:$A$35,'Inputs-Results'!$AA$9:$AA$35))/(_xlfn.XLOOKUP(A47,'Inputs-Results'!$A$9:$A$35,'Inputs-Results'!$AB$9:$AB$35)-_xlfn.XLOOKUP(A47,'Inputs-Results'!$A$9:$A$35,'Inputs-Results'!$Z$9:$Z$35))*(C46-(_xlfn.XLOOKUP(A47,'Inputs-Results'!$A$9:$A$35,'Inputs-Results'!$Z$9:$Z$35)-_xlfn.XLOOKUP(A47,'Inputs-Results'!$A$9:$A$35,'Inputs-Results'!$X$9:$X$35))))*(C46-(_xlfn.XLOOKUP(A47,'Inputs-Results'!$A$9:$A$35,'Inputs-Results'!$Z$9:$Z$35)-_xlfn.XLOOKUP(A47,'Inputs-Results'!$A$9:$A$35,'Inputs-Results'!$X$9:$X$35)))),0)</f>
        <v>#N/A</v>
      </c>
      <c r="D47" s="19" t="e">
        <f>VLOOKUP($A47,$A$4:$BJ$30,4+6*D$32,FALSE)</f>
        <v>#DIV/0!</v>
      </c>
      <c r="E47" s="19" t="e">
        <f t="shared" ref="E47:M47" si="42">VLOOKUP($A47,$A$4:$BJ$30,4+6*E$32,FALSE)</f>
        <v>#DIV/0!</v>
      </c>
      <c r="F47" s="19" t="e">
        <f t="shared" si="42"/>
        <v>#DIV/0!</v>
      </c>
      <c r="G47" s="19" t="e">
        <f t="shared" si="42"/>
        <v>#DIV/0!</v>
      </c>
      <c r="H47" s="19" t="e">
        <f t="shared" si="42"/>
        <v>#DIV/0!</v>
      </c>
      <c r="I47" s="19" t="e">
        <f t="shared" si="42"/>
        <v>#DIV/0!</v>
      </c>
      <c r="J47" s="19" t="e">
        <f t="shared" si="42"/>
        <v>#DIV/0!</v>
      </c>
      <c r="K47" s="19" t="e">
        <f t="shared" si="42"/>
        <v>#DIV/0!</v>
      </c>
      <c r="L47" s="19" t="e">
        <f t="shared" si="42"/>
        <v>#DIV/0!</v>
      </c>
      <c r="M47" s="19" t="e">
        <f t="shared" si="42"/>
        <v>#DIV/0!</v>
      </c>
      <c r="N47" s="19">
        <v>0</v>
      </c>
    </row>
    <row r="48" spans="1:15" x14ac:dyDescent="0.25">
      <c r="A48" s="35">
        <f>A46</f>
        <v>0</v>
      </c>
      <c r="B48" t="s">
        <v>71</v>
      </c>
      <c r="C48" s="24"/>
      <c r="D48" s="19" t="e">
        <f t="shared" ref="D48:M48" si="43">VLOOKUP($A48,$A$4:$BJ$30,7+6*D$32,FALSE)</f>
        <v>#DIV/0!</v>
      </c>
      <c r="E48" s="19" t="e">
        <f t="shared" si="43"/>
        <v>#DIV/0!</v>
      </c>
      <c r="F48" s="19" t="e">
        <f t="shared" si="43"/>
        <v>#DIV/0!</v>
      </c>
      <c r="G48" s="19" t="e">
        <f t="shared" si="43"/>
        <v>#DIV/0!</v>
      </c>
      <c r="H48" s="19" t="e">
        <f t="shared" si="43"/>
        <v>#DIV/0!</v>
      </c>
      <c r="I48" s="19" t="e">
        <f t="shared" si="43"/>
        <v>#DIV/0!</v>
      </c>
      <c r="J48" s="19" t="e">
        <f t="shared" si="43"/>
        <v>#DIV/0!</v>
      </c>
      <c r="K48" s="19" t="e">
        <f t="shared" si="43"/>
        <v>#DIV/0!</v>
      </c>
      <c r="L48" s="19" t="e">
        <f t="shared" si="43"/>
        <v>#DIV/0!</v>
      </c>
      <c r="M48" s="19" t="e">
        <f t="shared" si="43"/>
        <v>#DIV/0!</v>
      </c>
      <c r="N48" s="19">
        <v>0</v>
      </c>
    </row>
    <row r="49" spans="1:14" x14ac:dyDescent="0.25">
      <c r="A49" s="35">
        <f>A9</f>
        <v>0</v>
      </c>
      <c r="B49" t="s">
        <v>102</v>
      </c>
      <c r="C49" s="24" t="e">
        <f>_xlfn.FORECAST.LINEAR(_xlfn.XLOOKUP(A49,'Inputs-Results'!$A$9:$A$35,'Inputs-Results'!$M$9:$M$35),INDEX(D49:N49,_xlfn.XMATCH(_xlfn.XLOOKUP(A49,'Inputs-Results'!$A$9:$A$35,'Inputs-Results'!$M$9:$M$35),D51:N51,-1)):INDEX(D49:N49,_xlfn.XMATCH(_xlfn.XLOOKUP(A49,'Inputs-Results'!$A$9:$A$35,'Inputs-Results'!$M$9:$M$35),D51:N51,1)),INDEX(D51:N51,_xlfn.XMATCH(_xlfn.XLOOKUP(A49,'Inputs-Results'!$A$9:$A$35,'Inputs-Results'!$M$9:$M$35),D51:N51,-1)):INDEX(D51:N51,_xlfn.XMATCH(_xlfn.XLOOKUP(A49,'Inputs-Results'!$A$9:$A$35,'Inputs-Results'!$M$9:$M$35),D51:N51,1)))</f>
        <v>#N/A</v>
      </c>
      <c r="D49" s="19">
        <f t="shared" ref="D49:M49" si="44">VLOOKUP($A49,$A$4:$BJ$30,3+6*D$32,FALSE)</f>
        <v>0</v>
      </c>
      <c r="E49" s="19">
        <f t="shared" si="44"/>
        <v>0</v>
      </c>
      <c r="F49" s="19">
        <f t="shared" si="44"/>
        <v>0</v>
      </c>
      <c r="G49" s="19">
        <f t="shared" si="44"/>
        <v>0</v>
      </c>
      <c r="H49" s="19">
        <f t="shared" si="44"/>
        <v>0</v>
      </c>
      <c r="I49" s="19">
        <f t="shared" si="44"/>
        <v>0</v>
      </c>
      <c r="J49" s="19">
        <f t="shared" si="44"/>
        <v>0</v>
      </c>
      <c r="K49" s="19">
        <f t="shared" si="44"/>
        <v>0</v>
      </c>
      <c r="L49" s="19">
        <f t="shared" si="44"/>
        <v>0</v>
      </c>
      <c r="M49" s="19">
        <f t="shared" si="44"/>
        <v>0</v>
      </c>
      <c r="N49" s="19">
        <v>0</v>
      </c>
    </row>
    <row r="50" spans="1:14" x14ac:dyDescent="0.25">
      <c r="A50" s="35">
        <f>A49</f>
        <v>0</v>
      </c>
      <c r="B50" t="s">
        <v>90</v>
      </c>
      <c r="C50" s="24" t="e">
        <f>IF(C49&gt;_xlfn.XLOOKUP(A50,'Inputs-Results'!$A$9:$A$35,'Inputs-Results'!$V$9:$V$35)-_xlfn.XLOOKUP(A50,'Inputs-Results'!$A$9:$A$35,'Inputs-Results'!$X$9:$X$35),(0.5*(ABS(_xlfn.XLOOKUP(A50,'Inputs-Results'!$A$9:$A$35,'Inputs-Results'!$S$9:$S$35)-_xlfn.XLOOKUP(A50,'Inputs-Results'!$A$9:$A$35,'Inputs-Results'!$U$9:$U$35))/(_xlfn.XLOOKUP(A50,'Inputs-Results'!$A$9:$A$35,'Inputs-Results'!$T$9:$T$35)-_xlfn.XLOOKUP(A50,'Inputs-Results'!$A$9:$A$35,'Inputs-Results'!$V$9:$V$35))*(C49-(_xlfn.XLOOKUP(A50,'Inputs-Results'!$A$9:$A$35,'Inputs-Results'!$V$9:$V$35)-_xlfn.XLOOKUP(A50,'Inputs-Results'!$A$9:$A$35,'Inputs-Results'!$X$9:$X$35))))*(C49-(_xlfn.XLOOKUP(A50,'Inputs-Results'!$A$9:$A$35,'Inputs-Results'!$V$9:$V$35)-_xlfn.XLOOKUP(A50,'Inputs-Results'!$A$9:$A$35,'Inputs-Results'!$X$9:$X$35)))),0)+IF(C49&gt;_xlfn.XLOOKUP(A50,'Inputs-Results'!$A$9:$A$35,'Inputs-Results'!$V$9:$V$35)-_xlfn.XLOOKUP(A50,'Inputs-Results'!$A$9:$A$35,'Inputs-Results'!$X$9:$X$35),(0.5*((C49+_xlfn.XLOOKUP(A50,'Inputs-Results'!$A$9:$A$35,'Inputs-Results'!$X$9:$X$35)-_xlfn.XLOOKUP(A50,'Inputs-Results'!$A$9:$A$35,'Inputs-Results'!$V$9:$V$35))+C49)*ABS(_xlfn.XLOOKUP(A50,'Inputs-Results'!$A$9:$A$35,'Inputs-Results'!$U$9:$U$35)-_xlfn.XLOOKUP(A50,'Inputs-Results'!$A$9:$A$35,'Inputs-Results'!$W$9:$W$35))),0.5*(ABS(_xlfn.XLOOKUP(A50,'Inputs-Results'!$A$9:$A$35,'Inputs-Results'!$U$9:$U$35)-_xlfn.XLOOKUP(A50,'Inputs-Results'!$A$9:$A$35,'Inputs-Results'!$W$9:$W$35))/(_xlfn.XLOOKUP(A50,'Inputs-Results'!$A$9:$A$35,'Inputs-Results'!$V$9:$V$35)-_xlfn.XLOOKUP(A50,'Inputs-Results'!$A$9:$A$35,'Inputs-Results'!$X$9:$X$35))*C49)*C49)+IF(C49&gt;_xlfn.XLOOKUP(A50,'Inputs-Results'!$A$9:$A$35,'Inputs-Results'!$Z$9:$Z$35)-_xlfn.XLOOKUP(A50,'Inputs-Results'!$A$9:$A$35,'Inputs-Results'!$X$9:$X$35),(0.5*((C49+_xlfn.XLOOKUP(A50,'Inputs-Results'!$A$9:$A$35,'Inputs-Results'!$X$9:$X$35)-_xlfn.XLOOKUP(A50,'Inputs-Results'!$A$9:$A$35,'Inputs-Results'!$Z$9:$Z$35))+C49)*ABS(_xlfn.XLOOKUP(A50,'Inputs-Results'!$A$9:$A$35,'Inputs-Results'!$Y$9:$Y$35)-_xlfn.XLOOKUP(A50,'Inputs-Results'!$A$9:$A$35,'Inputs-Results'!$W$9:$W$35))),0.5*(ABS(_xlfn.XLOOKUP(A50,'Inputs-Results'!$A$9:$A$35,'Inputs-Results'!$W$9:$W$35)-_xlfn.XLOOKUP(A50,'Inputs-Results'!$A$9:$A$35,'Inputs-Results'!$Y$9:$Y$35))/(_xlfn.XLOOKUP(A50,'Inputs-Results'!$A$9:$A$35,'Inputs-Results'!$Z$9:$Z$35)-_xlfn.XLOOKUP(A50,'Inputs-Results'!$A$9:$A$35,'Inputs-Results'!$X$9:$X$35))*C49)*C49)+IF(C49&gt;_xlfn.XLOOKUP(A50,'Inputs-Results'!$A$9:$A$35,'Inputs-Results'!$Z$9:$Z$35)-_xlfn.XLOOKUP(A50,'Inputs-Results'!$A$9:$A$35,'Inputs-Results'!$X$9:$X$35),(0.5*(ABS(_xlfn.XLOOKUP(A50,'Inputs-Results'!$A$9:$A$35,'Inputs-Results'!$Y$9:$Y$35)-_xlfn.XLOOKUP(A50,'Inputs-Results'!$A$9:$A$35,'Inputs-Results'!$AA$9:$AA$35))/(_xlfn.XLOOKUP(A50,'Inputs-Results'!$A$9:$A$35,'Inputs-Results'!$AB$9:$AB$35)-_xlfn.XLOOKUP(A50,'Inputs-Results'!$A$9:$A$35,'Inputs-Results'!$Z$9:$Z$35))*(C49-(_xlfn.XLOOKUP(A50,'Inputs-Results'!$A$9:$A$35,'Inputs-Results'!$Z$9:$Z$35)-_xlfn.XLOOKUP(A50,'Inputs-Results'!$A$9:$A$35,'Inputs-Results'!$X$9:$X$35))))*(C49-(_xlfn.XLOOKUP(A50,'Inputs-Results'!$A$9:$A$35,'Inputs-Results'!$Z$9:$Z$35)-_xlfn.XLOOKUP(A50,'Inputs-Results'!$A$9:$A$35,'Inputs-Results'!$X$9:$X$35)))),0)</f>
        <v>#N/A</v>
      </c>
      <c r="D50" s="19" t="e">
        <f>VLOOKUP($A50,$A$4:$BJ$30,4+6*D$32,FALSE)</f>
        <v>#DIV/0!</v>
      </c>
      <c r="E50" s="19" t="e">
        <f t="shared" ref="E50:M50" si="45">VLOOKUP($A50,$A$4:$BJ$30,4+6*E$32,FALSE)</f>
        <v>#DIV/0!</v>
      </c>
      <c r="F50" s="19" t="e">
        <f t="shared" si="45"/>
        <v>#DIV/0!</v>
      </c>
      <c r="G50" s="19" t="e">
        <f t="shared" si="45"/>
        <v>#DIV/0!</v>
      </c>
      <c r="H50" s="19" t="e">
        <f t="shared" si="45"/>
        <v>#DIV/0!</v>
      </c>
      <c r="I50" s="19" t="e">
        <f t="shared" si="45"/>
        <v>#DIV/0!</v>
      </c>
      <c r="J50" s="19" t="e">
        <f t="shared" si="45"/>
        <v>#DIV/0!</v>
      </c>
      <c r="K50" s="19" t="e">
        <f t="shared" si="45"/>
        <v>#DIV/0!</v>
      </c>
      <c r="L50" s="19" t="e">
        <f t="shared" si="45"/>
        <v>#DIV/0!</v>
      </c>
      <c r="M50" s="19" t="e">
        <f t="shared" si="45"/>
        <v>#DIV/0!</v>
      </c>
      <c r="N50" s="19">
        <v>0</v>
      </c>
    </row>
    <row r="51" spans="1:14" x14ac:dyDescent="0.25">
      <c r="A51" s="35">
        <f>A49</f>
        <v>0</v>
      </c>
      <c r="B51" t="s">
        <v>71</v>
      </c>
      <c r="C51" s="24"/>
      <c r="D51" s="19" t="e">
        <f t="shared" ref="D51:M51" si="46">VLOOKUP($A51,$A$4:$BJ$30,7+6*D$32,FALSE)</f>
        <v>#DIV/0!</v>
      </c>
      <c r="E51" s="19" t="e">
        <f t="shared" si="46"/>
        <v>#DIV/0!</v>
      </c>
      <c r="F51" s="19" t="e">
        <f t="shared" si="46"/>
        <v>#DIV/0!</v>
      </c>
      <c r="G51" s="19" t="e">
        <f t="shared" si="46"/>
        <v>#DIV/0!</v>
      </c>
      <c r="H51" s="19" t="e">
        <f t="shared" si="46"/>
        <v>#DIV/0!</v>
      </c>
      <c r="I51" s="19" t="e">
        <f t="shared" si="46"/>
        <v>#DIV/0!</v>
      </c>
      <c r="J51" s="19" t="e">
        <f t="shared" si="46"/>
        <v>#DIV/0!</v>
      </c>
      <c r="K51" s="19" t="e">
        <f t="shared" si="46"/>
        <v>#DIV/0!</v>
      </c>
      <c r="L51" s="19" t="e">
        <f t="shared" si="46"/>
        <v>#DIV/0!</v>
      </c>
      <c r="M51" s="19" t="e">
        <f t="shared" si="46"/>
        <v>#DIV/0!</v>
      </c>
      <c r="N51" s="19">
        <v>0</v>
      </c>
    </row>
    <row r="52" spans="1:14" x14ac:dyDescent="0.25">
      <c r="A52" s="35">
        <f>A10</f>
        <v>0</v>
      </c>
      <c r="B52" t="s">
        <v>102</v>
      </c>
      <c r="C52" s="24" t="e">
        <f>_xlfn.FORECAST.LINEAR(_xlfn.XLOOKUP(A52,'Inputs-Results'!$A$9:$A$35,'Inputs-Results'!$M$9:$M$35),INDEX(D52:N52,_xlfn.XMATCH(_xlfn.XLOOKUP(A52,'Inputs-Results'!$A$9:$A$35,'Inputs-Results'!$M$9:$M$35),D54:N54,-1)):INDEX(D52:N52,_xlfn.XMATCH(_xlfn.XLOOKUP(A52,'Inputs-Results'!$A$9:$A$35,'Inputs-Results'!$M$9:$M$35),D54:N54,1)),INDEX(D54:N54,_xlfn.XMATCH(_xlfn.XLOOKUP(A52,'Inputs-Results'!$A$9:$A$35,'Inputs-Results'!$M$9:$M$35),D54:N54,-1)):INDEX(D54:N54,_xlfn.XMATCH(_xlfn.XLOOKUP(A52,'Inputs-Results'!$A$9:$A$35,'Inputs-Results'!$M$9:$M$35),D54:N54,1)))</f>
        <v>#N/A</v>
      </c>
      <c r="D52" s="19">
        <f t="shared" ref="D52:M52" si="47">VLOOKUP($A52,$A$4:$BJ$30,3+6*D$32,FALSE)</f>
        <v>0</v>
      </c>
      <c r="E52" s="19">
        <f t="shared" si="47"/>
        <v>0</v>
      </c>
      <c r="F52" s="19">
        <f t="shared" si="47"/>
        <v>0</v>
      </c>
      <c r="G52" s="19">
        <f t="shared" si="47"/>
        <v>0</v>
      </c>
      <c r="H52" s="19">
        <f t="shared" si="47"/>
        <v>0</v>
      </c>
      <c r="I52" s="19">
        <f t="shared" si="47"/>
        <v>0</v>
      </c>
      <c r="J52" s="19">
        <f t="shared" si="47"/>
        <v>0</v>
      </c>
      <c r="K52" s="19">
        <f t="shared" si="47"/>
        <v>0</v>
      </c>
      <c r="L52" s="19">
        <f t="shared" si="47"/>
        <v>0</v>
      </c>
      <c r="M52" s="19">
        <f t="shared" si="47"/>
        <v>0</v>
      </c>
      <c r="N52" s="19">
        <v>0</v>
      </c>
    </row>
    <row r="53" spans="1:14" x14ac:dyDescent="0.25">
      <c r="A53" s="35">
        <f>A52</f>
        <v>0</v>
      </c>
      <c r="B53" t="s">
        <v>90</v>
      </c>
      <c r="C53" s="24" t="e">
        <f>IF(C52&gt;_xlfn.XLOOKUP(A53,'Inputs-Results'!$A$9:$A$35,'Inputs-Results'!$V$9:$V$35)-_xlfn.XLOOKUP(A53,'Inputs-Results'!$A$9:$A$35,'Inputs-Results'!$X$9:$X$35),(0.5*(ABS(_xlfn.XLOOKUP(A53,'Inputs-Results'!$A$9:$A$35,'Inputs-Results'!$S$9:$S$35)-_xlfn.XLOOKUP(A53,'Inputs-Results'!$A$9:$A$35,'Inputs-Results'!$U$9:$U$35))/(_xlfn.XLOOKUP(A53,'Inputs-Results'!$A$9:$A$35,'Inputs-Results'!$T$9:$T$35)-_xlfn.XLOOKUP(A53,'Inputs-Results'!$A$9:$A$35,'Inputs-Results'!$V$9:$V$35))*(C52-(_xlfn.XLOOKUP(A53,'Inputs-Results'!$A$9:$A$35,'Inputs-Results'!$V$9:$V$35)-_xlfn.XLOOKUP(A53,'Inputs-Results'!$A$9:$A$35,'Inputs-Results'!$X$9:$X$35))))*(C52-(_xlfn.XLOOKUP(A53,'Inputs-Results'!$A$9:$A$35,'Inputs-Results'!$V$9:$V$35)-_xlfn.XLOOKUP(A53,'Inputs-Results'!$A$9:$A$35,'Inputs-Results'!$X$9:$X$35)))),0)+IF(C52&gt;_xlfn.XLOOKUP(A53,'Inputs-Results'!$A$9:$A$35,'Inputs-Results'!$V$9:$V$35)-_xlfn.XLOOKUP(A53,'Inputs-Results'!$A$9:$A$35,'Inputs-Results'!$X$9:$X$35),(0.5*((C52+_xlfn.XLOOKUP(A53,'Inputs-Results'!$A$9:$A$35,'Inputs-Results'!$X$9:$X$35)-_xlfn.XLOOKUP(A53,'Inputs-Results'!$A$9:$A$35,'Inputs-Results'!$V$9:$V$35))+C52)*ABS(_xlfn.XLOOKUP(A53,'Inputs-Results'!$A$9:$A$35,'Inputs-Results'!$U$9:$U$35)-_xlfn.XLOOKUP(A53,'Inputs-Results'!$A$9:$A$35,'Inputs-Results'!$W$9:$W$35))),0.5*(ABS(_xlfn.XLOOKUP(A53,'Inputs-Results'!$A$9:$A$35,'Inputs-Results'!$U$9:$U$35)-_xlfn.XLOOKUP(A53,'Inputs-Results'!$A$9:$A$35,'Inputs-Results'!$W$9:$W$35))/(_xlfn.XLOOKUP(A53,'Inputs-Results'!$A$9:$A$35,'Inputs-Results'!$V$9:$V$35)-_xlfn.XLOOKUP(A53,'Inputs-Results'!$A$9:$A$35,'Inputs-Results'!$X$9:$X$35))*C52)*C52)+IF(C52&gt;_xlfn.XLOOKUP(A53,'Inputs-Results'!$A$9:$A$35,'Inputs-Results'!$Z$9:$Z$35)-_xlfn.XLOOKUP(A53,'Inputs-Results'!$A$9:$A$35,'Inputs-Results'!$X$9:$X$35),(0.5*((C52+_xlfn.XLOOKUP(A53,'Inputs-Results'!$A$9:$A$35,'Inputs-Results'!$X$9:$X$35)-_xlfn.XLOOKUP(A53,'Inputs-Results'!$A$9:$A$35,'Inputs-Results'!$Z$9:$Z$35))+C52)*ABS(_xlfn.XLOOKUP(A53,'Inputs-Results'!$A$9:$A$35,'Inputs-Results'!$Y$9:$Y$35)-_xlfn.XLOOKUP(A53,'Inputs-Results'!$A$9:$A$35,'Inputs-Results'!$W$9:$W$35))),0.5*(ABS(_xlfn.XLOOKUP(A53,'Inputs-Results'!$A$9:$A$35,'Inputs-Results'!$W$9:$W$35)-_xlfn.XLOOKUP(A53,'Inputs-Results'!$A$9:$A$35,'Inputs-Results'!$Y$9:$Y$35))/(_xlfn.XLOOKUP(A53,'Inputs-Results'!$A$9:$A$35,'Inputs-Results'!$Z$9:$Z$35)-_xlfn.XLOOKUP(A53,'Inputs-Results'!$A$9:$A$35,'Inputs-Results'!$X$9:$X$35))*C52)*C52)+IF(C52&gt;_xlfn.XLOOKUP(A53,'Inputs-Results'!$A$9:$A$35,'Inputs-Results'!$Z$9:$Z$35)-_xlfn.XLOOKUP(A53,'Inputs-Results'!$A$9:$A$35,'Inputs-Results'!$X$9:$X$35),(0.5*(ABS(_xlfn.XLOOKUP(A53,'Inputs-Results'!$A$9:$A$35,'Inputs-Results'!$Y$9:$Y$35)-_xlfn.XLOOKUP(A53,'Inputs-Results'!$A$9:$A$35,'Inputs-Results'!$AA$9:$AA$35))/(_xlfn.XLOOKUP(A53,'Inputs-Results'!$A$9:$A$35,'Inputs-Results'!$AB$9:$AB$35)-_xlfn.XLOOKUP(A53,'Inputs-Results'!$A$9:$A$35,'Inputs-Results'!$Z$9:$Z$35))*(C52-(_xlfn.XLOOKUP(A53,'Inputs-Results'!$A$9:$A$35,'Inputs-Results'!$Z$9:$Z$35)-_xlfn.XLOOKUP(A53,'Inputs-Results'!$A$9:$A$35,'Inputs-Results'!$X$9:$X$35))))*(C52-(_xlfn.XLOOKUP(A53,'Inputs-Results'!$A$9:$A$35,'Inputs-Results'!$Z$9:$Z$35)-_xlfn.XLOOKUP(A53,'Inputs-Results'!$A$9:$A$35,'Inputs-Results'!$X$9:$X$35)))),0)</f>
        <v>#N/A</v>
      </c>
      <c r="D53" s="19" t="e">
        <f>VLOOKUP($A53,$A$4:$BJ$30,4+6*D$32,FALSE)</f>
        <v>#DIV/0!</v>
      </c>
      <c r="E53" s="19" t="e">
        <f t="shared" ref="E53:M53" si="48">VLOOKUP($A53,$A$4:$BJ$30,4+6*E$32,FALSE)</f>
        <v>#DIV/0!</v>
      </c>
      <c r="F53" s="19" t="e">
        <f t="shared" si="48"/>
        <v>#DIV/0!</v>
      </c>
      <c r="G53" s="19" t="e">
        <f t="shared" si="48"/>
        <v>#DIV/0!</v>
      </c>
      <c r="H53" s="19" t="e">
        <f t="shared" si="48"/>
        <v>#DIV/0!</v>
      </c>
      <c r="I53" s="19" t="e">
        <f t="shared" si="48"/>
        <v>#DIV/0!</v>
      </c>
      <c r="J53" s="19" t="e">
        <f t="shared" si="48"/>
        <v>#DIV/0!</v>
      </c>
      <c r="K53" s="19" t="e">
        <f t="shared" si="48"/>
        <v>#DIV/0!</v>
      </c>
      <c r="L53" s="19" t="e">
        <f t="shared" si="48"/>
        <v>#DIV/0!</v>
      </c>
      <c r="M53" s="19" t="e">
        <f t="shared" si="48"/>
        <v>#DIV/0!</v>
      </c>
      <c r="N53" s="19">
        <v>0</v>
      </c>
    </row>
    <row r="54" spans="1:14" x14ac:dyDescent="0.25">
      <c r="A54" s="35">
        <f>A52</f>
        <v>0</v>
      </c>
      <c r="B54" t="s">
        <v>71</v>
      </c>
      <c r="C54" s="24"/>
      <c r="D54" s="19" t="e">
        <f t="shared" ref="D54:M54" si="49">VLOOKUP($A54,$A$4:$BJ$30,7+6*D$32,FALSE)</f>
        <v>#DIV/0!</v>
      </c>
      <c r="E54" s="19" t="e">
        <f t="shared" si="49"/>
        <v>#DIV/0!</v>
      </c>
      <c r="F54" s="19" t="e">
        <f t="shared" si="49"/>
        <v>#DIV/0!</v>
      </c>
      <c r="G54" s="19" t="e">
        <f t="shared" si="49"/>
        <v>#DIV/0!</v>
      </c>
      <c r="H54" s="19" t="e">
        <f t="shared" si="49"/>
        <v>#DIV/0!</v>
      </c>
      <c r="I54" s="19" t="e">
        <f t="shared" si="49"/>
        <v>#DIV/0!</v>
      </c>
      <c r="J54" s="19" t="e">
        <f t="shared" si="49"/>
        <v>#DIV/0!</v>
      </c>
      <c r="K54" s="19" t="e">
        <f t="shared" si="49"/>
        <v>#DIV/0!</v>
      </c>
      <c r="L54" s="19" t="e">
        <f t="shared" si="49"/>
        <v>#DIV/0!</v>
      </c>
      <c r="M54" s="19" t="e">
        <f t="shared" si="49"/>
        <v>#DIV/0!</v>
      </c>
      <c r="N54" s="19">
        <v>0</v>
      </c>
    </row>
    <row r="55" spans="1:14" x14ac:dyDescent="0.25">
      <c r="A55" s="35">
        <f>A11</f>
        <v>0</v>
      </c>
      <c r="B55" t="s">
        <v>102</v>
      </c>
      <c r="C55" s="24" t="e">
        <f>_xlfn.FORECAST.LINEAR(_xlfn.XLOOKUP(A55,'Inputs-Results'!$A$9:$A$35,'Inputs-Results'!$M$9:$M$35),INDEX(D55:N55,_xlfn.XMATCH(_xlfn.XLOOKUP(A55,'Inputs-Results'!$A$9:$A$35,'Inputs-Results'!$M$9:$M$35),D57:N57,-1)):INDEX(D55:N55,_xlfn.XMATCH(_xlfn.XLOOKUP(A55,'Inputs-Results'!$A$9:$A$35,'Inputs-Results'!$M$9:$M$35),D57:N57,1)),INDEX(D57:N57,_xlfn.XMATCH(_xlfn.XLOOKUP(A55,'Inputs-Results'!$A$9:$A$35,'Inputs-Results'!$M$9:$M$35),D57:N57,-1)):INDEX(D57:N57,_xlfn.XMATCH(_xlfn.XLOOKUP(A55,'Inputs-Results'!$A$9:$A$35,'Inputs-Results'!$M$9:$M$35),D57:N57,1)))</f>
        <v>#N/A</v>
      </c>
      <c r="D55" s="19">
        <f t="shared" ref="D55:M55" si="50">VLOOKUP($A55,$A$4:$BJ$30,3+6*D$32,FALSE)</f>
        <v>0</v>
      </c>
      <c r="E55" s="19">
        <f t="shared" si="50"/>
        <v>0</v>
      </c>
      <c r="F55" s="19">
        <f t="shared" si="50"/>
        <v>0</v>
      </c>
      <c r="G55" s="19">
        <f t="shared" si="50"/>
        <v>0</v>
      </c>
      <c r="H55" s="19">
        <f t="shared" si="50"/>
        <v>0</v>
      </c>
      <c r="I55" s="19">
        <f t="shared" si="50"/>
        <v>0</v>
      </c>
      <c r="J55" s="19">
        <f t="shared" si="50"/>
        <v>0</v>
      </c>
      <c r="K55" s="19">
        <f t="shared" si="50"/>
        <v>0</v>
      </c>
      <c r="L55" s="19">
        <f t="shared" si="50"/>
        <v>0</v>
      </c>
      <c r="M55" s="19">
        <f t="shared" si="50"/>
        <v>0</v>
      </c>
      <c r="N55" s="19">
        <v>0</v>
      </c>
    </row>
    <row r="56" spans="1:14" x14ac:dyDescent="0.25">
      <c r="A56" s="35">
        <f>A55</f>
        <v>0</v>
      </c>
      <c r="B56" t="s">
        <v>90</v>
      </c>
      <c r="C56" s="24" t="e">
        <f>IF(C55&gt;_xlfn.XLOOKUP(A56,'Inputs-Results'!$A$9:$A$35,'Inputs-Results'!$V$9:$V$35)-_xlfn.XLOOKUP(A56,'Inputs-Results'!$A$9:$A$35,'Inputs-Results'!$X$9:$X$35),(0.5*(ABS(_xlfn.XLOOKUP(A56,'Inputs-Results'!$A$9:$A$35,'Inputs-Results'!$S$9:$S$35)-_xlfn.XLOOKUP(A56,'Inputs-Results'!$A$9:$A$35,'Inputs-Results'!$U$9:$U$35))/(_xlfn.XLOOKUP(A56,'Inputs-Results'!$A$9:$A$35,'Inputs-Results'!$T$9:$T$35)-_xlfn.XLOOKUP(A56,'Inputs-Results'!$A$9:$A$35,'Inputs-Results'!$V$9:$V$35))*(C55-(_xlfn.XLOOKUP(A56,'Inputs-Results'!$A$9:$A$35,'Inputs-Results'!$V$9:$V$35)-_xlfn.XLOOKUP(A56,'Inputs-Results'!$A$9:$A$35,'Inputs-Results'!$X$9:$X$35))))*(C55-(_xlfn.XLOOKUP(A56,'Inputs-Results'!$A$9:$A$35,'Inputs-Results'!$V$9:$V$35)-_xlfn.XLOOKUP(A56,'Inputs-Results'!$A$9:$A$35,'Inputs-Results'!$X$9:$X$35)))),0)+IF(C55&gt;_xlfn.XLOOKUP(A56,'Inputs-Results'!$A$9:$A$35,'Inputs-Results'!$V$9:$V$35)-_xlfn.XLOOKUP(A56,'Inputs-Results'!$A$9:$A$35,'Inputs-Results'!$X$9:$X$35),(0.5*((C55+_xlfn.XLOOKUP(A56,'Inputs-Results'!$A$9:$A$35,'Inputs-Results'!$X$9:$X$35)-_xlfn.XLOOKUP(A56,'Inputs-Results'!$A$9:$A$35,'Inputs-Results'!$V$9:$V$35))+C55)*ABS(_xlfn.XLOOKUP(A56,'Inputs-Results'!$A$9:$A$35,'Inputs-Results'!$U$9:$U$35)-_xlfn.XLOOKUP(A56,'Inputs-Results'!$A$9:$A$35,'Inputs-Results'!$W$9:$W$35))),0.5*(ABS(_xlfn.XLOOKUP(A56,'Inputs-Results'!$A$9:$A$35,'Inputs-Results'!$U$9:$U$35)-_xlfn.XLOOKUP(A56,'Inputs-Results'!$A$9:$A$35,'Inputs-Results'!$W$9:$W$35))/(_xlfn.XLOOKUP(A56,'Inputs-Results'!$A$9:$A$35,'Inputs-Results'!$V$9:$V$35)-_xlfn.XLOOKUP(A56,'Inputs-Results'!$A$9:$A$35,'Inputs-Results'!$X$9:$X$35))*C55)*C55)+IF(C55&gt;_xlfn.XLOOKUP(A56,'Inputs-Results'!$A$9:$A$35,'Inputs-Results'!$Z$9:$Z$35)-_xlfn.XLOOKUP(A56,'Inputs-Results'!$A$9:$A$35,'Inputs-Results'!$X$9:$X$35),(0.5*((C55+_xlfn.XLOOKUP(A56,'Inputs-Results'!$A$9:$A$35,'Inputs-Results'!$X$9:$X$35)-_xlfn.XLOOKUP(A56,'Inputs-Results'!$A$9:$A$35,'Inputs-Results'!$Z$9:$Z$35))+C55)*ABS(_xlfn.XLOOKUP(A56,'Inputs-Results'!$A$9:$A$35,'Inputs-Results'!$Y$9:$Y$35)-_xlfn.XLOOKUP(A56,'Inputs-Results'!$A$9:$A$35,'Inputs-Results'!$W$9:$W$35))),0.5*(ABS(_xlfn.XLOOKUP(A56,'Inputs-Results'!$A$9:$A$35,'Inputs-Results'!$W$9:$W$35)-_xlfn.XLOOKUP(A56,'Inputs-Results'!$A$9:$A$35,'Inputs-Results'!$Y$9:$Y$35))/(_xlfn.XLOOKUP(A56,'Inputs-Results'!$A$9:$A$35,'Inputs-Results'!$Z$9:$Z$35)-_xlfn.XLOOKUP(A56,'Inputs-Results'!$A$9:$A$35,'Inputs-Results'!$X$9:$X$35))*C55)*C55)+IF(C55&gt;_xlfn.XLOOKUP(A56,'Inputs-Results'!$A$9:$A$35,'Inputs-Results'!$Z$9:$Z$35)-_xlfn.XLOOKUP(A56,'Inputs-Results'!$A$9:$A$35,'Inputs-Results'!$X$9:$X$35),(0.5*(ABS(_xlfn.XLOOKUP(A56,'Inputs-Results'!$A$9:$A$35,'Inputs-Results'!$Y$9:$Y$35)-_xlfn.XLOOKUP(A56,'Inputs-Results'!$A$9:$A$35,'Inputs-Results'!$AA$9:$AA$35))/(_xlfn.XLOOKUP(A56,'Inputs-Results'!$A$9:$A$35,'Inputs-Results'!$AB$9:$AB$35)-_xlfn.XLOOKUP(A56,'Inputs-Results'!$A$9:$A$35,'Inputs-Results'!$Z$9:$Z$35))*(C55-(_xlfn.XLOOKUP(A56,'Inputs-Results'!$A$9:$A$35,'Inputs-Results'!$Z$9:$Z$35)-_xlfn.XLOOKUP(A56,'Inputs-Results'!$A$9:$A$35,'Inputs-Results'!$X$9:$X$35))))*(C55-(_xlfn.XLOOKUP(A56,'Inputs-Results'!$A$9:$A$35,'Inputs-Results'!$Z$9:$Z$35)-_xlfn.XLOOKUP(A56,'Inputs-Results'!$A$9:$A$35,'Inputs-Results'!$X$9:$X$35)))),0)</f>
        <v>#N/A</v>
      </c>
      <c r="D56" s="19" t="e">
        <f>VLOOKUP($A56,$A$4:$BJ$30,4+6*D$32,FALSE)</f>
        <v>#DIV/0!</v>
      </c>
      <c r="E56" s="19" t="e">
        <f t="shared" ref="E56:M56" si="51">VLOOKUP($A56,$A$4:$BJ$30,4+6*E$32,FALSE)</f>
        <v>#DIV/0!</v>
      </c>
      <c r="F56" s="19" t="e">
        <f t="shared" si="51"/>
        <v>#DIV/0!</v>
      </c>
      <c r="G56" s="19" t="e">
        <f t="shared" si="51"/>
        <v>#DIV/0!</v>
      </c>
      <c r="H56" s="19" t="e">
        <f t="shared" si="51"/>
        <v>#DIV/0!</v>
      </c>
      <c r="I56" s="19" t="e">
        <f t="shared" si="51"/>
        <v>#DIV/0!</v>
      </c>
      <c r="J56" s="19" t="e">
        <f t="shared" si="51"/>
        <v>#DIV/0!</v>
      </c>
      <c r="K56" s="19" t="e">
        <f t="shared" si="51"/>
        <v>#DIV/0!</v>
      </c>
      <c r="L56" s="19" t="e">
        <f t="shared" si="51"/>
        <v>#DIV/0!</v>
      </c>
      <c r="M56" s="19" t="e">
        <f t="shared" si="51"/>
        <v>#DIV/0!</v>
      </c>
      <c r="N56" s="19">
        <v>0</v>
      </c>
    </row>
    <row r="57" spans="1:14" x14ac:dyDescent="0.25">
      <c r="A57" s="35">
        <f>A55</f>
        <v>0</v>
      </c>
      <c r="B57" t="s">
        <v>71</v>
      </c>
      <c r="C57" s="24"/>
      <c r="D57" s="19" t="e">
        <f t="shared" ref="D57:M57" si="52">VLOOKUP($A57,$A$4:$BJ$30,7+6*D$32,FALSE)</f>
        <v>#DIV/0!</v>
      </c>
      <c r="E57" s="19" t="e">
        <f t="shared" si="52"/>
        <v>#DIV/0!</v>
      </c>
      <c r="F57" s="19" t="e">
        <f t="shared" si="52"/>
        <v>#DIV/0!</v>
      </c>
      <c r="G57" s="19" t="e">
        <f t="shared" si="52"/>
        <v>#DIV/0!</v>
      </c>
      <c r="H57" s="19" t="e">
        <f t="shared" si="52"/>
        <v>#DIV/0!</v>
      </c>
      <c r="I57" s="19" t="e">
        <f t="shared" si="52"/>
        <v>#DIV/0!</v>
      </c>
      <c r="J57" s="19" t="e">
        <f t="shared" si="52"/>
        <v>#DIV/0!</v>
      </c>
      <c r="K57" s="19" t="e">
        <f t="shared" si="52"/>
        <v>#DIV/0!</v>
      </c>
      <c r="L57" s="19" t="e">
        <f t="shared" si="52"/>
        <v>#DIV/0!</v>
      </c>
      <c r="M57" s="19" t="e">
        <f t="shared" si="52"/>
        <v>#DIV/0!</v>
      </c>
      <c r="N57" s="19">
        <v>0</v>
      </c>
    </row>
    <row r="58" spans="1:14" x14ac:dyDescent="0.25">
      <c r="A58" s="35">
        <f>A12</f>
        <v>0</v>
      </c>
      <c r="B58" t="s">
        <v>102</v>
      </c>
      <c r="C58" s="24" t="e">
        <f>_xlfn.FORECAST.LINEAR(_xlfn.XLOOKUP(A58,'Inputs-Results'!$A$9:$A$35,'Inputs-Results'!$M$9:$M$35),INDEX(D58:N58,_xlfn.XMATCH(_xlfn.XLOOKUP(A58,'Inputs-Results'!$A$9:$A$35,'Inputs-Results'!$M$9:$M$35),D60:N60,-1)):INDEX(D58:N58,_xlfn.XMATCH(_xlfn.XLOOKUP(A58,'Inputs-Results'!$A$9:$A$35,'Inputs-Results'!$M$9:$M$35),D60:N60,1)),INDEX(D60:N60,_xlfn.XMATCH(_xlfn.XLOOKUP(A58,'Inputs-Results'!$A$9:$A$35,'Inputs-Results'!$M$9:$M$35),D60:N60,-1)):INDEX(D60:N60,_xlfn.XMATCH(_xlfn.XLOOKUP(A58,'Inputs-Results'!$A$9:$A$35,'Inputs-Results'!$M$9:$M$35),D60:N60,1)))</f>
        <v>#N/A</v>
      </c>
      <c r="D58" s="19">
        <f t="shared" ref="D58:M58" si="53">VLOOKUP($A58,$A$4:$BJ$30,3+6*D$32,FALSE)</f>
        <v>0</v>
      </c>
      <c r="E58" s="19">
        <f t="shared" si="53"/>
        <v>0</v>
      </c>
      <c r="F58" s="19">
        <f t="shared" si="53"/>
        <v>0</v>
      </c>
      <c r="G58" s="19">
        <f t="shared" si="53"/>
        <v>0</v>
      </c>
      <c r="H58" s="19">
        <f t="shared" si="53"/>
        <v>0</v>
      </c>
      <c r="I58" s="19">
        <f t="shared" si="53"/>
        <v>0</v>
      </c>
      <c r="J58" s="19">
        <f t="shared" si="53"/>
        <v>0</v>
      </c>
      <c r="K58" s="19">
        <f t="shared" si="53"/>
        <v>0</v>
      </c>
      <c r="L58" s="19">
        <f t="shared" si="53"/>
        <v>0</v>
      </c>
      <c r="M58" s="19">
        <f t="shared" si="53"/>
        <v>0</v>
      </c>
      <c r="N58" s="19">
        <v>0</v>
      </c>
    </row>
    <row r="59" spans="1:14" x14ac:dyDescent="0.25">
      <c r="A59" s="35">
        <f>A58</f>
        <v>0</v>
      </c>
      <c r="B59" t="s">
        <v>90</v>
      </c>
      <c r="C59" s="24" t="e">
        <f>IF(C58&gt;_xlfn.XLOOKUP(A59,'Inputs-Results'!$A$9:$A$35,'Inputs-Results'!$V$9:$V$35)-_xlfn.XLOOKUP(A59,'Inputs-Results'!$A$9:$A$35,'Inputs-Results'!$X$9:$X$35),(0.5*(ABS(_xlfn.XLOOKUP(A59,'Inputs-Results'!$A$9:$A$35,'Inputs-Results'!$S$9:$S$35)-_xlfn.XLOOKUP(A59,'Inputs-Results'!$A$9:$A$35,'Inputs-Results'!$U$9:$U$35))/(_xlfn.XLOOKUP(A59,'Inputs-Results'!$A$9:$A$35,'Inputs-Results'!$T$9:$T$35)-_xlfn.XLOOKUP(A59,'Inputs-Results'!$A$9:$A$35,'Inputs-Results'!$V$9:$V$35))*(C58-(_xlfn.XLOOKUP(A59,'Inputs-Results'!$A$9:$A$35,'Inputs-Results'!$V$9:$V$35)-_xlfn.XLOOKUP(A59,'Inputs-Results'!$A$9:$A$35,'Inputs-Results'!$X$9:$X$35))))*(C58-(_xlfn.XLOOKUP(A59,'Inputs-Results'!$A$9:$A$35,'Inputs-Results'!$V$9:$V$35)-_xlfn.XLOOKUP(A59,'Inputs-Results'!$A$9:$A$35,'Inputs-Results'!$X$9:$X$35)))),0)+IF(C58&gt;_xlfn.XLOOKUP(A59,'Inputs-Results'!$A$9:$A$35,'Inputs-Results'!$V$9:$V$35)-_xlfn.XLOOKUP(A59,'Inputs-Results'!$A$9:$A$35,'Inputs-Results'!$X$9:$X$35),(0.5*((C58+_xlfn.XLOOKUP(A59,'Inputs-Results'!$A$9:$A$35,'Inputs-Results'!$X$9:$X$35)-_xlfn.XLOOKUP(A59,'Inputs-Results'!$A$9:$A$35,'Inputs-Results'!$V$9:$V$35))+C58)*ABS(_xlfn.XLOOKUP(A59,'Inputs-Results'!$A$9:$A$35,'Inputs-Results'!$U$9:$U$35)-_xlfn.XLOOKUP(A59,'Inputs-Results'!$A$9:$A$35,'Inputs-Results'!$W$9:$W$35))),0.5*(ABS(_xlfn.XLOOKUP(A59,'Inputs-Results'!$A$9:$A$35,'Inputs-Results'!$U$9:$U$35)-_xlfn.XLOOKUP(A59,'Inputs-Results'!$A$9:$A$35,'Inputs-Results'!$W$9:$W$35))/(_xlfn.XLOOKUP(A59,'Inputs-Results'!$A$9:$A$35,'Inputs-Results'!$V$9:$V$35)-_xlfn.XLOOKUP(A59,'Inputs-Results'!$A$9:$A$35,'Inputs-Results'!$X$9:$X$35))*C58)*C58)+IF(C58&gt;_xlfn.XLOOKUP(A59,'Inputs-Results'!$A$9:$A$35,'Inputs-Results'!$Z$9:$Z$35)-_xlfn.XLOOKUP(A59,'Inputs-Results'!$A$9:$A$35,'Inputs-Results'!$X$9:$X$35),(0.5*((C58+_xlfn.XLOOKUP(A59,'Inputs-Results'!$A$9:$A$35,'Inputs-Results'!$X$9:$X$35)-_xlfn.XLOOKUP(A59,'Inputs-Results'!$A$9:$A$35,'Inputs-Results'!$Z$9:$Z$35))+C58)*ABS(_xlfn.XLOOKUP(A59,'Inputs-Results'!$A$9:$A$35,'Inputs-Results'!$Y$9:$Y$35)-_xlfn.XLOOKUP(A59,'Inputs-Results'!$A$9:$A$35,'Inputs-Results'!$W$9:$W$35))),0.5*(ABS(_xlfn.XLOOKUP(A59,'Inputs-Results'!$A$9:$A$35,'Inputs-Results'!$W$9:$W$35)-_xlfn.XLOOKUP(A59,'Inputs-Results'!$A$9:$A$35,'Inputs-Results'!$Y$9:$Y$35))/(_xlfn.XLOOKUP(A59,'Inputs-Results'!$A$9:$A$35,'Inputs-Results'!$Z$9:$Z$35)-_xlfn.XLOOKUP(A59,'Inputs-Results'!$A$9:$A$35,'Inputs-Results'!$X$9:$X$35))*C58)*C58)+IF(C58&gt;_xlfn.XLOOKUP(A59,'Inputs-Results'!$A$9:$A$35,'Inputs-Results'!$Z$9:$Z$35)-_xlfn.XLOOKUP(A59,'Inputs-Results'!$A$9:$A$35,'Inputs-Results'!$X$9:$X$35),(0.5*(ABS(_xlfn.XLOOKUP(A59,'Inputs-Results'!$A$9:$A$35,'Inputs-Results'!$Y$9:$Y$35)-_xlfn.XLOOKUP(A59,'Inputs-Results'!$A$9:$A$35,'Inputs-Results'!$AA$9:$AA$35))/(_xlfn.XLOOKUP(A59,'Inputs-Results'!$A$9:$A$35,'Inputs-Results'!$AB$9:$AB$35)-_xlfn.XLOOKUP(A59,'Inputs-Results'!$A$9:$A$35,'Inputs-Results'!$Z$9:$Z$35))*(C58-(_xlfn.XLOOKUP(A59,'Inputs-Results'!$A$9:$A$35,'Inputs-Results'!$Z$9:$Z$35)-_xlfn.XLOOKUP(A59,'Inputs-Results'!$A$9:$A$35,'Inputs-Results'!$X$9:$X$35))))*(C58-(_xlfn.XLOOKUP(A59,'Inputs-Results'!$A$9:$A$35,'Inputs-Results'!$Z$9:$Z$35)-_xlfn.XLOOKUP(A59,'Inputs-Results'!$A$9:$A$35,'Inputs-Results'!$X$9:$X$35)))),0)</f>
        <v>#N/A</v>
      </c>
      <c r="D59" s="19" t="e">
        <f>VLOOKUP($A59,$A$4:$BJ$30,4+6*D$32,FALSE)</f>
        <v>#DIV/0!</v>
      </c>
      <c r="E59" s="19" t="e">
        <f t="shared" ref="E59:M59" si="54">VLOOKUP($A59,$A$4:$BJ$30,4+6*E$32,FALSE)</f>
        <v>#DIV/0!</v>
      </c>
      <c r="F59" s="19" t="e">
        <f t="shared" si="54"/>
        <v>#DIV/0!</v>
      </c>
      <c r="G59" s="19" t="e">
        <f t="shared" si="54"/>
        <v>#DIV/0!</v>
      </c>
      <c r="H59" s="19" t="e">
        <f t="shared" si="54"/>
        <v>#DIV/0!</v>
      </c>
      <c r="I59" s="19" t="e">
        <f t="shared" si="54"/>
        <v>#DIV/0!</v>
      </c>
      <c r="J59" s="19" t="e">
        <f t="shared" si="54"/>
        <v>#DIV/0!</v>
      </c>
      <c r="K59" s="19" t="e">
        <f t="shared" si="54"/>
        <v>#DIV/0!</v>
      </c>
      <c r="L59" s="19" t="e">
        <f t="shared" si="54"/>
        <v>#DIV/0!</v>
      </c>
      <c r="M59" s="19" t="e">
        <f t="shared" si="54"/>
        <v>#DIV/0!</v>
      </c>
      <c r="N59" s="19">
        <v>0</v>
      </c>
    </row>
    <row r="60" spans="1:14" x14ac:dyDescent="0.25">
      <c r="A60" s="35">
        <f>A58</f>
        <v>0</v>
      </c>
      <c r="B60" t="s">
        <v>71</v>
      </c>
      <c r="C60" s="24"/>
      <c r="D60" s="19" t="e">
        <f t="shared" ref="D60:M60" si="55">VLOOKUP($A60,$A$4:$BJ$30,7+6*D$32,FALSE)</f>
        <v>#DIV/0!</v>
      </c>
      <c r="E60" s="19" t="e">
        <f t="shared" si="55"/>
        <v>#DIV/0!</v>
      </c>
      <c r="F60" s="19" t="e">
        <f t="shared" si="55"/>
        <v>#DIV/0!</v>
      </c>
      <c r="G60" s="19" t="e">
        <f t="shared" si="55"/>
        <v>#DIV/0!</v>
      </c>
      <c r="H60" s="19" t="e">
        <f t="shared" si="55"/>
        <v>#DIV/0!</v>
      </c>
      <c r="I60" s="19" t="e">
        <f t="shared" si="55"/>
        <v>#DIV/0!</v>
      </c>
      <c r="J60" s="19" t="e">
        <f t="shared" si="55"/>
        <v>#DIV/0!</v>
      </c>
      <c r="K60" s="19" t="e">
        <f t="shared" si="55"/>
        <v>#DIV/0!</v>
      </c>
      <c r="L60" s="19" t="e">
        <f t="shared" si="55"/>
        <v>#DIV/0!</v>
      </c>
      <c r="M60" s="19" t="e">
        <f t="shared" si="55"/>
        <v>#DIV/0!</v>
      </c>
      <c r="N60" s="19">
        <v>0</v>
      </c>
    </row>
    <row r="61" spans="1:14" x14ac:dyDescent="0.25">
      <c r="A61" s="35">
        <f>A13</f>
        <v>0</v>
      </c>
      <c r="B61" t="s">
        <v>102</v>
      </c>
      <c r="C61" s="24" t="e">
        <f>_xlfn.FORECAST.LINEAR(_xlfn.XLOOKUP(A61,'Inputs-Results'!$A$9:$A$35,'Inputs-Results'!$M$9:$M$35),INDEX(D61:N61,_xlfn.XMATCH(_xlfn.XLOOKUP(A61,'Inputs-Results'!$A$9:$A$35,'Inputs-Results'!$M$9:$M$35),D63:N63,-1)):INDEX(D61:N61,_xlfn.XMATCH(_xlfn.XLOOKUP(A61,'Inputs-Results'!$A$9:$A$35,'Inputs-Results'!$M$9:$M$35),D63:N63,1)),INDEX(D63:N63,_xlfn.XMATCH(_xlfn.XLOOKUP(A61,'Inputs-Results'!$A$9:$A$35,'Inputs-Results'!$M$9:$M$35),D63:N63,-1)):INDEX(D63:N63,_xlfn.XMATCH(_xlfn.XLOOKUP(A61,'Inputs-Results'!$A$9:$A$35,'Inputs-Results'!$M$9:$M$35),D63:N63,1)))</f>
        <v>#N/A</v>
      </c>
      <c r="D61" s="19">
        <f t="shared" ref="D61:M61" si="56">VLOOKUP($A61,$A$4:$BJ$30,3+6*D$32,FALSE)</f>
        <v>0</v>
      </c>
      <c r="E61" s="19">
        <f t="shared" si="56"/>
        <v>0</v>
      </c>
      <c r="F61" s="19">
        <f t="shared" si="56"/>
        <v>0</v>
      </c>
      <c r="G61" s="19">
        <f t="shared" si="56"/>
        <v>0</v>
      </c>
      <c r="H61" s="19">
        <f t="shared" si="56"/>
        <v>0</v>
      </c>
      <c r="I61" s="19">
        <f t="shared" si="56"/>
        <v>0</v>
      </c>
      <c r="J61" s="19">
        <f t="shared" si="56"/>
        <v>0</v>
      </c>
      <c r="K61" s="19">
        <f t="shared" si="56"/>
        <v>0</v>
      </c>
      <c r="L61" s="19">
        <f t="shared" si="56"/>
        <v>0</v>
      </c>
      <c r="M61" s="19">
        <f t="shared" si="56"/>
        <v>0</v>
      </c>
      <c r="N61" s="19">
        <v>0</v>
      </c>
    </row>
    <row r="62" spans="1:14" x14ac:dyDescent="0.25">
      <c r="A62" s="35">
        <f>A61</f>
        <v>0</v>
      </c>
      <c r="B62" t="s">
        <v>90</v>
      </c>
      <c r="C62" s="24" t="e">
        <f>IF(C61&gt;_xlfn.XLOOKUP(A62,'Inputs-Results'!$A$9:$A$35,'Inputs-Results'!$V$9:$V$35)-_xlfn.XLOOKUP(A62,'Inputs-Results'!$A$9:$A$35,'Inputs-Results'!$X$9:$X$35),(0.5*(ABS(_xlfn.XLOOKUP(A62,'Inputs-Results'!$A$9:$A$35,'Inputs-Results'!$S$9:$S$35)-_xlfn.XLOOKUP(A62,'Inputs-Results'!$A$9:$A$35,'Inputs-Results'!$U$9:$U$35))/(_xlfn.XLOOKUP(A62,'Inputs-Results'!$A$9:$A$35,'Inputs-Results'!$T$9:$T$35)-_xlfn.XLOOKUP(A62,'Inputs-Results'!$A$9:$A$35,'Inputs-Results'!$V$9:$V$35))*(C61-(_xlfn.XLOOKUP(A62,'Inputs-Results'!$A$9:$A$35,'Inputs-Results'!$V$9:$V$35)-_xlfn.XLOOKUP(A62,'Inputs-Results'!$A$9:$A$35,'Inputs-Results'!$X$9:$X$35))))*(C61-(_xlfn.XLOOKUP(A62,'Inputs-Results'!$A$9:$A$35,'Inputs-Results'!$V$9:$V$35)-_xlfn.XLOOKUP(A62,'Inputs-Results'!$A$9:$A$35,'Inputs-Results'!$X$9:$X$35)))),0)+IF(C61&gt;_xlfn.XLOOKUP(A62,'Inputs-Results'!$A$9:$A$35,'Inputs-Results'!$V$9:$V$35)-_xlfn.XLOOKUP(A62,'Inputs-Results'!$A$9:$A$35,'Inputs-Results'!$X$9:$X$35),(0.5*((C61+_xlfn.XLOOKUP(A62,'Inputs-Results'!$A$9:$A$35,'Inputs-Results'!$X$9:$X$35)-_xlfn.XLOOKUP(A62,'Inputs-Results'!$A$9:$A$35,'Inputs-Results'!$V$9:$V$35))+C61)*ABS(_xlfn.XLOOKUP(A62,'Inputs-Results'!$A$9:$A$35,'Inputs-Results'!$U$9:$U$35)-_xlfn.XLOOKUP(A62,'Inputs-Results'!$A$9:$A$35,'Inputs-Results'!$W$9:$W$35))),0.5*(ABS(_xlfn.XLOOKUP(A62,'Inputs-Results'!$A$9:$A$35,'Inputs-Results'!$U$9:$U$35)-_xlfn.XLOOKUP(A62,'Inputs-Results'!$A$9:$A$35,'Inputs-Results'!$W$9:$W$35))/(_xlfn.XLOOKUP(A62,'Inputs-Results'!$A$9:$A$35,'Inputs-Results'!$V$9:$V$35)-_xlfn.XLOOKUP(A62,'Inputs-Results'!$A$9:$A$35,'Inputs-Results'!$X$9:$X$35))*C61)*C61)+IF(C61&gt;_xlfn.XLOOKUP(A62,'Inputs-Results'!$A$9:$A$35,'Inputs-Results'!$Z$9:$Z$35)-_xlfn.XLOOKUP(A62,'Inputs-Results'!$A$9:$A$35,'Inputs-Results'!$X$9:$X$35),(0.5*((C61+_xlfn.XLOOKUP(A62,'Inputs-Results'!$A$9:$A$35,'Inputs-Results'!$X$9:$X$35)-_xlfn.XLOOKUP(A62,'Inputs-Results'!$A$9:$A$35,'Inputs-Results'!$Z$9:$Z$35))+C61)*ABS(_xlfn.XLOOKUP(A62,'Inputs-Results'!$A$9:$A$35,'Inputs-Results'!$Y$9:$Y$35)-_xlfn.XLOOKUP(A62,'Inputs-Results'!$A$9:$A$35,'Inputs-Results'!$W$9:$W$35))),0.5*(ABS(_xlfn.XLOOKUP(A62,'Inputs-Results'!$A$9:$A$35,'Inputs-Results'!$W$9:$W$35)-_xlfn.XLOOKUP(A62,'Inputs-Results'!$A$9:$A$35,'Inputs-Results'!$Y$9:$Y$35))/(_xlfn.XLOOKUP(A62,'Inputs-Results'!$A$9:$A$35,'Inputs-Results'!$Z$9:$Z$35)-_xlfn.XLOOKUP(A62,'Inputs-Results'!$A$9:$A$35,'Inputs-Results'!$X$9:$X$35))*C61)*C61)+IF(C61&gt;_xlfn.XLOOKUP(A62,'Inputs-Results'!$A$9:$A$35,'Inputs-Results'!$Z$9:$Z$35)-_xlfn.XLOOKUP(A62,'Inputs-Results'!$A$9:$A$35,'Inputs-Results'!$X$9:$X$35),(0.5*(ABS(_xlfn.XLOOKUP(A62,'Inputs-Results'!$A$9:$A$35,'Inputs-Results'!$Y$9:$Y$35)-_xlfn.XLOOKUP(A62,'Inputs-Results'!$A$9:$A$35,'Inputs-Results'!$AA$9:$AA$35))/(_xlfn.XLOOKUP(A62,'Inputs-Results'!$A$9:$A$35,'Inputs-Results'!$AB$9:$AB$35)-_xlfn.XLOOKUP(A62,'Inputs-Results'!$A$9:$A$35,'Inputs-Results'!$Z$9:$Z$35))*(C61-(_xlfn.XLOOKUP(A62,'Inputs-Results'!$A$9:$A$35,'Inputs-Results'!$Z$9:$Z$35)-_xlfn.XLOOKUP(A62,'Inputs-Results'!$A$9:$A$35,'Inputs-Results'!$X$9:$X$35))))*(C61-(_xlfn.XLOOKUP(A62,'Inputs-Results'!$A$9:$A$35,'Inputs-Results'!$Z$9:$Z$35)-_xlfn.XLOOKUP(A62,'Inputs-Results'!$A$9:$A$35,'Inputs-Results'!$X$9:$X$35)))),0)</f>
        <v>#N/A</v>
      </c>
      <c r="D62" s="19" t="e">
        <f>VLOOKUP($A62,$A$4:$BJ$30,4+6*D$32,FALSE)</f>
        <v>#DIV/0!</v>
      </c>
      <c r="E62" s="19" t="e">
        <f t="shared" ref="E62:M62" si="57">VLOOKUP($A62,$A$4:$BJ$30,4+6*E$32,FALSE)</f>
        <v>#DIV/0!</v>
      </c>
      <c r="F62" s="19" t="e">
        <f t="shared" si="57"/>
        <v>#DIV/0!</v>
      </c>
      <c r="G62" s="19" t="e">
        <f t="shared" si="57"/>
        <v>#DIV/0!</v>
      </c>
      <c r="H62" s="19" t="e">
        <f t="shared" si="57"/>
        <v>#DIV/0!</v>
      </c>
      <c r="I62" s="19" t="e">
        <f t="shared" si="57"/>
        <v>#DIV/0!</v>
      </c>
      <c r="J62" s="19" t="e">
        <f t="shared" si="57"/>
        <v>#DIV/0!</v>
      </c>
      <c r="K62" s="19" t="e">
        <f t="shared" si="57"/>
        <v>#DIV/0!</v>
      </c>
      <c r="L62" s="19" t="e">
        <f t="shared" si="57"/>
        <v>#DIV/0!</v>
      </c>
      <c r="M62" s="19" t="e">
        <f t="shared" si="57"/>
        <v>#DIV/0!</v>
      </c>
      <c r="N62" s="19">
        <v>0</v>
      </c>
    </row>
    <row r="63" spans="1:14" x14ac:dyDescent="0.25">
      <c r="A63" s="35">
        <f>A61</f>
        <v>0</v>
      </c>
      <c r="B63" t="s">
        <v>71</v>
      </c>
      <c r="C63" s="24"/>
      <c r="D63" s="19" t="e">
        <f t="shared" ref="D63:M63" si="58">VLOOKUP($A63,$A$4:$BJ$30,7+6*D$32,FALSE)</f>
        <v>#DIV/0!</v>
      </c>
      <c r="E63" s="19" t="e">
        <f t="shared" si="58"/>
        <v>#DIV/0!</v>
      </c>
      <c r="F63" s="19" t="e">
        <f t="shared" si="58"/>
        <v>#DIV/0!</v>
      </c>
      <c r="G63" s="19" t="e">
        <f t="shared" si="58"/>
        <v>#DIV/0!</v>
      </c>
      <c r="H63" s="19" t="e">
        <f t="shared" si="58"/>
        <v>#DIV/0!</v>
      </c>
      <c r="I63" s="19" t="e">
        <f t="shared" si="58"/>
        <v>#DIV/0!</v>
      </c>
      <c r="J63" s="19" t="e">
        <f t="shared" si="58"/>
        <v>#DIV/0!</v>
      </c>
      <c r="K63" s="19" t="e">
        <f t="shared" si="58"/>
        <v>#DIV/0!</v>
      </c>
      <c r="L63" s="19" t="e">
        <f t="shared" si="58"/>
        <v>#DIV/0!</v>
      </c>
      <c r="M63" s="19" t="e">
        <f t="shared" si="58"/>
        <v>#DIV/0!</v>
      </c>
      <c r="N63" s="19">
        <v>0</v>
      </c>
    </row>
    <row r="64" spans="1:14" x14ac:dyDescent="0.25">
      <c r="A64" s="35">
        <f>A14</f>
        <v>0</v>
      </c>
      <c r="B64" t="s">
        <v>102</v>
      </c>
      <c r="C64" s="24" t="e">
        <f>_xlfn.FORECAST.LINEAR(_xlfn.XLOOKUP(A64,'Inputs-Results'!$A$9:$A$35,'Inputs-Results'!$M$9:$M$35),INDEX(D64:N64,_xlfn.XMATCH(_xlfn.XLOOKUP(A64,'Inputs-Results'!$A$9:$A$35,'Inputs-Results'!$M$9:$M$35),D66:N66,-1)):INDEX(D64:N64,_xlfn.XMATCH(_xlfn.XLOOKUP(A64,'Inputs-Results'!$A$9:$A$35,'Inputs-Results'!$M$9:$M$35),D66:N66,1)),INDEX(D66:N66,_xlfn.XMATCH(_xlfn.XLOOKUP(A64,'Inputs-Results'!$A$9:$A$35,'Inputs-Results'!$M$9:$M$35),D66:N66,-1)):INDEX(D66:N66,_xlfn.XMATCH(_xlfn.XLOOKUP(A64,'Inputs-Results'!$A$9:$A$35,'Inputs-Results'!$M$9:$M$35),D66:N66,1)))</f>
        <v>#N/A</v>
      </c>
      <c r="D64" s="19">
        <f t="shared" ref="D64:M64" si="59">VLOOKUP($A64,$A$4:$BJ$30,3+6*D$32,FALSE)</f>
        <v>0</v>
      </c>
      <c r="E64" s="19">
        <f t="shared" si="59"/>
        <v>0</v>
      </c>
      <c r="F64" s="19">
        <f t="shared" si="59"/>
        <v>0</v>
      </c>
      <c r="G64" s="19">
        <f t="shared" si="59"/>
        <v>0</v>
      </c>
      <c r="H64" s="19">
        <f t="shared" si="59"/>
        <v>0</v>
      </c>
      <c r="I64" s="19">
        <f t="shared" si="59"/>
        <v>0</v>
      </c>
      <c r="J64" s="19">
        <f t="shared" si="59"/>
        <v>0</v>
      </c>
      <c r="K64" s="19">
        <f t="shared" si="59"/>
        <v>0</v>
      </c>
      <c r="L64" s="19">
        <f t="shared" si="59"/>
        <v>0</v>
      </c>
      <c r="M64" s="19">
        <f t="shared" si="59"/>
        <v>0</v>
      </c>
      <c r="N64" s="19">
        <v>0</v>
      </c>
    </row>
    <row r="65" spans="1:14" x14ac:dyDescent="0.25">
      <c r="A65" s="35">
        <f>A64</f>
        <v>0</v>
      </c>
      <c r="B65" t="s">
        <v>90</v>
      </c>
      <c r="C65" s="24" t="e">
        <f>IF(C64&gt;_xlfn.XLOOKUP(A65,'Inputs-Results'!$A$9:$A$35,'Inputs-Results'!$V$9:$V$35)-_xlfn.XLOOKUP(A65,'Inputs-Results'!$A$9:$A$35,'Inputs-Results'!$X$9:$X$35),(0.5*(ABS(_xlfn.XLOOKUP(A65,'Inputs-Results'!$A$9:$A$35,'Inputs-Results'!$S$9:$S$35)-_xlfn.XLOOKUP(A65,'Inputs-Results'!$A$9:$A$35,'Inputs-Results'!$U$9:$U$35))/(_xlfn.XLOOKUP(A65,'Inputs-Results'!$A$9:$A$35,'Inputs-Results'!$T$9:$T$35)-_xlfn.XLOOKUP(A65,'Inputs-Results'!$A$9:$A$35,'Inputs-Results'!$V$9:$V$35))*(C64-(_xlfn.XLOOKUP(A65,'Inputs-Results'!$A$9:$A$35,'Inputs-Results'!$V$9:$V$35)-_xlfn.XLOOKUP(A65,'Inputs-Results'!$A$9:$A$35,'Inputs-Results'!$X$9:$X$35))))*(C64-(_xlfn.XLOOKUP(A65,'Inputs-Results'!$A$9:$A$35,'Inputs-Results'!$V$9:$V$35)-_xlfn.XLOOKUP(A65,'Inputs-Results'!$A$9:$A$35,'Inputs-Results'!$X$9:$X$35)))),0)+IF(C64&gt;_xlfn.XLOOKUP(A65,'Inputs-Results'!$A$9:$A$35,'Inputs-Results'!$V$9:$V$35)-_xlfn.XLOOKUP(A65,'Inputs-Results'!$A$9:$A$35,'Inputs-Results'!$X$9:$X$35),(0.5*((C64+_xlfn.XLOOKUP(A65,'Inputs-Results'!$A$9:$A$35,'Inputs-Results'!$X$9:$X$35)-_xlfn.XLOOKUP(A65,'Inputs-Results'!$A$9:$A$35,'Inputs-Results'!$V$9:$V$35))+C64)*ABS(_xlfn.XLOOKUP(A65,'Inputs-Results'!$A$9:$A$35,'Inputs-Results'!$U$9:$U$35)-_xlfn.XLOOKUP(A65,'Inputs-Results'!$A$9:$A$35,'Inputs-Results'!$W$9:$W$35))),0.5*(ABS(_xlfn.XLOOKUP(A65,'Inputs-Results'!$A$9:$A$35,'Inputs-Results'!$U$9:$U$35)-_xlfn.XLOOKUP(A65,'Inputs-Results'!$A$9:$A$35,'Inputs-Results'!$W$9:$W$35))/(_xlfn.XLOOKUP(A65,'Inputs-Results'!$A$9:$A$35,'Inputs-Results'!$V$9:$V$35)-_xlfn.XLOOKUP(A65,'Inputs-Results'!$A$9:$A$35,'Inputs-Results'!$X$9:$X$35))*C64)*C64)+IF(C64&gt;_xlfn.XLOOKUP(A65,'Inputs-Results'!$A$9:$A$35,'Inputs-Results'!$Z$9:$Z$35)-_xlfn.XLOOKUP(A65,'Inputs-Results'!$A$9:$A$35,'Inputs-Results'!$X$9:$X$35),(0.5*((C64+_xlfn.XLOOKUP(A65,'Inputs-Results'!$A$9:$A$35,'Inputs-Results'!$X$9:$X$35)-_xlfn.XLOOKUP(A65,'Inputs-Results'!$A$9:$A$35,'Inputs-Results'!$Z$9:$Z$35))+C64)*ABS(_xlfn.XLOOKUP(A65,'Inputs-Results'!$A$9:$A$35,'Inputs-Results'!$Y$9:$Y$35)-_xlfn.XLOOKUP(A65,'Inputs-Results'!$A$9:$A$35,'Inputs-Results'!$W$9:$W$35))),0.5*(ABS(_xlfn.XLOOKUP(A65,'Inputs-Results'!$A$9:$A$35,'Inputs-Results'!$W$9:$W$35)-_xlfn.XLOOKUP(A65,'Inputs-Results'!$A$9:$A$35,'Inputs-Results'!$Y$9:$Y$35))/(_xlfn.XLOOKUP(A65,'Inputs-Results'!$A$9:$A$35,'Inputs-Results'!$Z$9:$Z$35)-_xlfn.XLOOKUP(A65,'Inputs-Results'!$A$9:$A$35,'Inputs-Results'!$X$9:$X$35))*C64)*C64)+IF(C64&gt;_xlfn.XLOOKUP(A65,'Inputs-Results'!$A$9:$A$35,'Inputs-Results'!$Z$9:$Z$35)-_xlfn.XLOOKUP(A65,'Inputs-Results'!$A$9:$A$35,'Inputs-Results'!$X$9:$X$35),(0.5*(ABS(_xlfn.XLOOKUP(A65,'Inputs-Results'!$A$9:$A$35,'Inputs-Results'!$Y$9:$Y$35)-_xlfn.XLOOKUP(A65,'Inputs-Results'!$A$9:$A$35,'Inputs-Results'!$AA$9:$AA$35))/(_xlfn.XLOOKUP(A65,'Inputs-Results'!$A$9:$A$35,'Inputs-Results'!$AB$9:$AB$35)-_xlfn.XLOOKUP(A65,'Inputs-Results'!$A$9:$A$35,'Inputs-Results'!$Z$9:$Z$35))*(C64-(_xlfn.XLOOKUP(A65,'Inputs-Results'!$A$9:$A$35,'Inputs-Results'!$Z$9:$Z$35)-_xlfn.XLOOKUP(A65,'Inputs-Results'!$A$9:$A$35,'Inputs-Results'!$X$9:$X$35))))*(C64-(_xlfn.XLOOKUP(A65,'Inputs-Results'!$A$9:$A$35,'Inputs-Results'!$Z$9:$Z$35)-_xlfn.XLOOKUP(A65,'Inputs-Results'!$A$9:$A$35,'Inputs-Results'!$X$9:$X$35)))),0)</f>
        <v>#N/A</v>
      </c>
      <c r="D65" s="19" t="e">
        <f>VLOOKUP($A65,$A$4:$BJ$30,4+6*D$32,FALSE)</f>
        <v>#DIV/0!</v>
      </c>
      <c r="E65" s="19" t="e">
        <f t="shared" ref="E65:M65" si="60">VLOOKUP($A65,$A$4:$BJ$30,4+6*E$32,FALSE)</f>
        <v>#DIV/0!</v>
      </c>
      <c r="F65" s="19" t="e">
        <f t="shared" si="60"/>
        <v>#DIV/0!</v>
      </c>
      <c r="G65" s="19" t="e">
        <f t="shared" si="60"/>
        <v>#DIV/0!</v>
      </c>
      <c r="H65" s="19" t="e">
        <f t="shared" si="60"/>
        <v>#DIV/0!</v>
      </c>
      <c r="I65" s="19" t="e">
        <f t="shared" si="60"/>
        <v>#DIV/0!</v>
      </c>
      <c r="J65" s="19" t="e">
        <f t="shared" si="60"/>
        <v>#DIV/0!</v>
      </c>
      <c r="K65" s="19" t="e">
        <f t="shared" si="60"/>
        <v>#DIV/0!</v>
      </c>
      <c r="L65" s="19" t="e">
        <f t="shared" si="60"/>
        <v>#DIV/0!</v>
      </c>
      <c r="M65" s="19" t="e">
        <f t="shared" si="60"/>
        <v>#DIV/0!</v>
      </c>
      <c r="N65" s="19">
        <v>0</v>
      </c>
    </row>
    <row r="66" spans="1:14" x14ac:dyDescent="0.25">
      <c r="A66" s="35">
        <f>A64</f>
        <v>0</v>
      </c>
      <c r="B66" t="s">
        <v>71</v>
      </c>
      <c r="C66" s="24"/>
      <c r="D66" s="19" t="e">
        <f t="shared" ref="D66:M66" si="61">VLOOKUP($A66,$A$4:$BJ$30,7+6*D$32,FALSE)</f>
        <v>#DIV/0!</v>
      </c>
      <c r="E66" s="19" t="e">
        <f t="shared" si="61"/>
        <v>#DIV/0!</v>
      </c>
      <c r="F66" s="19" t="e">
        <f t="shared" si="61"/>
        <v>#DIV/0!</v>
      </c>
      <c r="G66" s="19" t="e">
        <f t="shared" si="61"/>
        <v>#DIV/0!</v>
      </c>
      <c r="H66" s="19" t="e">
        <f t="shared" si="61"/>
        <v>#DIV/0!</v>
      </c>
      <c r="I66" s="19" t="e">
        <f t="shared" si="61"/>
        <v>#DIV/0!</v>
      </c>
      <c r="J66" s="19" t="e">
        <f t="shared" si="61"/>
        <v>#DIV/0!</v>
      </c>
      <c r="K66" s="19" t="e">
        <f t="shared" si="61"/>
        <v>#DIV/0!</v>
      </c>
      <c r="L66" s="19" t="e">
        <f t="shared" si="61"/>
        <v>#DIV/0!</v>
      </c>
      <c r="M66" s="19" t="e">
        <f t="shared" si="61"/>
        <v>#DIV/0!</v>
      </c>
      <c r="N66" s="19">
        <v>0</v>
      </c>
    </row>
    <row r="67" spans="1:14" x14ac:dyDescent="0.25">
      <c r="A67">
        <f>A15</f>
        <v>0</v>
      </c>
      <c r="B67" t="s">
        <v>102</v>
      </c>
      <c r="C67" s="24" t="e">
        <f>_xlfn.FORECAST.LINEAR(_xlfn.XLOOKUP(A67,'Inputs-Results'!$A$9:$A$35,'Inputs-Results'!$M$9:$M$35),INDEX(D67:N67,_xlfn.XMATCH(_xlfn.XLOOKUP(A67,'Inputs-Results'!$A$9:$A$35,'Inputs-Results'!$M$9:$M$35),D69:N69,-1)):INDEX(D67:N67,_xlfn.XMATCH(_xlfn.XLOOKUP(A67,'Inputs-Results'!$A$9:$A$35,'Inputs-Results'!$M$9:$M$35),D69:N69,1)),INDEX(D69:N69,_xlfn.XMATCH(_xlfn.XLOOKUP(A67,'Inputs-Results'!$A$9:$A$35,'Inputs-Results'!$M$9:$M$35),D69:N69,-1)):INDEX(D69:N69,_xlfn.XMATCH(_xlfn.XLOOKUP(A67,'Inputs-Results'!$A$9:$A$35,'Inputs-Results'!$M$9:$M$35),D69:N69,1)))</f>
        <v>#N/A</v>
      </c>
      <c r="D67" s="19">
        <f t="shared" ref="D67:M67" si="62">VLOOKUP($A67,$A$4:$BJ$30,3+6*D$32,FALSE)</f>
        <v>0</v>
      </c>
      <c r="E67" s="19">
        <f t="shared" si="62"/>
        <v>0</v>
      </c>
      <c r="F67" s="19">
        <f t="shared" si="62"/>
        <v>0</v>
      </c>
      <c r="G67" s="19">
        <f t="shared" si="62"/>
        <v>0</v>
      </c>
      <c r="H67" s="19">
        <f t="shared" si="62"/>
        <v>0</v>
      </c>
      <c r="I67" s="19">
        <f t="shared" si="62"/>
        <v>0</v>
      </c>
      <c r="J67" s="19">
        <f t="shared" si="62"/>
        <v>0</v>
      </c>
      <c r="K67" s="19">
        <f t="shared" si="62"/>
        <v>0</v>
      </c>
      <c r="L67" s="19">
        <f t="shared" si="62"/>
        <v>0</v>
      </c>
      <c r="M67" s="19">
        <f t="shared" si="62"/>
        <v>0</v>
      </c>
      <c r="N67" s="19">
        <v>0</v>
      </c>
    </row>
    <row r="68" spans="1:14" x14ac:dyDescent="0.25">
      <c r="A68" s="35">
        <f>A67</f>
        <v>0</v>
      </c>
      <c r="B68" t="s">
        <v>90</v>
      </c>
      <c r="C68" s="24" t="e">
        <f>IF(C67&gt;_xlfn.XLOOKUP(A68,'Inputs-Results'!$A$9:$A$35,'Inputs-Results'!$V$9:$V$35)-_xlfn.XLOOKUP(A68,'Inputs-Results'!$A$9:$A$35,'Inputs-Results'!$X$9:$X$35),(0.5*(ABS(_xlfn.XLOOKUP(A68,'Inputs-Results'!$A$9:$A$35,'Inputs-Results'!$S$9:$S$35)-_xlfn.XLOOKUP(A68,'Inputs-Results'!$A$9:$A$35,'Inputs-Results'!$U$9:$U$35))/(_xlfn.XLOOKUP(A68,'Inputs-Results'!$A$9:$A$35,'Inputs-Results'!$T$9:$T$35)-_xlfn.XLOOKUP(A68,'Inputs-Results'!$A$9:$A$35,'Inputs-Results'!$V$9:$V$35))*(C67-(_xlfn.XLOOKUP(A68,'Inputs-Results'!$A$9:$A$35,'Inputs-Results'!$V$9:$V$35)-_xlfn.XLOOKUP(A68,'Inputs-Results'!$A$9:$A$35,'Inputs-Results'!$X$9:$X$35))))*(C67-(_xlfn.XLOOKUP(A68,'Inputs-Results'!$A$9:$A$35,'Inputs-Results'!$V$9:$V$35)-_xlfn.XLOOKUP(A68,'Inputs-Results'!$A$9:$A$35,'Inputs-Results'!$X$9:$X$35)))),0)+IF(C67&gt;_xlfn.XLOOKUP(A68,'Inputs-Results'!$A$9:$A$35,'Inputs-Results'!$V$9:$V$35)-_xlfn.XLOOKUP(A68,'Inputs-Results'!$A$9:$A$35,'Inputs-Results'!$X$9:$X$35),(0.5*((C67+_xlfn.XLOOKUP(A68,'Inputs-Results'!$A$9:$A$35,'Inputs-Results'!$X$9:$X$35)-_xlfn.XLOOKUP(A68,'Inputs-Results'!$A$9:$A$35,'Inputs-Results'!$V$9:$V$35))+C67)*ABS(_xlfn.XLOOKUP(A68,'Inputs-Results'!$A$9:$A$35,'Inputs-Results'!$U$9:$U$35)-_xlfn.XLOOKUP(A68,'Inputs-Results'!$A$9:$A$35,'Inputs-Results'!$W$9:$W$35))),0.5*(ABS(_xlfn.XLOOKUP(A68,'Inputs-Results'!$A$9:$A$35,'Inputs-Results'!$U$9:$U$35)-_xlfn.XLOOKUP(A68,'Inputs-Results'!$A$9:$A$35,'Inputs-Results'!$W$9:$W$35))/(_xlfn.XLOOKUP(A68,'Inputs-Results'!$A$9:$A$35,'Inputs-Results'!$V$9:$V$35)-_xlfn.XLOOKUP(A68,'Inputs-Results'!$A$9:$A$35,'Inputs-Results'!$X$9:$X$35))*C67)*C67)+IF(C67&gt;_xlfn.XLOOKUP(A68,'Inputs-Results'!$A$9:$A$35,'Inputs-Results'!$Z$9:$Z$35)-_xlfn.XLOOKUP(A68,'Inputs-Results'!$A$9:$A$35,'Inputs-Results'!$X$9:$X$35),(0.5*((C67+_xlfn.XLOOKUP(A68,'Inputs-Results'!$A$9:$A$35,'Inputs-Results'!$X$9:$X$35)-_xlfn.XLOOKUP(A68,'Inputs-Results'!$A$9:$A$35,'Inputs-Results'!$Z$9:$Z$35))+C67)*ABS(_xlfn.XLOOKUP(A68,'Inputs-Results'!$A$9:$A$35,'Inputs-Results'!$Y$9:$Y$35)-_xlfn.XLOOKUP(A68,'Inputs-Results'!$A$9:$A$35,'Inputs-Results'!$W$9:$W$35))),0.5*(ABS(_xlfn.XLOOKUP(A68,'Inputs-Results'!$A$9:$A$35,'Inputs-Results'!$W$9:$W$35)-_xlfn.XLOOKUP(A68,'Inputs-Results'!$A$9:$A$35,'Inputs-Results'!$Y$9:$Y$35))/(_xlfn.XLOOKUP(A68,'Inputs-Results'!$A$9:$A$35,'Inputs-Results'!$Z$9:$Z$35)-_xlfn.XLOOKUP(A68,'Inputs-Results'!$A$9:$A$35,'Inputs-Results'!$X$9:$X$35))*C67)*C67)+IF(C67&gt;_xlfn.XLOOKUP(A68,'Inputs-Results'!$A$9:$A$35,'Inputs-Results'!$Z$9:$Z$35)-_xlfn.XLOOKUP(A68,'Inputs-Results'!$A$9:$A$35,'Inputs-Results'!$X$9:$X$35),(0.5*(ABS(_xlfn.XLOOKUP(A68,'Inputs-Results'!$A$9:$A$35,'Inputs-Results'!$Y$9:$Y$35)-_xlfn.XLOOKUP(A68,'Inputs-Results'!$A$9:$A$35,'Inputs-Results'!$AA$9:$AA$35))/(_xlfn.XLOOKUP(A68,'Inputs-Results'!$A$9:$A$35,'Inputs-Results'!$AB$9:$AB$35)-_xlfn.XLOOKUP(A68,'Inputs-Results'!$A$9:$A$35,'Inputs-Results'!$Z$9:$Z$35))*(C67-(_xlfn.XLOOKUP(A68,'Inputs-Results'!$A$9:$A$35,'Inputs-Results'!$Z$9:$Z$35)-_xlfn.XLOOKUP(A68,'Inputs-Results'!$A$9:$A$35,'Inputs-Results'!$X$9:$X$35))))*(C67-(_xlfn.XLOOKUP(A68,'Inputs-Results'!$A$9:$A$35,'Inputs-Results'!$Z$9:$Z$35)-_xlfn.XLOOKUP(A68,'Inputs-Results'!$A$9:$A$35,'Inputs-Results'!$X$9:$X$35)))),0)</f>
        <v>#N/A</v>
      </c>
      <c r="D68" s="19" t="e">
        <f>VLOOKUP($A68,$A$4:$BJ$30,4+6*D$32,FALSE)</f>
        <v>#DIV/0!</v>
      </c>
      <c r="E68" s="19" t="e">
        <f t="shared" ref="E68:M68" si="63">VLOOKUP($A68,$A$4:$BJ$30,4+6*E$32,FALSE)</f>
        <v>#DIV/0!</v>
      </c>
      <c r="F68" s="19" t="e">
        <f t="shared" si="63"/>
        <v>#DIV/0!</v>
      </c>
      <c r="G68" s="19" t="e">
        <f t="shared" si="63"/>
        <v>#DIV/0!</v>
      </c>
      <c r="H68" s="19" t="e">
        <f t="shared" si="63"/>
        <v>#DIV/0!</v>
      </c>
      <c r="I68" s="19" t="e">
        <f t="shared" si="63"/>
        <v>#DIV/0!</v>
      </c>
      <c r="J68" s="19" t="e">
        <f t="shared" si="63"/>
        <v>#DIV/0!</v>
      </c>
      <c r="K68" s="19" t="e">
        <f t="shared" si="63"/>
        <v>#DIV/0!</v>
      </c>
      <c r="L68" s="19" t="e">
        <f t="shared" si="63"/>
        <v>#DIV/0!</v>
      </c>
      <c r="M68" s="19" t="e">
        <f t="shared" si="63"/>
        <v>#DIV/0!</v>
      </c>
      <c r="N68" s="19">
        <v>0</v>
      </c>
    </row>
    <row r="69" spans="1:14" x14ac:dyDescent="0.25">
      <c r="A69" s="35">
        <f>A67</f>
        <v>0</v>
      </c>
      <c r="B69" t="s">
        <v>71</v>
      </c>
      <c r="C69" s="24"/>
      <c r="D69" s="19" t="e">
        <f t="shared" ref="D69:M69" si="64">VLOOKUP($A69,$A$4:$BJ$30,7+6*D$32,FALSE)</f>
        <v>#DIV/0!</v>
      </c>
      <c r="E69" s="19" t="e">
        <f t="shared" si="64"/>
        <v>#DIV/0!</v>
      </c>
      <c r="F69" s="19" t="e">
        <f t="shared" si="64"/>
        <v>#DIV/0!</v>
      </c>
      <c r="G69" s="19" t="e">
        <f t="shared" si="64"/>
        <v>#DIV/0!</v>
      </c>
      <c r="H69" s="19" t="e">
        <f t="shared" si="64"/>
        <v>#DIV/0!</v>
      </c>
      <c r="I69" s="19" t="e">
        <f t="shared" si="64"/>
        <v>#DIV/0!</v>
      </c>
      <c r="J69" s="19" t="e">
        <f t="shared" si="64"/>
        <v>#DIV/0!</v>
      </c>
      <c r="K69" s="19" t="e">
        <f t="shared" si="64"/>
        <v>#DIV/0!</v>
      </c>
      <c r="L69" s="19" t="e">
        <f t="shared" si="64"/>
        <v>#DIV/0!</v>
      </c>
      <c r="M69" s="19" t="e">
        <f t="shared" si="64"/>
        <v>#DIV/0!</v>
      </c>
      <c r="N69" s="19">
        <v>0</v>
      </c>
    </row>
    <row r="70" spans="1:14" x14ac:dyDescent="0.25">
      <c r="A70">
        <f>A16</f>
        <v>0</v>
      </c>
      <c r="B70" t="s">
        <v>102</v>
      </c>
      <c r="C70" s="24" t="e">
        <f>_xlfn.FORECAST.LINEAR(_xlfn.XLOOKUP(A70,'Inputs-Results'!$A$9:$A$35,'Inputs-Results'!$M$9:$M$35),INDEX(D70:N70,_xlfn.XMATCH(_xlfn.XLOOKUP(A70,'Inputs-Results'!$A$9:$A$35,'Inputs-Results'!$M$9:$M$35),D72:N72,-1)):INDEX(D70:N70,_xlfn.XMATCH(_xlfn.XLOOKUP(A70,'Inputs-Results'!$A$9:$A$35,'Inputs-Results'!$M$9:$M$35),D72:N72,1)),INDEX(D72:N72,_xlfn.XMATCH(_xlfn.XLOOKUP(A70,'Inputs-Results'!$A$9:$A$35,'Inputs-Results'!$M$9:$M$35),D72:N72,-1)):INDEX(D72:N72,_xlfn.XMATCH(_xlfn.XLOOKUP(A70,'Inputs-Results'!$A$9:$A$35,'Inputs-Results'!$M$9:$M$35),D72:N72,1)))</f>
        <v>#N/A</v>
      </c>
      <c r="D70" s="19">
        <f t="shared" ref="D70:M70" si="65">VLOOKUP($A70,$A$4:$BJ$30,3+6*D$32,FALSE)</f>
        <v>0</v>
      </c>
      <c r="E70" s="19">
        <f t="shared" si="65"/>
        <v>0</v>
      </c>
      <c r="F70" s="19">
        <f t="shared" si="65"/>
        <v>0</v>
      </c>
      <c r="G70" s="19">
        <f t="shared" si="65"/>
        <v>0</v>
      </c>
      <c r="H70" s="19">
        <f t="shared" si="65"/>
        <v>0</v>
      </c>
      <c r="I70" s="19">
        <f t="shared" si="65"/>
        <v>0</v>
      </c>
      <c r="J70" s="19">
        <f t="shared" si="65"/>
        <v>0</v>
      </c>
      <c r="K70" s="19">
        <f t="shared" si="65"/>
        <v>0</v>
      </c>
      <c r="L70" s="19">
        <f t="shared" si="65"/>
        <v>0</v>
      </c>
      <c r="M70" s="19">
        <f t="shared" si="65"/>
        <v>0</v>
      </c>
      <c r="N70" s="19">
        <v>0</v>
      </c>
    </row>
    <row r="71" spans="1:14" x14ac:dyDescent="0.25">
      <c r="A71" s="35">
        <f>A70</f>
        <v>0</v>
      </c>
      <c r="B71" t="s">
        <v>90</v>
      </c>
      <c r="C71" s="24" t="e">
        <f>IF(C70&gt;_xlfn.XLOOKUP(A71,'Inputs-Results'!$A$9:$A$35,'Inputs-Results'!$V$9:$V$35)-_xlfn.XLOOKUP(A71,'Inputs-Results'!$A$9:$A$35,'Inputs-Results'!$X$9:$X$35),(0.5*(ABS(_xlfn.XLOOKUP(A71,'Inputs-Results'!$A$9:$A$35,'Inputs-Results'!$S$9:$S$35)-_xlfn.XLOOKUP(A71,'Inputs-Results'!$A$9:$A$35,'Inputs-Results'!$U$9:$U$35))/(_xlfn.XLOOKUP(A71,'Inputs-Results'!$A$9:$A$35,'Inputs-Results'!$T$9:$T$35)-_xlfn.XLOOKUP(A71,'Inputs-Results'!$A$9:$A$35,'Inputs-Results'!$V$9:$V$35))*(C70-(_xlfn.XLOOKUP(A71,'Inputs-Results'!$A$9:$A$35,'Inputs-Results'!$V$9:$V$35)-_xlfn.XLOOKUP(A71,'Inputs-Results'!$A$9:$A$35,'Inputs-Results'!$X$9:$X$35))))*(C70-(_xlfn.XLOOKUP(A71,'Inputs-Results'!$A$9:$A$35,'Inputs-Results'!$V$9:$V$35)-_xlfn.XLOOKUP(A71,'Inputs-Results'!$A$9:$A$35,'Inputs-Results'!$X$9:$X$35)))),0)+IF(C70&gt;_xlfn.XLOOKUP(A71,'Inputs-Results'!$A$9:$A$35,'Inputs-Results'!$V$9:$V$35)-_xlfn.XLOOKUP(A71,'Inputs-Results'!$A$9:$A$35,'Inputs-Results'!$X$9:$X$35),(0.5*((C70+_xlfn.XLOOKUP(A71,'Inputs-Results'!$A$9:$A$35,'Inputs-Results'!$X$9:$X$35)-_xlfn.XLOOKUP(A71,'Inputs-Results'!$A$9:$A$35,'Inputs-Results'!$V$9:$V$35))+C70)*ABS(_xlfn.XLOOKUP(A71,'Inputs-Results'!$A$9:$A$35,'Inputs-Results'!$U$9:$U$35)-_xlfn.XLOOKUP(A71,'Inputs-Results'!$A$9:$A$35,'Inputs-Results'!$W$9:$W$35))),0.5*(ABS(_xlfn.XLOOKUP(A71,'Inputs-Results'!$A$9:$A$35,'Inputs-Results'!$U$9:$U$35)-_xlfn.XLOOKUP(A71,'Inputs-Results'!$A$9:$A$35,'Inputs-Results'!$W$9:$W$35))/(_xlfn.XLOOKUP(A71,'Inputs-Results'!$A$9:$A$35,'Inputs-Results'!$V$9:$V$35)-_xlfn.XLOOKUP(A71,'Inputs-Results'!$A$9:$A$35,'Inputs-Results'!$X$9:$X$35))*C70)*C70)+IF(C70&gt;_xlfn.XLOOKUP(A71,'Inputs-Results'!$A$9:$A$35,'Inputs-Results'!$Z$9:$Z$35)-_xlfn.XLOOKUP(A71,'Inputs-Results'!$A$9:$A$35,'Inputs-Results'!$X$9:$X$35),(0.5*((C70+_xlfn.XLOOKUP(A71,'Inputs-Results'!$A$9:$A$35,'Inputs-Results'!$X$9:$X$35)-_xlfn.XLOOKUP(A71,'Inputs-Results'!$A$9:$A$35,'Inputs-Results'!$Z$9:$Z$35))+C70)*ABS(_xlfn.XLOOKUP(A71,'Inputs-Results'!$A$9:$A$35,'Inputs-Results'!$Y$9:$Y$35)-_xlfn.XLOOKUP(A71,'Inputs-Results'!$A$9:$A$35,'Inputs-Results'!$W$9:$W$35))),0.5*(ABS(_xlfn.XLOOKUP(A71,'Inputs-Results'!$A$9:$A$35,'Inputs-Results'!$W$9:$W$35)-_xlfn.XLOOKUP(A71,'Inputs-Results'!$A$9:$A$35,'Inputs-Results'!$Y$9:$Y$35))/(_xlfn.XLOOKUP(A71,'Inputs-Results'!$A$9:$A$35,'Inputs-Results'!$Z$9:$Z$35)-_xlfn.XLOOKUP(A71,'Inputs-Results'!$A$9:$A$35,'Inputs-Results'!$X$9:$X$35))*C70)*C70)+IF(C70&gt;_xlfn.XLOOKUP(A71,'Inputs-Results'!$A$9:$A$35,'Inputs-Results'!$Z$9:$Z$35)-_xlfn.XLOOKUP(A71,'Inputs-Results'!$A$9:$A$35,'Inputs-Results'!$X$9:$X$35),(0.5*(ABS(_xlfn.XLOOKUP(A71,'Inputs-Results'!$A$9:$A$35,'Inputs-Results'!$Y$9:$Y$35)-_xlfn.XLOOKUP(A71,'Inputs-Results'!$A$9:$A$35,'Inputs-Results'!$AA$9:$AA$35))/(_xlfn.XLOOKUP(A71,'Inputs-Results'!$A$9:$A$35,'Inputs-Results'!$AB$9:$AB$35)-_xlfn.XLOOKUP(A71,'Inputs-Results'!$A$9:$A$35,'Inputs-Results'!$Z$9:$Z$35))*(C70-(_xlfn.XLOOKUP(A71,'Inputs-Results'!$A$9:$A$35,'Inputs-Results'!$Z$9:$Z$35)-_xlfn.XLOOKUP(A71,'Inputs-Results'!$A$9:$A$35,'Inputs-Results'!$X$9:$X$35))))*(C70-(_xlfn.XLOOKUP(A71,'Inputs-Results'!$A$9:$A$35,'Inputs-Results'!$Z$9:$Z$35)-_xlfn.XLOOKUP(A71,'Inputs-Results'!$A$9:$A$35,'Inputs-Results'!$X$9:$X$35)))),0)</f>
        <v>#N/A</v>
      </c>
      <c r="D71" s="19" t="e">
        <f>VLOOKUP($A71,$A$4:$BJ$30,4+6*D$32,FALSE)</f>
        <v>#DIV/0!</v>
      </c>
      <c r="E71" s="19" t="e">
        <f t="shared" ref="E71:M71" si="66">VLOOKUP($A71,$A$4:$BJ$30,4+6*E$32,FALSE)</f>
        <v>#DIV/0!</v>
      </c>
      <c r="F71" s="19" t="e">
        <f t="shared" si="66"/>
        <v>#DIV/0!</v>
      </c>
      <c r="G71" s="19" t="e">
        <f t="shared" si="66"/>
        <v>#DIV/0!</v>
      </c>
      <c r="H71" s="19" t="e">
        <f t="shared" si="66"/>
        <v>#DIV/0!</v>
      </c>
      <c r="I71" s="19" t="e">
        <f t="shared" si="66"/>
        <v>#DIV/0!</v>
      </c>
      <c r="J71" s="19" t="e">
        <f t="shared" si="66"/>
        <v>#DIV/0!</v>
      </c>
      <c r="K71" s="19" t="e">
        <f t="shared" si="66"/>
        <v>#DIV/0!</v>
      </c>
      <c r="L71" s="19" t="e">
        <f t="shared" si="66"/>
        <v>#DIV/0!</v>
      </c>
      <c r="M71" s="19" t="e">
        <f t="shared" si="66"/>
        <v>#DIV/0!</v>
      </c>
      <c r="N71" s="19">
        <v>0</v>
      </c>
    </row>
    <row r="72" spans="1:14" x14ac:dyDescent="0.25">
      <c r="A72" s="35">
        <f>A70</f>
        <v>0</v>
      </c>
      <c r="B72" t="s">
        <v>71</v>
      </c>
      <c r="C72" s="24"/>
      <c r="D72" s="19" t="e">
        <f t="shared" ref="D72:M72" si="67">VLOOKUP($A72,$A$4:$BJ$30,7+6*D$32,FALSE)</f>
        <v>#DIV/0!</v>
      </c>
      <c r="E72" s="19" t="e">
        <f t="shared" si="67"/>
        <v>#DIV/0!</v>
      </c>
      <c r="F72" s="19" t="e">
        <f t="shared" si="67"/>
        <v>#DIV/0!</v>
      </c>
      <c r="G72" s="19" t="e">
        <f t="shared" si="67"/>
        <v>#DIV/0!</v>
      </c>
      <c r="H72" s="19" t="e">
        <f t="shared" si="67"/>
        <v>#DIV/0!</v>
      </c>
      <c r="I72" s="19" t="e">
        <f t="shared" si="67"/>
        <v>#DIV/0!</v>
      </c>
      <c r="J72" s="19" t="e">
        <f t="shared" si="67"/>
        <v>#DIV/0!</v>
      </c>
      <c r="K72" s="19" t="e">
        <f t="shared" si="67"/>
        <v>#DIV/0!</v>
      </c>
      <c r="L72" s="19" t="e">
        <f t="shared" si="67"/>
        <v>#DIV/0!</v>
      </c>
      <c r="M72" s="19" t="e">
        <f t="shared" si="67"/>
        <v>#DIV/0!</v>
      </c>
      <c r="N72" s="19">
        <v>0</v>
      </c>
    </row>
    <row r="73" spans="1:14" x14ac:dyDescent="0.25">
      <c r="A73">
        <f>A17</f>
        <v>0</v>
      </c>
      <c r="B73" t="s">
        <v>102</v>
      </c>
      <c r="C73" s="24" t="e">
        <f>_xlfn.FORECAST.LINEAR(_xlfn.XLOOKUP(A73,'Inputs-Results'!$A$9:$A$35,'Inputs-Results'!$M$9:$M$35),INDEX(D73:N73,_xlfn.XMATCH(_xlfn.XLOOKUP(A73,'Inputs-Results'!$A$9:$A$35,'Inputs-Results'!$M$9:$M$35),D75:N75,-1)):INDEX(D73:N73,_xlfn.XMATCH(_xlfn.XLOOKUP(A73,'Inputs-Results'!$A$9:$A$35,'Inputs-Results'!$M$9:$M$35),D75:N75,1)),INDEX(D75:N75,_xlfn.XMATCH(_xlfn.XLOOKUP(A73,'Inputs-Results'!$A$9:$A$35,'Inputs-Results'!$M$9:$M$35),D75:N75,-1)):INDEX(D75:N75,_xlfn.XMATCH(_xlfn.XLOOKUP(A73,'Inputs-Results'!$A$9:$A$35,'Inputs-Results'!$M$9:$M$35),D75:N75,1)))</f>
        <v>#N/A</v>
      </c>
      <c r="D73" s="19">
        <f t="shared" ref="D73:M73" si="68">VLOOKUP($A73,$A$4:$BJ$30,3+6*D$32,FALSE)</f>
        <v>0</v>
      </c>
      <c r="E73" s="19">
        <f t="shared" si="68"/>
        <v>0</v>
      </c>
      <c r="F73" s="19">
        <f t="shared" si="68"/>
        <v>0</v>
      </c>
      <c r="G73" s="19">
        <f t="shared" si="68"/>
        <v>0</v>
      </c>
      <c r="H73" s="19">
        <f t="shared" si="68"/>
        <v>0</v>
      </c>
      <c r="I73" s="19">
        <f t="shared" si="68"/>
        <v>0</v>
      </c>
      <c r="J73" s="19">
        <f t="shared" si="68"/>
        <v>0</v>
      </c>
      <c r="K73" s="19">
        <f t="shared" si="68"/>
        <v>0</v>
      </c>
      <c r="L73" s="19">
        <f t="shared" si="68"/>
        <v>0</v>
      </c>
      <c r="M73" s="19">
        <f t="shared" si="68"/>
        <v>0</v>
      </c>
      <c r="N73" s="19">
        <v>0</v>
      </c>
    </row>
    <row r="74" spans="1:14" x14ac:dyDescent="0.25">
      <c r="A74" s="35">
        <f>A73</f>
        <v>0</v>
      </c>
      <c r="B74" t="s">
        <v>90</v>
      </c>
      <c r="C74" s="24" t="e">
        <f>IF(C73&gt;_xlfn.XLOOKUP(A74,'Inputs-Results'!$A$9:$A$35,'Inputs-Results'!$V$9:$V$35)-_xlfn.XLOOKUP(A74,'Inputs-Results'!$A$9:$A$35,'Inputs-Results'!$X$9:$X$35),(0.5*(ABS(_xlfn.XLOOKUP(A74,'Inputs-Results'!$A$9:$A$35,'Inputs-Results'!$S$9:$S$35)-_xlfn.XLOOKUP(A74,'Inputs-Results'!$A$9:$A$35,'Inputs-Results'!$U$9:$U$35))/(_xlfn.XLOOKUP(A74,'Inputs-Results'!$A$9:$A$35,'Inputs-Results'!$T$9:$T$35)-_xlfn.XLOOKUP(A74,'Inputs-Results'!$A$9:$A$35,'Inputs-Results'!$V$9:$V$35))*(C73-(_xlfn.XLOOKUP(A74,'Inputs-Results'!$A$9:$A$35,'Inputs-Results'!$V$9:$V$35)-_xlfn.XLOOKUP(A74,'Inputs-Results'!$A$9:$A$35,'Inputs-Results'!$X$9:$X$35))))*(C73-(_xlfn.XLOOKUP(A74,'Inputs-Results'!$A$9:$A$35,'Inputs-Results'!$V$9:$V$35)-_xlfn.XLOOKUP(A74,'Inputs-Results'!$A$9:$A$35,'Inputs-Results'!$X$9:$X$35)))),0)+IF(C73&gt;_xlfn.XLOOKUP(A74,'Inputs-Results'!$A$9:$A$35,'Inputs-Results'!$V$9:$V$35)-_xlfn.XLOOKUP(A74,'Inputs-Results'!$A$9:$A$35,'Inputs-Results'!$X$9:$X$35),(0.5*((C73+_xlfn.XLOOKUP(A74,'Inputs-Results'!$A$9:$A$35,'Inputs-Results'!$X$9:$X$35)-_xlfn.XLOOKUP(A74,'Inputs-Results'!$A$9:$A$35,'Inputs-Results'!$V$9:$V$35))+C73)*ABS(_xlfn.XLOOKUP(A74,'Inputs-Results'!$A$9:$A$35,'Inputs-Results'!$U$9:$U$35)-_xlfn.XLOOKUP(A74,'Inputs-Results'!$A$9:$A$35,'Inputs-Results'!$W$9:$W$35))),0.5*(ABS(_xlfn.XLOOKUP(A74,'Inputs-Results'!$A$9:$A$35,'Inputs-Results'!$U$9:$U$35)-_xlfn.XLOOKUP(A74,'Inputs-Results'!$A$9:$A$35,'Inputs-Results'!$W$9:$W$35))/(_xlfn.XLOOKUP(A74,'Inputs-Results'!$A$9:$A$35,'Inputs-Results'!$V$9:$V$35)-_xlfn.XLOOKUP(A74,'Inputs-Results'!$A$9:$A$35,'Inputs-Results'!$X$9:$X$35))*C73)*C73)+IF(C73&gt;_xlfn.XLOOKUP(A74,'Inputs-Results'!$A$9:$A$35,'Inputs-Results'!$Z$9:$Z$35)-_xlfn.XLOOKUP(A74,'Inputs-Results'!$A$9:$A$35,'Inputs-Results'!$X$9:$X$35),(0.5*((C73+_xlfn.XLOOKUP(A74,'Inputs-Results'!$A$9:$A$35,'Inputs-Results'!$X$9:$X$35)-_xlfn.XLOOKUP(A74,'Inputs-Results'!$A$9:$A$35,'Inputs-Results'!$Z$9:$Z$35))+C73)*ABS(_xlfn.XLOOKUP(A74,'Inputs-Results'!$A$9:$A$35,'Inputs-Results'!$Y$9:$Y$35)-_xlfn.XLOOKUP(A74,'Inputs-Results'!$A$9:$A$35,'Inputs-Results'!$W$9:$W$35))),0.5*(ABS(_xlfn.XLOOKUP(A74,'Inputs-Results'!$A$9:$A$35,'Inputs-Results'!$W$9:$W$35)-_xlfn.XLOOKUP(A74,'Inputs-Results'!$A$9:$A$35,'Inputs-Results'!$Y$9:$Y$35))/(_xlfn.XLOOKUP(A74,'Inputs-Results'!$A$9:$A$35,'Inputs-Results'!$Z$9:$Z$35)-_xlfn.XLOOKUP(A74,'Inputs-Results'!$A$9:$A$35,'Inputs-Results'!$X$9:$X$35))*C73)*C73)+IF(C73&gt;_xlfn.XLOOKUP(A74,'Inputs-Results'!$A$9:$A$35,'Inputs-Results'!$Z$9:$Z$35)-_xlfn.XLOOKUP(A74,'Inputs-Results'!$A$9:$A$35,'Inputs-Results'!$X$9:$X$35),(0.5*(ABS(_xlfn.XLOOKUP(A74,'Inputs-Results'!$A$9:$A$35,'Inputs-Results'!$Y$9:$Y$35)-_xlfn.XLOOKUP(A74,'Inputs-Results'!$A$9:$A$35,'Inputs-Results'!$AA$9:$AA$35))/(_xlfn.XLOOKUP(A74,'Inputs-Results'!$A$9:$A$35,'Inputs-Results'!$AB$9:$AB$35)-_xlfn.XLOOKUP(A74,'Inputs-Results'!$A$9:$A$35,'Inputs-Results'!$Z$9:$Z$35))*(C73-(_xlfn.XLOOKUP(A74,'Inputs-Results'!$A$9:$A$35,'Inputs-Results'!$Z$9:$Z$35)-_xlfn.XLOOKUP(A74,'Inputs-Results'!$A$9:$A$35,'Inputs-Results'!$X$9:$X$35))))*(C73-(_xlfn.XLOOKUP(A74,'Inputs-Results'!$A$9:$A$35,'Inputs-Results'!$Z$9:$Z$35)-_xlfn.XLOOKUP(A74,'Inputs-Results'!$A$9:$A$35,'Inputs-Results'!$X$9:$X$35)))),0)</f>
        <v>#N/A</v>
      </c>
      <c r="D74" s="19" t="e">
        <f>VLOOKUP($A74,$A$4:$BJ$30,4+6*D$32,FALSE)</f>
        <v>#DIV/0!</v>
      </c>
      <c r="E74" s="19" t="e">
        <f t="shared" ref="E74:M74" si="69">VLOOKUP($A74,$A$4:$BJ$30,4+6*E$32,FALSE)</f>
        <v>#DIV/0!</v>
      </c>
      <c r="F74" s="19" t="e">
        <f t="shared" si="69"/>
        <v>#DIV/0!</v>
      </c>
      <c r="G74" s="19" t="e">
        <f t="shared" si="69"/>
        <v>#DIV/0!</v>
      </c>
      <c r="H74" s="19" t="e">
        <f t="shared" si="69"/>
        <v>#DIV/0!</v>
      </c>
      <c r="I74" s="19" t="e">
        <f t="shared" si="69"/>
        <v>#DIV/0!</v>
      </c>
      <c r="J74" s="19" t="e">
        <f t="shared" si="69"/>
        <v>#DIV/0!</v>
      </c>
      <c r="K74" s="19" t="e">
        <f t="shared" si="69"/>
        <v>#DIV/0!</v>
      </c>
      <c r="L74" s="19" t="e">
        <f t="shared" si="69"/>
        <v>#DIV/0!</v>
      </c>
      <c r="M74" s="19" t="e">
        <f t="shared" si="69"/>
        <v>#DIV/0!</v>
      </c>
      <c r="N74" s="19">
        <v>0</v>
      </c>
    </row>
    <row r="75" spans="1:14" x14ac:dyDescent="0.25">
      <c r="A75" s="35">
        <f>A73</f>
        <v>0</v>
      </c>
      <c r="B75" t="s">
        <v>71</v>
      </c>
      <c r="C75" s="24"/>
      <c r="D75" s="19" t="e">
        <f t="shared" ref="D75:M75" si="70">VLOOKUP($A75,$A$4:$BJ$30,7+6*D$32,FALSE)</f>
        <v>#DIV/0!</v>
      </c>
      <c r="E75" s="19" t="e">
        <f t="shared" si="70"/>
        <v>#DIV/0!</v>
      </c>
      <c r="F75" s="19" t="e">
        <f t="shared" si="70"/>
        <v>#DIV/0!</v>
      </c>
      <c r="G75" s="19" t="e">
        <f t="shared" si="70"/>
        <v>#DIV/0!</v>
      </c>
      <c r="H75" s="19" t="e">
        <f t="shared" si="70"/>
        <v>#DIV/0!</v>
      </c>
      <c r="I75" s="19" t="e">
        <f t="shared" si="70"/>
        <v>#DIV/0!</v>
      </c>
      <c r="J75" s="19" t="e">
        <f t="shared" si="70"/>
        <v>#DIV/0!</v>
      </c>
      <c r="K75" s="19" t="e">
        <f t="shared" si="70"/>
        <v>#DIV/0!</v>
      </c>
      <c r="L75" s="19" t="e">
        <f t="shared" si="70"/>
        <v>#DIV/0!</v>
      </c>
      <c r="M75" s="19" t="e">
        <f t="shared" si="70"/>
        <v>#DIV/0!</v>
      </c>
      <c r="N75" s="19">
        <v>0</v>
      </c>
    </row>
    <row r="76" spans="1:14" x14ac:dyDescent="0.25">
      <c r="A76">
        <f>A18</f>
        <v>0</v>
      </c>
      <c r="B76" t="s">
        <v>102</v>
      </c>
      <c r="C76" s="24" t="e">
        <f>_xlfn.FORECAST.LINEAR(_xlfn.XLOOKUP(A76,'Inputs-Results'!$A$9:$A$35,'Inputs-Results'!$M$9:$M$35),INDEX(D76:N76,_xlfn.XMATCH(_xlfn.XLOOKUP(A76,'Inputs-Results'!$A$9:$A$35,'Inputs-Results'!$M$9:$M$35),D78:N78,-1)):INDEX(D76:N76,_xlfn.XMATCH(_xlfn.XLOOKUP(A76,'Inputs-Results'!$A$9:$A$35,'Inputs-Results'!$M$9:$M$35),D78:N78,1)),INDEX(D78:N78,_xlfn.XMATCH(_xlfn.XLOOKUP(A76,'Inputs-Results'!$A$9:$A$35,'Inputs-Results'!$M$9:$M$35),D78:N78,-1)):INDEX(D78:N78,_xlfn.XMATCH(_xlfn.XLOOKUP(A76,'Inputs-Results'!$A$9:$A$35,'Inputs-Results'!$M$9:$M$35),D78:N78,1)))</f>
        <v>#N/A</v>
      </c>
      <c r="D76" s="19">
        <f t="shared" ref="D76:M76" si="71">VLOOKUP($A76,$A$4:$BJ$30,3+6*D$32,FALSE)</f>
        <v>0</v>
      </c>
      <c r="E76" s="19">
        <f t="shared" si="71"/>
        <v>0</v>
      </c>
      <c r="F76" s="19">
        <f t="shared" si="71"/>
        <v>0</v>
      </c>
      <c r="G76" s="19">
        <f t="shared" si="71"/>
        <v>0</v>
      </c>
      <c r="H76" s="19">
        <f t="shared" si="71"/>
        <v>0</v>
      </c>
      <c r="I76" s="19">
        <f t="shared" si="71"/>
        <v>0</v>
      </c>
      <c r="J76" s="19">
        <f t="shared" si="71"/>
        <v>0</v>
      </c>
      <c r="K76" s="19">
        <f t="shared" si="71"/>
        <v>0</v>
      </c>
      <c r="L76" s="19">
        <f t="shared" si="71"/>
        <v>0</v>
      </c>
      <c r="M76" s="19">
        <f t="shared" si="71"/>
        <v>0</v>
      </c>
      <c r="N76" s="19">
        <v>0</v>
      </c>
    </row>
    <row r="77" spans="1:14" x14ac:dyDescent="0.25">
      <c r="A77" s="35">
        <f>A76</f>
        <v>0</v>
      </c>
      <c r="B77" t="s">
        <v>90</v>
      </c>
      <c r="C77" s="24" t="e">
        <f>IF(C76&gt;_xlfn.XLOOKUP(A77,'Inputs-Results'!$A$9:$A$35,'Inputs-Results'!$V$9:$V$35)-_xlfn.XLOOKUP(A77,'Inputs-Results'!$A$9:$A$35,'Inputs-Results'!$X$9:$X$35),(0.5*(ABS(_xlfn.XLOOKUP(A77,'Inputs-Results'!$A$9:$A$35,'Inputs-Results'!$S$9:$S$35)-_xlfn.XLOOKUP(A77,'Inputs-Results'!$A$9:$A$35,'Inputs-Results'!$U$9:$U$35))/(_xlfn.XLOOKUP(A77,'Inputs-Results'!$A$9:$A$35,'Inputs-Results'!$T$9:$T$35)-_xlfn.XLOOKUP(A77,'Inputs-Results'!$A$9:$A$35,'Inputs-Results'!$V$9:$V$35))*(C76-(_xlfn.XLOOKUP(A77,'Inputs-Results'!$A$9:$A$35,'Inputs-Results'!$V$9:$V$35)-_xlfn.XLOOKUP(A77,'Inputs-Results'!$A$9:$A$35,'Inputs-Results'!$X$9:$X$35))))*(C76-(_xlfn.XLOOKUP(A77,'Inputs-Results'!$A$9:$A$35,'Inputs-Results'!$V$9:$V$35)-_xlfn.XLOOKUP(A77,'Inputs-Results'!$A$9:$A$35,'Inputs-Results'!$X$9:$X$35)))),0)+IF(C76&gt;_xlfn.XLOOKUP(A77,'Inputs-Results'!$A$9:$A$35,'Inputs-Results'!$V$9:$V$35)-_xlfn.XLOOKUP(A77,'Inputs-Results'!$A$9:$A$35,'Inputs-Results'!$X$9:$X$35),(0.5*((C76+_xlfn.XLOOKUP(A77,'Inputs-Results'!$A$9:$A$35,'Inputs-Results'!$X$9:$X$35)-_xlfn.XLOOKUP(A77,'Inputs-Results'!$A$9:$A$35,'Inputs-Results'!$V$9:$V$35))+C76)*ABS(_xlfn.XLOOKUP(A77,'Inputs-Results'!$A$9:$A$35,'Inputs-Results'!$U$9:$U$35)-_xlfn.XLOOKUP(A77,'Inputs-Results'!$A$9:$A$35,'Inputs-Results'!$W$9:$W$35))),0.5*(ABS(_xlfn.XLOOKUP(A77,'Inputs-Results'!$A$9:$A$35,'Inputs-Results'!$U$9:$U$35)-_xlfn.XLOOKUP(A77,'Inputs-Results'!$A$9:$A$35,'Inputs-Results'!$W$9:$W$35))/(_xlfn.XLOOKUP(A77,'Inputs-Results'!$A$9:$A$35,'Inputs-Results'!$V$9:$V$35)-_xlfn.XLOOKUP(A77,'Inputs-Results'!$A$9:$A$35,'Inputs-Results'!$X$9:$X$35))*C76)*C76)+IF(C76&gt;_xlfn.XLOOKUP(A77,'Inputs-Results'!$A$9:$A$35,'Inputs-Results'!$Z$9:$Z$35)-_xlfn.XLOOKUP(A77,'Inputs-Results'!$A$9:$A$35,'Inputs-Results'!$X$9:$X$35),(0.5*((C76+_xlfn.XLOOKUP(A77,'Inputs-Results'!$A$9:$A$35,'Inputs-Results'!$X$9:$X$35)-_xlfn.XLOOKUP(A77,'Inputs-Results'!$A$9:$A$35,'Inputs-Results'!$Z$9:$Z$35))+C76)*ABS(_xlfn.XLOOKUP(A77,'Inputs-Results'!$A$9:$A$35,'Inputs-Results'!$Y$9:$Y$35)-_xlfn.XLOOKUP(A77,'Inputs-Results'!$A$9:$A$35,'Inputs-Results'!$W$9:$W$35))),0.5*(ABS(_xlfn.XLOOKUP(A77,'Inputs-Results'!$A$9:$A$35,'Inputs-Results'!$W$9:$W$35)-_xlfn.XLOOKUP(A77,'Inputs-Results'!$A$9:$A$35,'Inputs-Results'!$Y$9:$Y$35))/(_xlfn.XLOOKUP(A77,'Inputs-Results'!$A$9:$A$35,'Inputs-Results'!$Z$9:$Z$35)-_xlfn.XLOOKUP(A77,'Inputs-Results'!$A$9:$A$35,'Inputs-Results'!$X$9:$X$35))*C76)*C76)+IF(C76&gt;_xlfn.XLOOKUP(A77,'Inputs-Results'!$A$9:$A$35,'Inputs-Results'!$Z$9:$Z$35)-_xlfn.XLOOKUP(A77,'Inputs-Results'!$A$9:$A$35,'Inputs-Results'!$X$9:$X$35),(0.5*(ABS(_xlfn.XLOOKUP(A77,'Inputs-Results'!$A$9:$A$35,'Inputs-Results'!$Y$9:$Y$35)-_xlfn.XLOOKUP(A77,'Inputs-Results'!$A$9:$A$35,'Inputs-Results'!$AA$9:$AA$35))/(_xlfn.XLOOKUP(A77,'Inputs-Results'!$A$9:$A$35,'Inputs-Results'!$AB$9:$AB$35)-_xlfn.XLOOKUP(A77,'Inputs-Results'!$A$9:$A$35,'Inputs-Results'!$Z$9:$Z$35))*(C76-(_xlfn.XLOOKUP(A77,'Inputs-Results'!$A$9:$A$35,'Inputs-Results'!$Z$9:$Z$35)-_xlfn.XLOOKUP(A77,'Inputs-Results'!$A$9:$A$35,'Inputs-Results'!$X$9:$X$35))))*(C76-(_xlfn.XLOOKUP(A77,'Inputs-Results'!$A$9:$A$35,'Inputs-Results'!$Z$9:$Z$35)-_xlfn.XLOOKUP(A77,'Inputs-Results'!$A$9:$A$35,'Inputs-Results'!$X$9:$X$35)))),0)</f>
        <v>#N/A</v>
      </c>
      <c r="D77" s="19" t="e">
        <f>VLOOKUP($A77,$A$4:$BJ$30,4+6*D$32,FALSE)</f>
        <v>#DIV/0!</v>
      </c>
      <c r="E77" s="19" t="e">
        <f t="shared" ref="E77:M77" si="72">VLOOKUP($A77,$A$4:$BJ$30,4+6*E$32,FALSE)</f>
        <v>#DIV/0!</v>
      </c>
      <c r="F77" s="19" t="e">
        <f t="shared" si="72"/>
        <v>#DIV/0!</v>
      </c>
      <c r="G77" s="19" t="e">
        <f t="shared" si="72"/>
        <v>#DIV/0!</v>
      </c>
      <c r="H77" s="19" t="e">
        <f t="shared" si="72"/>
        <v>#DIV/0!</v>
      </c>
      <c r="I77" s="19" t="e">
        <f t="shared" si="72"/>
        <v>#DIV/0!</v>
      </c>
      <c r="J77" s="19" t="e">
        <f t="shared" si="72"/>
        <v>#DIV/0!</v>
      </c>
      <c r="K77" s="19" t="e">
        <f t="shared" si="72"/>
        <v>#DIV/0!</v>
      </c>
      <c r="L77" s="19" t="e">
        <f t="shared" si="72"/>
        <v>#DIV/0!</v>
      </c>
      <c r="M77" s="19" t="e">
        <f t="shared" si="72"/>
        <v>#DIV/0!</v>
      </c>
      <c r="N77" s="19">
        <v>0</v>
      </c>
    </row>
    <row r="78" spans="1:14" x14ac:dyDescent="0.25">
      <c r="A78" s="35">
        <f>A76</f>
        <v>0</v>
      </c>
      <c r="B78" t="s">
        <v>71</v>
      </c>
      <c r="C78" s="24"/>
      <c r="D78" s="19" t="e">
        <f t="shared" ref="D78:M78" si="73">VLOOKUP($A78,$A$4:$BJ$30,7+6*D$32,FALSE)</f>
        <v>#DIV/0!</v>
      </c>
      <c r="E78" s="19" t="e">
        <f t="shared" si="73"/>
        <v>#DIV/0!</v>
      </c>
      <c r="F78" s="19" t="e">
        <f t="shared" si="73"/>
        <v>#DIV/0!</v>
      </c>
      <c r="G78" s="19" t="e">
        <f t="shared" si="73"/>
        <v>#DIV/0!</v>
      </c>
      <c r="H78" s="19" t="e">
        <f t="shared" si="73"/>
        <v>#DIV/0!</v>
      </c>
      <c r="I78" s="19" t="e">
        <f t="shared" si="73"/>
        <v>#DIV/0!</v>
      </c>
      <c r="J78" s="19" t="e">
        <f t="shared" si="73"/>
        <v>#DIV/0!</v>
      </c>
      <c r="K78" s="19" t="e">
        <f t="shared" si="73"/>
        <v>#DIV/0!</v>
      </c>
      <c r="L78" s="19" t="e">
        <f t="shared" si="73"/>
        <v>#DIV/0!</v>
      </c>
      <c r="M78" s="19" t="e">
        <f t="shared" si="73"/>
        <v>#DIV/0!</v>
      </c>
      <c r="N78" s="19">
        <v>0</v>
      </c>
    </row>
    <row r="79" spans="1:14" x14ac:dyDescent="0.25">
      <c r="A79">
        <f>A19</f>
        <v>0</v>
      </c>
      <c r="B79" t="s">
        <v>102</v>
      </c>
      <c r="C79" s="24" t="e">
        <f>_xlfn.FORECAST.LINEAR(_xlfn.XLOOKUP(A79,'Inputs-Results'!$A$9:$A$35,'Inputs-Results'!$M$9:$M$35),INDEX(D79:N79,_xlfn.XMATCH(_xlfn.XLOOKUP(A79,'Inputs-Results'!$A$9:$A$35,'Inputs-Results'!$M$9:$M$35),D81:N81,-1)):INDEX(D79:N79,_xlfn.XMATCH(_xlfn.XLOOKUP(A79,'Inputs-Results'!$A$9:$A$35,'Inputs-Results'!$M$9:$M$35),D81:N81,1)),INDEX(D81:N81,_xlfn.XMATCH(_xlfn.XLOOKUP(A79,'Inputs-Results'!$A$9:$A$35,'Inputs-Results'!$M$9:$M$35),D81:N81,-1)):INDEX(D81:N81,_xlfn.XMATCH(_xlfn.XLOOKUP(A79,'Inputs-Results'!$A$9:$A$35,'Inputs-Results'!$M$9:$M$35),D81:N81,1)))</f>
        <v>#N/A</v>
      </c>
      <c r="D79" s="19">
        <f t="shared" ref="D79:M79" si="74">VLOOKUP($A79,$A$4:$BJ$30,3+6*D$32,FALSE)</f>
        <v>0</v>
      </c>
      <c r="E79" s="19">
        <f t="shared" si="74"/>
        <v>0</v>
      </c>
      <c r="F79" s="19">
        <f t="shared" si="74"/>
        <v>0</v>
      </c>
      <c r="G79" s="19">
        <f t="shared" si="74"/>
        <v>0</v>
      </c>
      <c r="H79" s="19">
        <f t="shared" si="74"/>
        <v>0</v>
      </c>
      <c r="I79" s="19">
        <f t="shared" si="74"/>
        <v>0</v>
      </c>
      <c r="J79" s="19">
        <f t="shared" si="74"/>
        <v>0</v>
      </c>
      <c r="K79" s="19">
        <f t="shared" si="74"/>
        <v>0</v>
      </c>
      <c r="L79" s="19">
        <f t="shared" si="74"/>
        <v>0</v>
      </c>
      <c r="M79" s="19">
        <f t="shared" si="74"/>
        <v>0</v>
      </c>
      <c r="N79" s="19">
        <v>0</v>
      </c>
    </row>
    <row r="80" spans="1:14" x14ac:dyDescent="0.25">
      <c r="A80" s="35">
        <f>A79</f>
        <v>0</v>
      </c>
      <c r="B80" t="s">
        <v>90</v>
      </c>
      <c r="C80" s="24" t="e">
        <f>IF(C79&gt;_xlfn.XLOOKUP(A80,'Inputs-Results'!$A$9:$A$35,'Inputs-Results'!$V$9:$V$35)-_xlfn.XLOOKUP(A80,'Inputs-Results'!$A$9:$A$35,'Inputs-Results'!$X$9:$X$35),(0.5*(ABS(_xlfn.XLOOKUP(A80,'Inputs-Results'!$A$9:$A$35,'Inputs-Results'!$S$9:$S$35)-_xlfn.XLOOKUP(A80,'Inputs-Results'!$A$9:$A$35,'Inputs-Results'!$U$9:$U$35))/(_xlfn.XLOOKUP(A80,'Inputs-Results'!$A$9:$A$35,'Inputs-Results'!$T$9:$T$35)-_xlfn.XLOOKUP(A80,'Inputs-Results'!$A$9:$A$35,'Inputs-Results'!$V$9:$V$35))*(C79-(_xlfn.XLOOKUP(A80,'Inputs-Results'!$A$9:$A$35,'Inputs-Results'!$V$9:$V$35)-_xlfn.XLOOKUP(A80,'Inputs-Results'!$A$9:$A$35,'Inputs-Results'!$X$9:$X$35))))*(C79-(_xlfn.XLOOKUP(A80,'Inputs-Results'!$A$9:$A$35,'Inputs-Results'!$V$9:$V$35)-_xlfn.XLOOKUP(A80,'Inputs-Results'!$A$9:$A$35,'Inputs-Results'!$X$9:$X$35)))),0)+IF(C79&gt;_xlfn.XLOOKUP(A80,'Inputs-Results'!$A$9:$A$35,'Inputs-Results'!$V$9:$V$35)-_xlfn.XLOOKUP(A80,'Inputs-Results'!$A$9:$A$35,'Inputs-Results'!$X$9:$X$35),(0.5*((C79+_xlfn.XLOOKUP(A80,'Inputs-Results'!$A$9:$A$35,'Inputs-Results'!$X$9:$X$35)-_xlfn.XLOOKUP(A80,'Inputs-Results'!$A$9:$A$35,'Inputs-Results'!$V$9:$V$35))+C79)*ABS(_xlfn.XLOOKUP(A80,'Inputs-Results'!$A$9:$A$35,'Inputs-Results'!$U$9:$U$35)-_xlfn.XLOOKUP(A80,'Inputs-Results'!$A$9:$A$35,'Inputs-Results'!$W$9:$W$35))),0.5*(ABS(_xlfn.XLOOKUP(A80,'Inputs-Results'!$A$9:$A$35,'Inputs-Results'!$U$9:$U$35)-_xlfn.XLOOKUP(A80,'Inputs-Results'!$A$9:$A$35,'Inputs-Results'!$W$9:$W$35))/(_xlfn.XLOOKUP(A80,'Inputs-Results'!$A$9:$A$35,'Inputs-Results'!$V$9:$V$35)-_xlfn.XLOOKUP(A80,'Inputs-Results'!$A$9:$A$35,'Inputs-Results'!$X$9:$X$35))*C79)*C79)+IF(C79&gt;_xlfn.XLOOKUP(A80,'Inputs-Results'!$A$9:$A$35,'Inputs-Results'!$Z$9:$Z$35)-_xlfn.XLOOKUP(A80,'Inputs-Results'!$A$9:$A$35,'Inputs-Results'!$X$9:$X$35),(0.5*((C79+_xlfn.XLOOKUP(A80,'Inputs-Results'!$A$9:$A$35,'Inputs-Results'!$X$9:$X$35)-_xlfn.XLOOKUP(A80,'Inputs-Results'!$A$9:$A$35,'Inputs-Results'!$Z$9:$Z$35))+C79)*ABS(_xlfn.XLOOKUP(A80,'Inputs-Results'!$A$9:$A$35,'Inputs-Results'!$Y$9:$Y$35)-_xlfn.XLOOKUP(A80,'Inputs-Results'!$A$9:$A$35,'Inputs-Results'!$W$9:$W$35))),0.5*(ABS(_xlfn.XLOOKUP(A80,'Inputs-Results'!$A$9:$A$35,'Inputs-Results'!$W$9:$W$35)-_xlfn.XLOOKUP(A80,'Inputs-Results'!$A$9:$A$35,'Inputs-Results'!$Y$9:$Y$35))/(_xlfn.XLOOKUP(A80,'Inputs-Results'!$A$9:$A$35,'Inputs-Results'!$Z$9:$Z$35)-_xlfn.XLOOKUP(A80,'Inputs-Results'!$A$9:$A$35,'Inputs-Results'!$X$9:$X$35))*C79)*C79)+IF(C79&gt;_xlfn.XLOOKUP(A80,'Inputs-Results'!$A$9:$A$35,'Inputs-Results'!$Z$9:$Z$35)-_xlfn.XLOOKUP(A80,'Inputs-Results'!$A$9:$A$35,'Inputs-Results'!$X$9:$X$35),(0.5*(ABS(_xlfn.XLOOKUP(A80,'Inputs-Results'!$A$9:$A$35,'Inputs-Results'!$Y$9:$Y$35)-_xlfn.XLOOKUP(A80,'Inputs-Results'!$A$9:$A$35,'Inputs-Results'!$AA$9:$AA$35))/(_xlfn.XLOOKUP(A80,'Inputs-Results'!$A$9:$A$35,'Inputs-Results'!$AB$9:$AB$35)-_xlfn.XLOOKUP(A80,'Inputs-Results'!$A$9:$A$35,'Inputs-Results'!$Z$9:$Z$35))*(C79-(_xlfn.XLOOKUP(A80,'Inputs-Results'!$A$9:$A$35,'Inputs-Results'!$Z$9:$Z$35)-_xlfn.XLOOKUP(A80,'Inputs-Results'!$A$9:$A$35,'Inputs-Results'!$X$9:$X$35))))*(C79-(_xlfn.XLOOKUP(A80,'Inputs-Results'!$A$9:$A$35,'Inputs-Results'!$Z$9:$Z$35)-_xlfn.XLOOKUP(A80,'Inputs-Results'!$A$9:$A$35,'Inputs-Results'!$X$9:$X$35)))),0)</f>
        <v>#N/A</v>
      </c>
      <c r="D80" s="19" t="e">
        <f>VLOOKUP($A80,$A$4:$BJ$30,4+6*D$32,FALSE)</f>
        <v>#DIV/0!</v>
      </c>
      <c r="E80" s="19" t="e">
        <f t="shared" ref="E80:M80" si="75">VLOOKUP($A80,$A$4:$BJ$30,4+6*E$32,FALSE)</f>
        <v>#DIV/0!</v>
      </c>
      <c r="F80" s="19" t="e">
        <f t="shared" si="75"/>
        <v>#DIV/0!</v>
      </c>
      <c r="G80" s="19" t="e">
        <f t="shared" si="75"/>
        <v>#DIV/0!</v>
      </c>
      <c r="H80" s="19" t="e">
        <f t="shared" si="75"/>
        <v>#DIV/0!</v>
      </c>
      <c r="I80" s="19" t="e">
        <f t="shared" si="75"/>
        <v>#DIV/0!</v>
      </c>
      <c r="J80" s="19" t="e">
        <f t="shared" si="75"/>
        <v>#DIV/0!</v>
      </c>
      <c r="K80" s="19" t="e">
        <f t="shared" si="75"/>
        <v>#DIV/0!</v>
      </c>
      <c r="L80" s="19" t="e">
        <f t="shared" si="75"/>
        <v>#DIV/0!</v>
      </c>
      <c r="M80" s="19" t="e">
        <f t="shared" si="75"/>
        <v>#DIV/0!</v>
      </c>
      <c r="N80" s="19">
        <v>0</v>
      </c>
    </row>
    <row r="81" spans="1:14" x14ac:dyDescent="0.25">
      <c r="A81" s="35">
        <f>A79</f>
        <v>0</v>
      </c>
      <c r="B81" t="s">
        <v>71</v>
      </c>
      <c r="C81" s="24"/>
      <c r="D81" s="19" t="e">
        <f t="shared" ref="D81:M81" si="76">VLOOKUP($A81,$A$4:$BJ$30,7+6*D$32,FALSE)</f>
        <v>#DIV/0!</v>
      </c>
      <c r="E81" s="19" t="e">
        <f t="shared" si="76"/>
        <v>#DIV/0!</v>
      </c>
      <c r="F81" s="19" t="e">
        <f t="shared" si="76"/>
        <v>#DIV/0!</v>
      </c>
      <c r="G81" s="19" t="e">
        <f t="shared" si="76"/>
        <v>#DIV/0!</v>
      </c>
      <c r="H81" s="19" t="e">
        <f t="shared" si="76"/>
        <v>#DIV/0!</v>
      </c>
      <c r="I81" s="19" t="e">
        <f t="shared" si="76"/>
        <v>#DIV/0!</v>
      </c>
      <c r="J81" s="19" t="e">
        <f t="shared" si="76"/>
        <v>#DIV/0!</v>
      </c>
      <c r="K81" s="19" t="e">
        <f t="shared" si="76"/>
        <v>#DIV/0!</v>
      </c>
      <c r="L81" s="19" t="e">
        <f t="shared" si="76"/>
        <v>#DIV/0!</v>
      </c>
      <c r="M81" s="19" t="e">
        <f t="shared" si="76"/>
        <v>#DIV/0!</v>
      </c>
      <c r="N81" s="19">
        <v>0</v>
      </c>
    </row>
    <row r="82" spans="1:14" x14ac:dyDescent="0.25">
      <c r="A82">
        <f>A20</f>
        <v>0</v>
      </c>
      <c r="B82" t="s">
        <v>102</v>
      </c>
      <c r="C82" s="24" t="e">
        <f>_xlfn.FORECAST.LINEAR(_xlfn.XLOOKUP(A82,'Inputs-Results'!$A$9:$A$35,'Inputs-Results'!$M$9:$M$35),INDEX(D82:N82,_xlfn.XMATCH(_xlfn.XLOOKUP(A82,'Inputs-Results'!$A$9:$A$35,'Inputs-Results'!$M$9:$M$35),D84:N84,-1)):INDEX(D82:N82,_xlfn.XMATCH(_xlfn.XLOOKUP(A82,'Inputs-Results'!$A$9:$A$35,'Inputs-Results'!$M$9:$M$35),D84:N84,1)),INDEX(D84:N84,_xlfn.XMATCH(_xlfn.XLOOKUP(A82,'Inputs-Results'!$A$9:$A$35,'Inputs-Results'!$M$9:$M$35),D84:N84,-1)):INDEX(D84:N84,_xlfn.XMATCH(_xlfn.XLOOKUP(A82,'Inputs-Results'!$A$9:$A$35,'Inputs-Results'!$M$9:$M$35),D84:N84,1)))</f>
        <v>#N/A</v>
      </c>
      <c r="D82" s="19">
        <f t="shared" ref="D82:M82" si="77">VLOOKUP($A82,$A$4:$BJ$30,3+6*D$32,FALSE)</f>
        <v>0</v>
      </c>
      <c r="E82" s="19">
        <f t="shared" si="77"/>
        <v>0</v>
      </c>
      <c r="F82" s="19">
        <f t="shared" si="77"/>
        <v>0</v>
      </c>
      <c r="G82" s="19">
        <f t="shared" si="77"/>
        <v>0</v>
      </c>
      <c r="H82" s="19">
        <f t="shared" si="77"/>
        <v>0</v>
      </c>
      <c r="I82" s="19">
        <f t="shared" si="77"/>
        <v>0</v>
      </c>
      <c r="J82" s="19">
        <f t="shared" si="77"/>
        <v>0</v>
      </c>
      <c r="K82" s="19">
        <f t="shared" si="77"/>
        <v>0</v>
      </c>
      <c r="L82" s="19">
        <f t="shared" si="77"/>
        <v>0</v>
      </c>
      <c r="M82" s="19">
        <f t="shared" si="77"/>
        <v>0</v>
      </c>
      <c r="N82" s="19">
        <v>0</v>
      </c>
    </row>
    <row r="83" spans="1:14" x14ac:dyDescent="0.25">
      <c r="A83" s="35">
        <f>A82</f>
        <v>0</v>
      </c>
      <c r="B83" t="s">
        <v>90</v>
      </c>
      <c r="C83" s="24" t="e">
        <f>IF(C82&gt;_xlfn.XLOOKUP(A83,'Inputs-Results'!$A$9:$A$35,'Inputs-Results'!$V$9:$V$35)-_xlfn.XLOOKUP(A83,'Inputs-Results'!$A$9:$A$35,'Inputs-Results'!$X$9:$X$35),(0.5*(ABS(_xlfn.XLOOKUP(A83,'Inputs-Results'!$A$9:$A$35,'Inputs-Results'!$S$9:$S$35)-_xlfn.XLOOKUP(A83,'Inputs-Results'!$A$9:$A$35,'Inputs-Results'!$U$9:$U$35))/(_xlfn.XLOOKUP(A83,'Inputs-Results'!$A$9:$A$35,'Inputs-Results'!$T$9:$T$35)-_xlfn.XLOOKUP(A83,'Inputs-Results'!$A$9:$A$35,'Inputs-Results'!$V$9:$V$35))*(C82-(_xlfn.XLOOKUP(A83,'Inputs-Results'!$A$9:$A$35,'Inputs-Results'!$V$9:$V$35)-_xlfn.XLOOKUP(A83,'Inputs-Results'!$A$9:$A$35,'Inputs-Results'!$X$9:$X$35))))*(C82-(_xlfn.XLOOKUP(A83,'Inputs-Results'!$A$9:$A$35,'Inputs-Results'!$V$9:$V$35)-_xlfn.XLOOKUP(A83,'Inputs-Results'!$A$9:$A$35,'Inputs-Results'!$X$9:$X$35)))),0)+IF(C82&gt;_xlfn.XLOOKUP(A83,'Inputs-Results'!$A$9:$A$35,'Inputs-Results'!$V$9:$V$35)-_xlfn.XLOOKUP(A83,'Inputs-Results'!$A$9:$A$35,'Inputs-Results'!$X$9:$X$35),(0.5*((C82+_xlfn.XLOOKUP(A83,'Inputs-Results'!$A$9:$A$35,'Inputs-Results'!$X$9:$X$35)-_xlfn.XLOOKUP(A83,'Inputs-Results'!$A$9:$A$35,'Inputs-Results'!$V$9:$V$35))+C82)*ABS(_xlfn.XLOOKUP(A83,'Inputs-Results'!$A$9:$A$35,'Inputs-Results'!$U$9:$U$35)-_xlfn.XLOOKUP(A83,'Inputs-Results'!$A$9:$A$35,'Inputs-Results'!$W$9:$W$35))),0.5*(ABS(_xlfn.XLOOKUP(A83,'Inputs-Results'!$A$9:$A$35,'Inputs-Results'!$U$9:$U$35)-_xlfn.XLOOKUP(A83,'Inputs-Results'!$A$9:$A$35,'Inputs-Results'!$W$9:$W$35))/(_xlfn.XLOOKUP(A83,'Inputs-Results'!$A$9:$A$35,'Inputs-Results'!$V$9:$V$35)-_xlfn.XLOOKUP(A83,'Inputs-Results'!$A$9:$A$35,'Inputs-Results'!$X$9:$X$35))*C82)*C82)+IF(C82&gt;_xlfn.XLOOKUP(A83,'Inputs-Results'!$A$9:$A$35,'Inputs-Results'!$Z$9:$Z$35)-_xlfn.XLOOKUP(A83,'Inputs-Results'!$A$9:$A$35,'Inputs-Results'!$X$9:$X$35),(0.5*((C82+_xlfn.XLOOKUP(A83,'Inputs-Results'!$A$9:$A$35,'Inputs-Results'!$X$9:$X$35)-_xlfn.XLOOKUP(A83,'Inputs-Results'!$A$9:$A$35,'Inputs-Results'!$Z$9:$Z$35))+C82)*ABS(_xlfn.XLOOKUP(A83,'Inputs-Results'!$A$9:$A$35,'Inputs-Results'!$Y$9:$Y$35)-_xlfn.XLOOKUP(A83,'Inputs-Results'!$A$9:$A$35,'Inputs-Results'!$W$9:$W$35))),0.5*(ABS(_xlfn.XLOOKUP(A83,'Inputs-Results'!$A$9:$A$35,'Inputs-Results'!$W$9:$W$35)-_xlfn.XLOOKUP(A83,'Inputs-Results'!$A$9:$A$35,'Inputs-Results'!$Y$9:$Y$35))/(_xlfn.XLOOKUP(A83,'Inputs-Results'!$A$9:$A$35,'Inputs-Results'!$Z$9:$Z$35)-_xlfn.XLOOKUP(A83,'Inputs-Results'!$A$9:$A$35,'Inputs-Results'!$X$9:$X$35))*C82)*C82)+IF(C82&gt;_xlfn.XLOOKUP(A83,'Inputs-Results'!$A$9:$A$35,'Inputs-Results'!$Z$9:$Z$35)-_xlfn.XLOOKUP(A83,'Inputs-Results'!$A$9:$A$35,'Inputs-Results'!$X$9:$X$35),(0.5*(ABS(_xlfn.XLOOKUP(A83,'Inputs-Results'!$A$9:$A$35,'Inputs-Results'!$Y$9:$Y$35)-_xlfn.XLOOKUP(A83,'Inputs-Results'!$A$9:$A$35,'Inputs-Results'!$AA$9:$AA$35))/(_xlfn.XLOOKUP(A83,'Inputs-Results'!$A$9:$A$35,'Inputs-Results'!$AB$9:$AB$35)-_xlfn.XLOOKUP(A83,'Inputs-Results'!$A$9:$A$35,'Inputs-Results'!$Z$9:$Z$35))*(C82-(_xlfn.XLOOKUP(A83,'Inputs-Results'!$A$9:$A$35,'Inputs-Results'!$Z$9:$Z$35)-_xlfn.XLOOKUP(A83,'Inputs-Results'!$A$9:$A$35,'Inputs-Results'!$X$9:$X$35))))*(C82-(_xlfn.XLOOKUP(A83,'Inputs-Results'!$A$9:$A$35,'Inputs-Results'!$Z$9:$Z$35)-_xlfn.XLOOKUP(A83,'Inputs-Results'!$A$9:$A$35,'Inputs-Results'!$X$9:$X$35)))),0)</f>
        <v>#N/A</v>
      </c>
      <c r="D83" s="19" t="e">
        <f>VLOOKUP($A83,$A$4:$BJ$30,4+6*D$32,FALSE)</f>
        <v>#DIV/0!</v>
      </c>
      <c r="E83" s="19" t="e">
        <f t="shared" ref="E83:M83" si="78">VLOOKUP($A83,$A$4:$BJ$30,4+6*E$32,FALSE)</f>
        <v>#DIV/0!</v>
      </c>
      <c r="F83" s="19" t="e">
        <f t="shared" si="78"/>
        <v>#DIV/0!</v>
      </c>
      <c r="G83" s="19" t="e">
        <f t="shared" si="78"/>
        <v>#DIV/0!</v>
      </c>
      <c r="H83" s="19" t="e">
        <f t="shared" si="78"/>
        <v>#DIV/0!</v>
      </c>
      <c r="I83" s="19" t="e">
        <f t="shared" si="78"/>
        <v>#DIV/0!</v>
      </c>
      <c r="J83" s="19" t="e">
        <f t="shared" si="78"/>
        <v>#DIV/0!</v>
      </c>
      <c r="K83" s="19" t="e">
        <f t="shared" si="78"/>
        <v>#DIV/0!</v>
      </c>
      <c r="L83" s="19" t="e">
        <f t="shared" si="78"/>
        <v>#DIV/0!</v>
      </c>
      <c r="M83" s="19" t="e">
        <f t="shared" si="78"/>
        <v>#DIV/0!</v>
      </c>
      <c r="N83" s="19">
        <v>0</v>
      </c>
    </row>
    <row r="84" spans="1:14" x14ac:dyDescent="0.25">
      <c r="A84" s="35">
        <f>A82</f>
        <v>0</v>
      </c>
      <c r="B84" t="s">
        <v>71</v>
      </c>
      <c r="C84" s="24"/>
      <c r="D84" s="19" t="e">
        <f t="shared" ref="D84:M84" si="79">VLOOKUP($A84,$A$4:$BJ$30,7+6*D$32,FALSE)</f>
        <v>#DIV/0!</v>
      </c>
      <c r="E84" s="19" t="e">
        <f t="shared" si="79"/>
        <v>#DIV/0!</v>
      </c>
      <c r="F84" s="19" t="e">
        <f t="shared" si="79"/>
        <v>#DIV/0!</v>
      </c>
      <c r="G84" s="19" t="e">
        <f t="shared" si="79"/>
        <v>#DIV/0!</v>
      </c>
      <c r="H84" s="19" t="e">
        <f t="shared" si="79"/>
        <v>#DIV/0!</v>
      </c>
      <c r="I84" s="19" t="e">
        <f t="shared" si="79"/>
        <v>#DIV/0!</v>
      </c>
      <c r="J84" s="19" t="e">
        <f t="shared" si="79"/>
        <v>#DIV/0!</v>
      </c>
      <c r="K84" s="19" t="e">
        <f t="shared" si="79"/>
        <v>#DIV/0!</v>
      </c>
      <c r="L84" s="19" t="e">
        <f t="shared" si="79"/>
        <v>#DIV/0!</v>
      </c>
      <c r="M84" s="19" t="e">
        <f t="shared" si="79"/>
        <v>#DIV/0!</v>
      </c>
      <c r="N84" s="19">
        <v>0</v>
      </c>
    </row>
    <row r="85" spans="1:14" x14ac:dyDescent="0.25">
      <c r="A85" s="35">
        <f>A21</f>
        <v>0</v>
      </c>
      <c r="B85" t="s">
        <v>102</v>
      </c>
      <c r="C85" s="24" t="e">
        <f>_xlfn.FORECAST.LINEAR(_xlfn.XLOOKUP(A85,'Inputs-Results'!$A$9:$A$35,'Inputs-Results'!$M$9:$M$35),INDEX(D85:N85,_xlfn.XMATCH(_xlfn.XLOOKUP(A85,'Inputs-Results'!$A$9:$A$35,'Inputs-Results'!$M$9:$M$35),D87:N87,-1)):INDEX(D85:N85,_xlfn.XMATCH(_xlfn.XLOOKUP(A85,'Inputs-Results'!$A$9:$A$35,'Inputs-Results'!$M$9:$M$35),D87:N87,1)),INDEX(D87:N87,_xlfn.XMATCH(_xlfn.XLOOKUP(A85,'Inputs-Results'!$A$9:$A$35,'Inputs-Results'!$M$9:$M$35),D87:N87,-1)):INDEX(D87:N87,_xlfn.XMATCH(_xlfn.XLOOKUP(A85,'Inputs-Results'!$A$9:$A$35,'Inputs-Results'!$M$9:$M$35),D87:N87,1)))</f>
        <v>#N/A</v>
      </c>
      <c r="D85" s="19">
        <f t="shared" ref="D85:M85" si="80">VLOOKUP($A85,$A$4:$BJ$30,3+6*D$32,FALSE)</f>
        <v>0</v>
      </c>
      <c r="E85" s="19">
        <f t="shared" si="80"/>
        <v>0</v>
      </c>
      <c r="F85" s="19">
        <f t="shared" si="80"/>
        <v>0</v>
      </c>
      <c r="G85" s="19">
        <f t="shared" si="80"/>
        <v>0</v>
      </c>
      <c r="H85" s="19">
        <f t="shared" si="80"/>
        <v>0</v>
      </c>
      <c r="I85" s="19">
        <f t="shared" si="80"/>
        <v>0</v>
      </c>
      <c r="J85" s="19">
        <f t="shared" si="80"/>
        <v>0</v>
      </c>
      <c r="K85" s="19">
        <f t="shared" si="80"/>
        <v>0</v>
      </c>
      <c r="L85" s="19">
        <f t="shared" si="80"/>
        <v>0</v>
      </c>
      <c r="M85" s="19">
        <f t="shared" si="80"/>
        <v>0</v>
      </c>
      <c r="N85" s="19">
        <v>0</v>
      </c>
    </row>
    <row r="86" spans="1:14" x14ac:dyDescent="0.25">
      <c r="A86" s="35">
        <f>A85</f>
        <v>0</v>
      </c>
      <c r="B86" t="s">
        <v>90</v>
      </c>
      <c r="C86" s="24" t="e">
        <f>IF(C85&gt;_xlfn.XLOOKUP(A86,'Inputs-Results'!$A$9:$A$35,'Inputs-Results'!$V$9:$V$35)-_xlfn.XLOOKUP(A86,'Inputs-Results'!$A$9:$A$35,'Inputs-Results'!$X$9:$X$35),(0.5*(ABS(_xlfn.XLOOKUP(A86,'Inputs-Results'!$A$9:$A$35,'Inputs-Results'!$S$9:$S$35)-_xlfn.XLOOKUP(A86,'Inputs-Results'!$A$9:$A$35,'Inputs-Results'!$U$9:$U$35))/(_xlfn.XLOOKUP(A86,'Inputs-Results'!$A$9:$A$35,'Inputs-Results'!$T$9:$T$35)-_xlfn.XLOOKUP(A86,'Inputs-Results'!$A$9:$A$35,'Inputs-Results'!$V$9:$V$35))*(C85-(_xlfn.XLOOKUP(A86,'Inputs-Results'!$A$9:$A$35,'Inputs-Results'!$V$9:$V$35)-_xlfn.XLOOKUP(A86,'Inputs-Results'!$A$9:$A$35,'Inputs-Results'!$X$9:$X$35))))*(C85-(_xlfn.XLOOKUP(A86,'Inputs-Results'!$A$9:$A$35,'Inputs-Results'!$V$9:$V$35)-_xlfn.XLOOKUP(A86,'Inputs-Results'!$A$9:$A$35,'Inputs-Results'!$X$9:$X$35)))),0)+IF(C85&gt;_xlfn.XLOOKUP(A86,'Inputs-Results'!$A$9:$A$35,'Inputs-Results'!$V$9:$V$35)-_xlfn.XLOOKUP(A86,'Inputs-Results'!$A$9:$A$35,'Inputs-Results'!$X$9:$X$35),(0.5*((C85+_xlfn.XLOOKUP(A86,'Inputs-Results'!$A$9:$A$35,'Inputs-Results'!$X$9:$X$35)-_xlfn.XLOOKUP(A86,'Inputs-Results'!$A$9:$A$35,'Inputs-Results'!$V$9:$V$35))+C85)*ABS(_xlfn.XLOOKUP(A86,'Inputs-Results'!$A$9:$A$35,'Inputs-Results'!$U$9:$U$35)-_xlfn.XLOOKUP(A86,'Inputs-Results'!$A$9:$A$35,'Inputs-Results'!$W$9:$W$35))),0.5*(ABS(_xlfn.XLOOKUP(A86,'Inputs-Results'!$A$9:$A$35,'Inputs-Results'!$U$9:$U$35)-_xlfn.XLOOKUP(A86,'Inputs-Results'!$A$9:$A$35,'Inputs-Results'!$W$9:$W$35))/(_xlfn.XLOOKUP(A86,'Inputs-Results'!$A$9:$A$35,'Inputs-Results'!$V$9:$V$35)-_xlfn.XLOOKUP(A86,'Inputs-Results'!$A$9:$A$35,'Inputs-Results'!$X$9:$X$35))*C85)*C85)+IF(C85&gt;_xlfn.XLOOKUP(A86,'Inputs-Results'!$A$9:$A$35,'Inputs-Results'!$Z$9:$Z$35)-_xlfn.XLOOKUP(A86,'Inputs-Results'!$A$9:$A$35,'Inputs-Results'!$X$9:$X$35),(0.5*((C85+_xlfn.XLOOKUP(A86,'Inputs-Results'!$A$9:$A$35,'Inputs-Results'!$X$9:$X$35)-_xlfn.XLOOKUP(A86,'Inputs-Results'!$A$9:$A$35,'Inputs-Results'!$Z$9:$Z$35))+C85)*ABS(_xlfn.XLOOKUP(A86,'Inputs-Results'!$A$9:$A$35,'Inputs-Results'!$Y$9:$Y$35)-_xlfn.XLOOKUP(A86,'Inputs-Results'!$A$9:$A$35,'Inputs-Results'!$W$9:$W$35))),0.5*(ABS(_xlfn.XLOOKUP(A86,'Inputs-Results'!$A$9:$A$35,'Inputs-Results'!$W$9:$W$35)-_xlfn.XLOOKUP(A86,'Inputs-Results'!$A$9:$A$35,'Inputs-Results'!$Y$9:$Y$35))/(_xlfn.XLOOKUP(A86,'Inputs-Results'!$A$9:$A$35,'Inputs-Results'!$Z$9:$Z$35)-_xlfn.XLOOKUP(A86,'Inputs-Results'!$A$9:$A$35,'Inputs-Results'!$X$9:$X$35))*C85)*C85)+IF(C85&gt;_xlfn.XLOOKUP(A86,'Inputs-Results'!$A$9:$A$35,'Inputs-Results'!$Z$9:$Z$35)-_xlfn.XLOOKUP(A86,'Inputs-Results'!$A$9:$A$35,'Inputs-Results'!$X$9:$X$35),(0.5*(ABS(_xlfn.XLOOKUP(A86,'Inputs-Results'!$A$9:$A$35,'Inputs-Results'!$Y$9:$Y$35)-_xlfn.XLOOKUP(A86,'Inputs-Results'!$A$9:$A$35,'Inputs-Results'!$AA$9:$AA$35))/(_xlfn.XLOOKUP(A86,'Inputs-Results'!$A$9:$A$35,'Inputs-Results'!$AB$9:$AB$35)-_xlfn.XLOOKUP(A86,'Inputs-Results'!$A$9:$A$35,'Inputs-Results'!$Z$9:$Z$35))*(C85-(_xlfn.XLOOKUP(A86,'Inputs-Results'!$A$9:$A$35,'Inputs-Results'!$Z$9:$Z$35)-_xlfn.XLOOKUP(A86,'Inputs-Results'!$A$9:$A$35,'Inputs-Results'!$X$9:$X$35))))*(C85-(_xlfn.XLOOKUP(A86,'Inputs-Results'!$A$9:$A$35,'Inputs-Results'!$Z$9:$Z$35)-_xlfn.XLOOKUP(A86,'Inputs-Results'!$A$9:$A$35,'Inputs-Results'!$X$9:$X$35)))),0)</f>
        <v>#N/A</v>
      </c>
      <c r="D86" s="19" t="e">
        <f>VLOOKUP($A86,$A$4:$BJ$30,4+6*D$32,FALSE)</f>
        <v>#DIV/0!</v>
      </c>
      <c r="E86" s="19" t="e">
        <f t="shared" ref="E86:M86" si="81">VLOOKUP($A86,$A$4:$BJ$30,4+6*E$32,FALSE)</f>
        <v>#DIV/0!</v>
      </c>
      <c r="F86" s="19" t="e">
        <f t="shared" si="81"/>
        <v>#DIV/0!</v>
      </c>
      <c r="G86" s="19" t="e">
        <f t="shared" si="81"/>
        <v>#DIV/0!</v>
      </c>
      <c r="H86" s="19" t="e">
        <f t="shared" si="81"/>
        <v>#DIV/0!</v>
      </c>
      <c r="I86" s="19" t="e">
        <f t="shared" si="81"/>
        <v>#DIV/0!</v>
      </c>
      <c r="J86" s="19" t="e">
        <f t="shared" si="81"/>
        <v>#DIV/0!</v>
      </c>
      <c r="K86" s="19" t="e">
        <f t="shared" si="81"/>
        <v>#DIV/0!</v>
      </c>
      <c r="L86" s="19" t="e">
        <f t="shared" si="81"/>
        <v>#DIV/0!</v>
      </c>
      <c r="M86" s="19" t="e">
        <f t="shared" si="81"/>
        <v>#DIV/0!</v>
      </c>
      <c r="N86" s="19">
        <v>0</v>
      </c>
    </row>
    <row r="87" spans="1:14" x14ac:dyDescent="0.25">
      <c r="A87" s="35">
        <f>A85</f>
        <v>0</v>
      </c>
      <c r="B87" t="s">
        <v>71</v>
      </c>
      <c r="C87" s="24"/>
      <c r="D87" s="19" t="e">
        <f t="shared" ref="D87:M87" si="82">VLOOKUP($A87,$A$4:$BJ$30,7+6*D$32,FALSE)</f>
        <v>#DIV/0!</v>
      </c>
      <c r="E87" s="19" t="e">
        <f t="shared" si="82"/>
        <v>#DIV/0!</v>
      </c>
      <c r="F87" s="19" t="e">
        <f t="shared" si="82"/>
        <v>#DIV/0!</v>
      </c>
      <c r="G87" s="19" t="e">
        <f t="shared" si="82"/>
        <v>#DIV/0!</v>
      </c>
      <c r="H87" s="19" t="e">
        <f t="shared" si="82"/>
        <v>#DIV/0!</v>
      </c>
      <c r="I87" s="19" t="e">
        <f t="shared" si="82"/>
        <v>#DIV/0!</v>
      </c>
      <c r="J87" s="19" t="e">
        <f t="shared" si="82"/>
        <v>#DIV/0!</v>
      </c>
      <c r="K87" s="19" t="e">
        <f t="shared" si="82"/>
        <v>#DIV/0!</v>
      </c>
      <c r="L87" s="19" t="e">
        <f t="shared" si="82"/>
        <v>#DIV/0!</v>
      </c>
      <c r="M87" s="19" t="e">
        <f t="shared" si="82"/>
        <v>#DIV/0!</v>
      </c>
      <c r="N87" s="19">
        <v>0</v>
      </c>
    </row>
    <row r="88" spans="1:14" x14ac:dyDescent="0.25">
      <c r="A88">
        <f>A22</f>
        <v>0</v>
      </c>
      <c r="B88" t="s">
        <v>102</v>
      </c>
      <c r="C88" s="24" t="e">
        <f>_xlfn.FORECAST.LINEAR(_xlfn.XLOOKUP(A88,'Inputs-Results'!$A$9:$A$35,'Inputs-Results'!$M$9:$M$35),INDEX(D88:N88,_xlfn.XMATCH(_xlfn.XLOOKUP(A88,'Inputs-Results'!$A$9:$A$35,'Inputs-Results'!$M$9:$M$35),D90:N90,-1)):INDEX(D88:N88,_xlfn.XMATCH(_xlfn.XLOOKUP(A88,'Inputs-Results'!$A$9:$A$35,'Inputs-Results'!$M$9:$M$35),D90:N90,1)),INDEX(D90:N90,_xlfn.XMATCH(_xlfn.XLOOKUP(A88,'Inputs-Results'!$A$9:$A$35,'Inputs-Results'!$M$9:$M$35),D90:N90,-1)):INDEX(D90:N90,_xlfn.XMATCH(_xlfn.XLOOKUP(A88,'Inputs-Results'!$A$9:$A$35,'Inputs-Results'!$M$9:$M$35),D90:N90,1)))</f>
        <v>#N/A</v>
      </c>
      <c r="D88" s="19">
        <f t="shared" ref="D88:M88" si="83">VLOOKUP($A88,$A$4:$BJ$30,3+6*D$32,FALSE)</f>
        <v>0</v>
      </c>
      <c r="E88" s="19">
        <f t="shared" si="83"/>
        <v>0</v>
      </c>
      <c r="F88" s="19">
        <f t="shared" si="83"/>
        <v>0</v>
      </c>
      <c r="G88" s="19">
        <f t="shared" si="83"/>
        <v>0</v>
      </c>
      <c r="H88" s="19">
        <f t="shared" si="83"/>
        <v>0</v>
      </c>
      <c r="I88" s="19">
        <f t="shared" si="83"/>
        <v>0</v>
      </c>
      <c r="J88" s="19">
        <f t="shared" si="83"/>
        <v>0</v>
      </c>
      <c r="K88" s="19">
        <f t="shared" si="83"/>
        <v>0</v>
      </c>
      <c r="L88" s="19">
        <f t="shared" si="83"/>
        <v>0</v>
      </c>
      <c r="M88" s="19">
        <f t="shared" si="83"/>
        <v>0</v>
      </c>
      <c r="N88" s="19">
        <v>0</v>
      </c>
    </row>
    <row r="89" spans="1:14" x14ac:dyDescent="0.25">
      <c r="A89" s="35">
        <f>A88</f>
        <v>0</v>
      </c>
      <c r="B89" t="s">
        <v>90</v>
      </c>
      <c r="C89" s="24" t="e">
        <f>IF(C88&gt;_xlfn.XLOOKUP(A89,'Inputs-Results'!$A$9:$A$35,'Inputs-Results'!$V$9:$V$35)-_xlfn.XLOOKUP(A89,'Inputs-Results'!$A$9:$A$35,'Inputs-Results'!$X$9:$X$35),(0.5*(ABS(_xlfn.XLOOKUP(A89,'Inputs-Results'!$A$9:$A$35,'Inputs-Results'!$S$9:$S$35)-_xlfn.XLOOKUP(A89,'Inputs-Results'!$A$9:$A$35,'Inputs-Results'!$U$9:$U$35))/(_xlfn.XLOOKUP(A89,'Inputs-Results'!$A$9:$A$35,'Inputs-Results'!$T$9:$T$35)-_xlfn.XLOOKUP(A89,'Inputs-Results'!$A$9:$A$35,'Inputs-Results'!$V$9:$V$35))*(C88-(_xlfn.XLOOKUP(A89,'Inputs-Results'!$A$9:$A$35,'Inputs-Results'!$V$9:$V$35)-_xlfn.XLOOKUP(A89,'Inputs-Results'!$A$9:$A$35,'Inputs-Results'!$X$9:$X$35))))*(C88-(_xlfn.XLOOKUP(A89,'Inputs-Results'!$A$9:$A$35,'Inputs-Results'!$V$9:$V$35)-_xlfn.XLOOKUP(A89,'Inputs-Results'!$A$9:$A$35,'Inputs-Results'!$X$9:$X$35)))),0)+IF(C88&gt;_xlfn.XLOOKUP(A89,'Inputs-Results'!$A$9:$A$35,'Inputs-Results'!$V$9:$V$35)-_xlfn.XLOOKUP(A89,'Inputs-Results'!$A$9:$A$35,'Inputs-Results'!$X$9:$X$35),(0.5*((C88+_xlfn.XLOOKUP(A89,'Inputs-Results'!$A$9:$A$35,'Inputs-Results'!$X$9:$X$35)-_xlfn.XLOOKUP(A89,'Inputs-Results'!$A$9:$A$35,'Inputs-Results'!$V$9:$V$35))+C88)*ABS(_xlfn.XLOOKUP(A89,'Inputs-Results'!$A$9:$A$35,'Inputs-Results'!$U$9:$U$35)-_xlfn.XLOOKUP(A89,'Inputs-Results'!$A$9:$A$35,'Inputs-Results'!$W$9:$W$35))),0.5*(ABS(_xlfn.XLOOKUP(A89,'Inputs-Results'!$A$9:$A$35,'Inputs-Results'!$U$9:$U$35)-_xlfn.XLOOKUP(A89,'Inputs-Results'!$A$9:$A$35,'Inputs-Results'!$W$9:$W$35))/(_xlfn.XLOOKUP(A89,'Inputs-Results'!$A$9:$A$35,'Inputs-Results'!$V$9:$V$35)-_xlfn.XLOOKUP(A89,'Inputs-Results'!$A$9:$A$35,'Inputs-Results'!$X$9:$X$35))*C88)*C88)+IF(C88&gt;_xlfn.XLOOKUP(A89,'Inputs-Results'!$A$9:$A$35,'Inputs-Results'!$Z$9:$Z$35)-_xlfn.XLOOKUP(A89,'Inputs-Results'!$A$9:$A$35,'Inputs-Results'!$X$9:$X$35),(0.5*((C88+_xlfn.XLOOKUP(A89,'Inputs-Results'!$A$9:$A$35,'Inputs-Results'!$X$9:$X$35)-_xlfn.XLOOKUP(A89,'Inputs-Results'!$A$9:$A$35,'Inputs-Results'!$Z$9:$Z$35))+C88)*ABS(_xlfn.XLOOKUP(A89,'Inputs-Results'!$A$9:$A$35,'Inputs-Results'!$Y$9:$Y$35)-_xlfn.XLOOKUP(A89,'Inputs-Results'!$A$9:$A$35,'Inputs-Results'!$W$9:$W$35))),0.5*(ABS(_xlfn.XLOOKUP(A89,'Inputs-Results'!$A$9:$A$35,'Inputs-Results'!$W$9:$W$35)-_xlfn.XLOOKUP(A89,'Inputs-Results'!$A$9:$A$35,'Inputs-Results'!$Y$9:$Y$35))/(_xlfn.XLOOKUP(A89,'Inputs-Results'!$A$9:$A$35,'Inputs-Results'!$Z$9:$Z$35)-_xlfn.XLOOKUP(A89,'Inputs-Results'!$A$9:$A$35,'Inputs-Results'!$X$9:$X$35))*C88)*C88)+IF(C88&gt;_xlfn.XLOOKUP(A89,'Inputs-Results'!$A$9:$A$35,'Inputs-Results'!$Z$9:$Z$35)-_xlfn.XLOOKUP(A89,'Inputs-Results'!$A$9:$A$35,'Inputs-Results'!$X$9:$X$35),(0.5*(ABS(_xlfn.XLOOKUP(A89,'Inputs-Results'!$A$9:$A$35,'Inputs-Results'!$Y$9:$Y$35)-_xlfn.XLOOKUP(A89,'Inputs-Results'!$A$9:$A$35,'Inputs-Results'!$AA$9:$AA$35))/(_xlfn.XLOOKUP(A89,'Inputs-Results'!$A$9:$A$35,'Inputs-Results'!$AB$9:$AB$35)-_xlfn.XLOOKUP(A89,'Inputs-Results'!$A$9:$A$35,'Inputs-Results'!$Z$9:$Z$35))*(C88-(_xlfn.XLOOKUP(A89,'Inputs-Results'!$A$9:$A$35,'Inputs-Results'!$Z$9:$Z$35)-_xlfn.XLOOKUP(A89,'Inputs-Results'!$A$9:$A$35,'Inputs-Results'!$X$9:$X$35))))*(C88-(_xlfn.XLOOKUP(A89,'Inputs-Results'!$A$9:$A$35,'Inputs-Results'!$Z$9:$Z$35)-_xlfn.XLOOKUP(A89,'Inputs-Results'!$A$9:$A$35,'Inputs-Results'!$X$9:$X$35)))),0)</f>
        <v>#N/A</v>
      </c>
      <c r="D89" s="19" t="e">
        <f>VLOOKUP($A89,$A$4:$BJ$30,4+6*D$32,FALSE)</f>
        <v>#DIV/0!</v>
      </c>
      <c r="E89" s="19" t="e">
        <f t="shared" ref="E89:M89" si="84">VLOOKUP($A89,$A$4:$BJ$30,4+6*E$32,FALSE)</f>
        <v>#DIV/0!</v>
      </c>
      <c r="F89" s="19" t="e">
        <f t="shared" si="84"/>
        <v>#DIV/0!</v>
      </c>
      <c r="G89" s="19" t="e">
        <f t="shared" si="84"/>
        <v>#DIV/0!</v>
      </c>
      <c r="H89" s="19" t="e">
        <f t="shared" si="84"/>
        <v>#DIV/0!</v>
      </c>
      <c r="I89" s="19" t="e">
        <f t="shared" si="84"/>
        <v>#DIV/0!</v>
      </c>
      <c r="J89" s="19" t="e">
        <f t="shared" si="84"/>
        <v>#DIV/0!</v>
      </c>
      <c r="K89" s="19" t="e">
        <f t="shared" si="84"/>
        <v>#DIV/0!</v>
      </c>
      <c r="L89" s="19" t="e">
        <f t="shared" si="84"/>
        <v>#DIV/0!</v>
      </c>
      <c r="M89" s="19" t="e">
        <f t="shared" si="84"/>
        <v>#DIV/0!</v>
      </c>
      <c r="N89" s="19">
        <v>0</v>
      </c>
    </row>
    <row r="90" spans="1:14" x14ac:dyDescent="0.25">
      <c r="A90" s="35">
        <f>A88</f>
        <v>0</v>
      </c>
      <c r="B90" t="s">
        <v>71</v>
      </c>
      <c r="C90" s="24"/>
      <c r="D90" s="19" t="e">
        <f t="shared" ref="D90:M90" si="85">VLOOKUP($A90,$A$4:$BJ$30,7+6*D$32,FALSE)</f>
        <v>#DIV/0!</v>
      </c>
      <c r="E90" s="19" t="e">
        <f t="shared" si="85"/>
        <v>#DIV/0!</v>
      </c>
      <c r="F90" s="19" t="e">
        <f t="shared" si="85"/>
        <v>#DIV/0!</v>
      </c>
      <c r="G90" s="19" t="e">
        <f t="shared" si="85"/>
        <v>#DIV/0!</v>
      </c>
      <c r="H90" s="19" t="e">
        <f t="shared" si="85"/>
        <v>#DIV/0!</v>
      </c>
      <c r="I90" s="19" t="e">
        <f t="shared" si="85"/>
        <v>#DIV/0!</v>
      </c>
      <c r="J90" s="19" t="e">
        <f t="shared" si="85"/>
        <v>#DIV/0!</v>
      </c>
      <c r="K90" s="19" t="e">
        <f t="shared" si="85"/>
        <v>#DIV/0!</v>
      </c>
      <c r="L90" s="19" t="e">
        <f t="shared" si="85"/>
        <v>#DIV/0!</v>
      </c>
      <c r="M90" s="19" t="e">
        <f t="shared" si="85"/>
        <v>#DIV/0!</v>
      </c>
      <c r="N90" s="19">
        <v>0</v>
      </c>
    </row>
    <row r="91" spans="1:14" x14ac:dyDescent="0.25">
      <c r="A91">
        <f>A23</f>
        <v>0</v>
      </c>
      <c r="B91" t="s">
        <v>102</v>
      </c>
      <c r="C91" s="24" t="e">
        <f>_xlfn.FORECAST.LINEAR(_xlfn.XLOOKUP(A91,'Inputs-Results'!$A$9:$A$35,'Inputs-Results'!$M$9:$M$35),INDEX(D91:N91,_xlfn.XMATCH(_xlfn.XLOOKUP(A91,'Inputs-Results'!$A$9:$A$35,'Inputs-Results'!$M$9:$M$35),D93:N93,-1)):INDEX(D91:N91,_xlfn.XMATCH(_xlfn.XLOOKUP(A91,'Inputs-Results'!$A$9:$A$35,'Inputs-Results'!$M$9:$M$35),D93:N93,1)),INDEX(D93:N93,_xlfn.XMATCH(_xlfn.XLOOKUP(A91,'Inputs-Results'!$A$9:$A$35,'Inputs-Results'!$M$9:$M$35),D93:N93,-1)):INDEX(D93:N93,_xlfn.XMATCH(_xlfn.XLOOKUP(A91,'Inputs-Results'!$A$9:$A$35,'Inputs-Results'!$M$9:$M$35),D93:N93,1)))</f>
        <v>#N/A</v>
      </c>
      <c r="D91" s="19">
        <f t="shared" ref="D91:M91" si="86">VLOOKUP($A91,$A$4:$BJ$30,3+6*D$32,FALSE)</f>
        <v>0</v>
      </c>
      <c r="E91" s="19">
        <f t="shared" si="86"/>
        <v>0</v>
      </c>
      <c r="F91" s="19">
        <f t="shared" si="86"/>
        <v>0</v>
      </c>
      <c r="G91" s="19">
        <f t="shared" si="86"/>
        <v>0</v>
      </c>
      <c r="H91" s="19">
        <f t="shared" si="86"/>
        <v>0</v>
      </c>
      <c r="I91" s="19">
        <f t="shared" si="86"/>
        <v>0</v>
      </c>
      <c r="J91" s="19">
        <f t="shared" si="86"/>
        <v>0</v>
      </c>
      <c r="K91" s="19">
        <f t="shared" si="86"/>
        <v>0</v>
      </c>
      <c r="L91" s="19">
        <f t="shared" si="86"/>
        <v>0</v>
      </c>
      <c r="M91" s="19">
        <f t="shared" si="86"/>
        <v>0</v>
      </c>
      <c r="N91" s="19">
        <v>0</v>
      </c>
    </row>
    <row r="92" spans="1:14" x14ac:dyDescent="0.25">
      <c r="A92" s="35">
        <f>A91</f>
        <v>0</v>
      </c>
      <c r="B92" t="s">
        <v>90</v>
      </c>
      <c r="C92" s="24" t="e">
        <f>IF(C91&gt;_xlfn.XLOOKUP(A92,'Inputs-Results'!$A$9:$A$35,'Inputs-Results'!$V$9:$V$35)-_xlfn.XLOOKUP(A92,'Inputs-Results'!$A$9:$A$35,'Inputs-Results'!$X$9:$X$35),(0.5*(ABS(_xlfn.XLOOKUP(A92,'Inputs-Results'!$A$9:$A$35,'Inputs-Results'!$S$9:$S$35)-_xlfn.XLOOKUP(A92,'Inputs-Results'!$A$9:$A$35,'Inputs-Results'!$U$9:$U$35))/(_xlfn.XLOOKUP(A92,'Inputs-Results'!$A$9:$A$35,'Inputs-Results'!$T$9:$T$35)-_xlfn.XLOOKUP(A92,'Inputs-Results'!$A$9:$A$35,'Inputs-Results'!$V$9:$V$35))*(C91-(_xlfn.XLOOKUP(A92,'Inputs-Results'!$A$9:$A$35,'Inputs-Results'!$V$9:$V$35)-_xlfn.XLOOKUP(A92,'Inputs-Results'!$A$9:$A$35,'Inputs-Results'!$X$9:$X$35))))*(C91-(_xlfn.XLOOKUP(A92,'Inputs-Results'!$A$9:$A$35,'Inputs-Results'!$V$9:$V$35)-_xlfn.XLOOKUP(A92,'Inputs-Results'!$A$9:$A$35,'Inputs-Results'!$X$9:$X$35)))),0)+IF(C91&gt;_xlfn.XLOOKUP(A92,'Inputs-Results'!$A$9:$A$35,'Inputs-Results'!$V$9:$V$35)-_xlfn.XLOOKUP(A92,'Inputs-Results'!$A$9:$A$35,'Inputs-Results'!$X$9:$X$35),(0.5*((C91+_xlfn.XLOOKUP(A92,'Inputs-Results'!$A$9:$A$35,'Inputs-Results'!$X$9:$X$35)-_xlfn.XLOOKUP(A92,'Inputs-Results'!$A$9:$A$35,'Inputs-Results'!$V$9:$V$35))+C91)*ABS(_xlfn.XLOOKUP(A92,'Inputs-Results'!$A$9:$A$35,'Inputs-Results'!$U$9:$U$35)-_xlfn.XLOOKUP(A92,'Inputs-Results'!$A$9:$A$35,'Inputs-Results'!$W$9:$W$35))),0.5*(ABS(_xlfn.XLOOKUP(A92,'Inputs-Results'!$A$9:$A$35,'Inputs-Results'!$U$9:$U$35)-_xlfn.XLOOKUP(A92,'Inputs-Results'!$A$9:$A$35,'Inputs-Results'!$W$9:$W$35))/(_xlfn.XLOOKUP(A92,'Inputs-Results'!$A$9:$A$35,'Inputs-Results'!$V$9:$V$35)-_xlfn.XLOOKUP(A92,'Inputs-Results'!$A$9:$A$35,'Inputs-Results'!$X$9:$X$35))*C91)*C91)+IF(C91&gt;_xlfn.XLOOKUP(A92,'Inputs-Results'!$A$9:$A$35,'Inputs-Results'!$Z$9:$Z$35)-_xlfn.XLOOKUP(A92,'Inputs-Results'!$A$9:$A$35,'Inputs-Results'!$X$9:$X$35),(0.5*((C91+_xlfn.XLOOKUP(A92,'Inputs-Results'!$A$9:$A$35,'Inputs-Results'!$X$9:$X$35)-_xlfn.XLOOKUP(A92,'Inputs-Results'!$A$9:$A$35,'Inputs-Results'!$Z$9:$Z$35))+C91)*ABS(_xlfn.XLOOKUP(A92,'Inputs-Results'!$A$9:$A$35,'Inputs-Results'!$Y$9:$Y$35)-_xlfn.XLOOKUP(A92,'Inputs-Results'!$A$9:$A$35,'Inputs-Results'!$W$9:$W$35))),0.5*(ABS(_xlfn.XLOOKUP(A92,'Inputs-Results'!$A$9:$A$35,'Inputs-Results'!$W$9:$W$35)-_xlfn.XLOOKUP(A92,'Inputs-Results'!$A$9:$A$35,'Inputs-Results'!$Y$9:$Y$35))/(_xlfn.XLOOKUP(A92,'Inputs-Results'!$A$9:$A$35,'Inputs-Results'!$Z$9:$Z$35)-_xlfn.XLOOKUP(A92,'Inputs-Results'!$A$9:$A$35,'Inputs-Results'!$X$9:$X$35))*C91)*C91)+IF(C91&gt;_xlfn.XLOOKUP(A92,'Inputs-Results'!$A$9:$A$35,'Inputs-Results'!$Z$9:$Z$35)-_xlfn.XLOOKUP(A92,'Inputs-Results'!$A$9:$A$35,'Inputs-Results'!$X$9:$X$35),(0.5*(ABS(_xlfn.XLOOKUP(A92,'Inputs-Results'!$A$9:$A$35,'Inputs-Results'!$Y$9:$Y$35)-_xlfn.XLOOKUP(A92,'Inputs-Results'!$A$9:$A$35,'Inputs-Results'!$AA$9:$AA$35))/(_xlfn.XLOOKUP(A92,'Inputs-Results'!$A$9:$A$35,'Inputs-Results'!$AB$9:$AB$35)-_xlfn.XLOOKUP(A92,'Inputs-Results'!$A$9:$A$35,'Inputs-Results'!$Z$9:$Z$35))*(C91-(_xlfn.XLOOKUP(A92,'Inputs-Results'!$A$9:$A$35,'Inputs-Results'!$Z$9:$Z$35)-_xlfn.XLOOKUP(A92,'Inputs-Results'!$A$9:$A$35,'Inputs-Results'!$X$9:$X$35))))*(C91-(_xlfn.XLOOKUP(A92,'Inputs-Results'!$A$9:$A$35,'Inputs-Results'!$Z$9:$Z$35)-_xlfn.XLOOKUP(A92,'Inputs-Results'!$A$9:$A$35,'Inputs-Results'!$X$9:$X$35)))),0)</f>
        <v>#N/A</v>
      </c>
      <c r="D92" s="19" t="e">
        <f>VLOOKUP($A92,$A$4:$BJ$30,4+6*D$32,FALSE)</f>
        <v>#DIV/0!</v>
      </c>
      <c r="E92" s="19" t="e">
        <f t="shared" ref="E92:M92" si="87">VLOOKUP($A92,$A$4:$BJ$30,4+6*E$32,FALSE)</f>
        <v>#DIV/0!</v>
      </c>
      <c r="F92" s="19" t="e">
        <f t="shared" si="87"/>
        <v>#DIV/0!</v>
      </c>
      <c r="G92" s="19" t="e">
        <f t="shared" si="87"/>
        <v>#DIV/0!</v>
      </c>
      <c r="H92" s="19" t="e">
        <f t="shared" si="87"/>
        <v>#DIV/0!</v>
      </c>
      <c r="I92" s="19" t="e">
        <f t="shared" si="87"/>
        <v>#DIV/0!</v>
      </c>
      <c r="J92" s="19" t="e">
        <f t="shared" si="87"/>
        <v>#DIV/0!</v>
      </c>
      <c r="K92" s="19" t="e">
        <f t="shared" si="87"/>
        <v>#DIV/0!</v>
      </c>
      <c r="L92" s="19" t="e">
        <f t="shared" si="87"/>
        <v>#DIV/0!</v>
      </c>
      <c r="M92" s="19" t="e">
        <f t="shared" si="87"/>
        <v>#DIV/0!</v>
      </c>
      <c r="N92" s="19">
        <v>0</v>
      </c>
    </row>
    <row r="93" spans="1:14" x14ac:dyDescent="0.25">
      <c r="A93" s="35">
        <f>A91</f>
        <v>0</v>
      </c>
      <c r="B93" t="s">
        <v>71</v>
      </c>
      <c r="C93" s="24"/>
      <c r="D93" s="19" t="e">
        <f t="shared" ref="D93:M93" si="88">VLOOKUP($A93,$A$4:$BJ$30,7+6*D$32,FALSE)</f>
        <v>#DIV/0!</v>
      </c>
      <c r="E93" s="19" t="e">
        <f t="shared" si="88"/>
        <v>#DIV/0!</v>
      </c>
      <c r="F93" s="19" t="e">
        <f t="shared" si="88"/>
        <v>#DIV/0!</v>
      </c>
      <c r="G93" s="19" t="e">
        <f t="shared" si="88"/>
        <v>#DIV/0!</v>
      </c>
      <c r="H93" s="19" t="e">
        <f t="shared" si="88"/>
        <v>#DIV/0!</v>
      </c>
      <c r="I93" s="19" t="e">
        <f t="shared" si="88"/>
        <v>#DIV/0!</v>
      </c>
      <c r="J93" s="19" t="e">
        <f t="shared" si="88"/>
        <v>#DIV/0!</v>
      </c>
      <c r="K93" s="19" t="e">
        <f t="shared" si="88"/>
        <v>#DIV/0!</v>
      </c>
      <c r="L93" s="19" t="e">
        <f t="shared" si="88"/>
        <v>#DIV/0!</v>
      </c>
      <c r="M93" s="19" t="e">
        <f t="shared" si="88"/>
        <v>#DIV/0!</v>
      </c>
      <c r="N93" s="19">
        <v>0</v>
      </c>
    </row>
    <row r="94" spans="1:14" x14ac:dyDescent="0.25">
      <c r="A94">
        <f>A24</f>
        <v>0</v>
      </c>
      <c r="B94" t="s">
        <v>102</v>
      </c>
      <c r="C94" s="24" t="e">
        <f>_xlfn.FORECAST.LINEAR(_xlfn.XLOOKUP(A94,'Inputs-Results'!$A$9:$A$35,'Inputs-Results'!$M$9:$M$35),INDEX(D94:N94,_xlfn.XMATCH(_xlfn.XLOOKUP(A94,'Inputs-Results'!$A$9:$A$35,'Inputs-Results'!$M$9:$M$35),D96:N96,-1)):INDEX(D94:N94,_xlfn.XMATCH(_xlfn.XLOOKUP(A94,'Inputs-Results'!$A$9:$A$35,'Inputs-Results'!$M$9:$M$35),D96:N96,1)),INDEX(D96:N96,_xlfn.XMATCH(_xlfn.XLOOKUP(A94,'Inputs-Results'!$A$9:$A$35,'Inputs-Results'!$M$9:$M$35),D96:N96,-1)):INDEX(D96:N96,_xlfn.XMATCH(_xlfn.XLOOKUP(A94,'Inputs-Results'!$A$9:$A$35,'Inputs-Results'!$M$9:$M$35),D96:N96,1)))</f>
        <v>#N/A</v>
      </c>
      <c r="D94" s="19">
        <f t="shared" ref="D94:M94" si="89">VLOOKUP($A94,$A$4:$BJ$30,3+6*D$32,FALSE)</f>
        <v>0</v>
      </c>
      <c r="E94" s="19">
        <f t="shared" si="89"/>
        <v>0</v>
      </c>
      <c r="F94" s="19">
        <f t="shared" si="89"/>
        <v>0</v>
      </c>
      <c r="G94" s="19">
        <f t="shared" si="89"/>
        <v>0</v>
      </c>
      <c r="H94" s="19">
        <f t="shared" si="89"/>
        <v>0</v>
      </c>
      <c r="I94" s="19">
        <f t="shared" si="89"/>
        <v>0</v>
      </c>
      <c r="J94" s="19">
        <f t="shared" si="89"/>
        <v>0</v>
      </c>
      <c r="K94" s="19">
        <f t="shared" si="89"/>
        <v>0</v>
      </c>
      <c r="L94" s="19">
        <f t="shared" si="89"/>
        <v>0</v>
      </c>
      <c r="M94" s="19">
        <f t="shared" si="89"/>
        <v>0</v>
      </c>
      <c r="N94" s="19">
        <v>0</v>
      </c>
    </row>
    <row r="95" spans="1:14" x14ac:dyDescent="0.25">
      <c r="A95" s="35">
        <f>A94</f>
        <v>0</v>
      </c>
      <c r="B95" t="s">
        <v>90</v>
      </c>
      <c r="C95" s="24" t="e">
        <f>IF(C94&gt;_xlfn.XLOOKUP(A95,'Inputs-Results'!$A$9:$A$35,'Inputs-Results'!$V$9:$V$35)-_xlfn.XLOOKUP(A95,'Inputs-Results'!$A$9:$A$35,'Inputs-Results'!$X$9:$X$35),(0.5*(ABS(_xlfn.XLOOKUP(A95,'Inputs-Results'!$A$9:$A$35,'Inputs-Results'!$S$9:$S$35)-_xlfn.XLOOKUP(A95,'Inputs-Results'!$A$9:$A$35,'Inputs-Results'!$U$9:$U$35))/(_xlfn.XLOOKUP(A95,'Inputs-Results'!$A$9:$A$35,'Inputs-Results'!$T$9:$T$35)-_xlfn.XLOOKUP(A95,'Inputs-Results'!$A$9:$A$35,'Inputs-Results'!$V$9:$V$35))*(C94-(_xlfn.XLOOKUP(A95,'Inputs-Results'!$A$9:$A$35,'Inputs-Results'!$V$9:$V$35)-_xlfn.XLOOKUP(A95,'Inputs-Results'!$A$9:$A$35,'Inputs-Results'!$X$9:$X$35))))*(C94-(_xlfn.XLOOKUP(A95,'Inputs-Results'!$A$9:$A$35,'Inputs-Results'!$V$9:$V$35)-_xlfn.XLOOKUP(A95,'Inputs-Results'!$A$9:$A$35,'Inputs-Results'!$X$9:$X$35)))),0)+IF(C94&gt;_xlfn.XLOOKUP(A95,'Inputs-Results'!$A$9:$A$35,'Inputs-Results'!$V$9:$V$35)-_xlfn.XLOOKUP(A95,'Inputs-Results'!$A$9:$A$35,'Inputs-Results'!$X$9:$X$35),(0.5*((C94+_xlfn.XLOOKUP(A95,'Inputs-Results'!$A$9:$A$35,'Inputs-Results'!$X$9:$X$35)-_xlfn.XLOOKUP(A95,'Inputs-Results'!$A$9:$A$35,'Inputs-Results'!$V$9:$V$35))+C94)*ABS(_xlfn.XLOOKUP(A95,'Inputs-Results'!$A$9:$A$35,'Inputs-Results'!$U$9:$U$35)-_xlfn.XLOOKUP(A95,'Inputs-Results'!$A$9:$A$35,'Inputs-Results'!$W$9:$W$35))),0.5*(ABS(_xlfn.XLOOKUP(A95,'Inputs-Results'!$A$9:$A$35,'Inputs-Results'!$U$9:$U$35)-_xlfn.XLOOKUP(A95,'Inputs-Results'!$A$9:$A$35,'Inputs-Results'!$W$9:$W$35))/(_xlfn.XLOOKUP(A95,'Inputs-Results'!$A$9:$A$35,'Inputs-Results'!$V$9:$V$35)-_xlfn.XLOOKUP(A95,'Inputs-Results'!$A$9:$A$35,'Inputs-Results'!$X$9:$X$35))*C94)*C94)+IF(C94&gt;_xlfn.XLOOKUP(A95,'Inputs-Results'!$A$9:$A$35,'Inputs-Results'!$Z$9:$Z$35)-_xlfn.XLOOKUP(A95,'Inputs-Results'!$A$9:$A$35,'Inputs-Results'!$X$9:$X$35),(0.5*((C94+_xlfn.XLOOKUP(A95,'Inputs-Results'!$A$9:$A$35,'Inputs-Results'!$X$9:$X$35)-_xlfn.XLOOKUP(A95,'Inputs-Results'!$A$9:$A$35,'Inputs-Results'!$Z$9:$Z$35))+C94)*ABS(_xlfn.XLOOKUP(A95,'Inputs-Results'!$A$9:$A$35,'Inputs-Results'!$Y$9:$Y$35)-_xlfn.XLOOKUP(A95,'Inputs-Results'!$A$9:$A$35,'Inputs-Results'!$W$9:$W$35))),0.5*(ABS(_xlfn.XLOOKUP(A95,'Inputs-Results'!$A$9:$A$35,'Inputs-Results'!$W$9:$W$35)-_xlfn.XLOOKUP(A95,'Inputs-Results'!$A$9:$A$35,'Inputs-Results'!$Y$9:$Y$35))/(_xlfn.XLOOKUP(A95,'Inputs-Results'!$A$9:$A$35,'Inputs-Results'!$Z$9:$Z$35)-_xlfn.XLOOKUP(A95,'Inputs-Results'!$A$9:$A$35,'Inputs-Results'!$X$9:$X$35))*C94)*C94)+IF(C94&gt;_xlfn.XLOOKUP(A95,'Inputs-Results'!$A$9:$A$35,'Inputs-Results'!$Z$9:$Z$35)-_xlfn.XLOOKUP(A95,'Inputs-Results'!$A$9:$A$35,'Inputs-Results'!$X$9:$X$35),(0.5*(ABS(_xlfn.XLOOKUP(A95,'Inputs-Results'!$A$9:$A$35,'Inputs-Results'!$Y$9:$Y$35)-_xlfn.XLOOKUP(A95,'Inputs-Results'!$A$9:$A$35,'Inputs-Results'!$AA$9:$AA$35))/(_xlfn.XLOOKUP(A95,'Inputs-Results'!$A$9:$A$35,'Inputs-Results'!$AB$9:$AB$35)-_xlfn.XLOOKUP(A95,'Inputs-Results'!$A$9:$A$35,'Inputs-Results'!$Z$9:$Z$35))*(C94-(_xlfn.XLOOKUP(A95,'Inputs-Results'!$A$9:$A$35,'Inputs-Results'!$Z$9:$Z$35)-_xlfn.XLOOKUP(A95,'Inputs-Results'!$A$9:$A$35,'Inputs-Results'!$X$9:$X$35))))*(C94-(_xlfn.XLOOKUP(A95,'Inputs-Results'!$A$9:$A$35,'Inputs-Results'!$Z$9:$Z$35)-_xlfn.XLOOKUP(A95,'Inputs-Results'!$A$9:$A$35,'Inputs-Results'!$X$9:$X$35)))),0)</f>
        <v>#N/A</v>
      </c>
      <c r="D95" s="19" t="e">
        <f>VLOOKUP($A95,$A$4:$BJ$30,4+6*D$32,FALSE)</f>
        <v>#DIV/0!</v>
      </c>
      <c r="E95" s="19" t="e">
        <f t="shared" ref="E95:M95" si="90">VLOOKUP($A95,$A$4:$BJ$30,4+6*E$32,FALSE)</f>
        <v>#DIV/0!</v>
      </c>
      <c r="F95" s="19" t="e">
        <f t="shared" si="90"/>
        <v>#DIV/0!</v>
      </c>
      <c r="G95" s="19" t="e">
        <f t="shared" si="90"/>
        <v>#DIV/0!</v>
      </c>
      <c r="H95" s="19" t="e">
        <f t="shared" si="90"/>
        <v>#DIV/0!</v>
      </c>
      <c r="I95" s="19" t="e">
        <f t="shared" si="90"/>
        <v>#DIV/0!</v>
      </c>
      <c r="J95" s="19" t="e">
        <f t="shared" si="90"/>
        <v>#DIV/0!</v>
      </c>
      <c r="K95" s="19" t="e">
        <f t="shared" si="90"/>
        <v>#DIV/0!</v>
      </c>
      <c r="L95" s="19" t="e">
        <f t="shared" si="90"/>
        <v>#DIV/0!</v>
      </c>
      <c r="M95" s="19" t="e">
        <f t="shared" si="90"/>
        <v>#DIV/0!</v>
      </c>
      <c r="N95" s="19">
        <v>0</v>
      </c>
    </row>
    <row r="96" spans="1:14" x14ac:dyDescent="0.25">
      <c r="A96" s="35">
        <f>A94</f>
        <v>0</v>
      </c>
      <c r="B96" t="s">
        <v>71</v>
      </c>
      <c r="C96" s="24"/>
      <c r="D96" s="19" t="e">
        <f t="shared" ref="D96:M96" si="91">VLOOKUP($A96,$A$4:$BJ$30,7+6*D$32,FALSE)</f>
        <v>#DIV/0!</v>
      </c>
      <c r="E96" s="19" t="e">
        <f t="shared" si="91"/>
        <v>#DIV/0!</v>
      </c>
      <c r="F96" s="19" t="e">
        <f t="shared" si="91"/>
        <v>#DIV/0!</v>
      </c>
      <c r="G96" s="19" t="e">
        <f t="shared" si="91"/>
        <v>#DIV/0!</v>
      </c>
      <c r="H96" s="19" t="e">
        <f t="shared" si="91"/>
        <v>#DIV/0!</v>
      </c>
      <c r="I96" s="19" t="e">
        <f t="shared" si="91"/>
        <v>#DIV/0!</v>
      </c>
      <c r="J96" s="19" t="e">
        <f t="shared" si="91"/>
        <v>#DIV/0!</v>
      </c>
      <c r="K96" s="19" t="e">
        <f t="shared" si="91"/>
        <v>#DIV/0!</v>
      </c>
      <c r="L96" s="19" t="e">
        <f t="shared" si="91"/>
        <v>#DIV/0!</v>
      </c>
      <c r="M96" s="19" t="e">
        <f t="shared" si="91"/>
        <v>#DIV/0!</v>
      </c>
      <c r="N96" s="19">
        <v>0</v>
      </c>
    </row>
    <row r="97" spans="1:14" x14ac:dyDescent="0.25">
      <c r="A97">
        <f>A25</f>
        <v>0</v>
      </c>
      <c r="B97" t="s">
        <v>102</v>
      </c>
      <c r="C97" s="24" t="e">
        <f>_xlfn.FORECAST.LINEAR(_xlfn.XLOOKUP(A97,'Inputs-Results'!$A$9:$A$35,'Inputs-Results'!$M$9:$M$35),INDEX(D97:N97,_xlfn.XMATCH(_xlfn.XLOOKUP(A97,'Inputs-Results'!$A$9:$A$35,'Inputs-Results'!$M$9:$M$35),D99:N99,-1)):INDEX(D97:N97,_xlfn.XMATCH(_xlfn.XLOOKUP(A97,'Inputs-Results'!$A$9:$A$35,'Inputs-Results'!$M$9:$M$35),D99:N99,1)),INDEX(D99:N99,_xlfn.XMATCH(_xlfn.XLOOKUP(A97,'Inputs-Results'!$A$9:$A$35,'Inputs-Results'!$M$9:$M$35),D99:N99,-1)):INDEX(D99:N99,_xlfn.XMATCH(_xlfn.XLOOKUP(A97,'Inputs-Results'!$A$9:$A$35,'Inputs-Results'!$M$9:$M$35),D99:N99,1)))</f>
        <v>#N/A</v>
      </c>
      <c r="D97" s="19">
        <f t="shared" ref="D97:M97" si="92">VLOOKUP($A97,$A$4:$BJ$30,3+6*D$32,FALSE)</f>
        <v>0</v>
      </c>
      <c r="E97" s="19">
        <f t="shared" si="92"/>
        <v>0</v>
      </c>
      <c r="F97" s="19">
        <f t="shared" si="92"/>
        <v>0</v>
      </c>
      <c r="G97" s="19">
        <f t="shared" si="92"/>
        <v>0</v>
      </c>
      <c r="H97" s="19">
        <f t="shared" si="92"/>
        <v>0</v>
      </c>
      <c r="I97" s="19">
        <f t="shared" si="92"/>
        <v>0</v>
      </c>
      <c r="J97" s="19">
        <f t="shared" si="92"/>
        <v>0</v>
      </c>
      <c r="K97" s="19">
        <f t="shared" si="92"/>
        <v>0</v>
      </c>
      <c r="L97" s="19">
        <f t="shared" si="92"/>
        <v>0</v>
      </c>
      <c r="M97" s="19">
        <f t="shared" si="92"/>
        <v>0</v>
      </c>
      <c r="N97" s="19">
        <v>0</v>
      </c>
    </row>
    <row r="98" spans="1:14" x14ac:dyDescent="0.25">
      <c r="A98" s="35">
        <f>A97</f>
        <v>0</v>
      </c>
      <c r="B98" t="s">
        <v>90</v>
      </c>
      <c r="C98" s="24" t="e">
        <f>IF(C97&gt;_xlfn.XLOOKUP(A98,'Inputs-Results'!$A$9:$A$35,'Inputs-Results'!$V$9:$V$35)-_xlfn.XLOOKUP(A98,'Inputs-Results'!$A$9:$A$35,'Inputs-Results'!$X$9:$X$35),(0.5*(ABS(_xlfn.XLOOKUP(A98,'Inputs-Results'!$A$9:$A$35,'Inputs-Results'!$S$9:$S$35)-_xlfn.XLOOKUP(A98,'Inputs-Results'!$A$9:$A$35,'Inputs-Results'!$U$9:$U$35))/(_xlfn.XLOOKUP(A98,'Inputs-Results'!$A$9:$A$35,'Inputs-Results'!$T$9:$T$35)-_xlfn.XLOOKUP(A98,'Inputs-Results'!$A$9:$A$35,'Inputs-Results'!$V$9:$V$35))*(C97-(_xlfn.XLOOKUP(A98,'Inputs-Results'!$A$9:$A$35,'Inputs-Results'!$V$9:$V$35)-_xlfn.XLOOKUP(A98,'Inputs-Results'!$A$9:$A$35,'Inputs-Results'!$X$9:$X$35))))*(C97-(_xlfn.XLOOKUP(A98,'Inputs-Results'!$A$9:$A$35,'Inputs-Results'!$V$9:$V$35)-_xlfn.XLOOKUP(A98,'Inputs-Results'!$A$9:$A$35,'Inputs-Results'!$X$9:$X$35)))),0)+IF(C97&gt;_xlfn.XLOOKUP(A98,'Inputs-Results'!$A$9:$A$35,'Inputs-Results'!$V$9:$V$35)-_xlfn.XLOOKUP(A98,'Inputs-Results'!$A$9:$A$35,'Inputs-Results'!$X$9:$X$35),(0.5*((C97+_xlfn.XLOOKUP(A98,'Inputs-Results'!$A$9:$A$35,'Inputs-Results'!$X$9:$X$35)-_xlfn.XLOOKUP(A98,'Inputs-Results'!$A$9:$A$35,'Inputs-Results'!$V$9:$V$35))+C97)*ABS(_xlfn.XLOOKUP(A98,'Inputs-Results'!$A$9:$A$35,'Inputs-Results'!$U$9:$U$35)-_xlfn.XLOOKUP(A98,'Inputs-Results'!$A$9:$A$35,'Inputs-Results'!$W$9:$W$35))),0.5*(ABS(_xlfn.XLOOKUP(A98,'Inputs-Results'!$A$9:$A$35,'Inputs-Results'!$U$9:$U$35)-_xlfn.XLOOKUP(A98,'Inputs-Results'!$A$9:$A$35,'Inputs-Results'!$W$9:$W$35))/(_xlfn.XLOOKUP(A98,'Inputs-Results'!$A$9:$A$35,'Inputs-Results'!$V$9:$V$35)-_xlfn.XLOOKUP(A98,'Inputs-Results'!$A$9:$A$35,'Inputs-Results'!$X$9:$X$35))*C97)*C97)+IF(C97&gt;_xlfn.XLOOKUP(A98,'Inputs-Results'!$A$9:$A$35,'Inputs-Results'!$Z$9:$Z$35)-_xlfn.XLOOKUP(A98,'Inputs-Results'!$A$9:$A$35,'Inputs-Results'!$X$9:$X$35),(0.5*((C97+_xlfn.XLOOKUP(A98,'Inputs-Results'!$A$9:$A$35,'Inputs-Results'!$X$9:$X$35)-_xlfn.XLOOKUP(A98,'Inputs-Results'!$A$9:$A$35,'Inputs-Results'!$Z$9:$Z$35))+C97)*ABS(_xlfn.XLOOKUP(A98,'Inputs-Results'!$A$9:$A$35,'Inputs-Results'!$Y$9:$Y$35)-_xlfn.XLOOKUP(A98,'Inputs-Results'!$A$9:$A$35,'Inputs-Results'!$W$9:$W$35))),0.5*(ABS(_xlfn.XLOOKUP(A98,'Inputs-Results'!$A$9:$A$35,'Inputs-Results'!$W$9:$W$35)-_xlfn.XLOOKUP(A98,'Inputs-Results'!$A$9:$A$35,'Inputs-Results'!$Y$9:$Y$35))/(_xlfn.XLOOKUP(A98,'Inputs-Results'!$A$9:$A$35,'Inputs-Results'!$Z$9:$Z$35)-_xlfn.XLOOKUP(A98,'Inputs-Results'!$A$9:$A$35,'Inputs-Results'!$X$9:$X$35))*C97)*C97)+IF(C97&gt;_xlfn.XLOOKUP(A98,'Inputs-Results'!$A$9:$A$35,'Inputs-Results'!$Z$9:$Z$35)-_xlfn.XLOOKUP(A98,'Inputs-Results'!$A$9:$A$35,'Inputs-Results'!$X$9:$X$35),(0.5*(ABS(_xlfn.XLOOKUP(A98,'Inputs-Results'!$A$9:$A$35,'Inputs-Results'!$Y$9:$Y$35)-_xlfn.XLOOKUP(A98,'Inputs-Results'!$A$9:$A$35,'Inputs-Results'!$AA$9:$AA$35))/(_xlfn.XLOOKUP(A98,'Inputs-Results'!$A$9:$A$35,'Inputs-Results'!$AB$9:$AB$35)-_xlfn.XLOOKUP(A98,'Inputs-Results'!$A$9:$A$35,'Inputs-Results'!$Z$9:$Z$35))*(C97-(_xlfn.XLOOKUP(A98,'Inputs-Results'!$A$9:$A$35,'Inputs-Results'!$Z$9:$Z$35)-_xlfn.XLOOKUP(A98,'Inputs-Results'!$A$9:$A$35,'Inputs-Results'!$X$9:$X$35))))*(C97-(_xlfn.XLOOKUP(A98,'Inputs-Results'!$A$9:$A$35,'Inputs-Results'!$Z$9:$Z$35)-_xlfn.XLOOKUP(A98,'Inputs-Results'!$A$9:$A$35,'Inputs-Results'!$X$9:$X$35)))),0)</f>
        <v>#N/A</v>
      </c>
      <c r="D98" s="19" t="e">
        <f>VLOOKUP($A98,$A$4:$BJ$30,4+6*D$32,FALSE)</f>
        <v>#DIV/0!</v>
      </c>
      <c r="E98" s="19" t="e">
        <f t="shared" ref="E98:M98" si="93">VLOOKUP($A98,$A$4:$BJ$30,4+6*E$32,FALSE)</f>
        <v>#DIV/0!</v>
      </c>
      <c r="F98" s="19" t="e">
        <f t="shared" si="93"/>
        <v>#DIV/0!</v>
      </c>
      <c r="G98" s="19" t="e">
        <f t="shared" si="93"/>
        <v>#DIV/0!</v>
      </c>
      <c r="H98" s="19" t="e">
        <f t="shared" si="93"/>
        <v>#DIV/0!</v>
      </c>
      <c r="I98" s="19" t="e">
        <f t="shared" si="93"/>
        <v>#DIV/0!</v>
      </c>
      <c r="J98" s="19" t="e">
        <f t="shared" si="93"/>
        <v>#DIV/0!</v>
      </c>
      <c r="K98" s="19" t="e">
        <f t="shared" si="93"/>
        <v>#DIV/0!</v>
      </c>
      <c r="L98" s="19" t="e">
        <f t="shared" si="93"/>
        <v>#DIV/0!</v>
      </c>
      <c r="M98" s="19" t="e">
        <f t="shared" si="93"/>
        <v>#DIV/0!</v>
      </c>
      <c r="N98" s="19">
        <v>0</v>
      </c>
    </row>
    <row r="99" spans="1:14" x14ac:dyDescent="0.25">
      <c r="A99" s="35">
        <f>A97</f>
        <v>0</v>
      </c>
      <c r="B99" t="s">
        <v>71</v>
      </c>
      <c r="C99" s="24"/>
      <c r="D99" s="19" t="e">
        <f t="shared" ref="D99:M99" si="94">VLOOKUP($A99,$A$4:$BJ$30,7+6*D$32,FALSE)</f>
        <v>#DIV/0!</v>
      </c>
      <c r="E99" s="19" t="e">
        <f t="shared" si="94"/>
        <v>#DIV/0!</v>
      </c>
      <c r="F99" s="19" t="e">
        <f t="shared" si="94"/>
        <v>#DIV/0!</v>
      </c>
      <c r="G99" s="19" t="e">
        <f t="shared" si="94"/>
        <v>#DIV/0!</v>
      </c>
      <c r="H99" s="19" t="e">
        <f t="shared" si="94"/>
        <v>#DIV/0!</v>
      </c>
      <c r="I99" s="19" t="e">
        <f t="shared" si="94"/>
        <v>#DIV/0!</v>
      </c>
      <c r="J99" s="19" t="e">
        <f t="shared" si="94"/>
        <v>#DIV/0!</v>
      </c>
      <c r="K99" s="19" t="e">
        <f t="shared" si="94"/>
        <v>#DIV/0!</v>
      </c>
      <c r="L99" s="19" t="e">
        <f t="shared" si="94"/>
        <v>#DIV/0!</v>
      </c>
      <c r="M99" s="19" t="e">
        <f t="shared" si="94"/>
        <v>#DIV/0!</v>
      </c>
      <c r="N99" s="19">
        <v>0</v>
      </c>
    </row>
    <row r="100" spans="1:14" x14ac:dyDescent="0.25">
      <c r="A100">
        <f>A26</f>
        <v>0</v>
      </c>
      <c r="B100" t="s">
        <v>102</v>
      </c>
      <c r="C100" s="24" t="e">
        <f>_xlfn.FORECAST.LINEAR(_xlfn.XLOOKUP(A100,'Inputs-Results'!$A$9:$A$35,'Inputs-Results'!$M$9:$M$35),INDEX(D100:N100,_xlfn.XMATCH(_xlfn.XLOOKUP(A100,'Inputs-Results'!$A$9:$A$35,'Inputs-Results'!$M$9:$M$35),D102:N102,-1)):INDEX(D100:N100,_xlfn.XMATCH(_xlfn.XLOOKUP(A100,'Inputs-Results'!$A$9:$A$35,'Inputs-Results'!$M$9:$M$35),D102:N102,1)),INDEX(D102:N102,_xlfn.XMATCH(_xlfn.XLOOKUP(A100,'Inputs-Results'!$A$9:$A$35,'Inputs-Results'!$M$9:$M$35),D102:N102,-1)):INDEX(D102:N102,_xlfn.XMATCH(_xlfn.XLOOKUP(A100,'Inputs-Results'!$A$9:$A$35,'Inputs-Results'!$M$9:$M$35),D102:N102,1)))</f>
        <v>#N/A</v>
      </c>
      <c r="D100" s="19">
        <f t="shared" ref="D100:M100" si="95">VLOOKUP($A100,$A$4:$BJ$30,3+6*D$32,FALSE)</f>
        <v>0</v>
      </c>
      <c r="E100" s="19">
        <f t="shared" si="95"/>
        <v>0</v>
      </c>
      <c r="F100" s="19">
        <f t="shared" si="95"/>
        <v>0</v>
      </c>
      <c r="G100" s="19">
        <f t="shared" si="95"/>
        <v>0</v>
      </c>
      <c r="H100" s="19">
        <f t="shared" si="95"/>
        <v>0</v>
      </c>
      <c r="I100" s="19">
        <f t="shared" si="95"/>
        <v>0</v>
      </c>
      <c r="J100" s="19">
        <f t="shared" si="95"/>
        <v>0</v>
      </c>
      <c r="K100" s="19">
        <f t="shared" si="95"/>
        <v>0</v>
      </c>
      <c r="L100" s="19">
        <f t="shared" si="95"/>
        <v>0</v>
      </c>
      <c r="M100" s="19">
        <f t="shared" si="95"/>
        <v>0</v>
      </c>
      <c r="N100" s="19">
        <v>0</v>
      </c>
    </row>
    <row r="101" spans="1:14" x14ac:dyDescent="0.25">
      <c r="A101" s="35">
        <f>A100</f>
        <v>0</v>
      </c>
      <c r="B101" t="s">
        <v>90</v>
      </c>
      <c r="C101" s="24" t="e">
        <f>IF(C100&gt;_xlfn.XLOOKUP(A101,'Inputs-Results'!$A$9:$A$35,'Inputs-Results'!$V$9:$V$35)-_xlfn.XLOOKUP(A101,'Inputs-Results'!$A$9:$A$35,'Inputs-Results'!$X$9:$X$35),(0.5*(ABS(_xlfn.XLOOKUP(A101,'Inputs-Results'!$A$9:$A$35,'Inputs-Results'!$S$9:$S$35)-_xlfn.XLOOKUP(A101,'Inputs-Results'!$A$9:$A$35,'Inputs-Results'!$U$9:$U$35))/(_xlfn.XLOOKUP(A101,'Inputs-Results'!$A$9:$A$35,'Inputs-Results'!$T$9:$T$35)-_xlfn.XLOOKUP(A101,'Inputs-Results'!$A$9:$A$35,'Inputs-Results'!$V$9:$V$35))*(C100-(_xlfn.XLOOKUP(A101,'Inputs-Results'!$A$9:$A$35,'Inputs-Results'!$V$9:$V$35)-_xlfn.XLOOKUP(A101,'Inputs-Results'!$A$9:$A$35,'Inputs-Results'!$X$9:$X$35))))*(C100-(_xlfn.XLOOKUP(A101,'Inputs-Results'!$A$9:$A$35,'Inputs-Results'!$V$9:$V$35)-_xlfn.XLOOKUP(A101,'Inputs-Results'!$A$9:$A$35,'Inputs-Results'!$X$9:$X$35)))),0)+IF(C100&gt;_xlfn.XLOOKUP(A101,'Inputs-Results'!$A$9:$A$35,'Inputs-Results'!$V$9:$V$35)-_xlfn.XLOOKUP(A101,'Inputs-Results'!$A$9:$A$35,'Inputs-Results'!$X$9:$X$35),(0.5*((C100+_xlfn.XLOOKUP(A101,'Inputs-Results'!$A$9:$A$35,'Inputs-Results'!$X$9:$X$35)-_xlfn.XLOOKUP(A101,'Inputs-Results'!$A$9:$A$35,'Inputs-Results'!$V$9:$V$35))+C100)*ABS(_xlfn.XLOOKUP(A101,'Inputs-Results'!$A$9:$A$35,'Inputs-Results'!$U$9:$U$35)-_xlfn.XLOOKUP(A101,'Inputs-Results'!$A$9:$A$35,'Inputs-Results'!$W$9:$W$35))),0.5*(ABS(_xlfn.XLOOKUP(A101,'Inputs-Results'!$A$9:$A$35,'Inputs-Results'!$U$9:$U$35)-_xlfn.XLOOKUP(A101,'Inputs-Results'!$A$9:$A$35,'Inputs-Results'!$W$9:$W$35))/(_xlfn.XLOOKUP(A101,'Inputs-Results'!$A$9:$A$35,'Inputs-Results'!$V$9:$V$35)-_xlfn.XLOOKUP(A101,'Inputs-Results'!$A$9:$A$35,'Inputs-Results'!$X$9:$X$35))*C100)*C100)+IF(C100&gt;_xlfn.XLOOKUP(A101,'Inputs-Results'!$A$9:$A$35,'Inputs-Results'!$Z$9:$Z$35)-_xlfn.XLOOKUP(A101,'Inputs-Results'!$A$9:$A$35,'Inputs-Results'!$X$9:$X$35),(0.5*((C100+_xlfn.XLOOKUP(A101,'Inputs-Results'!$A$9:$A$35,'Inputs-Results'!$X$9:$X$35)-_xlfn.XLOOKUP(A101,'Inputs-Results'!$A$9:$A$35,'Inputs-Results'!$Z$9:$Z$35))+C100)*ABS(_xlfn.XLOOKUP(A101,'Inputs-Results'!$A$9:$A$35,'Inputs-Results'!$Y$9:$Y$35)-_xlfn.XLOOKUP(A101,'Inputs-Results'!$A$9:$A$35,'Inputs-Results'!$W$9:$W$35))),0.5*(ABS(_xlfn.XLOOKUP(A101,'Inputs-Results'!$A$9:$A$35,'Inputs-Results'!$W$9:$W$35)-_xlfn.XLOOKUP(A101,'Inputs-Results'!$A$9:$A$35,'Inputs-Results'!$Y$9:$Y$35))/(_xlfn.XLOOKUP(A101,'Inputs-Results'!$A$9:$A$35,'Inputs-Results'!$Z$9:$Z$35)-_xlfn.XLOOKUP(A101,'Inputs-Results'!$A$9:$A$35,'Inputs-Results'!$X$9:$X$35))*C100)*C100)+IF(C100&gt;_xlfn.XLOOKUP(A101,'Inputs-Results'!$A$9:$A$35,'Inputs-Results'!$Z$9:$Z$35)-_xlfn.XLOOKUP(A101,'Inputs-Results'!$A$9:$A$35,'Inputs-Results'!$X$9:$X$35),(0.5*(ABS(_xlfn.XLOOKUP(A101,'Inputs-Results'!$A$9:$A$35,'Inputs-Results'!$Y$9:$Y$35)-_xlfn.XLOOKUP(A101,'Inputs-Results'!$A$9:$A$35,'Inputs-Results'!$AA$9:$AA$35))/(_xlfn.XLOOKUP(A101,'Inputs-Results'!$A$9:$A$35,'Inputs-Results'!$AB$9:$AB$35)-_xlfn.XLOOKUP(A101,'Inputs-Results'!$A$9:$A$35,'Inputs-Results'!$Z$9:$Z$35))*(C100-(_xlfn.XLOOKUP(A101,'Inputs-Results'!$A$9:$A$35,'Inputs-Results'!$Z$9:$Z$35)-_xlfn.XLOOKUP(A101,'Inputs-Results'!$A$9:$A$35,'Inputs-Results'!$X$9:$X$35))))*(C100-(_xlfn.XLOOKUP(A101,'Inputs-Results'!$A$9:$A$35,'Inputs-Results'!$Z$9:$Z$35)-_xlfn.XLOOKUP(A101,'Inputs-Results'!$A$9:$A$35,'Inputs-Results'!$X$9:$X$35)))),0)</f>
        <v>#N/A</v>
      </c>
      <c r="D101" s="19" t="e">
        <f>VLOOKUP($A101,$A$4:$BJ$30,4+6*D$32,FALSE)</f>
        <v>#DIV/0!</v>
      </c>
      <c r="E101" s="19" t="e">
        <f t="shared" ref="E101:M101" si="96">VLOOKUP($A101,$A$4:$BJ$30,4+6*E$32,FALSE)</f>
        <v>#DIV/0!</v>
      </c>
      <c r="F101" s="19" t="e">
        <f t="shared" si="96"/>
        <v>#DIV/0!</v>
      </c>
      <c r="G101" s="19" t="e">
        <f t="shared" si="96"/>
        <v>#DIV/0!</v>
      </c>
      <c r="H101" s="19" t="e">
        <f t="shared" si="96"/>
        <v>#DIV/0!</v>
      </c>
      <c r="I101" s="19" t="e">
        <f t="shared" si="96"/>
        <v>#DIV/0!</v>
      </c>
      <c r="J101" s="19" t="e">
        <f t="shared" si="96"/>
        <v>#DIV/0!</v>
      </c>
      <c r="K101" s="19" t="e">
        <f t="shared" si="96"/>
        <v>#DIV/0!</v>
      </c>
      <c r="L101" s="19" t="e">
        <f t="shared" si="96"/>
        <v>#DIV/0!</v>
      </c>
      <c r="M101" s="19" t="e">
        <f t="shared" si="96"/>
        <v>#DIV/0!</v>
      </c>
      <c r="N101" s="19">
        <v>0</v>
      </c>
    </row>
    <row r="102" spans="1:14" x14ac:dyDescent="0.25">
      <c r="A102" s="35">
        <f>A100</f>
        <v>0</v>
      </c>
      <c r="B102" t="s">
        <v>71</v>
      </c>
      <c r="C102" s="24"/>
      <c r="D102" s="19" t="e">
        <f t="shared" ref="D102:M102" si="97">VLOOKUP($A102,$A$4:$BJ$30,7+6*D$32,FALSE)</f>
        <v>#DIV/0!</v>
      </c>
      <c r="E102" s="19" t="e">
        <f t="shared" si="97"/>
        <v>#DIV/0!</v>
      </c>
      <c r="F102" s="19" t="e">
        <f t="shared" si="97"/>
        <v>#DIV/0!</v>
      </c>
      <c r="G102" s="19" t="e">
        <f t="shared" si="97"/>
        <v>#DIV/0!</v>
      </c>
      <c r="H102" s="19" t="e">
        <f t="shared" si="97"/>
        <v>#DIV/0!</v>
      </c>
      <c r="I102" s="19" t="e">
        <f t="shared" si="97"/>
        <v>#DIV/0!</v>
      </c>
      <c r="J102" s="19" t="e">
        <f t="shared" si="97"/>
        <v>#DIV/0!</v>
      </c>
      <c r="K102" s="19" t="e">
        <f t="shared" si="97"/>
        <v>#DIV/0!</v>
      </c>
      <c r="L102" s="19" t="e">
        <f t="shared" si="97"/>
        <v>#DIV/0!</v>
      </c>
      <c r="M102" s="19" t="e">
        <f t="shared" si="97"/>
        <v>#DIV/0!</v>
      </c>
      <c r="N102" s="19">
        <v>0</v>
      </c>
    </row>
    <row r="103" spans="1:14" x14ac:dyDescent="0.25">
      <c r="A103">
        <f>A27</f>
        <v>0</v>
      </c>
      <c r="B103" t="s">
        <v>102</v>
      </c>
      <c r="C103" s="24" t="e">
        <f>_xlfn.FORECAST.LINEAR(_xlfn.XLOOKUP(A103,'Inputs-Results'!$A$9:$A$35,'Inputs-Results'!$M$9:$M$35),INDEX(D103:N103,_xlfn.XMATCH(_xlfn.XLOOKUP(A103,'Inputs-Results'!$A$9:$A$35,'Inputs-Results'!$M$9:$M$35),D105:N105,-1)):INDEX(D103:N103,_xlfn.XMATCH(_xlfn.XLOOKUP(A103,'Inputs-Results'!$A$9:$A$35,'Inputs-Results'!$M$9:$M$35),D105:N105,1)),INDEX(D105:N105,_xlfn.XMATCH(_xlfn.XLOOKUP(A103,'Inputs-Results'!$A$9:$A$35,'Inputs-Results'!$M$9:$M$35),D105:N105,-1)):INDEX(D105:N105,_xlfn.XMATCH(_xlfn.XLOOKUP(A103,'Inputs-Results'!$A$9:$A$35,'Inputs-Results'!$M$9:$M$35),D105:N105,1)))</f>
        <v>#N/A</v>
      </c>
      <c r="D103" s="19">
        <f t="shared" ref="D103:M103" si="98">VLOOKUP($A103,$A$4:$BJ$30,3+6*D$32,FALSE)</f>
        <v>0</v>
      </c>
      <c r="E103" s="19">
        <f t="shared" si="98"/>
        <v>0</v>
      </c>
      <c r="F103" s="19">
        <f t="shared" si="98"/>
        <v>0</v>
      </c>
      <c r="G103" s="19">
        <f t="shared" si="98"/>
        <v>0</v>
      </c>
      <c r="H103" s="19">
        <f t="shared" si="98"/>
        <v>0</v>
      </c>
      <c r="I103" s="19">
        <f t="shared" si="98"/>
        <v>0</v>
      </c>
      <c r="J103" s="19">
        <f t="shared" si="98"/>
        <v>0</v>
      </c>
      <c r="K103" s="19">
        <f t="shared" si="98"/>
        <v>0</v>
      </c>
      <c r="L103" s="19">
        <f t="shared" si="98"/>
        <v>0</v>
      </c>
      <c r="M103" s="19">
        <f t="shared" si="98"/>
        <v>0</v>
      </c>
      <c r="N103" s="19">
        <v>0</v>
      </c>
    </row>
    <row r="104" spans="1:14" x14ac:dyDescent="0.25">
      <c r="A104" s="35">
        <f>A103</f>
        <v>0</v>
      </c>
      <c r="B104" t="s">
        <v>90</v>
      </c>
      <c r="C104" s="24" t="e">
        <f>IF(C103&gt;_xlfn.XLOOKUP(A104,'Inputs-Results'!$A$9:$A$35,'Inputs-Results'!$V$9:$V$35)-_xlfn.XLOOKUP(A104,'Inputs-Results'!$A$9:$A$35,'Inputs-Results'!$X$9:$X$35),(0.5*(ABS(_xlfn.XLOOKUP(A104,'Inputs-Results'!$A$9:$A$35,'Inputs-Results'!$S$9:$S$35)-_xlfn.XLOOKUP(A104,'Inputs-Results'!$A$9:$A$35,'Inputs-Results'!$U$9:$U$35))/(_xlfn.XLOOKUP(A104,'Inputs-Results'!$A$9:$A$35,'Inputs-Results'!$T$9:$T$35)-_xlfn.XLOOKUP(A104,'Inputs-Results'!$A$9:$A$35,'Inputs-Results'!$V$9:$V$35))*(C103-(_xlfn.XLOOKUP(A104,'Inputs-Results'!$A$9:$A$35,'Inputs-Results'!$V$9:$V$35)-_xlfn.XLOOKUP(A104,'Inputs-Results'!$A$9:$A$35,'Inputs-Results'!$X$9:$X$35))))*(C103-(_xlfn.XLOOKUP(A104,'Inputs-Results'!$A$9:$A$35,'Inputs-Results'!$V$9:$V$35)-_xlfn.XLOOKUP(A104,'Inputs-Results'!$A$9:$A$35,'Inputs-Results'!$X$9:$X$35)))),0)+IF(C103&gt;_xlfn.XLOOKUP(A104,'Inputs-Results'!$A$9:$A$35,'Inputs-Results'!$V$9:$V$35)-_xlfn.XLOOKUP(A104,'Inputs-Results'!$A$9:$A$35,'Inputs-Results'!$X$9:$X$35),(0.5*((C103+_xlfn.XLOOKUP(A104,'Inputs-Results'!$A$9:$A$35,'Inputs-Results'!$X$9:$X$35)-_xlfn.XLOOKUP(A104,'Inputs-Results'!$A$9:$A$35,'Inputs-Results'!$V$9:$V$35))+C103)*ABS(_xlfn.XLOOKUP(A104,'Inputs-Results'!$A$9:$A$35,'Inputs-Results'!$U$9:$U$35)-_xlfn.XLOOKUP(A104,'Inputs-Results'!$A$9:$A$35,'Inputs-Results'!$W$9:$W$35))),0.5*(ABS(_xlfn.XLOOKUP(A104,'Inputs-Results'!$A$9:$A$35,'Inputs-Results'!$U$9:$U$35)-_xlfn.XLOOKUP(A104,'Inputs-Results'!$A$9:$A$35,'Inputs-Results'!$W$9:$W$35))/(_xlfn.XLOOKUP(A104,'Inputs-Results'!$A$9:$A$35,'Inputs-Results'!$V$9:$V$35)-_xlfn.XLOOKUP(A104,'Inputs-Results'!$A$9:$A$35,'Inputs-Results'!$X$9:$X$35))*C103)*C103)+IF(C103&gt;_xlfn.XLOOKUP(A104,'Inputs-Results'!$A$9:$A$35,'Inputs-Results'!$Z$9:$Z$35)-_xlfn.XLOOKUP(A104,'Inputs-Results'!$A$9:$A$35,'Inputs-Results'!$X$9:$X$35),(0.5*((C103+_xlfn.XLOOKUP(A104,'Inputs-Results'!$A$9:$A$35,'Inputs-Results'!$X$9:$X$35)-_xlfn.XLOOKUP(A104,'Inputs-Results'!$A$9:$A$35,'Inputs-Results'!$Z$9:$Z$35))+C103)*ABS(_xlfn.XLOOKUP(A104,'Inputs-Results'!$A$9:$A$35,'Inputs-Results'!$Y$9:$Y$35)-_xlfn.XLOOKUP(A104,'Inputs-Results'!$A$9:$A$35,'Inputs-Results'!$W$9:$W$35))),0.5*(ABS(_xlfn.XLOOKUP(A104,'Inputs-Results'!$A$9:$A$35,'Inputs-Results'!$W$9:$W$35)-_xlfn.XLOOKUP(A104,'Inputs-Results'!$A$9:$A$35,'Inputs-Results'!$Y$9:$Y$35))/(_xlfn.XLOOKUP(A104,'Inputs-Results'!$A$9:$A$35,'Inputs-Results'!$Z$9:$Z$35)-_xlfn.XLOOKUP(A104,'Inputs-Results'!$A$9:$A$35,'Inputs-Results'!$X$9:$X$35))*C103)*C103)+IF(C103&gt;_xlfn.XLOOKUP(A104,'Inputs-Results'!$A$9:$A$35,'Inputs-Results'!$Z$9:$Z$35)-_xlfn.XLOOKUP(A104,'Inputs-Results'!$A$9:$A$35,'Inputs-Results'!$X$9:$X$35),(0.5*(ABS(_xlfn.XLOOKUP(A104,'Inputs-Results'!$A$9:$A$35,'Inputs-Results'!$Y$9:$Y$35)-_xlfn.XLOOKUP(A104,'Inputs-Results'!$A$9:$A$35,'Inputs-Results'!$AA$9:$AA$35))/(_xlfn.XLOOKUP(A104,'Inputs-Results'!$A$9:$A$35,'Inputs-Results'!$AB$9:$AB$35)-_xlfn.XLOOKUP(A104,'Inputs-Results'!$A$9:$A$35,'Inputs-Results'!$Z$9:$Z$35))*(C103-(_xlfn.XLOOKUP(A104,'Inputs-Results'!$A$9:$A$35,'Inputs-Results'!$Z$9:$Z$35)-_xlfn.XLOOKUP(A104,'Inputs-Results'!$A$9:$A$35,'Inputs-Results'!$X$9:$X$35))))*(C103-(_xlfn.XLOOKUP(A104,'Inputs-Results'!$A$9:$A$35,'Inputs-Results'!$Z$9:$Z$35)-_xlfn.XLOOKUP(A104,'Inputs-Results'!$A$9:$A$35,'Inputs-Results'!$X$9:$X$35)))),0)</f>
        <v>#N/A</v>
      </c>
      <c r="D104" s="19" t="e">
        <f>VLOOKUP($A104,$A$4:$BJ$30,4+6*D$32,FALSE)</f>
        <v>#DIV/0!</v>
      </c>
      <c r="E104" s="19" t="e">
        <f t="shared" ref="E104:M104" si="99">VLOOKUP($A104,$A$4:$BJ$30,4+6*E$32,FALSE)</f>
        <v>#DIV/0!</v>
      </c>
      <c r="F104" s="19" t="e">
        <f t="shared" si="99"/>
        <v>#DIV/0!</v>
      </c>
      <c r="G104" s="19" t="e">
        <f t="shared" si="99"/>
        <v>#DIV/0!</v>
      </c>
      <c r="H104" s="19" t="e">
        <f t="shared" si="99"/>
        <v>#DIV/0!</v>
      </c>
      <c r="I104" s="19" t="e">
        <f t="shared" si="99"/>
        <v>#DIV/0!</v>
      </c>
      <c r="J104" s="19" t="e">
        <f t="shared" si="99"/>
        <v>#DIV/0!</v>
      </c>
      <c r="K104" s="19" t="e">
        <f t="shared" si="99"/>
        <v>#DIV/0!</v>
      </c>
      <c r="L104" s="19" t="e">
        <f t="shared" si="99"/>
        <v>#DIV/0!</v>
      </c>
      <c r="M104" s="19" t="e">
        <f t="shared" si="99"/>
        <v>#DIV/0!</v>
      </c>
      <c r="N104" s="19">
        <v>0</v>
      </c>
    </row>
    <row r="105" spans="1:14" x14ac:dyDescent="0.25">
      <c r="A105" s="35">
        <f>A103</f>
        <v>0</v>
      </c>
      <c r="B105" t="s">
        <v>71</v>
      </c>
      <c r="C105" s="24"/>
      <c r="D105" s="19" t="e">
        <f t="shared" ref="D105:M105" si="100">VLOOKUP($A105,$A$4:$BJ$30,7+6*D$32,FALSE)</f>
        <v>#DIV/0!</v>
      </c>
      <c r="E105" s="19" t="e">
        <f t="shared" si="100"/>
        <v>#DIV/0!</v>
      </c>
      <c r="F105" s="19" t="e">
        <f t="shared" si="100"/>
        <v>#DIV/0!</v>
      </c>
      <c r="G105" s="19" t="e">
        <f t="shared" si="100"/>
        <v>#DIV/0!</v>
      </c>
      <c r="H105" s="19" t="e">
        <f t="shared" si="100"/>
        <v>#DIV/0!</v>
      </c>
      <c r="I105" s="19" t="e">
        <f t="shared" si="100"/>
        <v>#DIV/0!</v>
      </c>
      <c r="J105" s="19" t="e">
        <f t="shared" si="100"/>
        <v>#DIV/0!</v>
      </c>
      <c r="K105" s="19" t="e">
        <f t="shared" si="100"/>
        <v>#DIV/0!</v>
      </c>
      <c r="L105" s="19" t="e">
        <f t="shared" si="100"/>
        <v>#DIV/0!</v>
      </c>
      <c r="M105" s="19" t="e">
        <f t="shared" si="100"/>
        <v>#DIV/0!</v>
      </c>
      <c r="N105" s="19">
        <v>0</v>
      </c>
    </row>
    <row r="106" spans="1:14" x14ac:dyDescent="0.25">
      <c r="A106">
        <f>A28</f>
        <v>0</v>
      </c>
      <c r="B106" t="s">
        <v>102</v>
      </c>
      <c r="C106" s="24" t="e">
        <f>_xlfn.FORECAST.LINEAR(_xlfn.XLOOKUP(A106,'Inputs-Results'!$A$9:$A$35,'Inputs-Results'!$M$9:$M$35),INDEX(D106:N106,_xlfn.XMATCH(_xlfn.XLOOKUP(A106,'Inputs-Results'!$A$9:$A$35,'Inputs-Results'!$M$9:$M$35),D108:N108,-1)):INDEX(D106:N106,_xlfn.XMATCH(_xlfn.XLOOKUP(A106,'Inputs-Results'!$A$9:$A$35,'Inputs-Results'!$M$9:$M$35),D108:N108,1)),INDEX(D108:N108,_xlfn.XMATCH(_xlfn.XLOOKUP(A106,'Inputs-Results'!$A$9:$A$35,'Inputs-Results'!$M$9:$M$35),D108:N108,-1)):INDEX(D108:N108,_xlfn.XMATCH(_xlfn.XLOOKUP(A106,'Inputs-Results'!$A$9:$A$35,'Inputs-Results'!$M$9:$M$35),D108:N108,1)))</f>
        <v>#N/A</v>
      </c>
      <c r="D106" s="19">
        <f t="shared" ref="D106:M106" si="101">VLOOKUP($A106,$A$4:$BJ$30,3+6*D$32,FALSE)</f>
        <v>0</v>
      </c>
      <c r="E106" s="19">
        <f t="shared" si="101"/>
        <v>0</v>
      </c>
      <c r="F106" s="19">
        <f t="shared" si="101"/>
        <v>0</v>
      </c>
      <c r="G106" s="19">
        <f t="shared" si="101"/>
        <v>0</v>
      </c>
      <c r="H106" s="19">
        <f t="shared" si="101"/>
        <v>0</v>
      </c>
      <c r="I106" s="19">
        <f t="shared" si="101"/>
        <v>0</v>
      </c>
      <c r="J106" s="19">
        <f t="shared" si="101"/>
        <v>0</v>
      </c>
      <c r="K106" s="19">
        <f t="shared" si="101"/>
        <v>0</v>
      </c>
      <c r="L106" s="19">
        <f t="shared" si="101"/>
        <v>0</v>
      </c>
      <c r="M106" s="19">
        <f t="shared" si="101"/>
        <v>0</v>
      </c>
      <c r="N106" s="19">
        <v>0</v>
      </c>
    </row>
    <row r="107" spans="1:14" x14ac:dyDescent="0.25">
      <c r="A107" s="35">
        <f>A106</f>
        <v>0</v>
      </c>
      <c r="B107" t="s">
        <v>90</v>
      </c>
      <c r="C107" s="24" t="e">
        <f>IF(C106&gt;_xlfn.XLOOKUP(A107,'Inputs-Results'!$A$9:$A$35,'Inputs-Results'!$V$9:$V$35)-_xlfn.XLOOKUP(A107,'Inputs-Results'!$A$9:$A$35,'Inputs-Results'!$X$9:$X$35),(0.5*(ABS(_xlfn.XLOOKUP(A107,'Inputs-Results'!$A$9:$A$35,'Inputs-Results'!$S$9:$S$35)-_xlfn.XLOOKUP(A107,'Inputs-Results'!$A$9:$A$35,'Inputs-Results'!$U$9:$U$35))/(_xlfn.XLOOKUP(A107,'Inputs-Results'!$A$9:$A$35,'Inputs-Results'!$T$9:$T$35)-_xlfn.XLOOKUP(A107,'Inputs-Results'!$A$9:$A$35,'Inputs-Results'!$V$9:$V$35))*(C106-(_xlfn.XLOOKUP(A107,'Inputs-Results'!$A$9:$A$35,'Inputs-Results'!$V$9:$V$35)-_xlfn.XLOOKUP(A107,'Inputs-Results'!$A$9:$A$35,'Inputs-Results'!$X$9:$X$35))))*(C106-(_xlfn.XLOOKUP(A107,'Inputs-Results'!$A$9:$A$35,'Inputs-Results'!$V$9:$V$35)-_xlfn.XLOOKUP(A107,'Inputs-Results'!$A$9:$A$35,'Inputs-Results'!$X$9:$X$35)))),0)+IF(C106&gt;_xlfn.XLOOKUP(A107,'Inputs-Results'!$A$9:$A$35,'Inputs-Results'!$V$9:$V$35)-_xlfn.XLOOKUP(A107,'Inputs-Results'!$A$9:$A$35,'Inputs-Results'!$X$9:$X$35),(0.5*((C106+_xlfn.XLOOKUP(A107,'Inputs-Results'!$A$9:$A$35,'Inputs-Results'!$X$9:$X$35)-_xlfn.XLOOKUP(A107,'Inputs-Results'!$A$9:$A$35,'Inputs-Results'!$V$9:$V$35))+C106)*ABS(_xlfn.XLOOKUP(A107,'Inputs-Results'!$A$9:$A$35,'Inputs-Results'!$U$9:$U$35)-_xlfn.XLOOKUP(A107,'Inputs-Results'!$A$9:$A$35,'Inputs-Results'!$W$9:$W$35))),0.5*(ABS(_xlfn.XLOOKUP(A107,'Inputs-Results'!$A$9:$A$35,'Inputs-Results'!$U$9:$U$35)-_xlfn.XLOOKUP(A107,'Inputs-Results'!$A$9:$A$35,'Inputs-Results'!$W$9:$W$35))/(_xlfn.XLOOKUP(A107,'Inputs-Results'!$A$9:$A$35,'Inputs-Results'!$V$9:$V$35)-_xlfn.XLOOKUP(A107,'Inputs-Results'!$A$9:$A$35,'Inputs-Results'!$X$9:$X$35))*C106)*C106)+IF(C106&gt;_xlfn.XLOOKUP(A107,'Inputs-Results'!$A$9:$A$35,'Inputs-Results'!$Z$9:$Z$35)-_xlfn.XLOOKUP(A107,'Inputs-Results'!$A$9:$A$35,'Inputs-Results'!$X$9:$X$35),(0.5*((C106+_xlfn.XLOOKUP(A107,'Inputs-Results'!$A$9:$A$35,'Inputs-Results'!$X$9:$X$35)-_xlfn.XLOOKUP(A107,'Inputs-Results'!$A$9:$A$35,'Inputs-Results'!$Z$9:$Z$35))+C106)*ABS(_xlfn.XLOOKUP(A107,'Inputs-Results'!$A$9:$A$35,'Inputs-Results'!$Y$9:$Y$35)-_xlfn.XLOOKUP(A107,'Inputs-Results'!$A$9:$A$35,'Inputs-Results'!$W$9:$W$35))),0.5*(ABS(_xlfn.XLOOKUP(A107,'Inputs-Results'!$A$9:$A$35,'Inputs-Results'!$W$9:$W$35)-_xlfn.XLOOKUP(A107,'Inputs-Results'!$A$9:$A$35,'Inputs-Results'!$Y$9:$Y$35))/(_xlfn.XLOOKUP(A107,'Inputs-Results'!$A$9:$A$35,'Inputs-Results'!$Z$9:$Z$35)-_xlfn.XLOOKUP(A107,'Inputs-Results'!$A$9:$A$35,'Inputs-Results'!$X$9:$X$35))*C106)*C106)+IF(C106&gt;_xlfn.XLOOKUP(A107,'Inputs-Results'!$A$9:$A$35,'Inputs-Results'!$Z$9:$Z$35)-_xlfn.XLOOKUP(A107,'Inputs-Results'!$A$9:$A$35,'Inputs-Results'!$X$9:$X$35),(0.5*(ABS(_xlfn.XLOOKUP(A107,'Inputs-Results'!$A$9:$A$35,'Inputs-Results'!$Y$9:$Y$35)-_xlfn.XLOOKUP(A107,'Inputs-Results'!$A$9:$A$35,'Inputs-Results'!$AA$9:$AA$35))/(_xlfn.XLOOKUP(A107,'Inputs-Results'!$A$9:$A$35,'Inputs-Results'!$AB$9:$AB$35)-_xlfn.XLOOKUP(A107,'Inputs-Results'!$A$9:$A$35,'Inputs-Results'!$Z$9:$Z$35))*(C106-(_xlfn.XLOOKUP(A107,'Inputs-Results'!$A$9:$A$35,'Inputs-Results'!$Z$9:$Z$35)-_xlfn.XLOOKUP(A107,'Inputs-Results'!$A$9:$A$35,'Inputs-Results'!$X$9:$X$35))))*(C106-(_xlfn.XLOOKUP(A107,'Inputs-Results'!$A$9:$A$35,'Inputs-Results'!$Z$9:$Z$35)-_xlfn.XLOOKUP(A107,'Inputs-Results'!$A$9:$A$35,'Inputs-Results'!$X$9:$X$35)))),0)</f>
        <v>#N/A</v>
      </c>
      <c r="D107" s="19" t="e">
        <f>VLOOKUP($A107,$A$4:$BJ$30,4+6*D$32,FALSE)</f>
        <v>#DIV/0!</v>
      </c>
      <c r="E107" s="19" t="e">
        <f t="shared" ref="E107:M107" si="102">VLOOKUP($A107,$A$4:$BJ$30,4+6*E$32,FALSE)</f>
        <v>#DIV/0!</v>
      </c>
      <c r="F107" s="19" t="e">
        <f t="shared" si="102"/>
        <v>#DIV/0!</v>
      </c>
      <c r="G107" s="19" t="e">
        <f t="shared" si="102"/>
        <v>#DIV/0!</v>
      </c>
      <c r="H107" s="19" t="e">
        <f t="shared" si="102"/>
        <v>#DIV/0!</v>
      </c>
      <c r="I107" s="19" t="e">
        <f t="shared" si="102"/>
        <v>#DIV/0!</v>
      </c>
      <c r="J107" s="19" t="e">
        <f t="shared" si="102"/>
        <v>#DIV/0!</v>
      </c>
      <c r="K107" s="19" t="e">
        <f t="shared" si="102"/>
        <v>#DIV/0!</v>
      </c>
      <c r="L107" s="19" t="e">
        <f t="shared" si="102"/>
        <v>#DIV/0!</v>
      </c>
      <c r="M107" s="19" t="e">
        <f t="shared" si="102"/>
        <v>#DIV/0!</v>
      </c>
      <c r="N107" s="19">
        <v>0</v>
      </c>
    </row>
    <row r="108" spans="1:14" x14ac:dyDescent="0.25">
      <c r="A108" s="35">
        <f>A106</f>
        <v>0</v>
      </c>
      <c r="B108" t="s">
        <v>71</v>
      </c>
      <c r="C108" s="24"/>
      <c r="D108" s="19" t="e">
        <f t="shared" ref="D108:M108" si="103">VLOOKUP($A108,$A$4:$BJ$30,7+6*D$32,FALSE)</f>
        <v>#DIV/0!</v>
      </c>
      <c r="E108" s="19" t="e">
        <f t="shared" si="103"/>
        <v>#DIV/0!</v>
      </c>
      <c r="F108" s="19" t="e">
        <f t="shared" si="103"/>
        <v>#DIV/0!</v>
      </c>
      <c r="G108" s="19" t="e">
        <f t="shared" si="103"/>
        <v>#DIV/0!</v>
      </c>
      <c r="H108" s="19" t="e">
        <f t="shared" si="103"/>
        <v>#DIV/0!</v>
      </c>
      <c r="I108" s="19" t="e">
        <f t="shared" si="103"/>
        <v>#DIV/0!</v>
      </c>
      <c r="J108" s="19" t="e">
        <f t="shared" si="103"/>
        <v>#DIV/0!</v>
      </c>
      <c r="K108" s="19" t="e">
        <f t="shared" si="103"/>
        <v>#DIV/0!</v>
      </c>
      <c r="L108" s="19" t="e">
        <f t="shared" si="103"/>
        <v>#DIV/0!</v>
      </c>
      <c r="M108" s="19" t="e">
        <f t="shared" si="103"/>
        <v>#DIV/0!</v>
      </c>
      <c r="N108" s="19">
        <v>0</v>
      </c>
    </row>
    <row r="109" spans="1:14" x14ac:dyDescent="0.25">
      <c r="A109">
        <f>A29</f>
        <v>0</v>
      </c>
      <c r="B109" t="s">
        <v>102</v>
      </c>
      <c r="C109" s="24" t="e">
        <f>_xlfn.FORECAST.LINEAR(_xlfn.XLOOKUP(A109,'Inputs-Results'!$A$9:$A$35,'Inputs-Results'!$M$9:$M$35),INDEX(D109:N109,_xlfn.XMATCH(_xlfn.XLOOKUP(A109,'Inputs-Results'!$A$9:$A$35,'Inputs-Results'!$M$9:$M$35),D111:N111,-1)):INDEX(D109:N109,_xlfn.XMATCH(_xlfn.XLOOKUP(A109,'Inputs-Results'!$A$9:$A$35,'Inputs-Results'!$M$9:$M$35),D111:N111,1)),INDEX(D111:N111,_xlfn.XMATCH(_xlfn.XLOOKUP(A109,'Inputs-Results'!$A$9:$A$35,'Inputs-Results'!$M$9:$M$35),D111:N111,-1)):INDEX(D111:N111,_xlfn.XMATCH(_xlfn.XLOOKUP(A109,'Inputs-Results'!$A$9:$A$35,'Inputs-Results'!$M$9:$M$35),D111:N111,1)))</f>
        <v>#N/A</v>
      </c>
      <c r="D109" s="19">
        <f t="shared" ref="D109:M109" si="104">VLOOKUP($A109,$A$4:$BJ$30,3+6*D$32,FALSE)</f>
        <v>0</v>
      </c>
      <c r="E109" s="19">
        <f t="shared" si="104"/>
        <v>0</v>
      </c>
      <c r="F109" s="19">
        <f t="shared" si="104"/>
        <v>0</v>
      </c>
      <c r="G109" s="19">
        <f t="shared" si="104"/>
        <v>0</v>
      </c>
      <c r="H109" s="19">
        <f t="shared" si="104"/>
        <v>0</v>
      </c>
      <c r="I109" s="19">
        <f t="shared" si="104"/>
        <v>0</v>
      </c>
      <c r="J109" s="19">
        <f t="shared" si="104"/>
        <v>0</v>
      </c>
      <c r="K109" s="19">
        <f t="shared" si="104"/>
        <v>0</v>
      </c>
      <c r="L109" s="19">
        <f t="shared" si="104"/>
        <v>0</v>
      </c>
      <c r="M109" s="19">
        <f t="shared" si="104"/>
        <v>0</v>
      </c>
      <c r="N109" s="19">
        <v>0</v>
      </c>
    </row>
    <row r="110" spans="1:14" x14ac:dyDescent="0.25">
      <c r="A110" s="35">
        <f>A109</f>
        <v>0</v>
      </c>
      <c r="B110" t="s">
        <v>90</v>
      </c>
      <c r="C110" s="24" t="e">
        <f>IF(C109&gt;_xlfn.XLOOKUP(A110,'Inputs-Results'!$A$9:$A$35,'Inputs-Results'!$V$9:$V$35)-_xlfn.XLOOKUP(A110,'Inputs-Results'!$A$9:$A$35,'Inputs-Results'!$X$9:$X$35),(0.5*(ABS(_xlfn.XLOOKUP(A110,'Inputs-Results'!$A$9:$A$35,'Inputs-Results'!$S$9:$S$35)-_xlfn.XLOOKUP(A110,'Inputs-Results'!$A$9:$A$35,'Inputs-Results'!$U$9:$U$35))/(_xlfn.XLOOKUP(A110,'Inputs-Results'!$A$9:$A$35,'Inputs-Results'!$T$9:$T$35)-_xlfn.XLOOKUP(A110,'Inputs-Results'!$A$9:$A$35,'Inputs-Results'!$V$9:$V$35))*(C109-(_xlfn.XLOOKUP(A110,'Inputs-Results'!$A$9:$A$35,'Inputs-Results'!$V$9:$V$35)-_xlfn.XLOOKUP(A110,'Inputs-Results'!$A$9:$A$35,'Inputs-Results'!$X$9:$X$35))))*(C109-(_xlfn.XLOOKUP(A110,'Inputs-Results'!$A$9:$A$35,'Inputs-Results'!$V$9:$V$35)-_xlfn.XLOOKUP(A110,'Inputs-Results'!$A$9:$A$35,'Inputs-Results'!$X$9:$X$35)))),0)+IF(C109&gt;_xlfn.XLOOKUP(A110,'Inputs-Results'!$A$9:$A$35,'Inputs-Results'!$V$9:$V$35)-_xlfn.XLOOKUP(A110,'Inputs-Results'!$A$9:$A$35,'Inputs-Results'!$X$9:$X$35),(0.5*((C109+_xlfn.XLOOKUP(A110,'Inputs-Results'!$A$9:$A$35,'Inputs-Results'!$X$9:$X$35)-_xlfn.XLOOKUP(A110,'Inputs-Results'!$A$9:$A$35,'Inputs-Results'!$V$9:$V$35))+C109)*ABS(_xlfn.XLOOKUP(A110,'Inputs-Results'!$A$9:$A$35,'Inputs-Results'!$U$9:$U$35)-_xlfn.XLOOKUP(A110,'Inputs-Results'!$A$9:$A$35,'Inputs-Results'!$W$9:$W$35))),0.5*(ABS(_xlfn.XLOOKUP(A110,'Inputs-Results'!$A$9:$A$35,'Inputs-Results'!$U$9:$U$35)-_xlfn.XLOOKUP(A110,'Inputs-Results'!$A$9:$A$35,'Inputs-Results'!$W$9:$W$35))/(_xlfn.XLOOKUP(A110,'Inputs-Results'!$A$9:$A$35,'Inputs-Results'!$V$9:$V$35)-_xlfn.XLOOKUP(A110,'Inputs-Results'!$A$9:$A$35,'Inputs-Results'!$X$9:$X$35))*C109)*C109)+IF(C109&gt;_xlfn.XLOOKUP(A110,'Inputs-Results'!$A$9:$A$35,'Inputs-Results'!$Z$9:$Z$35)-_xlfn.XLOOKUP(A110,'Inputs-Results'!$A$9:$A$35,'Inputs-Results'!$X$9:$X$35),(0.5*((C109+_xlfn.XLOOKUP(A110,'Inputs-Results'!$A$9:$A$35,'Inputs-Results'!$X$9:$X$35)-_xlfn.XLOOKUP(A110,'Inputs-Results'!$A$9:$A$35,'Inputs-Results'!$Z$9:$Z$35))+C109)*ABS(_xlfn.XLOOKUP(A110,'Inputs-Results'!$A$9:$A$35,'Inputs-Results'!$Y$9:$Y$35)-_xlfn.XLOOKUP(A110,'Inputs-Results'!$A$9:$A$35,'Inputs-Results'!$W$9:$W$35))),0.5*(ABS(_xlfn.XLOOKUP(A110,'Inputs-Results'!$A$9:$A$35,'Inputs-Results'!$W$9:$W$35)-_xlfn.XLOOKUP(A110,'Inputs-Results'!$A$9:$A$35,'Inputs-Results'!$Y$9:$Y$35))/(_xlfn.XLOOKUP(A110,'Inputs-Results'!$A$9:$A$35,'Inputs-Results'!$Z$9:$Z$35)-_xlfn.XLOOKUP(A110,'Inputs-Results'!$A$9:$A$35,'Inputs-Results'!$X$9:$X$35))*C109)*C109)+IF(C109&gt;_xlfn.XLOOKUP(A110,'Inputs-Results'!$A$9:$A$35,'Inputs-Results'!$Z$9:$Z$35)-_xlfn.XLOOKUP(A110,'Inputs-Results'!$A$9:$A$35,'Inputs-Results'!$X$9:$X$35),(0.5*(ABS(_xlfn.XLOOKUP(A110,'Inputs-Results'!$A$9:$A$35,'Inputs-Results'!$Y$9:$Y$35)-_xlfn.XLOOKUP(A110,'Inputs-Results'!$A$9:$A$35,'Inputs-Results'!$AA$9:$AA$35))/(_xlfn.XLOOKUP(A110,'Inputs-Results'!$A$9:$A$35,'Inputs-Results'!$AB$9:$AB$35)-_xlfn.XLOOKUP(A110,'Inputs-Results'!$A$9:$A$35,'Inputs-Results'!$Z$9:$Z$35))*(C109-(_xlfn.XLOOKUP(A110,'Inputs-Results'!$A$9:$A$35,'Inputs-Results'!$Z$9:$Z$35)-_xlfn.XLOOKUP(A110,'Inputs-Results'!$A$9:$A$35,'Inputs-Results'!$X$9:$X$35))))*(C109-(_xlfn.XLOOKUP(A110,'Inputs-Results'!$A$9:$A$35,'Inputs-Results'!$Z$9:$Z$35)-_xlfn.XLOOKUP(A110,'Inputs-Results'!$A$9:$A$35,'Inputs-Results'!$X$9:$X$35)))),0)</f>
        <v>#N/A</v>
      </c>
      <c r="D110" s="19" t="e">
        <f>VLOOKUP($A110,$A$4:$BJ$30,4+6*D$32,FALSE)</f>
        <v>#DIV/0!</v>
      </c>
      <c r="E110" s="19" t="e">
        <f t="shared" ref="E110:M110" si="105">VLOOKUP($A110,$A$4:$BJ$30,4+6*E$32,FALSE)</f>
        <v>#DIV/0!</v>
      </c>
      <c r="F110" s="19" t="e">
        <f t="shared" si="105"/>
        <v>#DIV/0!</v>
      </c>
      <c r="G110" s="19" t="e">
        <f t="shared" si="105"/>
        <v>#DIV/0!</v>
      </c>
      <c r="H110" s="19" t="e">
        <f t="shared" si="105"/>
        <v>#DIV/0!</v>
      </c>
      <c r="I110" s="19" t="e">
        <f t="shared" si="105"/>
        <v>#DIV/0!</v>
      </c>
      <c r="J110" s="19" t="e">
        <f t="shared" si="105"/>
        <v>#DIV/0!</v>
      </c>
      <c r="K110" s="19" t="e">
        <f t="shared" si="105"/>
        <v>#DIV/0!</v>
      </c>
      <c r="L110" s="19" t="e">
        <f t="shared" si="105"/>
        <v>#DIV/0!</v>
      </c>
      <c r="M110" s="19" t="e">
        <f t="shared" si="105"/>
        <v>#DIV/0!</v>
      </c>
      <c r="N110" s="19">
        <v>0</v>
      </c>
    </row>
    <row r="111" spans="1:14" x14ac:dyDescent="0.25">
      <c r="A111" s="35">
        <f>A109</f>
        <v>0</v>
      </c>
      <c r="B111" t="s">
        <v>71</v>
      </c>
      <c r="C111" s="24"/>
      <c r="D111" s="19" t="e">
        <f t="shared" ref="D111:M111" si="106">VLOOKUP($A111,$A$4:$BJ$30,7+6*D$32,FALSE)</f>
        <v>#DIV/0!</v>
      </c>
      <c r="E111" s="19" t="e">
        <f t="shared" si="106"/>
        <v>#DIV/0!</v>
      </c>
      <c r="F111" s="19" t="e">
        <f t="shared" si="106"/>
        <v>#DIV/0!</v>
      </c>
      <c r="G111" s="19" t="e">
        <f t="shared" si="106"/>
        <v>#DIV/0!</v>
      </c>
      <c r="H111" s="19" t="e">
        <f t="shared" si="106"/>
        <v>#DIV/0!</v>
      </c>
      <c r="I111" s="19" t="e">
        <f t="shared" si="106"/>
        <v>#DIV/0!</v>
      </c>
      <c r="J111" s="19" t="e">
        <f t="shared" si="106"/>
        <v>#DIV/0!</v>
      </c>
      <c r="K111" s="19" t="e">
        <f t="shared" si="106"/>
        <v>#DIV/0!</v>
      </c>
      <c r="L111" s="19" t="e">
        <f t="shared" si="106"/>
        <v>#DIV/0!</v>
      </c>
      <c r="M111" s="19" t="e">
        <f t="shared" si="106"/>
        <v>#DIV/0!</v>
      </c>
      <c r="N111" s="19">
        <v>0</v>
      </c>
    </row>
    <row r="112" spans="1:14" x14ac:dyDescent="0.25">
      <c r="A112">
        <f>A30</f>
        <v>0</v>
      </c>
      <c r="B112" t="s">
        <v>102</v>
      </c>
      <c r="C112" s="24" t="e">
        <f>_xlfn.FORECAST.LINEAR(_xlfn.XLOOKUP(A112,'Inputs-Results'!$A$9:$A$35,'Inputs-Results'!$M$9:$M$35),INDEX(D112:N112,_xlfn.XMATCH(_xlfn.XLOOKUP(A112,'Inputs-Results'!$A$9:$A$35,'Inputs-Results'!$M$9:$M$35),D114:N114,-1)):INDEX(D112:N112,_xlfn.XMATCH(_xlfn.XLOOKUP(A112,'Inputs-Results'!$A$9:$A$35,'Inputs-Results'!$M$9:$M$35),D114:N114,1)),INDEX(D114:N114,_xlfn.XMATCH(_xlfn.XLOOKUP(A112,'Inputs-Results'!$A$9:$A$35,'Inputs-Results'!$M$9:$M$35),D114:N114,-1)):INDEX(D114:N114,_xlfn.XMATCH(_xlfn.XLOOKUP(A112,'Inputs-Results'!$A$9:$A$35,'Inputs-Results'!$M$9:$M$35),D114:N114,1)))</f>
        <v>#N/A</v>
      </c>
      <c r="D112" s="19">
        <f t="shared" ref="D112:M112" si="107">VLOOKUP($A112,$A$4:$BJ$30,3+6*D$32,FALSE)</f>
        <v>0</v>
      </c>
      <c r="E112" s="19">
        <f t="shared" si="107"/>
        <v>0</v>
      </c>
      <c r="F112" s="19">
        <f t="shared" si="107"/>
        <v>0</v>
      </c>
      <c r="G112" s="19">
        <f t="shared" si="107"/>
        <v>0</v>
      </c>
      <c r="H112" s="19">
        <f t="shared" si="107"/>
        <v>0</v>
      </c>
      <c r="I112" s="19">
        <f t="shared" si="107"/>
        <v>0</v>
      </c>
      <c r="J112" s="19">
        <f t="shared" si="107"/>
        <v>0</v>
      </c>
      <c r="K112" s="19">
        <f t="shared" si="107"/>
        <v>0</v>
      </c>
      <c r="L112" s="19">
        <f t="shared" si="107"/>
        <v>0</v>
      </c>
      <c r="M112" s="19">
        <f t="shared" si="107"/>
        <v>0</v>
      </c>
      <c r="N112" s="19">
        <v>0</v>
      </c>
    </row>
    <row r="113" spans="1:14" x14ac:dyDescent="0.25">
      <c r="A113" s="35">
        <f>A112</f>
        <v>0</v>
      </c>
      <c r="B113" t="s">
        <v>90</v>
      </c>
      <c r="C113" s="24" t="e">
        <f>IF(C112&gt;_xlfn.XLOOKUP(A113,'Inputs-Results'!$A$9:$A$35,'Inputs-Results'!$V$9:$V$35)-_xlfn.XLOOKUP(A113,'Inputs-Results'!$A$9:$A$35,'Inputs-Results'!$X$9:$X$35),(0.5*(ABS(_xlfn.XLOOKUP(A113,'Inputs-Results'!$A$9:$A$35,'Inputs-Results'!$S$9:$S$35)-_xlfn.XLOOKUP(A113,'Inputs-Results'!$A$9:$A$35,'Inputs-Results'!$U$9:$U$35))/(_xlfn.XLOOKUP(A113,'Inputs-Results'!$A$9:$A$35,'Inputs-Results'!$T$9:$T$35)-_xlfn.XLOOKUP(A113,'Inputs-Results'!$A$9:$A$35,'Inputs-Results'!$V$9:$V$35))*(C112-(_xlfn.XLOOKUP(A113,'Inputs-Results'!$A$9:$A$35,'Inputs-Results'!$V$9:$V$35)-_xlfn.XLOOKUP(A113,'Inputs-Results'!$A$9:$A$35,'Inputs-Results'!$X$9:$X$35))))*(C112-(_xlfn.XLOOKUP(A113,'Inputs-Results'!$A$9:$A$35,'Inputs-Results'!$V$9:$V$35)-_xlfn.XLOOKUP(A113,'Inputs-Results'!$A$9:$A$35,'Inputs-Results'!$X$9:$X$35)))),0)+IF(C112&gt;_xlfn.XLOOKUP(A113,'Inputs-Results'!$A$9:$A$35,'Inputs-Results'!$V$9:$V$35)-_xlfn.XLOOKUP(A113,'Inputs-Results'!$A$9:$A$35,'Inputs-Results'!$X$9:$X$35),(0.5*((C112+_xlfn.XLOOKUP(A113,'Inputs-Results'!$A$9:$A$35,'Inputs-Results'!$X$9:$X$35)-_xlfn.XLOOKUP(A113,'Inputs-Results'!$A$9:$A$35,'Inputs-Results'!$V$9:$V$35))+C112)*ABS(_xlfn.XLOOKUP(A113,'Inputs-Results'!$A$9:$A$35,'Inputs-Results'!$U$9:$U$35)-_xlfn.XLOOKUP(A113,'Inputs-Results'!$A$9:$A$35,'Inputs-Results'!$W$9:$W$35))),0.5*(ABS(_xlfn.XLOOKUP(A113,'Inputs-Results'!$A$9:$A$35,'Inputs-Results'!$U$9:$U$35)-_xlfn.XLOOKUP(A113,'Inputs-Results'!$A$9:$A$35,'Inputs-Results'!$W$9:$W$35))/(_xlfn.XLOOKUP(A113,'Inputs-Results'!$A$9:$A$35,'Inputs-Results'!$V$9:$V$35)-_xlfn.XLOOKUP(A113,'Inputs-Results'!$A$9:$A$35,'Inputs-Results'!$X$9:$X$35))*C112)*C112)+IF(C112&gt;_xlfn.XLOOKUP(A113,'Inputs-Results'!$A$9:$A$35,'Inputs-Results'!$Z$9:$Z$35)-_xlfn.XLOOKUP(A113,'Inputs-Results'!$A$9:$A$35,'Inputs-Results'!$X$9:$X$35),(0.5*((C112+_xlfn.XLOOKUP(A113,'Inputs-Results'!$A$9:$A$35,'Inputs-Results'!$X$9:$X$35)-_xlfn.XLOOKUP(A113,'Inputs-Results'!$A$9:$A$35,'Inputs-Results'!$Z$9:$Z$35))+C112)*ABS(_xlfn.XLOOKUP(A113,'Inputs-Results'!$A$9:$A$35,'Inputs-Results'!$Y$9:$Y$35)-_xlfn.XLOOKUP(A113,'Inputs-Results'!$A$9:$A$35,'Inputs-Results'!$W$9:$W$35))),0.5*(ABS(_xlfn.XLOOKUP(A113,'Inputs-Results'!$A$9:$A$35,'Inputs-Results'!$W$9:$W$35)-_xlfn.XLOOKUP(A113,'Inputs-Results'!$A$9:$A$35,'Inputs-Results'!$Y$9:$Y$35))/(_xlfn.XLOOKUP(A113,'Inputs-Results'!$A$9:$A$35,'Inputs-Results'!$Z$9:$Z$35)-_xlfn.XLOOKUP(A113,'Inputs-Results'!$A$9:$A$35,'Inputs-Results'!$X$9:$X$35))*C112)*C112)+IF(C112&gt;_xlfn.XLOOKUP(A113,'Inputs-Results'!$A$9:$A$35,'Inputs-Results'!$Z$9:$Z$35)-_xlfn.XLOOKUP(A113,'Inputs-Results'!$A$9:$A$35,'Inputs-Results'!$X$9:$X$35),(0.5*(ABS(_xlfn.XLOOKUP(A113,'Inputs-Results'!$A$9:$A$35,'Inputs-Results'!$Y$9:$Y$35)-_xlfn.XLOOKUP(A113,'Inputs-Results'!$A$9:$A$35,'Inputs-Results'!$AA$9:$AA$35))/(_xlfn.XLOOKUP(A113,'Inputs-Results'!$A$9:$A$35,'Inputs-Results'!$AB$9:$AB$35)-_xlfn.XLOOKUP(A113,'Inputs-Results'!$A$9:$A$35,'Inputs-Results'!$Z$9:$Z$35))*(C112-(_xlfn.XLOOKUP(A113,'Inputs-Results'!$A$9:$A$35,'Inputs-Results'!$Z$9:$Z$35)-_xlfn.XLOOKUP(A113,'Inputs-Results'!$A$9:$A$35,'Inputs-Results'!$X$9:$X$35))))*(C112-(_xlfn.XLOOKUP(A113,'Inputs-Results'!$A$9:$A$35,'Inputs-Results'!$Z$9:$Z$35)-_xlfn.XLOOKUP(A113,'Inputs-Results'!$A$9:$A$35,'Inputs-Results'!$X$9:$X$35)))),0)</f>
        <v>#N/A</v>
      </c>
      <c r="D113" s="19" t="e">
        <f>VLOOKUP($A113,$A$4:$BJ$30,4+6*D$32,FALSE)</f>
        <v>#DIV/0!</v>
      </c>
      <c r="E113" s="19" t="e">
        <f t="shared" ref="E113:M113" si="108">VLOOKUP($A113,$A$4:$BJ$30,4+6*E$32,FALSE)</f>
        <v>#DIV/0!</v>
      </c>
      <c r="F113" s="19" t="e">
        <f t="shared" si="108"/>
        <v>#DIV/0!</v>
      </c>
      <c r="G113" s="19" t="e">
        <f t="shared" si="108"/>
        <v>#DIV/0!</v>
      </c>
      <c r="H113" s="19" t="e">
        <f t="shared" si="108"/>
        <v>#DIV/0!</v>
      </c>
      <c r="I113" s="19" t="e">
        <f t="shared" si="108"/>
        <v>#DIV/0!</v>
      </c>
      <c r="J113" s="19" t="e">
        <f t="shared" si="108"/>
        <v>#DIV/0!</v>
      </c>
      <c r="K113" s="19" t="e">
        <f t="shared" si="108"/>
        <v>#DIV/0!</v>
      </c>
      <c r="L113" s="19" t="e">
        <f t="shared" si="108"/>
        <v>#DIV/0!</v>
      </c>
      <c r="M113" s="19" t="e">
        <f t="shared" si="108"/>
        <v>#DIV/0!</v>
      </c>
      <c r="N113" s="19">
        <v>0</v>
      </c>
    </row>
    <row r="114" spans="1:14" x14ac:dyDescent="0.25">
      <c r="A114" s="35">
        <f>A112</f>
        <v>0</v>
      </c>
      <c r="B114" t="s">
        <v>71</v>
      </c>
      <c r="C114" s="24"/>
      <c r="D114" s="19" t="e">
        <f t="shared" ref="D114:M114" si="109">VLOOKUP($A114,$A$4:$BJ$30,7+6*D$32,FALSE)</f>
        <v>#DIV/0!</v>
      </c>
      <c r="E114" s="19" t="e">
        <f t="shared" si="109"/>
        <v>#DIV/0!</v>
      </c>
      <c r="F114" s="19" t="e">
        <f t="shared" si="109"/>
        <v>#DIV/0!</v>
      </c>
      <c r="G114" s="19" t="e">
        <f t="shared" si="109"/>
        <v>#DIV/0!</v>
      </c>
      <c r="H114" s="19" t="e">
        <f t="shared" si="109"/>
        <v>#DIV/0!</v>
      </c>
      <c r="I114" s="19" t="e">
        <f t="shared" si="109"/>
        <v>#DIV/0!</v>
      </c>
      <c r="J114" s="19" t="e">
        <f t="shared" si="109"/>
        <v>#DIV/0!</v>
      </c>
      <c r="K114" s="19" t="e">
        <f t="shared" si="109"/>
        <v>#DIV/0!</v>
      </c>
      <c r="L114" s="19" t="e">
        <f t="shared" si="109"/>
        <v>#DIV/0!</v>
      </c>
      <c r="M114" s="19" t="e">
        <f t="shared" si="109"/>
        <v>#DIV/0!</v>
      </c>
      <c r="N114" s="19">
        <v>0</v>
      </c>
    </row>
  </sheetData>
  <mergeCells count="16">
    <mergeCell ref="B2:B3"/>
    <mergeCell ref="O2:T2"/>
    <mergeCell ref="I2:N2"/>
    <mergeCell ref="A2:A3"/>
    <mergeCell ref="BE2:BJ2"/>
    <mergeCell ref="AY2:BD2"/>
    <mergeCell ref="AS2:AX2"/>
    <mergeCell ref="AM2:AR2"/>
    <mergeCell ref="AG2:AL2"/>
    <mergeCell ref="AA2:AF2"/>
    <mergeCell ref="U2:Z2"/>
    <mergeCell ref="H2:H3"/>
    <mergeCell ref="G2:G3"/>
    <mergeCell ref="E2:E3"/>
    <mergeCell ref="D2:D3"/>
    <mergeCell ref="F2:F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1ED6F-7CB1-44CB-B3A6-06BE6754A38A}">
  <dimension ref="A1:AQ60"/>
  <sheetViews>
    <sheetView workbookViewId="0">
      <selection activeCell="K3" sqref="K3"/>
    </sheetView>
  </sheetViews>
  <sheetFormatPr defaultRowHeight="15" x14ac:dyDescent="0.25"/>
  <cols>
    <col min="10" max="10" width="9.28515625" bestFit="1" customWidth="1"/>
    <col min="11" max="11" width="9.5703125" bestFit="1" customWidth="1"/>
    <col min="12" max="20" width="9.28515625" bestFit="1" customWidth="1"/>
    <col min="21" max="23" width="9.5703125" bestFit="1" customWidth="1"/>
    <col min="24" max="24" width="10.42578125" bestFit="1" customWidth="1"/>
    <col min="25" max="28" width="9.28515625" bestFit="1" customWidth="1"/>
    <col min="29" max="32" width="9.5703125" bestFit="1" customWidth="1"/>
    <col min="33" max="37" width="9.28515625" bestFit="1" customWidth="1"/>
    <col min="43" max="43" width="22.140625" bestFit="1" customWidth="1"/>
  </cols>
  <sheetData>
    <row r="1" spans="1:11" x14ac:dyDescent="0.25">
      <c r="A1" s="25" t="s">
        <v>78</v>
      </c>
    </row>
    <row r="2" spans="1:11" ht="45" x14ac:dyDescent="0.25">
      <c r="A2" s="2" t="s">
        <v>81</v>
      </c>
      <c r="B2" s="5" t="s">
        <v>101</v>
      </c>
      <c r="C2" s="5" t="s">
        <v>104</v>
      </c>
      <c r="D2" s="2" t="s">
        <v>79</v>
      </c>
      <c r="E2" s="2" t="s">
        <v>105</v>
      </c>
      <c r="F2" s="2" t="s">
        <v>106</v>
      </c>
      <c r="G2" s="2" t="s">
        <v>80</v>
      </c>
      <c r="H2" s="2" t="s">
        <v>82</v>
      </c>
      <c r="I2" s="2" t="s">
        <v>83</v>
      </c>
      <c r="J2" s="2" t="s">
        <v>84</v>
      </c>
      <c r="K2" s="2" t="s">
        <v>85</v>
      </c>
    </row>
    <row r="3" spans="1:11" x14ac:dyDescent="0.25">
      <c r="A3" s="2">
        <f>'Inputs-Results'!A9</f>
        <v>0</v>
      </c>
      <c r="B3" s="18" t="e">
        <f>_xlfn.XLOOKUP(A3,'Ditch Calculations'!$A$34:$A$114,'Ditch Calculations'!$C$34:$C$114)</f>
        <v>#N/A</v>
      </c>
      <c r="C3" s="18" t="e">
        <f>'Inputs-Results'!M9/'Ditch Calculations'!C35</f>
        <v>#N/A</v>
      </c>
      <c r="D3" s="2" t="e">
        <f>IF(1-0.09*(C3-'Standard Data'!$H$9)&gt;1,1,1-0.09*(C3-'Standard Data'!$H$9))</f>
        <v>#N/A</v>
      </c>
      <c r="E3" s="18" t="e">
        <f>0.15*C3^1.8</f>
        <v>#N/A</v>
      </c>
      <c r="F3" s="18" t="e">
        <f>1/IF(B3&gt;C34-G34,AVERAGE(IFERROR(ABS((D34-B34)/(C34-E34)),0),IFERROR(ABS((F34-D34)/(E34-G34)),0),IFERROR(ABS((H34-F34)/(I34-G34)),0),IFERROR(ABS((J34-H34)/(K34-I34)),0)),AVERAGE(IFERROR(ABS((F34-D34)/(E34-G34)),0),IFERROR(ABS((H34-F34)/(I34-G34)),0)))*'Standard Data'!$E$9^2.3</f>
        <v>#N/A</v>
      </c>
      <c r="G3" s="18" t="e">
        <f>1/(1+(E3/F3))</f>
        <v>#N/A</v>
      </c>
      <c r="H3" s="18" t="e">
        <f>('Standard Data'!$E$9*(1-'Inputs-Results'!AF9))/(J34-B34)</f>
        <v>#N/A</v>
      </c>
      <c r="I3" s="18" t="e">
        <f>H3*D3+G3*(1-H3)</f>
        <v>#N/A</v>
      </c>
      <c r="J3" s="18" t="e">
        <f>I3*_xlfn.XLOOKUP(A3,'Inputs-Results'!$A$9:$A$35,'Inputs-Results'!$M$9:$M$35)</f>
        <v>#N/A</v>
      </c>
      <c r="K3" s="18" t="e">
        <f>_xlfn.XLOOKUP(A3,'Inputs-Results'!$A$9:$A$35,'Inputs-Results'!$M$9:$M$35)-J3</f>
        <v>#N/A</v>
      </c>
    </row>
    <row r="4" spans="1:11" x14ac:dyDescent="0.25">
      <c r="A4" s="2">
        <f>'Inputs-Results'!A10</f>
        <v>0</v>
      </c>
      <c r="B4" s="18" t="e">
        <f>_xlfn.XLOOKUP(A4,'Ditch Calculations'!$A$34:$A$114,'Ditch Calculations'!$C$34:$C$114)</f>
        <v>#N/A</v>
      </c>
      <c r="C4" s="18" t="e">
        <f>'Inputs-Results'!M10/'Ditch Calculations'!C38</f>
        <v>#N/A</v>
      </c>
      <c r="D4" s="2" t="e">
        <f>IF(1-0.09*(C4-'Standard Data'!$H$9)&gt;1,1,1-0.09*(C4-'Standard Data'!$H$9))</f>
        <v>#N/A</v>
      </c>
      <c r="E4" s="18" t="e">
        <f t="shared" ref="E4:E29" si="0">0.15*C4^1.8</f>
        <v>#N/A</v>
      </c>
      <c r="F4" s="18" t="e">
        <f>1/IF(B4&gt;C35-G35,AVERAGE(IFERROR(ABS((D35-B35)/(C35-E35)),0),IFERROR(ABS((F35-D35)/(E35-G35)),0),IFERROR(ABS((H35-F35)/(I35-G35)),0),IFERROR(ABS((J35-H35)/(K35-I35)),0)),AVERAGE(IFERROR(ABS((F35-D35)/(E35-G35)),0),IFERROR(ABS((H35-F35)/(I35-G35)),0)))*'Standard Data'!$E$9^2.3</f>
        <v>#N/A</v>
      </c>
      <c r="G4" s="18" t="e">
        <f t="shared" ref="G4:G29" si="1">1/(1+(E4/F4))</f>
        <v>#N/A</v>
      </c>
      <c r="H4" s="18" t="e">
        <f>('Standard Data'!$E$9*(1-'Inputs-Results'!AF10))/(J35-B35)</f>
        <v>#N/A</v>
      </c>
      <c r="I4" s="18" t="e">
        <f t="shared" ref="I4:I29" si="2">H4*D4+G4*(1-H4)</f>
        <v>#N/A</v>
      </c>
      <c r="J4" s="18" t="e">
        <f>I4*_xlfn.XLOOKUP(A4,'Inputs-Results'!$A$9:$A$35,'Inputs-Results'!$M$9:$M$35)</f>
        <v>#N/A</v>
      </c>
      <c r="K4" s="18" t="e">
        <f>_xlfn.XLOOKUP(A4,'Inputs-Results'!$A$9:$A$35,'Inputs-Results'!$M$9:$M$35)-J4</f>
        <v>#N/A</v>
      </c>
    </row>
    <row r="5" spans="1:11" x14ac:dyDescent="0.25">
      <c r="A5" s="2">
        <f>'Inputs-Results'!A11</f>
        <v>0</v>
      </c>
      <c r="B5" s="18" t="e">
        <f>_xlfn.XLOOKUP(A5,'Ditch Calculations'!$A$34:$A$114,'Ditch Calculations'!$C$34:$C$114)</f>
        <v>#N/A</v>
      </c>
      <c r="C5" s="18" t="e">
        <f>'Inputs-Results'!M11/'Ditch Calculations'!C41</f>
        <v>#N/A</v>
      </c>
      <c r="D5" s="2" t="e">
        <f>IF(1-0.09*(C5-'Standard Data'!$H$9)&gt;1,1,1-0.09*(C5-'Standard Data'!$H$9))</f>
        <v>#N/A</v>
      </c>
      <c r="E5" s="18" t="e">
        <f t="shared" si="0"/>
        <v>#N/A</v>
      </c>
      <c r="F5" s="18" t="e">
        <f>1/IF(B5&gt;C36-G36,AVERAGE(IFERROR(ABS((D36-B36)/(C36-E36)),0),IFERROR(ABS((F36-D36)/(E36-G36)),0),IFERROR(ABS((H36-F36)/(I36-G36)),0),IFERROR(ABS((J36-H36)/(K36-I36)),0)),AVERAGE(IFERROR(ABS((F36-D36)/(E36-G36)),0),IFERROR(ABS((H36-F36)/(I36-G36)),0)))*'Standard Data'!$E$9^2.3</f>
        <v>#N/A</v>
      </c>
      <c r="G5" s="18" t="e">
        <f t="shared" si="1"/>
        <v>#N/A</v>
      </c>
      <c r="H5" s="18" t="e">
        <f>('Standard Data'!$E$9*(1-'Inputs-Results'!AF11))/(J36-B36)</f>
        <v>#N/A</v>
      </c>
      <c r="I5" s="18" t="e">
        <f t="shared" si="2"/>
        <v>#N/A</v>
      </c>
      <c r="J5" s="18" t="e">
        <f>I5*_xlfn.XLOOKUP(A5,'Inputs-Results'!$A$9:$A$35,'Inputs-Results'!$M$9:$M$35)</f>
        <v>#N/A</v>
      </c>
      <c r="K5" s="18" t="e">
        <f>_xlfn.XLOOKUP(A5,'Inputs-Results'!$A$9:$A$35,'Inputs-Results'!$M$9:$M$35)-J5</f>
        <v>#N/A</v>
      </c>
    </row>
    <row r="6" spans="1:11" x14ac:dyDescent="0.25">
      <c r="A6" s="2">
        <f>'Inputs-Results'!A12</f>
        <v>0</v>
      </c>
      <c r="B6" s="18" t="e">
        <f>_xlfn.XLOOKUP(A6,'Ditch Calculations'!$A$34:$A$114,'Ditch Calculations'!$C$34:$C$114)</f>
        <v>#N/A</v>
      </c>
      <c r="C6" s="18" t="e">
        <f>'Inputs-Results'!M12/'Ditch Calculations'!C44</f>
        <v>#N/A</v>
      </c>
      <c r="D6" s="2" t="e">
        <f>IF(1-0.09*(C6-'Standard Data'!$H$9)&gt;1,1,1-0.09*(C6-'Standard Data'!$H$9))</f>
        <v>#N/A</v>
      </c>
      <c r="E6" s="18" t="e">
        <f t="shared" si="0"/>
        <v>#N/A</v>
      </c>
      <c r="F6" s="18" t="e">
        <f>1/IF(B6&gt;C37-G37,AVERAGE(IFERROR(ABS((D37-B37)/(C37-E37)),0),IFERROR(ABS((F37-D37)/(E37-G37)),0),IFERROR(ABS((H37-F37)/(I37-G37)),0),IFERROR(ABS((J37-H37)/(K37-I37)),0)),AVERAGE(IFERROR(ABS((F37-D37)/(E37-G37)),0),IFERROR(ABS((H37-F37)/(I37-G37)),0)))*'Standard Data'!$E$9^2.3</f>
        <v>#N/A</v>
      </c>
      <c r="G6" s="18" t="e">
        <f t="shared" si="1"/>
        <v>#N/A</v>
      </c>
      <c r="H6" s="18" t="e">
        <f>('Standard Data'!$E$9*(1-'Inputs-Results'!AF12))/(J37-B37)</f>
        <v>#N/A</v>
      </c>
      <c r="I6" s="18" t="e">
        <f t="shared" si="2"/>
        <v>#N/A</v>
      </c>
      <c r="J6" s="18" t="e">
        <f>I6*_xlfn.XLOOKUP(A6,'Inputs-Results'!$A$9:$A$35,'Inputs-Results'!$M$9:$M$35)</f>
        <v>#N/A</v>
      </c>
      <c r="K6" s="18" t="e">
        <f>_xlfn.XLOOKUP(A6,'Inputs-Results'!$A$9:$A$35,'Inputs-Results'!$M$9:$M$35)-J6</f>
        <v>#N/A</v>
      </c>
    </row>
    <row r="7" spans="1:11" x14ac:dyDescent="0.25">
      <c r="A7" s="2">
        <f>'Inputs-Results'!A13</f>
        <v>0</v>
      </c>
      <c r="B7" s="18" t="e">
        <f>_xlfn.XLOOKUP(A7,'Ditch Calculations'!$A$34:$A$114,'Ditch Calculations'!$C$34:$C$114)</f>
        <v>#N/A</v>
      </c>
      <c r="C7" s="18" t="e">
        <f>'Inputs-Results'!M13/'Ditch Calculations'!C47</f>
        <v>#N/A</v>
      </c>
      <c r="D7" s="2" t="e">
        <f>IF(1-0.09*(C7-'Standard Data'!$H$9)&gt;1,1,1-0.09*(C7-'Standard Data'!$H$9))</f>
        <v>#N/A</v>
      </c>
      <c r="E7" s="18" t="e">
        <f t="shared" si="0"/>
        <v>#N/A</v>
      </c>
      <c r="F7" s="18" t="e">
        <f>1/IF(B7&gt;C38-G38,AVERAGE(IFERROR(ABS((D38-B38)/(C38-E38)),0),IFERROR(ABS((F38-D38)/(E38-G38)),0),IFERROR(ABS((H38-F38)/(I38-G38)),0),IFERROR(ABS((J38-H38)/(K38-I38)),0)),AVERAGE(IFERROR(ABS((F38-D38)/(E38-G38)),0),IFERROR(ABS((H38-F38)/(I38-G38)),0)))*'Standard Data'!$E$9^2.3</f>
        <v>#N/A</v>
      </c>
      <c r="G7" s="18" t="e">
        <f t="shared" si="1"/>
        <v>#N/A</v>
      </c>
      <c r="H7" s="18" t="e">
        <f>('Standard Data'!$E$9*(1-'Inputs-Results'!AF13))/(J38-B38)</f>
        <v>#N/A</v>
      </c>
      <c r="I7" s="18" t="e">
        <f t="shared" si="2"/>
        <v>#N/A</v>
      </c>
      <c r="J7" s="18" t="e">
        <f>I7*_xlfn.XLOOKUP(A7,'Inputs-Results'!$A$9:$A$35,'Inputs-Results'!$M$9:$M$35)</f>
        <v>#N/A</v>
      </c>
      <c r="K7" s="18" t="e">
        <f>_xlfn.XLOOKUP(A7,'Inputs-Results'!$A$9:$A$35,'Inputs-Results'!$M$9:$M$35)-J7</f>
        <v>#N/A</v>
      </c>
    </row>
    <row r="8" spans="1:11" x14ac:dyDescent="0.25">
      <c r="A8" s="2">
        <f>'Inputs-Results'!A14</f>
        <v>0</v>
      </c>
      <c r="B8" s="18" t="e">
        <f>_xlfn.XLOOKUP(A8,'Ditch Calculations'!$A$34:$A$114,'Ditch Calculations'!$C$34:$C$114)</f>
        <v>#N/A</v>
      </c>
      <c r="C8" s="18" t="e">
        <f>'Inputs-Results'!M14/'Ditch Calculations'!C50</f>
        <v>#N/A</v>
      </c>
      <c r="D8" s="2" t="e">
        <f>IF(1-0.09*(C8-'Standard Data'!$H$9)&gt;1,1,1-0.09*(C8-'Standard Data'!$H$9))</f>
        <v>#N/A</v>
      </c>
      <c r="E8" s="18" t="e">
        <f t="shared" si="0"/>
        <v>#N/A</v>
      </c>
      <c r="F8" s="18" t="e">
        <f>1/IF(B8&gt;C39-G39,AVERAGE(IFERROR(ABS((D39-B39)/(C39-E39)),0),IFERROR(ABS((F39-D39)/(E39-G39)),0),IFERROR(ABS((H39-F39)/(I39-G39)),0),IFERROR(ABS((J39-H39)/(K39-I39)),0)),AVERAGE(IFERROR(ABS((F39-D39)/(E39-G39)),0),IFERROR(ABS((H39-F39)/(I39-G39)),0)))*'Standard Data'!$E$9^2.3</f>
        <v>#N/A</v>
      </c>
      <c r="G8" s="18" t="e">
        <f t="shared" si="1"/>
        <v>#N/A</v>
      </c>
      <c r="H8" s="18" t="e">
        <f>('Standard Data'!$E$9*(1-'Inputs-Results'!AF14))/(J39-B39)</f>
        <v>#N/A</v>
      </c>
      <c r="I8" s="18" t="e">
        <f t="shared" si="2"/>
        <v>#N/A</v>
      </c>
      <c r="J8" s="18" t="e">
        <f>I8*_xlfn.XLOOKUP(A8,'Inputs-Results'!$A$9:$A$35,'Inputs-Results'!$M$9:$M$35)</f>
        <v>#N/A</v>
      </c>
      <c r="K8" s="18" t="e">
        <f>_xlfn.XLOOKUP(A8,'Inputs-Results'!$A$9:$A$35,'Inputs-Results'!$M$9:$M$35)-J8</f>
        <v>#N/A</v>
      </c>
    </row>
    <row r="9" spans="1:11" x14ac:dyDescent="0.25">
      <c r="A9" s="2">
        <f>'Inputs-Results'!A15</f>
        <v>0</v>
      </c>
      <c r="B9" s="18" t="e">
        <f>_xlfn.XLOOKUP(A9,'Ditch Calculations'!$A$34:$A$114,'Ditch Calculations'!$C$34:$C$114)</f>
        <v>#N/A</v>
      </c>
      <c r="C9" s="18" t="e">
        <f>'Inputs-Results'!M15/'Ditch Calculations'!C53</f>
        <v>#N/A</v>
      </c>
      <c r="D9" s="2" t="e">
        <f>IF(1-0.09*(C9-'Standard Data'!$H$9)&gt;1,1,1-0.09*(C9-'Standard Data'!$H$9))</f>
        <v>#N/A</v>
      </c>
      <c r="E9" s="18" t="e">
        <f t="shared" si="0"/>
        <v>#N/A</v>
      </c>
      <c r="F9" s="18" t="e">
        <f>1/IF(B9&gt;C40-G40,AVERAGE(IFERROR(ABS((D40-B40)/(C40-E40)),0),IFERROR(ABS((F40-D40)/(E40-G40)),0),IFERROR(ABS((H40-F40)/(I40-G40)),0),IFERROR(ABS((J40-H40)/(K40-I40)),0)),AVERAGE(IFERROR(ABS((F40-D40)/(E40-G40)),0),IFERROR(ABS((H40-F40)/(I40-G40)),0)))*'Standard Data'!$E$9^2.3</f>
        <v>#N/A</v>
      </c>
      <c r="G9" s="18" t="e">
        <f t="shared" si="1"/>
        <v>#N/A</v>
      </c>
      <c r="H9" s="18" t="e">
        <f>('Standard Data'!$E$9*(1-'Inputs-Results'!AF15))/(J40-B40)</f>
        <v>#N/A</v>
      </c>
      <c r="I9" s="18" t="e">
        <f t="shared" si="2"/>
        <v>#N/A</v>
      </c>
      <c r="J9" s="18" t="e">
        <f>I9*_xlfn.XLOOKUP(A9,'Inputs-Results'!$A$9:$A$35,'Inputs-Results'!$M$9:$M$35)</f>
        <v>#N/A</v>
      </c>
      <c r="K9" s="18" t="e">
        <f>_xlfn.XLOOKUP(A9,'Inputs-Results'!$A$9:$A$35,'Inputs-Results'!$M$9:$M$35)-J9</f>
        <v>#N/A</v>
      </c>
    </row>
    <row r="10" spans="1:11" x14ac:dyDescent="0.25">
      <c r="A10" s="2">
        <f>'Inputs-Results'!A16</f>
        <v>0</v>
      </c>
      <c r="B10" s="18" t="e">
        <f>_xlfn.XLOOKUP(A10,'Ditch Calculations'!$A$34:$A$114,'Ditch Calculations'!$C$34:$C$114)</f>
        <v>#N/A</v>
      </c>
      <c r="C10" s="18" t="e">
        <f>'Inputs-Results'!M16/'Ditch Calculations'!C56</f>
        <v>#N/A</v>
      </c>
      <c r="D10" s="2" t="e">
        <f>IF(1-0.09*(C10-'Standard Data'!$H$9)&gt;1,1,1-0.09*(C10-'Standard Data'!$H$9))</f>
        <v>#N/A</v>
      </c>
      <c r="E10" s="18" t="e">
        <f t="shared" si="0"/>
        <v>#N/A</v>
      </c>
      <c r="F10" s="18" t="e">
        <f>1/IF(B10&gt;C41-G41,AVERAGE(IFERROR(ABS((D41-B41)/(C41-E41)),0),IFERROR(ABS((F41-D41)/(E41-G41)),0),IFERROR(ABS((H41-F41)/(I41-G41)),0),IFERROR(ABS((J41-H41)/(K41-I41)),0)),AVERAGE(IFERROR(ABS((F41-D41)/(E41-G41)),0),IFERROR(ABS((H41-F41)/(I41-G41)),0)))*'Standard Data'!$E$9^2.3</f>
        <v>#N/A</v>
      </c>
      <c r="G10" s="18" t="e">
        <f t="shared" si="1"/>
        <v>#N/A</v>
      </c>
      <c r="H10" s="18" t="e">
        <f>('Standard Data'!$E$9*(1-'Inputs-Results'!AF16))/(J41-B41)</f>
        <v>#N/A</v>
      </c>
      <c r="I10" s="18" t="e">
        <f t="shared" si="2"/>
        <v>#N/A</v>
      </c>
      <c r="J10" s="18" t="e">
        <f>I10*_xlfn.XLOOKUP(A10,'Inputs-Results'!$A$9:$A$35,'Inputs-Results'!$M$9:$M$35)</f>
        <v>#N/A</v>
      </c>
      <c r="K10" s="18" t="e">
        <f>_xlfn.XLOOKUP(A10,'Inputs-Results'!$A$9:$A$35,'Inputs-Results'!$M$9:$M$35)-J10</f>
        <v>#N/A</v>
      </c>
    </row>
    <row r="11" spans="1:11" x14ac:dyDescent="0.25">
      <c r="A11" s="2">
        <f>'Inputs-Results'!A17</f>
        <v>0</v>
      </c>
      <c r="B11" s="18" t="e">
        <f>_xlfn.XLOOKUP(A11,'Ditch Calculations'!$A$34:$A$114,'Ditch Calculations'!$C$34:$C$114)</f>
        <v>#N/A</v>
      </c>
      <c r="C11" s="18" t="e">
        <f>'Inputs-Results'!M17/'Ditch Calculations'!C59</f>
        <v>#N/A</v>
      </c>
      <c r="D11" s="2" t="e">
        <f>IF(1-0.09*(C11-'Standard Data'!$H$9)&gt;1,1,1-0.09*(C11-'Standard Data'!$H$9))</f>
        <v>#N/A</v>
      </c>
      <c r="E11" s="18" t="e">
        <f t="shared" si="0"/>
        <v>#N/A</v>
      </c>
      <c r="F11" s="18" t="e">
        <f>1/IF(B11&gt;C42-G42,AVERAGE(IFERROR(ABS((D42-B42)/(C42-E42)),0),IFERROR(ABS((F42-D42)/(E42-G42)),0),IFERROR(ABS((H42-F42)/(I42-G42)),0),IFERROR(ABS((J42-H42)/(K42-I42)),0)),AVERAGE(IFERROR(ABS((F42-D42)/(E42-G42)),0),IFERROR(ABS((H42-F42)/(I42-G42)),0)))*'Standard Data'!$E$9^2.3</f>
        <v>#N/A</v>
      </c>
      <c r="G11" s="18" t="e">
        <f t="shared" si="1"/>
        <v>#N/A</v>
      </c>
      <c r="H11" s="18" t="e">
        <f>('Standard Data'!$E$9*(1-'Inputs-Results'!AF17))/(J42-B42)</f>
        <v>#N/A</v>
      </c>
      <c r="I11" s="18" t="e">
        <f t="shared" si="2"/>
        <v>#N/A</v>
      </c>
      <c r="J11" s="18" t="e">
        <f>I11*_xlfn.XLOOKUP(A11,'Inputs-Results'!$A$9:$A$35,'Inputs-Results'!$M$9:$M$35)</f>
        <v>#N/A</v>
      </c>
      <c r="K11" s="18" t="e">
        <f>_xlfn.XLOOKUP(A11,'Inputs-Results'!$A$9:$A$35,'Inputs-Results'!$M$9:$M$35)-J11</f>
        <v>#N/A</v>
      </c>
    </row>
    <row r="12" spans="1:11" x14ac:dyDescent="0.25">
      <c r="A12" s="2">
        <f>'Inputs-Results'!A18</f>
        <v>0</v>
      </c>
      <c r="B12" s="18" t="e">
        <f>_xlfn.XLOOKUP(A12,'Ditch Calculations'!$A$34:$A$114,'Ditch Calculations'!$C$34:$C$114)</f>
        <v>#N/A</v>
      </c>
      <c r="C12" s="18" t="e">
        <f>'Inputs-Results'!M18/'Ditch Calculations'!C62</f>
        <v>#N/A</v>
      </c>
      <c r="D12" s="2" t="e">
        <f>IF(1-0.09*(C12-'Standard Data'!$H$9)&gt;1,1,1-0.09*(C12-'Standard Data'!$H$9))</f>
        <v>#N/A</v>
      </c>
      <c r="E12" s="18" t="e">
        <f t="shared" si="0"/>
        <v>#N/A</v>
      </c>
      <c r="F12" s="18" t="e">
        <f>1/IF(B12&gt;C43-G43,AVERAGE(IFERROR(ABS((D43-B43)/(C43-E43)),0),IFERROR(ABS((F43-D43)/(E43-G43)),0),IFERROR(ABS((H43-F43)/(I43-G43)),0),IFERROR(ABS((J43-H43)/(K43-I43)),0)),AVERAGE(IFERROR(ABS((F43-D43)/(E43-G43)),0),IFERROR(ABS((H43-F43)/(I43-G43)),0)))*'Standard Data'!$E$9^2.3</f>
        <v>#N/A</v>
      </c>
      <c r="G12" s="18" t="e">
        <f t="shared" si="1"/>
        <v>#N/A</v>
      </c>
      <c r="H12" s="18" t="e">
        <f>('Standard Data'!$E$9*(1-'Inputs-Results'!AF18))/(J43-B43)</f>
        <v>#N/A</v>
      </c>
      <c r="I12" s="18" t="e">
        <f t="shared" si="2"/>
        <v>#N/A</v>
      </c>
      <c r="J12" s="18" t="e">
        <f>I12*_xlfn.XLOOKUP(A12,'Inputs-Results'!$A$9:$A$35,'Inputs-Results'!$M$9:$M$35)</f>
        <v>#N/A</v>
      </c>
      <c r="K12" s="18" t="e">
        <f>_xlfn.XLOOKUP(A12,'Inputs-Results'!$A$9:$A$35,'Inputs-Results'!$M$9:$M$35)-J12</f>
        <v>#N/A</v>
      </c>
    </row>
    <row r="13" spans="1:11" x14ac:dyDescent="0.25">
      <c r="A13" s="2">
        <f>'Inputs-Results'!A19</f>
        <v>0</v>
      </c>
      <c r="B13" s="18" t="e">
        <f>_xlfn.XLOOKUP(A13,'Ditch Calculations'!$A$34:$A$114,'Ditch Calculations'!$C$34:$C$114)</f>
        <v>#N/A</v>
      </c>
      <c r="C13" s="18" t="e">
        <f>'Inputs-Results'!M19/'Ditch Calculations'!C65</f>
        <v>#N/A</v>
      </c>
      <c r="D13" s="2" t="e">
        <f>IF(1-0.09*(C13-'Standard Data'!$H$9)&gt;1,1,1-0.09*(C13-'Standard Data'!$H$9))</f>
        <v>#N/A</v>
      </c>
      <c r="E13" s="18" t="e">
        <f t="shared" si="0"/>
        <v>#N/A</v>
      </c>
      <c r="F13" s="18" t="e">
        <f>1/IF(B13&gt;C44-G44,AVERAGE(IFERROR(ABS((D44-B44)/(C44-E44)),0),IFERROR(ABS((F44-D44)/(E44-G44)),0),IFERROR(ABS((H44-F44)/(I44-G44)),0),IFERROR(ABS((J44-H44)/(K44-I44)),0)),AVERAGE(IFERROR(ABS((F44-D44)/(E44-G44)),0),IFERROR(ABS((H44-F44)/(I44-G44)),0)))*'Standard Data'!$E$9^2.3</f>
        <v>#N/A</v>
      </c>
      <c r="G13" s="18" t="e">
        <f t="shared" si="1"/>
        <v>#N/A</v>
      </c>
      <c r="H13" s="18" t="e">
        <f>('Standard Data'!$E$9*(1-'Inputs-Results'!AF19))/(J44-B44)</f>
        <v>#N/A</v>
      </c>
      <c r="I13" s="18" t="e">
        <f t="shared" si="2"/>
        <v>#N/A</v>
      </c>
      <c r="J13" s="18" t="e">
        <f>I13*_xlfn.XLOOKUP(A13,'Inputs-Results'!$A$9:$A$35,'Inputs-Results'!$M$9:$M$35)</f>
        <v>#N/A</v>
      </c>
      <c r="K13" s="18" t="e">
        <f>_xlfn.XLOOKUP(A13,'Inputs-Results'!$A$9:$A$35,'Inputs-Results'!$M$9:$M$35)-J13</f>
        <v>#N/A</v>
      </c>
    </row>
    <row r="14" spans="1:11" x14ac:dyDescent="0.25">
      <c r="A14" s="2">
        <f>'Inputs-Results'!A20</f>
        <v>0</v>
      </c>
      <c r="B14" s="18" t="e">
        <f>_xlfn.XLOOKUP(A14,'Ditch Calculations'!$A$34:$A$114,'Ditch Calculations'!$C$34:$C$114)</f>
        <v>#N/A</v>
      </c>
      <c r="C14" s="18" t="e">
        <f>'Inputs-Results'!M20/'Ditch Calculations'!C68</f>
        <v>#N/A</v>
      </c>
      <c r="D14" s="2" t="e">
        <f>IF(1-0.09*(C14-'Standard Data'!$H$9)&gt;1,1,1-0.09*(C14-'Standard Data'!$H$9))</f>
        <v>#N/A</v>
      </c>
      <c r="E14" s="18" t="e">
        <f t="shared" si="0"/>
        <v>#N/A</v>
      </c>
      <c r="F14" s="18" t="e">
        <f>1/IF(B14&gt;C45-G45,AVERAGE(IFERROR(ABS((D45-B45)/(C45-E45)),0),IFERROR(ABS((F45-D45)/(E45-G45)),0),IFERROR(ABS((H45-F45)/(I45-G45)),0),IFERROR(ABS((J45-H45)/(K45-I45)),0)),AVERAGE(IFERROR(ABS((F45-D45)/(E45-G45)),0),IFERROR(ABS((H45-F45)/(I45-G45)),0)))*'Standard Data'!$E$9^2.3</f>
        <v>#N/A</v>
      </c>
      <c r="G14" s="18" t="e">
        <f t="shared" si="1"/>
        <v>#N/A</v>
      </c>
      <c r="H14" s="18" t="e">
        <f>('Standard Data'!$E$9*(1-'Inputs-Results'!AF20))/(J45-B45)</f>
        <v>#N/A</v>
      </c>
      <c r="I14" s="18" t="e">
        <f t="shared" si="2"/>
        <v>#N/A</v>
      </c>
      <c r="J14" s="18" t="e">
        <f>I14*_xlfn.XLOOKUP(A14,'Inputs-Results'!$A$9:$A$35,'Inputs-Results'!$M$9:$M$35)</f>
        <v>#N/A</v>
      </c>
      <c r="K14" s="18" t="e">
        <f>_xlfn.XLOOKUP(A14,'Inputs-Results'!$A$9:$A$35,'Inputs-Results'!$M$9:$M$35)-J14</f>
        <v>#N/A</v>
      </c>
    </row>
    <row r="15" spans="1:11" x14ac:dyDescent="0.25">
      <c r="A15" s="2">
        <f>'Inputs-Results'!A21</f>
        <v>0</v>
      </c>
      <c r="B15" s="18" t="e">
        <f>_xlfn.XLOOKUP(A15,'Ditch Calculations'!$A$34:$A$114,'Ditch Calculations'!$C$34:$C$114)</f>
        <v>#N/A</v>
      </c>
      <c r="C15" s="18" t="e">
        <f>'Inputs-Results'!M21/'Ditch Calculations'!C71</f>
        <v>#N/A</v>
      </c>
      <c r="D15" s="2" t="e">
        <f>IF(1-0.09*(C15-'Standard Data'!$H$9)&gt;1,1,1-0.09*(C15-'Standard Data'!$H$9))</f>
        <v>#N/A</v>
      </c>
      <c r="E15" s="18" t="e">
        <f t="shared" si="0"/>
        <v>#N/A</v>
      </c>
      <c r="F15" s="18" t="e">
        <f>1/IF(B15&gt;C46-G46,AVERAGE(IFERROR(ABS((D46-B46)/(C46-E46)),0),IFERROR(ABS((F46-D46)/(E46-G46)),0),IFERROR(ABS((H46-F46)/(I46-G46)),0),IFERROR(ABS((J46-H46)/(K46-I46)),0)),AVERAGE(IFERROR(ABS((F46-D46)/(E46-G46)),0),IFERROR(ABS((H46-F46)/(I46-G46)),0)))*'Standard Data'!$E$9^2.3</f>
        <v>#N/A</v>
      </c>
      <c r="G15" s="18" t="e">
        <f t="shared" si="1"/>
        <v>#N/A</v>
      </c>
      <c r="H15" s="18" t="e">
        <f>('Standard Data'!$E$9*(1-'Inputs-Results'!AF21))/(J46-B46)</f>
        <v>#N/A</v>
      </c>
      <c r="I15" s="18" t="e">
        <f t="shared" si="2"/>
        <v>#N/A</v>
      </c>
      <c r="J15" s="18" t="e">
        <f>I15*_xlfn.XLOOKUP(A15,'Inputs-Results'!$A$9:$A$35,'Inputs-Results'!$M$9:$M$35)</f>
        <v>#N/A</v>
      </c>
      <c r="K15" s="18" t="e">
        <f>_xlfn.XLOOKUP(A15,'Inputs-Results'!$A$9:$A$35,'Inputs-Results'!$M$9:$M$35)-J15</f>
        <v>#N/A</v>
      </c>
    </row>
    <row r="16" spans="1:11" x14ac:dyDescent="0.25">
      <c r="A16" s="2">
        <f>'Inputs-Results'!A22</f>
        <v>0</v>
      </c>
      <c r="B16" s="18" t="e">
        <f>_xlfn.XLOOKUP(A16,'Ditch Calculations'!$A$34:$A$114,'Ditch Calculations'!$C$34:$C$114)</f>
        <v>#N/A</v>
      </c>
      <c r="C16" s="18" t="e">
        <f>'Inputs-Results'!M22/'Ditch Calculations'!C74</f>
        <v>#N/A</v>
      </c>
      <c r="D16" s="2" t="e">
        <f>IF(1-0.09*(C16-'Standard Data'!$H$9)&gt;1,1,1-0.09*(C16-'Standard Data'!$H$9))</f>
        <v>#N/A</v>
      </c>
      <c r="E16" s="18" t="e">
        <f t="shared" si="0"/>
        <v>#N/A</v>
      </c>
      <c r="F16" s="18" t="e">
        <f>1/IF(B16&gt;C47-G47,AVERAGE(IFERROR(ABS((D47-B47)/(C47-E47)),0),IFERROR(ABS((F47-D47)/(E47-G47)),0),IFERROR(ABS((H47-F47)/(I47-G47)),0),IFERROR(ABS((J47-H47)/(K47-I47)),0)),AVERAGE(IFERROR(ABS((F47-D47)/(E47-G47)),0),IFERROR(ABS((H47-F47)/(I47-G47)),0)))*'Standard Data'!$E$9^2.3</f>
        <v>#N/A</v>
      </c>
      <c r="G16" s="18" t="e">
        <f t="shared" si="1"/>
        <v>#N/A</v>
      </c>
      <c r="H16" s="18" t="e">
        <f>('Standard Data'!$E$9*(1-'Inputs-Results'!AF22))/(J47-B47)</f>
        <v>#N/A</v>
      </c>
      <c r="I16" s="18" t="e">
        <f t="shared" si="2"/>
        <v>#N/A</v>
      </c>
      <c r="J16" s="18" t="e">
        <f>I16*_xlfn.XLOOKUP(A16,'Inputs-Results'!$A$9:$A$35,'Inputs-Results'!$M$9:$M$35)</f>
        <v>#N/A</v>
      </c>
      <c r="K16" s="18" t="e">
        <f>_xlfn.XLOOKUP(A16,'Inputs-Results'!$A$9:$A$35,'Inputs-Results'!$M$9:$M$35)-J16</f>
        <v>#N/A</v>
      </c>
    </row>
    <row r="17" spans="1:43" x14ac:dyDescent="0.25">
      <c r="A17" s="2">
        <f>'Inputs-Results'!A23</f>
        <v>0</v>
      </c>
      <c r="B17" s="18" t="e">
        <f>_xlfn.XLOOKUP(A17,'Ditch Calculations'!$A$34:$A$114,'Ditch Calculations'!$C$34:$C$114)</f>
        <v>#N/A</v>
      </c>
      <c r="C17" s="18" t="e">
        <f>'Inputs-Results'!M23/'Ditch Calculations'!C77</f>
        <v>#N/A</v>
      </c>
      <c r="D17" s="2" t="e">
        <f>IF(1-0.09*(C17-'Standard Data'!$H$9)&gt;1,1,1-0.09*(C17-'Standard Data'!$H$9))</f>
        <v>#N/A</v>
      </c>
      <c r="E17" s="18" t="e">
        <f t="shared" si="0"/>
        <v>#N/A</v>
      </c>
      <c r="F17" s="18" t="e">
        <f>1/IF(B17&gt;C48-G48,AVERAGE(IFERROR(ABS((D48-B48)/(C48-E48)),0),IFERROR(ABS((F48-D48)/(E48-G48)),0),IFERROR(ABS((H48-F48)/(I48-G48)),0),IFERROR(ABS((J48-H48)/(K48-I48)),0)),AVERAGE(IFERROR(ABS((F48-D48)/(E48-G48)),0),IFERROR(ABS((H48-F48)/(I48-G48)),0)))*'Standard Data'!$E$9^2.3</f>
        <v>#N/A</v>
      </c>
      <c r="G17" s="18" t="e">
        <f t="shared" si="1"/>
        <v>#N/A</v>
      </c>
      <c r="H17" s="18" t="e">
        <f>('Standard Data'!$E$9*(1-'Inputs-Results'!AF23))/(J48-B48)</f>
        <v>#N/A</v>
      </c>
      <c r="I17" s="18" t="e">
        <f t="shared" si="2"/>
        <v>#N/A</v>
      </c>
      <c r="J17" s="18" t="e">
        <f>I17*_xlfn.XLOOKUP(A17,'Inputs-Results'!$A$9:$A$35,'Inputs-Results'!$M$9:$M$35)</f>
        <v>#N/A</v>
      </c>
      <c r="K17" s="18" t="e">
        <f>_xlfn.XLOOKUP(A17,'Inputs-Results'!$A$9:$A$35,'Inputs-Results'!$M$9:$M$35)-J17</f>
        <v>#N/A</v>
      </c>
    </row>
    <row r="18" spans="1:43" x14ac:dyDescent="0.25">
      <c r="A18" s="2">
        <f>'Inputs-Results'!A24</f>
        <v>0</v>
      </c>
      <c r="B18" s="18" t="e">
        <f>_xlfn.XLOOKUP(A18,'Ditch Calculations'!$A$34:$A$114,'Ditch Calculations'!$C$34:$C$114)</f>
        <v>#N/A</v>
      </c>
      <c r="C18" s="18" t="e">
        <f>'Inputs-Results'!M24/'Ditch Calculations'!C80</f>
        <v>#N/A</v>
      </c>
      <c r="D18" s="2" t="e">
        <f>IF(1-0.09*(C18-'Standard Data'!$H$9)&gt;1,1,1-0.09*(C18-'Standard Data'!$H$9))</f>
        <v>#N/A</v>
      </c>
      <c r="E18" s="18" t="e">
        <f t="shared" si="0"/>
        <v>#N/A</v>
      </c>
      <c r="F18" s="18" t="e">
        <f>1/IF(B18&gt;C49-G49,AVERAGE(IFERROR(ABS((D49-B49)/(C49-E49)),0),IFERROR(ABS((F49-D49)/(E49-G49)),0),IFERROR(ABS((H49-F49)/(I49-G49)),0),IFERROR(ABS((J49-H49)/(K49-I49)),0)),AVERAGE(IFERROR(ABS((F49-D49)/(E49-G49)),0),IFERROR(ABS((H49-F49)/(I49-G49)),0)))*'Standard Data'!$E$9^2.3</f>
        <v>#N/A</v>
      </c>
      <c r="G18" s="18" t="e">
        <f t="shared" si="1"/>
        <v>#N/A</v>
      </c>
      <c r="H18" s="18" t="e">
        <f>('Standard Data'!$E$9*(1-'Inputs-Results'!AF24))/(J49-B49)</f>
        <v>#N/A</v>
      </c>
      <c r="I18" s="18" t="e">
        <f t="shared" si="2"/>
        <v>#N/A</v>
      </c>
      <c r="J18" s="18" t="e">
        <f>I18*_xlfn.XLOOKUP(A18,'Inputs-Results'!$A$9:$A$35,'Inputs-Results'!$M$9:$M$35)</f>
        <v>#N/A</v>
      </c>
      <c r="K18" s="18" t="e">
        <f>_xlfn.XLOOKUP(A18,'Inputs-Results'!$A$9:$A$35,'Inputs-Results'!$M$9:$M$35)-J18</f>
        <v>#N/A</v>
      </c>
    </row>
    <row r="19" spans="1:43" x14ac:dyDescent="0.25">
      <c r="A19" s="2">
        <f>'Inputs-Results'!A25</f>
        <v>0</v>
      </c>
      <c r="B19" s="18" t="e">
        <f>_xlfn.XLOOKUP(A19,'Ditch Calculations'!$A$34:$A$114,'Ditch Calculations'!$C$34:$C$114)</f>
        <v>#N/A</v>
      </c>
      <c r="C19" s="18" t="e">
        <f>'Inputs-Results'!M25/'Ditch Calculations'!C83</f>
        <v>#N/A</v>
      </c>
      <c r="D19" s="2" t="e">
        <f>IF(1-0.09*(C19-'Standard Data'!$H$9)&gt;1,1,1-0.09*(C19-'Standard Data'!$H$9))</f>
        <v>#N/A</v>
      </c>
      <c r="E19" s="18" t="e">
        <f t="shared" si="0"/>
        <v>#N/A</v>
      </c>
      <c r="F19" s="18" t="e">
        <f>1/IF(B19&gt;C50-G50,AVERAGE(IFERROR(ABS((D50-B50)/(C50-E50)),0),IFERROR(ABS((F50-D50)/(E50-G50)),0),IFERROR(ABS((H50-F50)/(I50-G50)),0),IFERROR(ABS((J50-H50)/(K50-I50)),0)),AVERAGE(IFERROR(ABS((F50-D50)/(E50-G50)),0),IFERROR(ABS((H50-F50)/(I50-G50)),0)))*'Standard Data'!$E$9^2.3</f>
        <v>#N/A</v>
      </c>
      <c r="G19" s="18" t="e">
        <f t="shared" si="1"/>
        <v>#N/A</v>
      </c>
      <c r="H19" s="18" t="e">
        <f>('Standard Data'!$E$9*(1-'Inputs-Results'!AF25))/(J50-B50)</f>
        <v>#N/A</v>
      </c>
      <c r="I19" s="18" t="e">
        <f t="shared" si="2"/>
        <v>#N/A</v>
      </c>
      <c r="J19" s="18" t="e">
        <f>I19*_xlfn.XLOOKUP(A19,'Inputs-Results'!$A$9:$A$35,'Inputs-Results'!$M$9:$M$35)</f>
        <v>#N/A</v>
      </c>
      <c r="K19" s="18" t="e">
        <f>_xlfn.XLOOKUP(A19,'Inputs-Results'!$A$9:$A$35,'Inputs-Results'!$M$9:$M$35)-J19</f>
        <v>#N/A</v>
      </c>
    </row>
    <row r="20" spans="1:43" x14ac:dyDescent="0.25">
      <c r="A20" s="2">
        <f>'Inputs-Results'!A26</f>
        <v>0</v>
      </c>
      <c r="B20" s="18" t="e">
        <f>_xlfn.XLOOKUP(A20,'Ditch Calculations'!$A$34:$A$114,'Ditch Calculations'!$C$34:$C$114)</f>
        <v>#N/A</v>
      </c>
      <c r="C20" s="18" t="e">
        <f>'Inputs-Results'!M26/'Ditch Calculations'!C86</f>
        <v>#N/A</v>
      </c>
      <c r="D20" s="2" t="e">
        <f>IF(1-0.09*(C20-'Standard Data'!$H$9)&gt;1,1,1-0.09*(C20-'Standard Data'!$H$9))</f>
        <v>#N/A</v>
      </c>
      <c r="E20" s="18" t="e">
        <f t="shared" si="0"/>
        <v>#N/A</v>
      </c>
      <c r="F20" s="18" t="e">
        <f>1/IF(B20&gt;C51-G51,AVERAGE(IFERROR(ABS((D51-B51)/(C51-E51)),0),IFERROR(ABS((F51-D51)/(E51-G51)),0),IFERROR(ABS((H51-F51)/(I51-G51)),0),IFERROR(ABS((J51-H51)/(K51-I51)),0)),AVERAGE(IFERROR(ABS((F51-D51)/(E51-G51)),0),IFERROR(ABS((H51-F51)/(I51-G51)),0)))*'Standard Data'!$E$9^2.3</f>
        <v>#N/A</v>
      </c>
      <c r="G20" s="18" t="e">
        <f t="shared" si="1"/>
        <v>#N/A</v>
      </c>
      <c r="H20" s="18" t="e">
        <f>('Standard Data'!$E$9*(1-'Inputs-Results'!AF26))/(J51-B51)</f>
        <v>#N/A</v>
      </c>
      <c r="I20" s="18" t="e">
        <f t="shared" si="2"/>
        <v>#N/A</v>
      </c>
      <c r="J20" s="18" t="e">
        <f>I20*_xlfn.XLOOKUP(A20,'Inputs-Results'!$A$9:$A$35,'Inputs-Results'!$M$9:$M$35)</f>
        <v>#N/A</v>
      </c>
      <c r="K20" s="18" t="e">
        <f>_xlfn.XLOOKUP(A20,'Inputs-Results'!$A$9:$A$35,'Inputs-Results'!$M$9:$M$35)-J20</f>
        <v>#N/A</v>
      </c>
    </row>
    <row r="21" spans="1:43" x14ac:dyDescent="0.25">
      <c r="A21" s="2">
        <f>'Inputs-Results'!A27</f>
        <v>0</v>
      </c>
      <c r="B21" s="18" t="e">
        <f>_xlfn.XLOOKUP(A21,'Ditch Calculations'!$A$34:$A$114,'Ditch Calculations'!$C$34:$C$114)</f>
        <v>#N/A</v>
      </c>
      <c r="C21" s="18" t="e">
        <f>'Inputs-Results'!M27/'Ditch Calculations'!C89</f>
        <v>#N/A</v>
      </c>
      <c r="D21" s="2" t="e">
        <f>IF(1-0.09*(C21-'Standard Data'!$H$9)&gt;1,1,1-0.09*(C21-'Standard Data'!$H$9))</f>
        <v>#N/A</v>
      </c>
      <c r="E21" s="18" t="e">
        <f t="shared" si="0"/>
        <v>#N/A</v>
      </c>
      <c r="F21" s="18" t="e">
        <f>1/IF(B21&gt;C52-G52,AVERAGE(IFERROR(ABS((D52-B52)/(C52-E52)),0),IFERROR(ABS((F52-D52)/(E52-G52)),0),IFERROR(ABS((H52-F52)/(I52-G52)),0),IFERROR(ABS((J52-H52)/(K52-I52)),0)),AVERAGE(IFERROR(ABS((F52-D52)/(E52-G52)),0),IFERROR(ABS((H52-F52)/(I52-G52)),0)))*'Standard Data'!$E$9^2.3</f>
        <v>#N/A</v>
      </c>
      <c r="G21" s="18" t="e">
        <f t="shared" si="1"/>
        <v>#N/A</v>
      </c>
      <c r="H21" s="18" t="e">
        <f>('Standard Data'!$E$9*(1-'Inputs-Results'!AF27))/(J52-B52)</f>
        <v>#N/A</v>
      </c>
      <c r="I21" s="18" t="e">
        <f t="shared" si="2"/>
        <v>#N/A</v>
      </c>
      <c r="J21" s="18" t="e">
        <f>I21*_xlfn.XLOOKUP(A21,'Inputs-Results'!$A$9:$A$35,'Inputs-Results'!$M$9:$M$35)</f>
        <v>#N/A</v>
      </c>
      <c r="K21" s="18" t="e">
        <f>_xlfn.XLOOKUP(A21,'Inputs-Results'!$A$9:$A$35,'Inputs-Results'!$M$9:$M$35)-J21</f>
        <v>#N/A</v>
      </c>
    </row>
    <row r="22" spans="1:43" x14ac:dyDescent="0.25">
      <c r="A22" s="2">
        <f>'Inputs-Results'!A28</f>
        <v>0</v>
      </c>
      <c r="B22" s="18" t="e">
        <f>_xlfn.XLOOKUP(A22,'Ditch Calculations'!$A$34:$A$114,'Ditch Calculations'!$C$34:$C$114)</f>
        <v>#N/A</v>
      </c>
      <c r="C22" s="18" t="e">
        <f>'Inputs-Results'!M28/'Ditch Calculations'!C92</f>
        <v>#N/A</v>
      </c>
      <c r="D22" s="2" t="e">
        <f>IF(1-0.09*(C22-'Standard Data'!$H$9)&gt;1,1,1-0.09*(C22-'Standard Data'!$H$9))</f>
        <v>#N/A</v>
      </c>
      <c r="E22" s="18" t="e">
        <f t="shared" si="0"/>
        <v>#N/A</v>
      </c>
      <c r="F22" s="18" t="e">
        <f>1/IF(B22&gt;C53-G53,AVERAGE(IFERROR(ABS((D53-B53)/(C53-E53)),0),IFERROR(ABS((F53-D53)/(E53-G53)),0),IFERROR(ABS((H53-F53)/(I53-G53)),0),IFERROR(ABS((J53-H53)/(K53-I53)),0)),AVERAGE(IFERROR(ABS((F53-D53)/(E53-G53)),0),IFERROR(ABS((H53-F53)/(I53-G53)),0)))*'Standard Data'!$E$9^2.3</f>
        <v>#N/A</v>
      </c>
      <c r="G22" s="18" t="e">
        <f t="shared" si="1"/>
        <v>#N/A</v>
      </c>
      <c r="H22" s="18" t="e">
        <f>('Standard Data'!$E$9*(1-'Inputs-Results'!AF28))/(J53-B53)</f>
        <v>#N/A</v>
      </c>
      <c r="I22" s="18" t="e">
        <f t="shared" si="2"/>
        <v>#N/A</v>
      </c>
      <c r="J22" s="18" t="e">
        <f>I22*_xlfn.XLOOKUP(A22,'Inputs-Results'!$A$9:$A$35,'Inputs-Results'!$M$9:$M$35)</f>
        <v>#N/A</v>
      </c>
      <c r="K22" s="18" t="e">
        <f>_xlfn.XLOOKUP(A22,'Inputs-Results'!$A$9:$A$35,'Inputs-Results'!$M$9:$M$35)-J22</f>
        <v>#N/A</v>
      </c>
    </row>
    <row r="23" spans="1:43" x14ac:dyDescent="0.25">
      <c r="A23" s="2">
        <f>'Inputs-Results'!A29</f>
        <v>0</v>
      </c>
      <c r="B23" s="18" t="e">
        <f>_xlfn.XLOOKUP(A23,'Ditch Calculations'!$A$34:$A$114,'Ditch Calculations'!$C$34:$C$114)</f>
        <v>#N/A</v>
      </c>
      <c r="C23" s="18" t="e">
        <f>'Inputs-Results'!M29/'Ditch Calculations'!C95</f>
        <v>#N/A</v>
      </c>
      <c r="D23" s="2" t="e">
        <f>IF(1-0.09*(C23-'Standard Data'!$H$9)&gt;1,1,1-0.09*(C23-'Standard Data'!$H$9))</f>
        <v>#N/A</v>
      </c>
      <c r="E23" s="18" t="e">
        <f t="shared" si="0"/>
        <v>#N/A</v>
      </c>
      <c r="F23" s="18" t="e">
        <f>1/IF(B23&gt;C54-G54,AVERAGE(IFERROR(ABS((D54-B54)/(C54-E54)),0),IFERROR(ABS((F54-D54)/(E54-G54)),0),IFERROR(ABS((H54-F54)/(I54-G54)),0),IFERROR(ABS((J54-H54)/(K54-I54)),0)),AVERAGE(IFERROR(ABS((F54-D54)/(E54-G54)),0),IFERROR(ABS((H54-F54)/(I54-G54)),0)))*'Standard Data'!$E$9^2.3</f>
        <v>#N/A</v>
      </c>
      <c r="G23" s="18" t="e">
        <f t="shared" si="1"/>
        <v>#N/A</v>
      </c>
      <c r="H23" s="18" t="e">
        <f>('Standard Data'!$E$9*(1-'Inputs-Results'!AF29))/(J54-B54)</f>
        <v>#N/A</v>
      </c>
      <c r="I23" s="18" t="e">
        <f t="shared" si="2"/>
        <v>#N/A</v>
      </c>
      <c r="J23" s="18" t="e">
        <f>I23*_xlfn.XLOOKUP(A23,'Inputs-Results'!$A$9:$A$35,'Inputs-Results'!$M$9:$M$35)</f>
        <v>#N/A</v>
      </c>
      <c r="K23" s="18" t="e">
        <f>_xlfn.XLOOKUP(A23,'Inputs-Results'!$A$9:$A$35,'Inputs-Results'!$M$9:$M$35)-J23</f>
        <v>#N/A</v>
      </c>
    </row>
    <row r="24" spans="1:43" x14ac:dyDescent="0.25">
      <c r="A24" s="2">
        <f>'Inputs-Results'!A30</f>
        <v>0</v>
      </c>
      <c r="B24" s="18" t="e">
        <f>_xlfn.XLOOKUP(A24,'Ditch Calculations'!$A$34:$A$114,'Ditch Calculations'!$C$34:$C$114)</f>
        <v>#N/A</v>
      </c>
      <c r="C24" s="18" t="e">
        <f>'Inputs-Results'!M30/'Ditch Calculations'!C98</f>
        <v>#N/A</v>
      </c>
      <c r="D24" s="2" t="e">
        <f>IF(1-0.09*(C24-'Standard Data'!$H$9)&gt;1,1,1-0.09*(C24-'Standard Data'!$H$9))</f>
        <v>#N/A</v>
      </c>
      <c r="E24" s="18" t="e">
        <f t="shared" si="0"/>
        <v>#N/A</v>
      </c>
      <c r="F24" s="18" t="e">
        <f>1/IF(B24&gt;C55-G55,AVERAGE(IFERROR(ABS((D55-B55)/(C55-E55)),0),IFERROR(ABS((F55-D55)/(E55-G55)),0),IFERROR(ABS((H55-F55)/(I55-G55)),0),IFERROR(ABS((J55-H55)/(K55-I55)),0)),AVERAGE(IFERROR(ABS((F55-D55)/(E55-G55)),0),IFERROR(ABS((H55-F55)/(I55-G55)),0)))*'Standard Data'!$E$9^2.3</f>
        <v>#N/A</v>
      </c>
      <c r="G24" s="18" t="e">
        <f t="shared" si="1"/>
        <v>#N/A</v>
      </c>
      <c r="H24" s="18" t="e">
        <f>('Standard Data'!$E$9*(1-'Inputs-Results'!AF30))/(J55-B55)</f>
        <v>#N/A</v>
      </c>
      <c r="I24" s="18" t="e">
        <f t="shared" si="2"/>
        <v>#N/A</v>
      </c>
      <c r="J24" s="18" t="e">
        <f>I24*_xlfn.XLOOKUP(A24,'Inputs-Results'!$A$9:$A$35,'Inputs-Results'!$M$9:$M$35)</f>
        <v>#N/A</v>
      </c>
      <c r="K24" s="18" t="e">
        <f>_xlfn.XLOOKUP(A24,'Inputs-Results'!$A$9:$A$35,'Inputs-Results'!$M$9:$M$35)-J24</f>
        <v>#N/A</v>
      </c>
    </row>
    <row r="25" spans="1:43" x14ac:dyDescent="0.25">
      <c r="A25" s="2">
        <f>'Inputs-Results'!A31</f>
        <v>0</v>
      </c>
      <c r="B25" s="18" t="e">
        <f>_xlfn.XLOOKUP(A25,'Ditch Calculations'!$A$34:$A$114,'Ditch Calculations'!$C$34:$C$114)</f>
        <v>#N/A</v>
      </c>
      <c r="C25" s="18" t="e">
        <f>'Inputs-Results'!M31/'Ditch Calculations'!C101</f>
        <v>#N/A</v>
      </c>
      <c r="D25" s="2" t="e">
        <f>IF(1-0.09*(C25-'Standard Data'!$H$9)&gt;1,1,1-0.09*(C25-'Standard Data'!$H$9))</f>
        <v>#N/A</v>
      </c>
      <c r="E25" s="18" t="e">
        <f t="shared" si="0"/>
        <v>#N/A</v>
      </c>
      <c r="F25" s="18" t="e">
        <f>1/IF(B25&gt;C56-G56,AVERAGE(IFERROR(ABS((D56-B56)/(C56-E56)),0),IFERROR(ABS((F56-D56)/(E56-G56)),0),IFERROR(ABS((H56-F56)/(I56-G56)),0),IFERROR(ABS((J56-H56)/(K56-I56)),0)),AVERAGE(IFERROR(ABS((F56-D56)/(E56-G56)),0),IFERROR(ABS((H56-F56)/(I56-G56)),0)))*'Standard Data'!$E$9^2.3</f>
        <v>#N/A</v>
      </c>
      <c r="G25" s="18" t="e">
        <f t="shared" si="1"/>
        <v>#N/A</v>
      </c>
      <c r="H25" s="18" t="e">
        <f>('Standard Data'!$E$9*(1-'Inputs-Results'!AF31))/(J56-B56)</f>
        <v>#N/A</v>
      </c>
      <c r="I25" s="18" t="e">
        <f t="shared" si="2"/>
        <v>#N/A</v>
      </c>
      <c r="J25" s="18" t="e">
        <f>I25*_xlfn.XLOOKUP(A25,'Inputs-Results'!$A$9:$A$35,'Inputs-Results'!$M$9:$M$35)</f>
        <v>#N/A</v>
      </c>
      <c r="K25" s="18" t="e">
        <f>_xlfn.XLOOKUP(A25,'Inputs-Results'!$A$9:$A$35,'Inputs-Results'!$M$9:$M$35)-J25</f>
        <v>#N/A</v>
      </c>
    </row>
    <row r="26" spans="1:43" x14ac:dyDescent="0.25">
      <c r="A26" s="2">
        <f>'Inputs-Results'!A32</f>
        <v>0</v>
      </c>
      <c r="B26" s="18" t="e">
        <f>_xlfn.XLOOKUP(A26,'Ditch Calculations'!$A$34:$A$114,'Ditch Calculations'!$C$34:$C$114)</f>
        <v>#N/A</v>
      </c>
      <c r="C26" s="18" t="e">
        <f>'Inputs-Results'!M32/'Ditch Calculations'!C104</f>
        <v>#N/A</v>
      </c>
      <c r="D26" s="2" t="e">
        <f>IF(1-0.09*(C26-'Standard Data'!$H$9)&gt;1,1,1-0.09*(C26-'Standard Data'!$H$9))</f>
        <v>#N/A</v>
      </c>
      <c r="E26" s="18" t="e">
        <f t="shared" si="0"/>
        <v>#N/A</v>
      </c>
      <c r="F26" s="18" t="e">
        <f>1/IF(B26&gt;C57-G57,AVERAGE(IFERROR(ABS((D57-B57)/(C57-E57)),0),IFERROR(ABS((F57-D57)/(E57-G57)),0),IFERROR(ABS((H57-F57)/(I57-G57)),0),IFERROR(ABS((J57-H57)/(K57-I57)),0)),AVERAGE(IFERROR(ABS((F57-D57)/(E57-G57)),0),IFERROR(ABS((H57-F57)/(I57-G57)),0)))*'Standard Data'!$E$9^2.3</f>
        <v>#N/A</v>
      </c>
      <c r="G26" s="18" t="e">
        <f t="shared" si="1"/>
        <v>#N/A</v>
      </c>
      <c r="H26" s="18" t="e">
        <f>('Standard Data'!$E$9*(1-'Inputs-Results'!AF32))/(J57-B57)</f>
        <v>#N/A</v>
      </c>
      <c r="I26" s="18" t="e">
        <f t="shared" si="2"/>
        <v>#N/A</v>
      </c>
      <c r="J26" s="18" t="e">
        <f>I26*_xlfn.XLOOKUP(A26,'Inputs-Results'!$A$9:$A$35,'Inputs-Results'!$M$9:$M$35)</f>
        <v>#N/A</v>
      </c>
      <c r="K26" s="18" t="e">
        <f>_xlfn.XLOOKUP(A26,'Inputs-Results'!$A$9:$A$35,'Inputs-Results'!$M$9:$M$35)-J26</f>
        <v>#N/A</v>
      </c>
      <c r="N26" t="e">
        <f>(D34-B34)/(C34-E34)</f>
        <v>#N/A</v>
      </c>
      <c r="O26" t="e">
        <f>(J34-H34)/(K34-I34)</f>
        <v>#N/A</v>
      </c>
    </row>
    <row r="27" spans="1:43" x14ac:dyDescent="0.25">
      <c r="A27" s="2">
        <f>'Inputs-Results'!A33</f>
        <v>0</v>
      </c>
      <c r="B27" s="18" t="e">
        <f>_xlfn.XLOOKUP(A27,'Ditch Calculations'!$A$34:$A$114,'Ditch Calculations'!$C$34:$C$114)</f>
        <v>#N/A</v>
      </c>
      <c r="C27" s="18" t="e">
        <f>'Inputs-Results'!M33/'Ditch Calculations'!C107</f>
        <v>#N/A</v>
      </c>
      <c r="D27" s="2" t="e">
        <f>IF(1-0.09*(C27-'Standard Data'!$H$9)&gt;1,1,1-0.09*(C27-'Standard Data'!$H$9))</f>
        <v>#N/A</v>
      </c>
      <c r="E27" s="18" t="e">
        <f t="shared" si="0"/>
        <v>#N/A</v>
      </c>
      <c r="F27" s="18" t="e">
        <f>1/IF(B27&gt;C58-G58,AVERAGE(IFERROR(ABS((D58-B58)/(C58-E58)),0),IFERROR(ABS((F58-D58)/(E58-G58)),0),IFERROR(ABS((H58-F58)/(I58-G58)),0),IFERROR(ABS((J58-H58)/(K58-I58)),0)),AVERAGE(IFERROR(ABS((F58-D58)/(E58-G58)),0),IFERROR(ABS((H58-F58)/(I58-G58)),0)))*'Standard Data'!$E$9^2.3</f>
        <v>#N/A</v>
      </c>
      <c r="G27" s="18" t="e">
        <f t="shared" si="1"/>
        <v>#N/A</v>
      </c>
      <c r="H27" s="18" t="e">
        <f>('Standard Data'!$E$9*(1-'Inputs-Results'!AF33))/(J58-B58)</f>
        <v>#N/A</v>
      </c>
      <c r="I27" s="18" t="e">
        <f t="shared" si="2"/>
        <v>#N/A</v>
      </c>
      <c r="J27" s="18" t="e">
        <f>I27*_xlfn.XLOOKUP(A27,'Inputs-Results'!$A$9:$A$35,'Inputs-Results'!$M$9:$M$35)</f>
        <v>#N/A</v>
      </c>
      <c r="K27" s="18" t="e">
        <f>_xlfn.XLOOKUP(A27,'Inputs-Results'!$A$9:$A$35,'Inputs-Results'!$M$9:$M$35)-J27</f>
        <v>#N/A</v>
      </c>
      <c r="N27" t="e">
        <f>ABS((D34-F34)/(E34-G34))</f>
        <v>#N/A</v>
      </c>
      <c r="O27" t="e">
        <f>(H34-F34)/(I34-G34)</f>
        <v>#N/A</v>
      </c>
    </row>
    <row r="28" spans="1:43" x14ac:dyDescent="0.25">
      <c r="A28" s="2">
        <f>'Inputs-Results'!A34</f>
        <v>0</v>
      </c>
      <c r="B28" s="18" t="e">
        <f>_xlfn.XLOOKUP(A28,'Ditch Calculations'!$A$34:$A$114,'Ditch Calculations'!$C$34:$C$114)</f>
        <v>#N/A</v>
      </c>
      <c r="C28" s="18" t="e">
        <f>'Inputs-Results'!M34/'Ditch Calculations'!C110</f>
        <v>#N/A</v>
      </c>
      <c r="D28" s="2" t="e">
        <f>IF(1-0.09*(C28-'Standard Data'!$H$9)&gt;1,1,1-0.09*(C28-'Standard Data'!$H$9))</f>
        <v>#N/A</v>
      </c>
      <c r="E28" s="18" t="e">
        <f t="shared" si="0"/>
        <v>#N/A</v>
      </c>
      <c r="F28" s="18" t="e">
        <f>1/IF(B28&gt;C59-G59,AVERAGE(IFERROR(ABS((D59-B59)/(C59-E59)),0),IFERROR(ABS((F59-D59)/(E59-G59)),0),IFERROR(ABS((H59-F59)/(I59-G59)),0),IFERROR(ABS((J59-H59)/(K59-I59)),0)),AVERAGE(IFERROR(ABS((F59-D59)/(E59-G59)),0),IFERROR(ABS((H59-F59)/(I59-G59)),0)))*'Standard Data'!$E$9^2.3</f>
        <v>#N/A</v>
      </c>
      <c r="G28" s="18" t="e">
        <f t="shared" si="1"/>
        <v>#N/A</v>
      </c>
      <c r="H28" s="18" t="e">
        <f>('Standard Data'!$E$9*(1-'Inputs-Results'!AF34))/(J59-B59)</f>
        <v>#N/A</v>
      </c>
      <c r="I28" s="18" t="e">
        <f t="shared" si="2"/>
        <v>#N/A</v>
      </c>
      <c r="J28" s="18" t="e">
        <f>I28*_xlfn.XLOOKUP(A28,'Inputs-Results'!$A$9:$A$35,'Inputs-Results'!$M$9:$M$35)</f>
        <v>#N/A</v>
      </c>
      <c r="K28" s="18" t="e">
        <f>_xlfn.XLOOKUP(A28,'Inputs-Results'!$A$9:$A$35,'Inputs-Results'!$M$9:$M$35)-J28</f>
        <v>#N/A</v>
      </c>
      <c r="N28" t="e">
        <f>AVERAGE(N26:O27)</f>
        <v>#N/A</v>
      </c>
    </row>
    <row r="29" spans="1:43" x14ac:dyDescent="0.25">
      <c r="A29" s="2">
        <f>'Inputs-Results'!A35</f>
        <v>0</v>
      </c>
      <c r="B29" s="18" t="e">
        <f>_xlfn.XLOOKUP(A29,'Ditch Calculations'!$A$34:$A$114,'Ditch Calculations'!$C$34:$C$114)</f>
        <v>#N/A</v>
      </c>
      <c r="C29" s="18" t="e">
        <f>'Inputs-Results'!M35/'Ditch Calculations'!C113</f>
        <v>#N/A</v>
      </c>
      <c r="D29" s="2" t="e">
        <f>IF(1-0.09*(C29-'Standard Data'!$H$9)&gt;1,1,1-0.09*(C29-'Standard Data'!$H$9))</f>
        <v>#N/A</v>
      </c>
      <c r="E29" s="18" t="e">
        <f t="shared" si="0"/>
        <v>#N/A</v>
      </c>
      <c r="F29" s="18" t="e">
        <f>1/IF(B29&gt;C60-G60,AVERAGE(IFERROR(ABS((D60-B60)/(C60-E60)),0),IFERROR(ABS((F60-D60)/(E60-G60)),0),IFERROR(ABS((H60-F60)/(I60-G60)),0),IFERROR(ABS((J60-H60)/(K60-I60)),0)),AVERAGE(IFERROR(ABS((F60-D60)/(E60-G60)),0),IFERROR(ABS((H60-F60)/(I60-G60)),0)))*'Standard Data'!$E$9^2.3</f>
        <v>#N/A</v>
      </c>
      <c r="G29" s="18" t="e">
        <f t="shared" si="1"/>
        <v>#N/A</v>
      </c>
      <c r="H29" s="18" t="e">
        <f>('Standard Data'!$E$9*(1-'Inputs-Results'!AF35))/(J60-B60)</f>
        <v>#N/A</v>
      </c>
      <c r="I29" s="18" t="e">
        <f t="shared" si="2"/>
        <v>#N/A</v>
      </c>
      <c r="J29" s="18" t="e">
        <f>I29*_xlfn.XLOOKUP(A29,'Inputs-Results'!$A$9:$A$35,'Inputs-Results'!$M$9:$M$35)</f>
        <v>#N/A</v>
      </c>
      <c r="K29" s="18" t="e">
        <f>_xlfn.XLOOKUP(A29,'Inputs-Results'!$A$9:$A$35,'Inputs-Results'!$M$9:$M$35)-J29</f>
        <v>#N/A</v>
      </c>
    </row>
    <row r="32" spans="1:43" x14ac:dyDescent="0.25">
      <c r="A32" s="25" t="s">
        <v>148</v>
      </c>
      <c r="AA32" s="148" t="s">
        <v>136</v>
      </c>
      <c r="AB32" s="148"/>
      <c r="AC32" s="148"/>
      <c r="AD32" s="148"/>
      <c r="AE32" s="148"/>
      <c r="AF32" s="148"/>
      <c r="AG32" s="148"/>
      <c r="AH32" s="148"/>
      <c r="AI32" s="148"/>
      <c r="AJ32" s="148"/>
      <c r="AK32" s="148"/>
      <c r="AL32" s="148"/>
      <c r="AM32" s="148"/>
      <c r="AN32" s="148"/>
      <c r="AO32" s="148"/>
      <c r="AP32" s="148"/>
      <c r="AQ32" s="2"/>
    </row>
    <row r="33" spans="1:43" ht="60" x14ac:dyDescent="0.25">
      <c r="A33" s="2" t="s">
        <v>81</v>
      </c>
      <c r="B33" s="2" t="s">
        <v>147</v>
      </c>
      <c r="C33" s="2" t="s">
        <v>109</v>
      </c>
      <c r="D33" s="2" t="s">
        <v>113</v>
      </c>
      <c r="E33" s="2" t="s">
        <v>110</v>
      </c>
      <c r="F33" s="2" t="s">
        <v>120</v>
      </c>
      <c r="G33" s="2" t="s">
        <v>111</v>
      </c>
      <c r="H33" s="2" t="s">
        <v>114</v>
      </c>
      <c r="I33" s="2" t="s">
        <v>112</v>
      </c>
      <c r="J33" s="2" t="s">
        <v>146</v>
      </c>
      <c r="K33" s="2" t="s">
        <v>119</v>
      </c>
      <c r="L33" s="2" t="s">
        <v>125</v>
      </c>
      <c r="M33" s="2" t="s">
        <v>126</v>
      </c>
      <c r="N33" s="2" t="s">
        <v>127</v>
      </c>
      <c r="O33" s="2" t="s">
        <v>128</v>
      </c>
      <c r="P33" s="2" t="s">
        <v>129</v>
      </c>
      <c r="Q33" s="2" t="s">
        <v>130</v>
      </c>
      <c r="R33" s="2" t="s">
        <v>131</v>
      </c>
      <c r="S33" s="2" t="s">
        <v>132</v>
      </c>
      <c r="T33" s="2" t="s">
        <v>121</v>
      </c>
      <c r="U33" s="2" t="s">
        <v>122</v>
      </c>
      <c r="V33" s="2" t="s">
        <v>123</v>
      </c>
      <c r="W33" s="2" t="s">
        <v>124</v>
      </c>
      <c r="X33" s="5" t="s">
        <v>134</v>
      </c>
      <c r="Y33" s="5" t="s">
        <v>133</v>
      </c>
      <c r="Z33" s="5" t="s">
        <v>135</v>
      </c>
      <c r="AA33" s="5" t="s">
        <v>137</v>
      </c>
      <c r="AB33" s="5" t="s">
        <v>139</v>
      </c>
      <c r="AC33" s="5" t="s">
        <v>173</v>
      </c>
      <c r="AD33" s="5" t="s">
        <v>174</v>
      </c>
      <c r="AE33" s="5" t="s">
        <v>138</v>
      </c>
      <c r="AF33" s="5" t="s">
        <v>140</v>
      </c>
      <c r="AG33" s="5" t="s">
        <v>141</v>
      </c>
      <c r="AH33" s="5" t="s">
        <v>142</v>
      </c>
      <c r="AI33" s="5" t="s">
        <v>143</v>
      </c>
      <c r="AJ33" s="5" t="s">
        <v>144</v>
      </c>
      <c r="AK33" s="5" t="s">
        <v>145</v>
      </c>
      <c r="AL33" s="5" t="s">
        <v>149</v>
      </c>
      <c r="AM33" s="5" t="s">
        <v>151</v>
      </c>
      <c r="AN33" s="5" t="s">
        <v>150</v>
      </c>
      <c r="AO33" s="5" t="s">
        <v>152</v>
      </c>
      <c r="AP33" s="5" t="s">
        <v>153</v>
      </c>
      <c r="AQ33" s="5" t="s">
        <v>199</v>
      </c>
    </row>
    <row r="34" spans="1:43" x14ac:dyDescent="0.25">
      <c r="A34" s="2">
        <f>'Inputs-Results'!A9</f>
        <v>0</v>
      </c>
      <c r="B34" s="2" t="e">
        <f>IF(C34&gt;E34,D34-ABS(_xlfn.XLOOKUP(A34,'Inputs-Results'!$A$9:$A$35,'Inputs-Results'!$S$9:$S$35)-_xlfn.XLOOKUP(A34,'Inputs-Results'!$A$9:$A$35,'Inputs-Results'!$U$9:$U$35))*(C34-E34)/(ABS(_xlfn.XLOOKUP(A34,'Inputs-Results'!$A$9:$A$35,'Inputs-Results'!$T$9:$T$35)-_xlfn.XLOOKUP(A34,'Inputs-Results'!$A$9:$A$35,'Inputs-Results'!$V$9:$V$35))),D34)</f>
        <v>#N/A</v>
      </c>
      <c r="C34" s="2" t="e">
        <f>IFERROR(G34+_xlfn.XLOOKUP(A34,'Ditch Calculations'!$A$34:$A$114,'Ditch Calculations'!$C$34:$C$114),_xlfn.XLOOKUP(A34,'Inputs-Results'!$A$9:$A$35,'Inputs-Results'!$T$9:$T$35))</f>
        <v>#N/A</v>
      </c>
      <c r="D34" s="2" t="e">
        <f>IF(C34&gt;E34,_xlfn.XLOOKUP(A34,'Inputs-Results'!$A$9:$A$35,'Inputs-Results'!$U$9:$U$35),_xlfn.XLOOKUP(A34,'Inputs-Results'!$A$9:$A$35,'Inputs-Results'!$W$9:$W$35)-ABS((_xlfn.XLOOKUP(A34,'Inputs-Results'!$A$9:$A$35,'Inputs-Results'!$W$9:$W$35)-_xlfn.XLOOKUP(A34,'Inputs-Results'!$A$9:$A$35,'Inputs-Results'!$U$9:$U$35))*(E34-G34))/((_xlfn.XLOOKUP(A34,'Inputs-Results'!$A$9:$A$35,'Inputs-Results'!$V$9:$V$35)-_xlfn.XLOOKUP(A34,'Inputs-Results'!$A$9:$A$35,'Inputs-Results'!$X$9:$X$35))))</f>
        <v>#N/A</v>
      </c>
      <c r="E34" s="2" t="e">
        <f>IF(C34&gt;_xlfn.XLOOKUP(A34,'Inputs-Results'!$A$9:$A$35,'Inputs-Results'!$V$9:$V$35),_xlfn.XLOOKUP(A34,'Inputs-Results'!$A$9:$A$35,'Inputs-Results'!$V$9:$V$35),C34)</f>
        <v>#N/A</v>
      </c>
      <c r="F34" s="2" t="e">
        <f>_xlfn.XLOOKUP(A34,'Inputs-Results'!$A$9:$A$35,'Inputs-Results'!$W$9:$W$35)</f>
        <v>#N/A</v>
      </c>
      <c r="G34" s="2" t="e">
        <f>_xlfn.XLOOKUP(A34,'Inputs-Results'!$A$9:$A$35,'Inputs-Results'!$O$9:$O$35)</f>
        <v>#N/A</v>
      </c>
      <c r="H34" s="2" t="e">
        <f>IF(K34&gt;I34,_xlfn.XLOOKUP(A34,'Inputs-Results'!$A$9:$A$35,'Inputs-Results'!$Y$9:$Y$35),_xlfn.XLOOKUP(A34,'Inputs-Results'!$A$9:$A$35,'Inputs-Results'!$W$9:$W$35)+ABS((_xlfn.XLOOKUP(A34,'Inputs-Results'!$A$9:$A$35,'Inputs-Results'!$Y$9:$Y$35)-_xlfn.XLOOKUP(A34,'Inputs-Results'!$A$9:$A$35,'Inputs-Results'!$W$9:$W$35))*(I34-G34)/(_xlfn.XLOOKUP(A34,'Inputs-Results'!$A$9:$A$35,'Inputs-Results'!$Z$9:$Z$35)-_xlfn.XLOOKUP(A34,'Inputs-Results'!$A$9:$A$35,'Inputs-Results'!$X$9:$X$35))))</f>
        <v>#N/A</v>
      </c>
      <c r="I34" s="2" t="e">
        <f>IF(K34&gt;_xlfn.XLOOKUP(A34,'Inputs-Results'!$A$9:$A$35,'Inputs-Results'!$Z$9:$Z$35),_xlfn.XLOOKUP(A34,'Inputs-Results'!$A$9:$A$35,'Inputs-Results'!$Z$9:$Z$35),K34)</f>
        <v>#N/A</v>
      </c>
      <c r="J34" s="41" t="e">
        <f>IF(K34&gt;I34,H34+ABS(_xlfn.XLOOKUP(A34,'Inputs-Results'!$A$9:$A$35,'Inputs-Results'!$AA$9:$AA$35)-_xlfn.XLOOKUP(A34,'Inputs-Results'!$A$9:$A$35,'Inputs-Results'!$Y$9:$Y$35))*(K34-I34)/(ABS(_xlfn.XLOOKUP(A34,'Inputs-Results'!$A$9:$A$35,'Inputs-Results'!$AB$9:$AB$35)-_xlfn.XLOOKUP(A34,'Inputs-Results'!$A$9:$A$35,'Inputs-Results'!$Z$9:$Z$35))),H34)</f>
        <v>#N/A</v>
      </c>
      <c r="K34" s="41" t="e">
        <f>C34</f>
        <v>#N/A</v>
      </c>
      <c r="L34" s="41" t="e">
        <f>ABS(0.5*(B34-D34)*(C34-E34))</f>
        <v>#N/A</v>
      </c>
      <c r="M34" s="41" t="e">
        <f>0.5*((C34-E34)+(C34-G34))*ABS(D34-F34)</f>
        <v>#N/A</v>
      </c>
      <c r="N34" s="41" t="e">
        <f>0.5*((C34-I34)+(C34-G34))*ABS(H34-F34)</f>
        <v>#N/A</v>
      </c>
      <c r="O34" s="41" t="e">
        <f>ABS(0.5*(H34-J34)*(I34-K34))</f>
        <v>#N/A</v>
      </c>
      <c r="P34" s="41" t="e">
        <f>SQRT((D34-B34)^2+(E34-C34)^2)</f>
        <v>#N/A</v>
      </c>
      <c r="Q34" s="41" t="e">
        <f>SQRT((F34-D34)^2+(G34-E34)^2)</f>
        <v>#N/A</v>
      </c>
      <c r="R34" s="41" t="e">
        <f>SQRT((H34-F34)^2+(I34-G34)^2)</f>
        <v>#N/A</v>
      </c>
      <c r="S34" s="41" t="e">
        <f>SQRT((J34-H34)^2+(K34-I34)^2)</f>
        <v>#N/A</v>
      </c>
      <c r="T34" s="41" t="e">
        <f>IF(P34&gt;0,1.486*L34*(L34/P34)^(2/3)/_xlfn.XLOOKUP($A34,'Inputs-Results'!$A$9:$A$35,'Inputs-Results'!$AC$9:$AC$35),0)</f>
        <v>#N/A</v>
      </c>
      <c r="U34" s="41" t="e">
        <f>IF(Q34&gt;0,1.486*M34*(M34/Q34)^(2/3)/_xlfn.XLOOKUP($A34,'Inputs-Results'!$A$9:$A$35,'Inputs-Results'!$AC$9:$AC$35),0)+T34</f>
        <v>#N/A</v>
      </c>
      <c r="V34" s="41" t="e">
        <f>IF(R34&gt;0,1.486*N34*(N34/R34)^(2/3)/_xlfn.XLOOKUP($A34,'Inputs-Results'!$A$9:$A$35,'Inputs-Results'!$AC$9:$AC$35),0)+U34</f>
        <v>#N/A</v>
      </c>
      <c r="W34" s="41" t="e">
        <f>IF(S34&gt;0,1.486*O34*(O34/S34)^(2/3)/_xlfn.XLOOKUP($A34,'Inputs-Results'!$A$9:$A$35,'Inputs-Results'!$AC$9:$AC$35),0)+V34</f>
        <v>#N/A</v>
      </c>
      <c r="X34" s="41" t="e">
        <f>_xlfn.XLOOKUP(A34,'Inputs-Results'!$A$9:$A$35,'Inputs-Results'!$AE$9:$AE$35)</f>
        <v>#N/A</v>
      </c>
      <c r="Y34" s="41" t="e">
        <f>IF(_xlfn.XLOOKUP(A34,'Inputs-Results'!$A$9:$A$35,'Inputs-Results'!$N$9:$N$35)="",IF(X34="left",D34,IF(X34="right",H34,IF(X34="center (Berm)",F34,""))),'Inputs-Results'!N9)</f>
        <v>#N/A</v>
      </c>
      <c r="Z34" s="41" t="e">
        <f>IF(_xlfn.XLOOKUP(A34,'Inputs-Results'!A9:A35,'Inputs-Results'!B9:B35)="P-12",COS(ATAN(1/_xlfn.XLOOKUP(A34,'Inputs-Results'!$A$9:$A$35,'Inputs-Results'!$C$9:$C$35)))*'Standard Data'!$D$12,IF(_xlfn.XLOOKUP(A34,'Inputs-Results'!$A$9:$A$35,'Inputs-Results'!$B$9:$B$35)="N-12",COS(ATAN(1/_xlfn.XLOOKUP(A34,'Inputs-Results'!$A$9:$A$35,'Inputs-Results'!$C$9:$C$35)))*'Standard Data'!$D$13))</f>
        <v>#N/A</v>
      </c>
      <c r="AA34" s="41" t="e">
        <f>IF(X34="right",Z34+Y34,IF(X34="left",Y34-Z34,""))</f>
        <v>#N/A</v>
      </c>
      <c r="AB34" s="41">
        <v>0</v>
      </c>
      <c r="AC34" s="41" t="e">
        <f>IF(AND(AA34&lt;B34,X34="left"),0,IF(AND(X34="left",AA34&lt;=D34),ABS((B34-AA34)*(0-T34)/(B34-D34)),IF(AND(X34="left",AA34&gt;D34,AA34&lt;=F34),T34+ABS((AA34-D34)*(U34-T34)/(F34-D34)),IF(AND(X34="right",Y34&lt;H34,Y34&gt;=F34),U34+ABS((Y34-F34)*(V34-U34)/(H34-F34)),IF(AND(X34="right",Y34&gt;=H34),V34+ABS((Y34-H34)*(W34-V34)/(J34-H34)))))))</f>
        <v>#N/A</v>
      </c>
      <c r="AD34" s="41" t="e">
        <f>IF(AND(X34="left",Y34&lt;=D34),ABS((D34-Y34)*(T34-0)/(D34-B34)),IF(AND(X34="left",Y34&lt;=F34,Y34&gt;D34),U34-ABS((F34-Y34)*(U34-T34)/(F34-D34)),IF(AND(X34="right",AA34&gt;=H34),W34-(W34-V34)*(J34-AA34)/(J34-H34),IF(AND(X34="right",AA34&lt;H34,AA34&gt;=F34),IF(AND(X34="right",AA34&lt;H34,AA34&gt;=F34),V34-ABS((AA34-Y34)*(V34-AC34)/(H34-Y34)),W34)))))</f>
        <v>#N/A</v>
      </c>
      <c r="AE34" s="41" t="e">
        <f>W34</f>
        <v>#N/A</v>
      </c>
      <c r="AF34" s="41" t="e">
        <f>AC34-AB34</f>
        <v>#N/A</v>
      </c>
      <c r="AG34" s="41" t="e">
        <f>AD34-AC34</f>
        <v>#N/A</v>
      </c>
      <c r="AH34" s="41" t="e">
        <f>AE34-AD34</f>
        <v>#N/A</v>
      </c>
      <c r="AI34" s="19" t="e">
        <f>AF34/$AE34*_xlfn.XLOOKUP(A34,'Inputs-Results'!$A$9:$A$35,'Inputs-Results'!$M$9:$M$35)</f>
        <v>#N/A</v>
      </c>
      <c r="AJ34" s="19" t="e">
        <f>AG34/$AE34*_xlfn.XLOOKUP(A34,'Inputs-Results'!$A$9:$A$35,'Inputs-Results'!$M$9:$M$35)</f>
        <v>#N/A</v>
      </c>
      <c r="AK34" s="19" t="e">
        <f>AH34/$AE34*_xlfn.XLOOKUP(A34,'Inputs-Results'!$A$9:$A$35,'Inputs-Results'!$M$9:$M$35)</f>
        <v>#N/A</v>
      </c>
      <c r="AL34" s="18" t="e">
        <f>1/(1+0.15*_xlfn.XLOOKUP(A34,$A$3:$A$29,$C$3:$C$29)^1.8/(1/IF(AND(X34="left",AA34&lt;D34),ABS((_xlfn.XLOOKUP(A34,'Inputs-Results'!$A$9:$A$35,'Inputs-Results'!$U$9:$U$35)-_xlfn.XLOOKUP(A34,'Inputs-Results'!$A$9:$A$35,'Inputs-Results'!$S$9:$S$35))/(_xlfn.XLOOKUP(A34,'Inputs-Results'!$A$9:$A$35,'Inputs-Results'!$T$9:$T$35)-_xlfn.XLOOKUP(A34,'Inputs-Results'!$A$9:$A$35,'Inputs-Results'!$V$9:$V$35))),IF(AND(X34="left",AA34&lt;=F34,AA34&gt;D34),ABS((_xlfn.XLOOKUP(A34,'Inputs-Results'!$A$9:$A$35,'Inputs-Results'!$W$9:$W$35)-_xlfn.XLOOKUP(A34,'Inputs-Results'!$A$9:$A$35,'Inputs-Results'!$U$9:$U$35))/(_xlfn.XLOOKUP(A34,'Inputs-Results'!$A$9:$A$35,'Inputs-Results'!$V$9:$V$35)-_xlfn.XLOOKUP(A34,'Inputs-Results'!$A$9:$A$35,'Inputs-Results'!$X$9:$X$35))),IF(AND(X34="right",Y34&gt;H34),ABS((_xlfn.XLOOKUP(A34,'Inputs-Results'!$A$9:$A$35,'Inputs-Results'!$AA$9:$AA$35)-_xlfn.XLOOKUP(A34,'Inputs-Results'!$A$9:$A$35,'Inputs-Results'!$Y$9:$Y$35))/(_xlfn.XLOOKUP(A34,'Inputs-Results'!$A$9:$A$35,'Inputs-Results'!$AB$9:$AB$35)-_xlfn.XLOOKUP(A34,'Inputs-Results'!$A$9:$A$35,'Inputs-Results'!$Z$9:$Z$35))),IF(AND(X34="right",Y34&lt;=H34,Y34&gt;=F34),(_xlfn.XLOOKUP(A34,'Inputs-Results'!$A$9:$A$35,'Inputs-Results'!$Y$9:$Y$35)-_xlfn.XLOOKUP(A34,'Inputs-Results'!$A$9:$A$35,'Inputs-Results'!$W$9:$W$35))/(_xlfn.XLOOKUP(A34,'Inputs-Results'!$A$9:$A$35,'Inputs-Results'!$Z$9:$Z$35)-_xlfn.XLOOKUP(A34,'Inputs-Results'!$A$9:$A$35,'Inputs-Results'!$X$9:$X$35)))))))/'Standard Data'!$C$12^2.3)</f>
        <v>#N/A</v>
      </c>
      <c r="AM34" s="18" t="e">
        <f>MIN(1-0.09*(_xlfn.XLOOKUP(A34,$A$3:$A$29,$C$3:$C$29)-'Standard Data'!$G$12),1)</f>
        <v>#N/A</v>
      </c>
      <c r="AN34" s="18" t="e">
        <f>1/(1+0.15*_xlfn.XLOOKUP(A34,$A$3:$A$29,$C$3:$C$29)^1.8/(1/IF(AND(X34="left",AA34&lt;D34),ABS((_xlfn.XLOOKUP(A34,'Inputs-Results'!$A$9:$A$35,'Inputs-Results'!$U$9:$U$35)-_xlfn.XLOOKUP(A34,'Inputs-Results'!$A$9:$A$35,'Inputs-Results'!$S$9:$S$35))/(_xlfn.XLOOKUP(A34,'Inputs-Results'!$A$9:$A$35,'Inputs-Results'!$T$9:$T$35)-_xlfn.XLOOKUP(A34,'Inputs-Results'!$A$9:$A$35,'Inputs-Results'!$V$9:$V$35))),IF(AND(X34="left",AA34&lt;=F34,AA34&gt;D34),ABS((_xlfn.XLOOKUP(A34,'Inputs-Results'!$A$9:$A$35,'Inputs-Results'!$W$9:$W$35)-_xlfn.XLOOKUP(A34,'Inputs-Results'!$A$9:$A$35,'Inputs-Results'!$U$9:$U$35))/(_xlfn.XLOOKUP(A34,'Inputs-Results'!$A$9:$A$35,'Inputs-Results'!$V$9:$V$35)-_xlfn.XLOOKUP(A34,'Inputs-Results'!$A$9:$A$35,'Inputs-Results'!$X$9:$X$35))),IF(AND(X34="right",Y34&gt;H34),ABS((_xlfn.XLOOKUP(A34,'Inputs-Results'!$A$9:$A$35,'Inputs-Results'!$AA$9:$AA$35)-_xlfn.XLOOKUP(A34,'Inputs-Results'!$A$9:$A$35,'Inputs-Results'!$Y$9:$Y$35))/(_xlfn.XLOOKUP(A34,'Inputs-Results'!$A$9:$A$35,'Inputs-Results'!$AB$9:$AB$35)-_xlfn.XLOOKUP(A34,'Inputs-Results'!$A$9:$A$35,'Inputs-Results'!$Z$9:$Z$35))),IF(AND(X34="right",Y34&lt;=H34,Y34&gt;=F34),(_xlfn.XLOOKUP(A34,'Inputs-Results'!$A$9:$A$35,'Inputs-Results'!$Y$9:$Y$35)-_xlfn.XLOOKUP(A34,'Inputs-Results'!$A$9:$A$35,'Inputs-Results'!$W$9:$W$35))/(_xlfn.XLOOKUP(A34,'Inputs-Results'!$A$9:$A$35,'Inputs-Results'!$Z$9:$Z$35)-_xlfn.XLOOKUP(A34,'Inputs-Results'!$A$9:$A$35,'Inputs-Results'!$X$9:$X$35)))))))/'Standard Data'!$C$12^2.3)</f>
        <v>#N/A</v>
      </c>
      <c r="AO34" s="19" t="e">
        <f>AL34*AI34+AM34*AJ34+AN34*AK34</f>
        <v>#N/A</v>
      </c>
      <c r="AP34" s="19" t="e">
        <f>SUM(AI34:AK34)-AO34</f>
        <v>#N/A</v>
      </c>
      <c r="AQ34" s="2" t="str">
        <f>IFERROR(IF(AND(X34="right",AA34&gt;J34),"top of inlet is beyond XS",IF(AND(X34="left",AA34&lt;B34),"top of inlet is beyond XS","")),"")</f>
        <v/>
      </c>
    </row>
    <row r="35" spans="1:43" x14ac:dyDescent="0.25">
      <c r="A35" s="2">
        <f>'Inputs-Results'!A10</f>
        <v>0</v>
      </c>
      <c r="B35" s="2" t="e">
        <f>IF(C35&gt;E35,D35-ABS(_xlfn.XLOOKUP(A35,'Inputs-Results'!$A$9:$A$35,'Inputs-Results'!$S$9:$S$35)-_xlfn.XLOOKUP(A35,'Inputs-Results'!$A$9:$A$35,'Inputs-Results'!$U$9:$U$35))*(C35-E35)/(ABS(_xlfn.XLOOKUP(A35,'Inputs-Results'!$A$9:$A$35,'Inputs-Results'!$T$9:$T$35)-_xlfn.XLOOKUP(A35,'Inputs-Results'!$A$9:$A$35,'Inputs-Results'!$V$9:$V$35))),D35)</f>
        <v>#N/A</v>
      </c>
      <c r="C35" s="2" t="e">
        <f>IFERROR(G35+_xlfn.XLOOKUP(A35,'Ditch Calculations'!$A$34:$A$114,'Ditch Calculations'!$C$34:$C$114),_xlfn.XLOOKUP(A35,'Inputs-Results'!$A$9:$A$35,'Inputs-Results'!$T$9:$T$35))</f>
        <v>#N/A</v>
      </c>
      <c r="D35" s="2" t="e">
        <f>IF(C35&gt;E35,_xlfn.XLOOKUP(A35,'Inputs-Results'!$A$9:$A$35,'Inputs-Results'!$U$9:$U$35),_xlfn.XLOOKUP(A35,'Inputs-Results'!$A$9:$A$35,'Inputs-Results'!$W$9:$W$35)-ABS((_xlfn.XLOOKUP(A35,'Inputs-Results'!$A$9:$A$35,'Inputs-Results'!$W$9:$W$35)-_xlfn.XLOOKUP(A35,'Inputs-Results'!$A$9:$A$35,'Inputs-Results'!$U$9:$U$35))*(E35-G35))/((_xlfn.XLOOKUP(A35,'Inputs-Results'!$A$9:$A$35,'Inputs-Results'!$V$9:$V$35)-_xlfn.XLOOKUP(A35,'Inputs-Results'!$A$9:$A$35,'Inputs-Results'!$X$9:$X$35))))</f>
        <v>#N/A</v>
      </c>
      <c r="E35" s="2" t="e">
        <f>IF(C35&gt;_xlfn.XLOOKUP(A35,'Inputs-Results'!$A$9:$A$35,'Inputs-Results'!$V$9:$V$35),_xlfn.XLOOKUP(A35,'Inputs-Results'!$A$9:$A$35,'Inputs-Results'!$V$9:$V$35),C35)</f>
        <v>#N/A</v>
      </c>
      <c r="F35" s="2" t="e">
        <f>_xlfn.XLOOKUP(A35,'Inputs-Results'!$A$9:$A$35,'Inputs-Results'!$W$9:$W$35)</f>
        <v>#N/A</v>
      </c>
      <c r="G35" s="2" t="e">
        <f>_xlfn.XLOOKUP(A35,'Inputs-Results'!$A$9:$A$35,'Inputs-Results'!$O$9:$O$35)</f>
        <v>#N/A</v>
      </c>
      <c r="H35" s="2" t="e">
        <f>IF(K35&gt;I35,_xlfn.XLOOKUP(A35,'Inputs-Results'!$A$9:$A$35,'Inputs-Results'!$Y$9:$Y$35),_xlfn.XLOOKUP(A35,'Inputs-Results'!$A$9:$A$35,'Inputs-Results'!$W$9:$W$35)+ABS((_xlfn.XLOOKUP(A35,'Inputs-Results'!$A$9:$A$35,'Inputs-Results'!$Y$9:$Y$35)-_xlfn.XLOOKUP(A35,'Inputs-Results'!$A$9:$A$35,'Inputs-Results'!$W$9:$W$35))*(I35-G35)/(_xlfn.XLOOKUP(A35,'Inputs-Results'!$A$9:$A$35,'Inputs-Results'!$Z$9:$Z$35)-_xlfn.XLOOKUP(A35,'Inputs-Results'!$A$9:$A$35,'Inputs-Results'!$X$9:$X$35))))</f>
        <v>#N/A</v>
      </c>
      <c r="I35" s="2" t="e">
        <f>IF(K35&gt;_xlfn.XLOOKUP(A35,'Inputs-Results'!$A$9:$A$35,'Inputs-Results'!$Z$9:$Z$35),_xlfn.XLOOKUP(A35,'Inputs-Results'!$A$9:$A$35,'Inputs-Results'!$Z$9:$Z$35),K35)</f>
        <v>#N/A</v>
      </c>
      <c r="J35" s="41" t="e">
        <f>IF(K35&gt;I35,H35+ABS(_xlfn.XLOOKUP(A35,'Inputs-Results'!$A$9:$A$35,'Inputs-Results'!$AA$9:$AA$35)-_xlfn.XLOOKUP(A35,'Inputs-Results'!$A$9:$A$35,'Inputs-Results'!$Y$9:$Y$35))*(K35-I35)/(ABS(_xlfn.XLOOKUP(A35,'Inputs-Results'!$A$9:$A$35,'Inputs-Results'!$AB$9:$AB$35)-_xlfn.XLOOKUP(A35,'Inputs-Results'!$A$9:$A$35,'Inputs-Results'!$Z$9:$Z$35))),H35)</f>
        <v>#N/A</v>
      </c>
      <c r="K35" s="41" t="e">
        <f t="shared" ref="K35:K60" si="3">C35</f>
        <v>#N/A</v>
      </c>
      <c r="L35" s="41" t="e">
        <f t="shared" ref="L35:L60" si="4">ABS(0.5*(B35-D35)*(C35-E35))</f>
        <v>#N/A</v>
      </c>
      <c r="M35" s="41" t="e">
        <f t="shared" ref="M35:M60" si="5">0.5*((C35-E35)+(C35-G35))*ABS(D35-F35)</f>
        <v>#N/A</v>
      </c>
      <c r="N35" s="41" t="e">
        <f t="shared" ref="N35:N60" si="6">0.5*((C35-I35)+(C35-G35))*ABS(H35-F35)</f>
        <v>#N/A</v>
      </c>
      <c r="O35" s="41" t="e">
        <f t="shared" ref="O35:O60" si="7">ABS(0.5*(H35-J35)*(I35-K35))</f>
        <v>#N/A</v>
      </c>
      <c r="P35" s="41" t="e">
        <f>SQRT((D35-B35)^2+(E35-C35)^2)</f>
        <v>#N/A</v>
      </c>
      <c r="Q35" s="41" t="e">
        <f t="shared" ref="Q35:Q60" si="8">SQRT((F35-D35)^2+(G35-E35)^2)</f>
        <v>#N/A</v>
      </c>
      <c r="R35" s="41" t="e">
        <f t="shared" ref="R35:R60" si="9">SQRT((H35-F35)^2+(I35-G35)^2)</f>
        <v>#N/A</v>
      </c>
      <c r="S35" s="41" t="e">
        <f>SQRT((J35-H35)^2+(K35-I35)^2)</f>
        <v>#N/A</v>
      </c>
      <c r="T35" s="41" t="e">
        <f>IF(P35&gt;0,1.486*L35*(L35/P35)^(2/3)/_xlfn.XLOOKUP($A35,'Inputs-Results'!$A$9:$A$35,'Inputs-Results'!$AC$9:$AC$35),0)</f>
        <v>#N/A</v>
      </c>
      <c r="U35" s="41" t="e">
        <f>IF(Q35&gt;0,1.486*M35*(M35/Q35)^(2/3)/_xlfn.XLOOKUP($A35,'Inputs-Results'!$A$9:$A$35,'Inputs-Results'!$AC$9:$AC$35),0)+T35</f>
        <v>#N/A</v>
      </c>
      <c r="V35" s="41" t="e">
        <f>IF(R35&gt;0,1.486*N35*(N35/R35)^(2/3)/_xlfn.XLOOKUP($A35,'Inputs-Results'!$A$9:$A$35,'Inputs-Results'!$AC$9:$AC$35),0)+U35</f>
        <v>#N/A</v>
      </c>
      <c r="W35" s="41" t="e">
        <f>IF(S35&gt;0,1.486*O35*(O35/S35)^(2/3)/_xlfn.XLOOKUP($A35,'Inputs-Results'!$A$9:$A$35,'Inputs-Results'!$AC$9:$AC$35),0)+V35</f>
        <v>#N/A</v>
      </c>
      <c r="X35" s="41" t="e">
        <f>_xlfn.XLOOKUP(A35,'Inputs-Results'!$A$9:$A$35,'Inputs-Results'!$AE$9:$AE$35)</f>
        <v>#N/A</v>
      </c>
      <c r="Y35" s="41" t="e">
        <f>IF(_xlfn.XLOOKUP(A35,'Inputs-Results'!$A$9:$A$35,'Inputs-Results'!$N$9:$N$35)="",IF(X35="left",D35,IF(X35="right",H35,IF(X35="center (Berm)",F35,""))),'Inputs-Results'!N10)</f>
        <v>#N/A</v>
      </c>
      <c r="Z35" s="41" t="e">
        <f>IF(_xlfn.XLOOKUP(A35,'Inputs-Results'!A10:A36,'Inputs-Results'!B10:B36)="P-12",COS(ATAN(1/_xlfn.XLOOKUP(A35,'Inputs-Results'!$A$9:$A$35,'Inputs-Results'!$C$9:$C$35)))*'Standard Data'!$D$12,IF(_xlfn.XLOOKUP(A35,'Inputs-Results'!$A$9:$A$35,'Inputs-Results'!$B$9:$B$35)="N-12",COS(ATAN(1/_xlfn.XLOOKUP(A35,'Inputs-Results'!$A$9:$A$35,'Inputs-Results'!$C$9:$C$35)))*'Standard Data'!$D$13))</f>
        <v>#N/A</v>
      </c>
      <c r="AA35" s="41" t="e">
        <f t="shared" ref="AA35:AA60" si="10">IF(X35="right",Z35+Y35,IF(X35="left",Y35-Z35,""))</f>
        <v>#N/A</v>
      </c>
      <c r="AB35" s="41">
        <v>0</v>
      </c>
      <c r="AC35" s="41" t="e">
        <f t="shared" ref="AC35:AC60" si="11">IF(AND(AA35&lt;B35,X35="left"),0,IF(AND(X35="left",AA35&lt;=D35),ABS((B35-AA35)*(0-T35)/(B35-D35)),IF(AND(X35="left",AA35&gt;D35,AA35&lt;=F35),T35+ABS((AA35-D35)*(U35-T35)/(F35-D35)),IF(AND(X35="right",Y35&lt;H35,Y35&gt;=F35),U35+ABS((Y35-F35)*(V35-U35)/(H35-F35)),IF(AND(X35="right",Y35&gt;=H35),V35+ABS((Y35-H35)*(W35-V35)/(J35-H35)))))))</f>
        <v>#N/A</v>
      </c>
      <c r="AD35" s="41" t="e">
        <f t="shared" ref="AD35:AD60" si="12">IF(AND(X35="left",Y35&lt;=D35),ABS((D35-Y35)*(T35-0)/(D35-B35)),IF(AND(X35="left",Y35&lt;=F35,Y35&gt;D35),U35-ABS((F35-Y35)*(U35-T35)/(F35-D35)),IF(AND(X35="right",AA35&gt;=H35),W35-(W35-V35)*(J35-AA35)/(J35-H35),IF(AND(X35="right",AA35&lt;H35,AA35&gt;=F35),IF(AND(X35="right",AA35&lt;H35,AA35&gt;=F35),V35-ABS((AA35-Y35)*(V35-AC35)/(H35-Y35)),W35)))))</f>
        <v>#N/A</v>
      </c>
      <c r="AE35" s="41" t="e">
        <f>W35</f>
        <v>#N/A</v>
      </c>
      <c r="AF35" s="41" t="e">
        <f t="shared" ref="AF35:AF60" si="13">AC35-AB35</f>
        <v>#N/A</v>
      </c>
      <c r="AG35" s="41" t="e">
        <f t="shared" ref="AG35:AG60" si="14">AD35-AC35</f>
        <v>#N/A</v>
      </c>
      <c r="AH35" s="41" t="e">
        <f t="shared" ref="AH35:AH60" si="15">AE35-AD35</f>
        <v>#N/A</v>
      </c>
      <c r="AI35" s="19" t="e">
        <f>AF35/$AE35*_xlfn.XLOOKUP(A35,'Inputs-Results'!$A$9:$A$35,'Inputs-Results'!$M$9:$M$35)</f>
        <v>#N/A</v>
      </c>
      <c r="AJ35" s="19" t="e">
        <f>AG35/$AE35*_xlfn.XLOOKUP(A35,'Inputs-Results'!$A$9:$A$35,'Inputs-Results'!$M$9:$M$35)</f>
        <v>#N/A</v>
      </c>
      <c r="AK35" s="19" t="e">
        <f>AH35/$AE35*_xlfn.XLOOKUP(A35,'Inputs-Results'!$A$9:$A$35,'Inputs-Results'!$M$9:$M$35)</f>
        <v>#N/A</v>
      </c>
      <c r="AL35" s="18" t="e">
        <f>1/(1+0.15*_xlfn.XLOOKUP(A35,$A$3:$A$29,$C$3:$C$29)^1.8/(1/IF(AND(X35="left",AA35&lt;D35),ABS((_xlfn.XLOOKUP(A35,'Inputs-Results'!$A$9:$A$35,'Inputs-Results'!$U$9:$U$35)-_xlfn.XLOOKUP(A35,'Inputs-Results'!$A$9:$A$35,'Inputs-Results'!$S$9:$S$35))/(_xlfn.XLOOKUP(A35,'Inputs-Results'!$A$9:$A$35,'Inputs-Results'!$T$9:$T$35)-_xlfn.XLOOKUP(A35,'Inputs-Results'!$A$9:$A$35,'Inputs-Results'!$V$9:$V$35))),IF(AND(X35="left",AA35&lt;=F35,AA35&gt;D35),ABS((_xlfn.XLOOKUP(A35,'Inputs-Results'!$A$9:$A$35,'Inputs-Results'!$W$9:$W$35)-_xlfn.XLOOKUP(A35,'Inputs-Results'!$A$9:$A$35,'Inputs-Results'!$U$9:$U$35))/(_xlfn.XLOOKUP(A35,'Inputs-Results'!$A$9:$A$35,'Inputs-Results'!$V$9:$V$35)-_xlfn.XLOOKUP(A35,'Inputs-Results'!$A$9:$A$35,'Inputs-Results'!$X$9:$X$35))),IF(AND(X35="right",Y35&gt;H35),ABS((_xlfn.XLOOKUP(A35,'Inputs-Results'!$A$9:$A$35,'Inputs-Results'!$AA$9:$AA$35)-_xlfn.XLOOKUP(A35,'Inputs-Results'!$A$9:$A$35,'Inputs-Results'!$Y$9:$Y$35))/(_xlfn.XLOOKUP(A35,'Inputs-Results'!$A$9:$A$35,'Inputs-Results'!$AB$9:$AB$35)-_xlfn.XLOOKUP(A35,'Inputs-Results'!$A$9:$A$35,'Inputs-Results'!$Z$9:$Z$35))),IF(AND(X35="right",Y35&lt;=H35,Y35&gt;=F35),(_xlfn.XLOOKUP(A35,'Inputs-Results'!$A$9:$A$35,'Inputs-Results'!$Y$9:$Y$35)-_xlfn.XLOOKUP(A35,'Inputs-Results'!$A$9:$A$35,'Inputs-Results'!$W$9:$W$35))/(_xlfn.XLOOKUP(A35,'Inputs-Results'!$A$9:$A$35,'Inputs-Results'!$Z$9:$Z$35)-_xlfn.XLOOKUP(A35,'Inputs-Results'!$A$9:$A$35,'Inputs-Results'!$X$9:$X$35)))))))/'Standard Data'!$C$12^2.3)</f>
        <v>#N/A</v>
      </c>
      <c r="AM35" s="18" t="e">
        <f>MIN(1-0.09*(_xlfn.XLOOKUP(A35,$A$3:$A$29,$C$3:$C$29)-'Standard Data'!$G$12),1)</f>
        <v>#N/A</v>
      </c>
      <c r="AN35" s="18" t="e">
        <f>1/(1+0.15*_xlfn.XLOOKUP(A35,$A$3:$A$29,$C$3:$C$29)^1.8/(1/IF(AND(X35="left",AA35&lt;D35),ABS((_xlfn.XLOOKUP(A35,'Inputs-Results'!$A$9:$A$35,'Inputs-Results'!$U$9:$U$35)-_xlfn.XLOOKUP(A35,'Inputs-Results'!$A$9:$A$35,'Inputs-Results'!$S$9:$S$35))/(_xlfn.XLOOKUP(A35,'Inputs-Results'!$A$9:$A$35,'Inputs-Results'!$T$9:$T$35)-_xlfn.XLOOKUP(A35,'Inputs-Results'!$A$9:$A$35,'Inputs-Results'!$V$9:$V$35))),IF(AND(X35="left",AA35&lt;=F35,AA35&gt;D35),ABS((_xlfn.XLOOKUP(A35,'Inputs-Results'!$A$9:$A$35,'Inputs-Results'!$W$9:$W$35)-_xlfn.XLOOKUP(A35,'Inputs-Results'!$A$9:$A$35,'Inputs-Results'!$U$9:$U$35))/(_xlfn.XLOOKUP(A35,'Inputs-Results'!$A$9:$A$35,'Inputs-Results'!$V$9:$V$35)-_xlfn.XLOOKUP(A35,'Inputs-Results'!$A$9:$A$35,'Inputs-Results'!$X$9:$X$35))),IF(AND(X35="right",Y35&gt;H35),ABS((_xlfn.XLOOKUP(A35,'Inputs-Results'!$A$9:$A$35,'Inputs-Results'!$AA$9:$AA$35)-_xlfn.XLOOKUP(A35,'Inputs-Results'!$A$9:$A$35,'Inputs-Results'!$Y$9:$Y$35))/(_xlfn.XLOOKUP(A35,'Inputs-Results'!$A$9:$A$35,'Inputs-Results'!$AB$9:$AB$35)-_xlfn.XLOOKUP(A35,'Inputs-Results'!$A$9:$A$35,'Inputs-Results'!$Z$9:$Z$35))),IF(AND(X35="right",Y35&lt;=H35,Y35&gt;=F35),(_xlfn.XLOOKUP(A35,'Inputs-Results'!$A$9:$A$35,'Inputs-Results'!$Y$9:$Y$35)-_xlfn.XLOOKUP(A35,'Inputs-Results'!$A$9:$A$35,'Inputs-Results'!$W$9:$W$35))/(_xlfn.XLOOKUP(A35,'Inputs-Results'!$A$9:$A$35,'Inputs-Results'!$Z$9:$Z$35)-_xlfn.XLOOKUP(A35,'Inputs-Results'!$A$9:$A$35,'Inputs-Results'!$X$9:$X$35)))))))/'Standard Data'!$C$12^2.3)</f>
        <v>#N/A</v>
      </c>
      <c r="AO35" s="19" t="e">
        <f>AL35*AI35+AM35*AJ35+AN35*AK35</f>
        <v>#N/A</v>
      </c>
      <c r="AP35" s="19" t="e">
        <f>SUM(AI35:AK35)-AO35</f>
        <v>#N/A</v>
      </c>
      <c r="AQ35" s="2" t="str">
        <f t="shared" ref="AQ35:AQ60" si="16">IFERROR(IF(AND(X35="right",AA35&gt;J35),"top of inlet is beyond XS",IF(AND(X35="left",AA35&lt;B35),"top of inlet is beyond XS","")),"")</f>
        <v/>
      </c>
    </row>
    <row r="36" spans="1:43" x14ac:dyDescent="0.25">
      <c r="A36" s="2">
        <f>'Inputs-Results'!A11</f>
        <v>0</v>
      </c>
      <c r="B36" s="2" t="e">
        <f>IF(C36&gt;E36,D36-ABS(_xlfn.XLOOKUP(A36,'Inputs-Results'!$A$9:$A$35,'Inputs-Results'!$S$9:$S$35)-_xlfn.XLOOKUP(A36,'Inputs-Results'!$A$9:$A$35,'Inputs-Results'!$U$9:$U$35))*(C36-E36)/(ABS(_xlfn.XLOOKUP(A36,'Inputs-Results'!$A$9:$A$35,'Inputs-Results'!$T$9:$T$35)-_xlfn.XLOOKUP(A36,'Inputs-Results'!$A$9:$A$35,'Inputs-Results'!$V$9:$V$35))),D36)</f>
        <v>#N/A</v>
      </c>
      <c r="C36" s="2" t="e">
        <f>IFERROR(G36+_xlfn.XLOOKUP(A36,'Ditch Calculations'!$A$34:$A$114,'Ditch Calculations'!$C$34:$C$114),_xlfn.XLOOKUP(A36,'Inputs-Results'!$A$9:$A$35,'Inputs-Results'!$T$9:$T$35))</f>
        <v>#N/A</v>
      </c>
      <c r="D36" s="2" t="e">
        <f>IF(C36&gt;E36,_xlfn.XLOOKUP(A36,'Inputs-Results'!$A$9:$A$35,'Inputs-Results'!$U$9:$U$35),_xlfn.XLOOKUP(A36,'Inputs-Results'!$A$9:$A$35,'Inputs-Results'!$W$9:$W$35)-ABS((_xlfn.XLOOKUP(A36,'Inputs-Results'!$A$9:$A$35,'Inputs-Results'!$W$9:$W$35)-_xlfn.XLOOKUP(A36,'Inputs-Results'!$A$9:$A$35,'Inputs-Results'!$U$9:$U$35))*(E36-G36))/((_xlfn.XLOOKUP(A36,'Inputs-Results'!$A$9:$A$35,'Inputs-Results'!$V$9:$V$35)-_xlfn.XLOOKUP(A36,'Inputs-Results'!$A$9:$A$35,'Inputs-Results'!$X$9:$X$35))))</f>
        <v>#N/A</v>
      </c>
      <c r="E36" s="2" t="e">
        <f>IF(C36&gt;_xlfn.XLOOKUP(A36,'Inputs-Results'!$A$9:$A$35,'Inputs-Results'!$V$9:$V$35),_xlfn.XLOOKUP(A36,'Inputs-Results'!$A$9:$A$35,'Inputs-Results'!$V$9:$V$35),C36)</f>
        <v>#N/A</v>
      </c>
      <c r="F36" s="2" t="e">
        <f>_xlfn.XLOOKUP(A36,'Inputs-Results'!$A$9:$A$35,'Inputs-Results'!$W$9:$W$35)</f>
        <v>#N/A</v>
      </c>
      <c r="G36" s="2" t="e">
        <f>_xlfn.XLOOKUP(A36,'Inputs-Results'!$A$9:$A$35,'Inputs-Results'!$O$9:$O$35)</f>
        <v>#N/A</v>
      </c>
      <c r="H36" s="2" t="e">
        <f>IF(K36&gt;I36,_xlfn.XLOOKUP(A36,'Inputs-Results'!$A$9:$A$35,'Inputs-Results'!$Y$9:$Y$35),_xlfn.XLOOKUP(A36,'Inputs-Results'!$A$9:$A$35,'Inputs-Results'!$W$9:$W$35)+ABS((_xlfn.XLOOKUP(A36,'Inputs-Results'!$A$9:$A$35,'Inputs-Results'!$Y$9:$Y$35)-_xlfn.XLOOKUP(A36,'Inputs-Results'!$A$9:$A$35,'Inputs-Results'!$W$9:$W$35))*(I36-G36)/(_xlfn.XLOOKUP(A36,'Inputs-Results'!$A$9:$A$35,'Inputs-Results'!$Z$9:$Z$35)-_xlfn.XLOOKUP(A36,'Inputs-Results'!$A$9:$A$35,'Inputs-Results'!$X$9:$X$35))))</f>
        <v>#N/A</v>
      </c>
      <c r="I36" s="2" t="e">
        <f>IF(K36&gt;_xlfn.XLOOKUP(A36,'Inputs-Results'!$A$9:$A$35,'Inputs-Results'!$Z$9:$Z$35),_xlfn.XLOOKUP(A36,'Inputs-Results'!$A$9:$A$35,'Inputs-Results'!$Z$9:$Z$35),K36)</f>
        <v>#N/A</v>
      </c>
      <c r="J36" s="41" t="e">
        <f>IF(K36&gt;I36,H36+ABS(_xlfn.XLOOKUP(A36,'Inputs-Results'!$A$9:$A$35,'Inputs-Results'!$AA$9:$AA$35)-_xlfn.XLOOKUP(A36,'Inputs-Results'!$A$9:$A$35,'Inputs-Results'!$Y$9:$Y$35))*(K36-I36)/(ABS(_xlfn.XLOOKUP(A36,'Inputs-Results'!$A$9:$A$35,'Inputs-Results'!$AB$9:$AB$35)-_xlfn.XLOOKUP(A36,'Inputs-Results'!$A$9:$A$35,'Inputs-Results'!$Z$9:$Z$35))),H36)</f>
        <v>#N/A</v>
      </c>
      <c r="K36" s="41" t="e">
        <f t="shared" si="3"/>
        <v>#N/A</v>
      </c>
      <c r="L36" s="41" t="e">
        <f t="shared" si="4"/>
        <v>#N/A</v>
      </c>
      <c r="M36" s="41" t="e">
        <f t="shared" si="5"/>
        <v>#N/A</v>
      </c>
      <c r="N36" s="41" t="e">
        <f t="shared" si="6"/>
        <v>#N/A</v>
      </c>
      <c r="O36" s="41" t="e">
        <f t="shared" si="7"/>
        <v>#N/A</v>
      </c>
      <c r="P36" s="41" t="e">
        <f t="shared" ref="P36:P60" si="17">SQRT((D36-B36)^2+(E36-C36)^2)</f>
        <v>#N/A</v>
      </c>
      <c r="Q36" s="41" t="e">
        <f t="shared" si="8"/>
        <v>#N/A</v>
      </c>
      <c r="R36" s="41" t="e">
        <f t="shared" si="9"/>
        <v>#N/A</v>
      </c>
      <c r="S36" s="41" t="e">
        <f t="shared" ref="S36:S60" si="18">SQRT((J36-H36)^2+(K36-I36)^2)</f>
        <v>#N/A</v>
      </c>
      <c r="T36" s="41" t="e">
        <f>IF(P36&gt;0,1.486*L36*(L36/P36)^(2/3)/_xlfn.XLOOKUP($A36,'Inputs-Results'!$A$9:$A$35,'Inputs-Results'!$AC$9:$AC$35),0)</f>
        <v>#N/A</v>
      </c>
      <c r="U36" s="41" t="e">
        <f>IF(Q36&gt;0,1.486*M36*(M36/Q36)^(2/3)/_xlfn.XLOOKUP($A36,'Inputs-Results'!$A$9:$A$35,'Inputs-Results'!$AC$9:$AC$35),0)+T36</f>
        <v>#N/A</v>
      </c>
      <c r="V36" s="41" t="e">
        <f>IF(R36&gt;0,1.486*N36*(N36/R36)^(2/3)/_xlfn.XLOOKUP($A36,'Inputs-Results'!$A$9:$A$35,'Inputs-Results'!$AC$9:$AC$35),0)+U36</f>
        <v>#N/A</v>
      </c>
      <c r="W36" s="41" t="e">
        <f>IF(S36&gt;0,1.486*O36*(O36/S36)^(2/3)/_xlfn.XLOOKUP($A36,'Inputs-Results'!$A$9:$A$35,'Inputs-Results'!$AC$9:$AC$35),0)+V36</f>
        <v>#N/A</v>
      </c>
      <c r="X36" s="41" t="e">
        <f>_xlfn.XLOOKUP(A36,'Inputs-Results'!$A$9:$A$35,'Inputs-Results'!$AE$9:$AE$35)</f>
        <v>#N/A</v>
      </c>
      <c r="Y36" s="41" t="e">
        <f>IF(_xlfn.XLOOKUP(A36,'Inputs-Results'!$A$9:$A$35,'Inputs-Results'!$N$9:$N$35)="",IF(X36="left",D36,IF(X36="right",H36,IF(X36="center (Berm)",F36,""))),'Inputs-Results'!N11)</f>
        <v>#N/A</v>
      </c>
      <c r="Z36" s="41" t="e">
        <f>IF(_xlfn.XLOOKUP(A36,'Inputs-Results'!A11:A37,'Inputs-Results'!B11:B37)="P-12",COS(ATAN(1/_xlfn.XLOOKUP(A36,'Inputs-Results'!$A$9:$A$35,'Inputs-Results'!$C$9:$C$35)))*'Standard Data'!$D$12,IF(_xlfn.XLOOKUP(A36,'Inputs-Results'!$A$9:$A$35,'Inputs-Results'!$B$9:$B$35)="N-12",COS(ATAN(1/_xlfn.XLOOKUP(A36,'Inputs-Results'!$A$9:$A$35,'Inputs-Results'!$C$9:$C$35)))*'Standard Data'!$D$13))</f>
        <v>#N/A</v>
      </c>
      <c r="AA36" s="41" t="e">
        <f>IF(X36="right",Z36+Y36,IF(X36="left",Y36-Z36,""))</f>
        <v>#N/A</v>
      </c>
      <c r="AB36" s="41">
        <v>0</v>
      </c>
      <c r="AC36" s="41" t="e">
        <f t="shared" si="11"/>
        <v>#N/A</v>
      </c>
      <c r="AD36" s="41" t="e">
        <f t="shared" si="12"/>
        <v>#N/A</v>
      </c>
      <c r="AE36" s="41" t="e">
        <f t="shared" ref="AE36:AE60" si="19">W36</f>
        <v>#N/A</v>
      </c>
      <c r="AF36" s="41" t="e">
        <f t="shared" si="13"/>
        <v>#N/A</v>
      </c>
      <c r="AG36" s="41" t="e">
        <f t="shared" si="14"/>
        <v>#N/A</v>
      </c>
      <c r="AH36" s="41" t="e">
        <f t="shared" si="15"/>
        <v>#N/A</v>
      </c>
      <c r="AI36" s="19" t="e">
        <f>AF36/$AE36*_xlfn.XLOOKUP(A36,'Inputs-Results'!$A$9:$A$35,'Inputs-Results'!$M$9:$M$35)</f>
        <v>#N/A</v>
      </c>
      <c r="AJ36" s="19" t="e">
        <f>AG36/$AE36*_xlfn.XLOOKUP(A36,'Inputs-Results'!$A$9:$A$35,'Inputs-Results'!$M$9:$M$35)</f>
        <v>#N/A</v>
      </c>
      <c r="AK36" s="19" t="e">
        <f>AH36/$AE36*_xlfn.XLOOKUP(A36,'Inputs-Results'!$A$9:$A$35,'Inputs-Results'!$M$9:$M$35)</f>
        <v>#N/A</v>
      </c>
      <c r="AL36" s="18" t="e">
        <f>1/(1+0.15*_xlfn.XLOOKUP(A36,$A$3:$A$29,$C$3:$C$29)^1.8/(1/IF(AND(X36="left",AA36&lt;D36),ABS((_xlfn.XLOOKUP(A36,'Inputs-Results'!$A$9:$A$35,'Inputs-Results'!$U$9:$U$35)-_xlfn.XLOOKUP(A36,'Inputs-Results'!$A$9:$A$35,'Inputs-Results'!$S$9:$S$35))/(_xlfn.XLOOKUP(A36,'Inputs-Results'!$A$9:$A$35,'Inputs-Results'!$T$9:$T$35)-_xlfn.XLOOKUP(A36,'Inputs-Results'!$A$9:$A$35,'Inputs-Results'!$V$9:$V$35))),IF(AND(X36="left",AA36&lt;=F36,AA36&gt;D36),ABS((_xlfn.XLOOKUP(A36,'Inputs-Results'!$A$9:$A$35,'Inputs-Results'!$W$9:$W$35)-_xlfn.XLOOKUP(A36,'Inputs-Results'!$A$9:$A$35,'Inputs-Results'!$U$9:$U$35))/(_xlfn.XLOOKUP(A36,'Inputs-Results'!$A$9:$A$35,'Inputs-Results'!$V$9:$V$35)-_xlfn.XLOOKUP(A36,'Inputs-Results'!$A$9:$A$35,'Inputs-Results'!$X$9:$X$35))),IF(AND(X36="right",Y36&gt;H36),ABS((_xlfn.XLOOKUP(A36,'Inputs-Results'!$A$9:$A$35,'Inputs-Results'!$AA$9:$AA$35)-_xlfn.XLOOKUP(A36,'Inputs-Results'!$A$9:$A$35,'Inputs-Results'!$Y$9:$Y$35))/(_xlfn.XLOOKUP(A36,'Inputs-Results'!$A$9:$A$35,'Inputs-Results'!$AB$9:$AB$35)-_xlfn.XLOOKUP(A36,'Inputs-Results'!$A$9:$A$35,'Inputs-Results'!$Z$9:$Z$35))),IF(AND(X36="right",Y36&lt;=H36,Y36&gt;=F36),(_xlfn.XLOOKUP(A36,'Inputs-Results'!$A$9:$A$35,'Inputs-Results'!$Y$9:$Y$35)-_xlfn.XLOOKUP(A36,'Inputs-Results'!$A$9:$A$35,'Inputs-Results'!$W$9:$W$35))/(_xlfn.XLOOKUP(A36,'Inputs-Results'!$A$9:$A$35,'Inputs-Results'!$Z$9:$Z$35)-_xlfn.XLOOKUP(A36,'Inputs-Results'!$A$9:$A$35,'Inputs-Results'!$X$9:$X$35)))))))/'Standard Data'!$C$12^2.3)</f>
        <v>#N/A</v>
      </c>
      <c r="AM36" s="18" t="e">
        <f>MIN(1-0.09*(_xlfn.XLOOKUP(A36,$A$3:$A$29,$C$3:$C$29)-'Standard Data'!$G$12),1)</f>
        <v>#N/A</v>
      </c>
      <c r="AN36" s="18" t="e">
        <f>1/(1+0.15*_xlfn.XLOOKUP(A36,$A$3:$A$29,$C$3:$C$29)^1.8/(1/IF(AND(X36="left",AA36&lt;D36),ABS((_xlfn.XLOOKUP(A36,'Inputs-Results'!$A$9:$A$35,'Inputs-Results'!$U$9:$U$35)-_xlfn.XLOOKUP(A36,'Inputs-Results'!$A$9:$A$35,'Inputs-Results'!$S$9:$S$35))/(_xlfn.XLOOKUP(A36,'Inputs-Results'!$A$9:$A$35,'Inputs-Results'!$T$9:$T$35)-_xlfn.XLOOKUP(A36,'Inputs-Results'!$A$9:$A$35,'Inputs-Results'!$V$9:$V$35))),IF(AND(X36="left",AA36&lt;=F36,AA36&gt;D36),ABS((_xlfn.XLOOKUP(A36,'Inputs-Results'!$A$9:$A$35,'Inputs-Results'!$W$9:$W$35)-_xlfn.XLOOKUP(A36,'Inputs-Results'!$A$9:$A$35,'Inputs-Results'!$U$9:$U$35))/(_xlfn.XLOOKUP(A36,'Inputs-Results'!$A$9:$A$35,'Inputs-Results'!$V$9:$V$35)-_xlfn.XLOOKUP(A36,'Inputs-Results'!$A$9:$A$35,'Inputs-Results'!$X$9:$X$35))),IF(AND(X36="right",Y36&gt;H36),ABS((_xlfn.XLOOKUP(A36,'Inputs-Results'!$A$9:$A$35,'Inputs-Results'!$AA$9:$AA$35)-_xlfn.XLOOKUP(A36,'Inputs-Results'!$A$9:$A$35,'Inputs-Results'!$Y$9:$Y$35))/(_xlfn.XLOOKUP(A36,'Inputs-Results'!$A$9:$A$35,'Inputs-Results'!$AB$9:$AB$35)-_xlfn.XLOOKUP(A36,'Inputs-Results'!$A$9:$A$35,'Inputs-Results'!$Z$9:$Z$35))),IF(AND(X36="right",Y36&lt;=H36,Y36&gt;=F36),(_xlfn.XLOOKUP(A36,'Inputs-Results'!$A$9:$A$35,'Inputs-Results'!$Y$9:$Y$35)-_xlfn.XLOOKUP(A36,'Inputs-Results'!$A$9:$A$35,'Inputs-Results'!$W$9:$W$35))/(_xlfn.XLOOKUP(A36,'Inputs-Results'!$A$9:$A$35,'Inputs-Results'!$Z$9:$Z$35)-_xlfn.XLOOKUP(A36,'Inputs-Results'!$A$9:$A$35,'Inputs-Results'!$X$9:$X$35)))))))/'Standard Data'!$C$12^2.3)</f>
        <v>#N/A</v>
      </c>
      <c r="AO36" s="19" t="e">
        <f t="shared" ref="AO36:AO60" si="20">AL36*AI36+AM36*AJ36+AN36*AK36</f>
        <v>#N/A</v>
      </c>
      <c r="AP36" s="19" t="e">
        <f t="shared" ref="AP36:AP60" si="21">SUM(AI36:AK36)-AO36</f>
        <v>#N/A</v>
      </c>
      <c r="AQ36" s="2" t="str">
        <f t="shared" si="16"/>
        <v/>
      </c>
    </row>
    <row r="37" spans="1:43" x14ac:dyDescent="0.25">
      <c r="A37" s="2">
        <f>'Inputs-Results'!A12</f>
        <v>0</v>
      </c>
      <c r="B37" s="2" t="e">
        <f>IF(C37&gt;E37,D37-ABS(_xlfn.XLOOKUP(A37,'Inputs-Results'!$A$9:$A$35,'Inputs-Results'!$S$9:$S$35)-_xlfn.XLOOKUP(A37,'Inputs-Results'!$A$9:$A$35,'Inputs-Results'!$U$9:$U$35))*(C37-E37)/(ABS(_xlfn.XLOOKUP(A37,'Inputs-Results'!$A$9:$A$35,'Inputs-Results'!$T$9:$T$35)-_xlfn.XLOOKUP(A37,'Inputs-Results'!$A$9:$A$35,'Inputs-Results'!$V$9:$V$35))),D37)</f>
        <v>#N/A</v>
      </c>
      <c r="C37" s="2" t="e">
        <f>IFERROR(G37+_xlfn.XLOOKUP(A37,'Ditch Calculations'!$A$34:$A$114,'Ditch Calculations'!$C$34:$C$114),_xlfn.XLOOKUP(A37,'Inputs-Results'!$A$9:$A$35,'Inputs-Results'!$T$9:$T$35))</f>
        <v>#N/A</v>
      </c>
      <c r="D37" s="2" t="e">
        <f>IF(C37&gt;E37,_xlfn.XLOOKUP(A37,'Inputs-Results'!$A$9:$A$35,'Inputs-Results'!$U$9:$U$35),_xlfn.XLOOKUP(A37,'Inputs-Results'!$A$9:$A$35,'Inputs-Results'!$W$9:$W$35)-ABS((_xlfn.XLOOKUP(A37,'Inputs-Results'!$A$9:$A$35,'Inputs-Results'!$W$9:$W$35)-_xlfn.XLOOKUP(A37,'Inputs-Results'!$A$9:$A$35,'Inputs-Results'!$U$9:$U$35))*(E37-G37))/((_xlfn.XLOOKUP(A37,'Inputs-Results'!$A$9:$A$35,'Inputs-Results'!$V$9:$V$35)-_xlfn.XLOOKUP(A37,'Inputs-Results'!$A$9:$A$35,'Inputs-Results'!$X$9:$X$35))))</f>
        <v>#N/A</v>
      </c>
      <c r="E37" s="2" t="e">
        <f>IF(C37&gt;_xlfn.XLOOKUP(A37,'Inputs-Results'!$A$9:$A$35,'Inputs-Results'!$V$9:$V$35),_xlfn.XLOOKUP(A37,'Inputs-Results'!$A$9:$A$35,'Inputs-Results'!$V$9:$V$35),C37)</f>
        <v>#N/A</v>
      </c>
      <c r="F37" s="2" t="e">
        <f>_xlfn.XLOOKUP(A37,'Inputs-Results'!$A$9:$A$35,'Inputs-Results'!$W$9:$W$35)</f>
        <v>#N/A</v>
      </c>
      <c r="G37" s="2" t="e">
        <f>_xlfn.XLOOKUP(A37,'Inputs-Results'!$A$9:$A$35,'Inputs-Results'!$O$9:$O$35)</f>
        <v>#N/A</v>
      </c>
      <c r="H37" s="2" t="e">
        <f>IF(K37&gt;I37,_xlfn.XLOOKUP(A37,'Inputs-Results'!$A$9:$A$35,'Inputs-Results'!$Y$9:$Y$35),_xlfn.XLOOKUP(A37,'Inputs-Results'!$A$9:$A$35,'Inputs-Results'!$W$9:$W$35)+ABS((_xlfn.XLOOKUP(A37,'Inputs-Results'!$A$9:$A$35,'Inputs-Results'!$Y$9:$Y$35)-_xlfn.XLOOKUP(A37,'Inputs-Results'!$A$9:$A$35,'Inputs-Results'!$W$9:$W$35))*(I37-G37)/(_xlfn.XLOOKUP(A37,'Inputs-Results'!$A$9:$A$35,'Inputs-Results'!$Z$9:$Z$35)-_xlfn.XLOOKUP(A37,'Inputs-Results'!$A$9:$A$35,'Inputs-Results'!$X$9:$X$35))))</f>
        <v>#N/A</v>
      </c>
      <c r="I37" s="2" t="e">
        <f>IF(K37&gt;_xlfn.XLOOKUP(A37,'Inputs-Results'!$A$9:$A$35,'Inputs-Results'!$Z$9:$Z$35),_xlfn.XLOOKUP(A37,'Inputs-Results'!$A$9:$A$35,'Inputs-Results'!$Z$9:$Z$35),K37)</f>
        <v>#N/A</v>
      </c>
      <c r="J37" s="41" t="e">
        <f>IF(K37&gt;I37,H37+ABS(_xlfn.XLOOKUP(A37,'Inputs-Results'!$A$9:$A$35,'Inputs-Results'!$AA$9:$AA$35)-_xlfn.XLOOKUP(A37,'Inputs-Results'!$A$9:$A$35,'Inputs-Results'!$Y$9:$Y$35))*(K37-I37)/(ABS(_xlfn.XLOOKUP(A37,'Inputs-Results'!$A$9:$A$35,'Inputs-Results'!$AB$9:$AB$35)-_xlfn.XLOOKUP(A37,'Inputs-Results'!$A$9:$A$35,'Inputs-Results'!$Z$9:$Z$35))),H37)</f>
        <v>#N/A</v>
      </c>
      <c r="K37" s="41" t="e">
        <f t="shared" si="3"/>
        <v>#N/A</v>
      </c>
      <c r="L37" s="41" t="e">
        <f t="shared" si="4"/>
        <v>#N/A</v>
      </c>
      <c r="M37" s="41" t="e">
        <f t="shared" si="5"/>
        <v>#N/A</v>
      </c>
      <c r="N37" s="41" t="e">
        <f t="shared" si="6"/>
        <v>#N/A</v>
      </c>
      <c r="O37" s="41" t="e">
        <f t="shared" si="7"/>
        <v>#N/A</v>
      </c>
      <c r="P37" s="41" t="e">
        <f t="shared" si="17"/>
        <v>#N/A</v>
      </c>
      <c r="Q37" s="41" t="e">
        <f t="shared" si="8"/>
        <v>#N/A</v>
      </c>
      <c r="R37" s="41" t="e">
        <f t="shared" si="9"/>
        <v>#N/A</v>
      </c>
      <c r="S37" s="41" t="e">
        <f t="shared" si="18"/>
        <v>#N/A</v>
      </c>
      <c r="T37" s="41" t="e">
        <f>IF(P37&gt;0,1.486*L37*(L37/P37)^(2/3)/_xlfn.XLOOKUP($A37,'Inputs-Results'!$A$9:$A$35,'Inputs-Results'!$AC$9:$AC$35),0)</f>
        <v>#N/A</v>
      </c>
      <c r="U37" s="41" t="e">
        <f>IF(Q37&gt;0,1.486*M37*(M37/Q37)^(2/3)/_xlfn.XLOOKUP($A37,'Inputs-Results'!$A$9:$A$35,'Inputs-Results'!$AC$9:$AC$35),0)+T37</f>
        <v>#N/A</v>
      </c>
      <c r="V37" s="41" t="e">
        <f>IF(R37&gt;0,1.486*N37*(N37/R37)^(2/3)/_xlfn.XLOOKUP($A37,'Inputs-Results'!$A$9:$A$35,'Inputs-Results'!$AC$9:$AC$35),0)+U37</f>
        <v>#N/A</v>
      </c>
      <c r="W37" s="41" t="e">
        <f>IF(S37&gt;0,1.486*O37*(O37/S37)^(2/3)/_xlfn.XLOOKUP($A37,'Inputs-Results'!$A$9:$A$35,'Inputs-Results'!$AC$9:$AC$35),0)+V37</f>
        <v>#N/A</v>
      </c>
      <c r="X37" s="41" t="e">
        <f>_xlfn.XLOOKUP(A37,'Inputs-Results'!$A$9:$A$35,'Inputs-Results'!$AE$9:$AE$35)</f>
        <v>#N/A</v>
      </c>
      <c r="Y37" s="41" t="e">
        <f>IF(_xlfn.XLOOKUP(A37,'Inputs-Results'!$A$9:$A$35,'Inputs-Results'!$N$9:$N$35)="",IF(X37="left",D37,IF(X37="right",H37,IF(X37="center (Berm)",F37,""))),'Inputs-Results'!N12)</f>
        <v>#N/A</v>
      </c>
      <c r="Z37" s="41" t="e">
        <f>IF(_xlfn.XLOOKUP(A37,'Inputs-Results'!A12:A38,'Inputs-Results'!B12:B38)="P-12",COS(ATAN(1/_xlfn.XLOOKUP(A37,'Inputs-Results'!$A$9:$A$35,'Inputs-Results'!$C$9:$C$35)))*'Standard Data'!$D$12,IF(_xlfn.XLOOKUP(A37,'Inputs-Results'!$A$9:$A$35,'Inputs-Results'!$B$9:$B$35)="N-12",COS(ATAN(1/_xlfn.XLOOKUP(A37,'Inputs-Results'!$A$9:$A$35,'Inputs-Results'!$C$9:$C$35)))*'Standard Data'!$D$13))</f>
        <v>#N/A</v>
      </c>
      <c r="AA37" s="41" t="e">
        <f t="shared" si="10"/>
        <v>#N/A</v>
      </c>
      <c r="AB37" s="41">
        <v>0</v>
      </c>
      <c r="AC37" s="41" t="e">
        <f t="shared" si="11"/>
        <v>#N/A</v>
      </c>
      <c r="AD37" s="41" t="e">
        <f t="shared" si="12"/>
        <v>#N/A</v>
      </c>
      <c r="AE37" s="41" t="e">
        <f t="shared" si="19"/>
        <v>#N/A</v>
      </c>
      <c r="AF37" s="41" t="e">
        <f t="shared" si="13"/>
        <v>#N/A</v>
      </c>
      <c r="AG37" s="41" t="e">
        <f t="shared" si="14"/>
        <v>#N/A</v>
      </c>
      <c r="AH37" s="41" t="e">
        <f t="shared" si="15"/>
        <v>#N/A</v>
      </c>
      <c r="AI37" s="19" t="e">
        <f>AF37/$AE37*_xlfn.XLOOKUP(A37,'Inputs-Results'!$A$9:$A$35,'Inputs-Results'!$M$9:$M$35)</f>
        <v>#N/A</v>
      </c>
      <c r="AJ37" s="19" t="e">
        <f>AG37/$AE37*_xlfn.XLOOKUP(A37,'Inputs-Results'!$A$9:$A$35,'Inputs-Results'!$M$9:$M$35)</f>
        <v>#N/A</v>
      </c>
      <c r="AK37" s="19" t="e">
        <f>AH37/$AE37*_xlfn.XLOOKUP(A37,'Inputs-Results'!$A$9:$A$35,'Inputs-Results'!$M$9:$M$35)</f>
        <v>#N/A</v>
      </c>
      <c r="AL37" s="18" t="e">
        <f>1/(1+0.15*_xlfn.XLOOKUP(A37,$A$3:$A$29,$C$3:$C$29)^1.8/(1/IF(AND(X37="left",AA37&lt;D37),ABS((_xlfn.XLOOKUP(A37,'Inputs-Results'!$A$9:$A$35,'Inputs-Results'!$U$9:$U$35)-_xlfn.XLOOKUP(A37,'Inputs-Results'!$A$9:$A$35,'Inputs-Results'!$S$9:$S$35))/(_xlfn.XLOOKUP(A37,'Inputs-Results'!$A$9:$A$35,'Inputs-Results'!$T$9:$T$35)-_xlfn.XLOOKUP(A37,'Inputs-Results'!$A$9:$A$35,'Inputs-Results'!$V$9:$V$35))),IF(AND(X37="left",AA37&lt;=F37,AA37&gt;D37),ABS((_xlfn.XLOOKUP(A37,'Inputs-Results'!$A$9:$A$35,'Inputs-Results'!$W$9:$W$35)-_xlfn.XLOOKUP(A37,'Inputs-Results'!$A$9:$A$35,'Inputs-Results'!$U$9:$U$35))/(_xlfn.XLOOKUP(A37,'Inputs-Results'!$A$9:$A$35,'Inputs-Results'!$V$9:$V$35)-_xlfn.XLOOKUP(A37,'Inputs-Results'!$A$9:$A$35,'Inputs-Results'!$X$9:$X$35))),IF(AND(X37="right",Y37&gt;H37),ABS((_xlfn.XLOOKUP(A37,'Inputs-Results'!$A$9:$A$35,'Inputs-Results'!$AA$9:$AA$35)-_xlfn.XLOOKUP(A37,'Inputs-Results'!$A$9:$A$35,'Inputs-Results'!$Y$9:$Y$35))/(_xlfn.XLOOKUP(A37,'Inputs-Results'!$A$9:$A$35,'Inputs-Results'!$AB$9:$AB$35)-_xlfn.XLOOKUP(A37,'Inputs-Results'!$A$9:$A$35,'Inputs-Results'!$Z$9:$Z$35))),IF(AND(X37="right",Y37&lt;=H37,Y37&gt;=F37),(_xlfn.XLOOKUP(A37,'Inputs-Results'!$A$9:$A$35,'Inputs-Results'!$Y$9:$Y$35)-_xlfn.XLOOKUP(A37,'Inputs-Results'!$A$9:$A$35,'Inputs-Results'!$W$9:$W$35))/(_xlfn.XLOOKUP(A37,'Inputs-Results'!$A$9:$A$35,'Inputs-Results'!$Z$9:$Z$35)-_xlfn.XLOOKUP(A37,'Inputs-Results'!$A$9:$A$35,'Inputs-Results'!$X$9:$X$35)))))))/'Standard Data'!$C$12^2.3)</f>
        <v>#N/A</v>
      </c>
      <c r="AM37" s="18" t="e">
        <f>MIN(1-0.09*(_xlfn.XLOOKUP(A37,$A$3:$A$29,$C$3:$C$29)-'Standard Data'!$G$12),1)</f>
        <v>#N/A</v>
      </c>
      <c r="AN37" s="18" t="e">
        <f>1/(1+0.15*_xlfn.XLOOKUP(A37,$A$3:$A$29,$C$3:$C$29)^1.8/(1/IF(AND(X37="left",AA37&lt;D37),ABS((_xlfn.XLOOKUP(A37,'Inputs-Results'!$A$9:$A$35,'Inputs-Results'!$U$9:$U$35)-_xlfn.XLOOKUP(A37,'Inputs-Results'!$A$9:$A$35,'Inputs-Results'!$S$9:$S$35))/(_xlfn.XLOOKUP(A37,'Inputs-Results'!$A$9:$A$35,'Inputs-Results'!$T$9:$T$35)-_xlfn.XLOOKUP(A37,'Inputs-Results'!$A$9:$A$35,'Inputs-Results'!$V$9:$V$35))),IF(AND(X37="left",AA37&lt;=F37,AA37&gt;D37),ABS((_xlfn.XLOOKUP(A37,'Inputs-Results'!$A$9:$A$35,'Inputs-Results'!$W$9:$W$35)-_xlfn.XLOOKUP(A37,'Inputs-Results'!$A$9:$A$35,'Inputs-Results'!$U$9:$U$35))/(_xlfn.XLOOKUP(A37,'Inputs-Results'!$A$9:$A$35,'Inputs-Results'!$V$9:$V$35)-_xlfn.XLOOKUP(A37,'Inputs-Results'!$A$9:$A$35,'Inputs-Results'!$X$9:$X$35))),IF(AND(X37="right",Y37&gt;H37),ABS((_xlfn.XLOOKUP(A37,'Inputs-Results'!$A$9:$A$35,'Inputs-Results'!$AA$9:$AA$35)-_xlfn.XLOOKUP(A37,'Inputs-Results'!$A$9:$A$35,'Inputs-Results'!$Y$9:$Y$35))/(_xlfn.XLOOKUP(A37,'Inputs-Results'!$A$9:$A$35,'Inputs-Results'!$AB$9:$AB$35)-_xlfn.XLOOKUP(A37,'Inputs-Results'!$A$9:$A$35,'Inputs-Results'!$Z$9:$Z$35))),IF(AND(X37="right",Y37&lt;=H37,Y37&gt;=F37),(_xlfn.XLOOKUP(A37,'Inputs-Results'!$A$9:$A$35,'Inputs-Results'!$Y$9:$Y$35)-_xlfn.XLOOKUP(A37,'Inputs-Results'!$A$9:$A$35,'Inputs-Results'!$W$9:$W$35))/(_xlfn.XLOOKUP(A37,'Inputs-Results'!$A$9:$A$35,'Inputs-Results'!$Z$9:$Z$35)-_xlfn.XLOOKUP(A37,'Inputs-Results'!$A$9:$A$35,'Inputs-Results'!$X$9:$X$35)))))))/'Standard Data'!$C$12^2.3)</f>
        <v>#N/A</v>
      </c>
      <c r="AO37" s="19" t="e">
        <f t="shared" si="20"/>
        <v>#N/A</v>
      </c>
      <c r="AP37" s="19" t="e">
        <f t="shared" si="21"/>
        <v>#N/A</v>
      </c>
      <c r="AQ37" s="2" t="str">
        <f t="shared" si="16"/>
        <v/>
      </c>
    </row>
    <row r="38" spans="1:43" x14ac:dyDescent="0.25">
      <c r="A38" s="2">
        <f>'Inputs-Results'!A13</f>
        <v>0</v>
      </c>
      <c r="B38" s="2" t="e">
        <f>IF(C38&gt;E38,D38-ABS(_xlfn.XLOOKUP(A38,'Inputs-Results'!$A$9:$A$35,'Inputs-Results'!$S$9:$S$35)-_xlfn.XLOOKUP(A38,'Inputs-Results'!$A$9:$A$35,'Inputs-Results'!$U$9:$U$35))*(C38-E38)/(ABS(_xlfn.XLOOKUP(A38,'Inputs-Results'!$A$9:$A$35,'Inputs-Results'!$T$9:$T$35)-_xlfn.XLOOKUP(A38,'Inputs-Results'!$A$9:$A$35,'Inputs-Results'!$V$9:$V$35))),D38)</f>
        <v>#N/A</v>
      </c>
      <c r="C38" s="2" t="e">
        <f>IFERROR(G38+_xlfn.XLOOKUP(A38,'Ditch Calculations'!$A$34:$A$114,'Ditch Calculations'!$C$34:$C$114),_xlfn.XLOOKUP(A38,'Inputs-Results'!$A$9:$A$35,'Inputs-Results'!$T$9:$T$35))</f>
        <v>#N/A</v>
      </c>
      <c r="D38" s="2" t="e">
        <f>IF(C38&gt;E38,_xlfn.XLOOKUP(A38,'Inputs-Results'!$A$9:$A$35,'Inputs-Results'!$U$9:$U$35),_xlfn.XLOOKUP(A38,'Inputs-Results'!$A$9:$A$35,'Inputs-Results'!$W$9:$W$35)-ABS((_xlfn.XLOOKUP(A38,'Inputs-Results'!$A$9:$A$35,'Inputs-Results'!$W$9:$W$35)-_xlfn.XLOOKUP(A38,'Inputs-Results'!$A$9:$A$35,'Inputs-Results'!$U$9:$U$35))*(E38-G38))/((_xlfn.XLOOKUP(A38,'Inputs-Results'!$A$9:$A$35,'Inputs-Results'!$V$9:$V$35)-_xlfn.XLOOKUP(A38,'Inputs-Results'!$A$9:$A$35,'Inputs-Results'!$X$9:$X$35))))</f>
        <v>#N/A</v>
      </c>
      <c r="E38" s="2" t="e">
        <f>IF(C38&gt;_xlfn.XLOOKUP(A38,'Inputs-Results'!$A$9:$A$35,'Inputs-Results'!$V$9:$V$35),_xlfn.XLOOKUP(A38,'Inputs-Results'!$A$9:$A$35,'Inputs-Results'!$V$9:$V$35),C38)</f>
        <v>#N/A</v>
      </c>
      <c r="F38" s="2" t="e">
        <f>_xlfn.XLOOKUP(A38,'Inputs-Results'!$A$9:$A$35,'Inputs-Results'!$W$9:$W$35)</f>
        <v>#N/A</v>
      </c>
      <c r="G38" s="2" t="e">
        <f>_xlfn.XLOOKUP(A38,'Inputs-Results'!$A$9:$A$35,'Inputs-Results'!$O$9:$O$35)</f>
        <v>#N/A</v>
      </c>
      <c r="H38" s="2" t="e">
        <f>IF(K38&gt;I38,_xlfn.XLOOKUP(A38,'Inputs-Results'!$A$9:$A$35,'Inputs-Results'!$Y$9:$Y$35),_xlfn.XLOOKUP(A38,'Inputs-Results'!$A$9:$A$35,'Inputs-Results'!$W$9:$W$35)+ABS((_xlfn.XLOOKUP(A38,'Inputs-Results'!$A$9:$A$35,'Inputs-Results'!$Y$9:$Y$35)-_xlfn.XLOOKUP(A38,'Inputs-Results'!$A$9:$A$35,'Inputs-Results'!$W$9:$W$35))*(I38-G38)/(_xlfn.XLOOKUP(A38,'Inputs-Results'!$A$9:$A$35,'Inputs-Results'!$Z$9:$Z$35)-_xlfn.XLOOKUP(A38,'Inputs-Results'!$A$9:$A$35,'Inputs-Results'!$X$9:$X$35))))</f>
        <v>#N/A</v>
      </c>
      <c r="I38" s="2" t="e">
        <f>IF(K38&gt;_xlfn.XLOOKUP(A38,'Inputs-Results'!$A$9:$A$35,'Inputs-Results'!$Z$9:$Z$35),_xlfn.XLOOKUP(A38,'Inputs-Results'!$A$9:$A$35,'Inputs-Results'!$Z$9:$Z$35),K38)</f>
        <v>#N/A</v>
      </c>
      <c r="J38" s="41" t="e">
        <f>IF(K38&gt;I38,H38+ABS(_xlfn.XLOOKUP(A38,'Inputs-Results'!$A$9:$A$35,'Inputs-Results'!$AA$9:$AA$35)-_xlfn.XLOOKUP(A38,'Inputs-Results'!$A$9:$A$35,'Inputs-Results'!$Y$9:$Y$35))*(K38-I38)/(ABS(_xlfn.XLOOKUP(A38,'Inputs-Results'!$A$9:$A$35,'Inputs-Results'!$AB$9:$AB$35)-_xlfn.XLOOKUP(A38,'Inputs-Results'!$A$9:$A$35,'Inputs-Results'!$Z$9:$Z$35))),H38)</f>
        <v>#N/A</v>
      </c>
      <c r="K38" s="41" t="e">
        <f t="shared" si="3"/>
        <v>#N/A</v>
      </c>
      <c r="L38" s="41" t="e">
        <f t="shared" si="4"/>
        <v>#N/A</v>
      </c>
      <c r="M38" s="41" t="e">
        <f t="shared" si="5"/>
        <v>#N/A</v>
      </c>
      <c r="N38" s="41" t="e">
        <f t="shared" si="6"/>
        <v>#N/A</v>
      </c>
      <c r="O38" s="41" t="e">
        <f t="shared" si="7"/>
        <v>#N/A</v>
      </c>
      <c r="P38" s="41" t="e">
        <f t="shared" si="17"/>
        <v>#N/A</v>
      </c>
      <c r="Q38" s="41" t="e">
        <f t="shared" si="8"/>
        <v>#N/A</v>
      </c>
      <c r="R38" s="41" t="e">
        <f t="shared" si="9"/>
        <v>#N/A</v>
      </c>
      <c r="S38" s="41" t="e">
        <f t="shared" si="18"/>
        <v>#N/A</v>
      </c>
      <c r="T38" s="41" t="e">
        <f>IF(P38&gt;0,1.486*L38*(L38/P38)^(2/3)/_xlfn.XLOOKUP($A38,'Inputs-Results'!$A$9:$A$35,'Inputs-Results'!$AC$9:$AC$35),0)</f>
        <v>#N/A</v>
      </c>
      <c r="U38" s="41" t="e">
        <f>IF(Q38&gt;0,1.486*M38*(M38/Q38)^(2/3)/_xlfn.XLOOKUP($A38,'Inputs-Results'!$A$9:$A$35,'Inputs-Results'!$AC$9:$AC$35),0)+T38</f>
        <v>#N/A</v>
      </c>
      <c r="V38" s="41" t="e">
        <f>IF(R38&gt;0,1.486*N38*(N38/R38)^(2/3)/_xlfn.XLOOKUP($A38,'Inputs-Results'!$A$9:$A$35,'Inputs-Results'!$AC$9:$AC$35),0)+U38</f>
        <v>#N/A</v>
      </c>
      <c r="W38" s="41" t="e">
        <f>IF(S38&gt;0,1.486*O38*(O38/S38)^(2/3)/_xlfn.XLOOKUP($A38,'Inputs-Results'!$A$9:$A$35,'Inputs-Results'!$AC$9:$AC$35),0)+V38</f>
        <v>#N/A</v>
      </c>
      <c r="X38" s="41" t="e">
        <f>_xlfn.XLOOKUP(A38,'Inputs-Results'!$A$9:$A$35,'Inputs-Results'!$AE$9:$AE$35)</f>
        <v>#N/A</v>
      </c>
      <c r="Y38" s="41" t="e">
        <f>IF(_xlfn.XLOOKUP(A38,'Inputs-Results'!$A$9:$A$35,'Inputs-Results'!$N$9:$N$35)="",IF(X38="left",D38,IF(X38="right",H38,IF(X38="center (Berm)",F38,""))),'Inputs-Results'!N13)</f>
        <v>#N/A</v>
      </c>
      <c r="Z38" s="41" t="e">
        <f>IF(_xlfn.XLOOKUP(A38,'Inputs-Results'!A13:A39,'Inputs-Results'!B13:B39)="P-12",COS(ATAN(1/_xlfn.XLOOKUP(A38,'Inputs-Results'!$A$9:$A$35,'Inputs-Results'!$C$9:$C$35)))*'Standard Data'!$D$12,IF(_xlfn.XLOOKUP(A38,'Inputs-Results'!$A$9:$A$35,'Inputs-Results'!$B$9:$B$35)="N-12",COS(ATAN(1/_xlfn.XLOOKUP(A38,'Inputs-Results'!$A$9:$A$35,'Inputs-Results'!$C$9:$C$35)))*'Standard Data'!$D$13))</f>
        <v>#N/A</v>
      </c>
      <c r="AA38" s="41" t="e">
        <f>IF(X38="right",Z38+Y38,IF(X38="left",Y38-Z38,""))</f>
        <v>#N/A</v>
      </c>
      <c r="AB38" s="41">
        <v>0</v>
      </c>
      <c r="AC38" s="41" t="e">
        <f t="shared" si="11"/>
        <v>#N/A</v>
      </c>
      <c r="AD38" s="41" t="e">
        <f t="shared" si="12"/>
        <v>#N/A</v>
      </c>
      <c r="AE38" s="41" t="e">
        <f t="shared" si="19"/>
        <v>#N/A</v>
      </c>
      <c r="AF38" s="41" t="e">
        <f t="shared" si="13"/>
        <v>#N/A</v>
      </c>
      <c r="AG38" s="41" t="e">
        <f t="shared" si="14"/>
        <v>#N/A</v>
      </c>
      <c r="AH38" s="41" t="e">
        <f t="shared" si="15"/>
        <v>#N/A</v>
      </c>
      <c r="AI38" s="19" t="e">
        <f>AF38/$AE38*_xlfn.XLOOKUP(A38,'Inputs-Results'!$A$9:$A$35,'Inputs-Results'!$M$9:$M$35)</f>
        <v>#N/A</v>
      </c>
      <c r="AJ38" s="19" t="e">
        <f>AG38/$AE38*_xlfn.XLOOKUP(A38,'Inputs-Results'!$A$9:$A$35,'Inputs-Results'!$M$9:$M$35)</f>
        <v>#N/A</v>
      </c>
      <c r="AK38" s="19" t="e">
        <f>AH38/$AE38*_xlfn.XLOOKUP(A38,'Inputs-Results'!$A$9:$A$35,'Inputs-Results'!$M$9:$M$35)</f>
        <v>#N/A</v>
      </c>
      <c r="AL38" s="18" t="e">
        <f>1/(1+0.15*_xlfn.XLOOKUP(A38,$A$3:$A$29,$C$3:$C$29)^1.8/(1/IF(AND(X38="left",AA38&lt;D38),ABS((_xlfn.XLOOKUP(A38,'Inputs-Results'!$A$9:$A$35,'Inputs-Results'!$U$9:$U$35)-_xlfn.XLOOKUP(A38,'Inputs-Results'!$A$9:$A$35,'Inputs-Results'!$S$9:$S$35))/(_xlfn.XLOOKUP(A38,'Inputs-Results'!$A$9:$A$35,'Inputs-Results'!$T$9:$T$35)-_xlfn.XLOOKUP(A38,'Inputs-Results'!$A$9:$A$35,'Inputs-Results'!$V$9:$V$35))),IF(AND(X38="left",AA38&lt;=F38,AA38&gt;D38),ABS((_xlfn.XLOOKUP(A38,'Inputs-Results'!$A$9:$A$35,'Inputs-Results'!$W$9:$W$35)-_xlfn.XLOOKUP(A38,'Inputs-Results'!$A$9:$A$35,'Inputs-Results'!$U$9:$U$35))/(_xlfn.XLOOKUP(A38,'Inputs-Results'!$A$9:$A$35,'Inputs-Results'!$V$9:$V$35)-_xlfn.XLOOKUP(A38,'Inputs-Results'!$A$9:$A$35,'Inputs-Results'!$X$9:$X$35))),IF(AND(X38="right",Y38&gt;H38),ABS((_xlfn.XLOOKUP(A38,'Inputs-Results'!$A$9:$A$35,'Inputs-Results'!$AA$9:$AA$35)-_xlfn.XLOOKUP(A38,'Inputs-Results'!$A$9:$A$35,'Inputs-Results'!$Y$9:$Y$35))/(_xlfn.XLOOKUP(A38,'Inputs-Results'!$A$9:$A$35,'Inputs-Results'!$AB$9:$AB$35)-_xlfn.XLOOKUP(A38,'Inputs-Results'!$A$9:$A$35,'Inputs-Results'!$Z$9:$Z$35))),IF(AND(X38="right",Y38&lt;=H38,Y38&gt;=F38),(_xlfn.XLOOKUP(A38,'Inputs-Results'!$A$9:$A$35,'Inputs-Results'!$Y$9:$Y$35)-_xlfn.XLOOKUP(A38,'Inputs-Results'!$A$9:$A$35,'Inputs-Results'!$W$9:$W$35))/(_xlfn.XLOOKUP(A38,'Inputs-Results'!$A$9:$A$35,'Inputs-Results'!$Z$9:$Z$35)-_xlfn.XLOOKUP(A38,'Inputs-Results'!$A$9:$A$35,'Inputs-Results'!$X$9:$X$35)))))))/'Standard Data'!$C$12^2.3)</f>
        <v>#N/A</v>
      </c>
      <c r="AM38" s="18" t="e">
        <f>MIN(1-0.09*(_xlfn.XLOOKUP(A38,$A$3:$A$29,$C$3:$C$29)-'Standard Data'!$G$12),1)</f>
        <v>#N/A</v>
      </c>
      <c r="AN38" s="18" t="e">
        <f>1/(1+0.15*_xlfn.XLOOKUP(A38,$A$3:$A$29,$C$3:$C$29)^1.8/(1/IF(AND(X38="left",AA38&lt;D38),ABS((_xlfn.XLOOKUP(A38,'Inputs-Results'!$A$9:$A$35,'Inputs-Results'!$U$9:$U$35)-_xlfn.XLOOKUP(A38,'Inputs-Results'!$A$9:$A$35,'Inputs-Results'!$S$9:$S$35))/(_xlfn.XLOOKUP(A38,'Inputs-Results'!$A$9:$A$35,'Inputs-Results'!$T$9:$T$35)-_xlfn.XLOOKUP(A38,'Inputs-Results'!$A$9:$A$35,'Inputs-Results'!$V$9:$V$35))),IF(AND(X38="left",AA38&lt;=F38,AA38&gt;D38),ABS((_xlfn.XLOOKUP(A38,'Inputs-Results'!$A$9:$A$35,'Inputs-Results'!$W$9:$W$35)-_xlfn.XLOOKUP(A38,'Inputs-Results'!$A$9:$A$35,'Inputs-Results'!$U$9:$U$35))/(_xlfn.XLOOKUP(A38,'Inputs-Results'!$A$9:$A$35,'Inputs-Results'!$V$9:$V$35)-_xlfn.XLOOKUP(A38,'Inputs-Results'!$A$9:$A$35,'Inputs-Results'!$X$9:$X$35))),IF(AND(X38="right",Y38&gt;H38),ABS((_xlfn.XLOOKUP(A38,'Inputs-Results'!$A$9:$A$35,'Inputs-Results'!$AA$9:$AA$35)-_xlfn.XLOOKUP(A38,'Inputs-Results'!$A$9:$A$35,'Inputs-Results'!$Y$9:$Y$35))/(_xlfn.XLOOKUP(A38,'Inputs-Results'!$A$9:$A$35,'Inputs-Results'!$AB$9:$AB$35)-_xlfn.XLOOKUP(A38,'Inputs-Results'!$A$9:$A$35,'Inputs-Results'!$Z$9:$Z$35))),IF(AND(X38="right",Y38&lt;=H38,Y38&gt;=F38),(_xlfn.XLOOKUP(A38,'Inputs-Results'!$A$9:$A$35,'Inputs-Results'!$Y$9:$Y$35)-_xlfn.XLOOKUP(A38,'Inputs-Results'!$A$9:$A$35,'Inputs-Results'!$W$9:$W$35))/(_xlfn.XLOOKUP(A38,'Inputs-Results'!$A$9:$A$35,'Inputs-Results'!$Z$9:$Z$35)-_xlfn.XLOOKUP(A38,'Inputs-Results'!$A$9:$A$35,'Inputs-Results'!$X$9:$X$35)))))))/'Standard Data'!$C$12^2.3)</f>
        <v>#N/A</v>
      </c>
      <c r="AO38" s="19" t="e">
        <f t="shared" si="20"/>
        <v>#N/A</v>
      </c>
      <c r="AP38" s="19" t="e">
        <f t="shared" si="21"/>
        <v>#N/A</v>
      </c>
      <c r="AQ38" s="2" t="str">
        <f t="shared" si="16"/>
        <v/>
      </c>
    </row>
    <row r="39" spans="1:43" x14ac:dyDescent="0.25">
      <c r="A39" s="2">
        <f>'Inputs-Results'!A14</f>
        <v>0</v>
      </c>
      <c r="B39" s="2" t="e">
        <f>IF(C39&gt;E39,D39-ABS(_xlfn.XLOOKUP(A39,'Inputs-Results'!$A$9:$A$35,'Inputs-Results'!$S$9:$S$35)-_xlfn.XLOOKUP(A39,'Inputs-Results'!$A$9:$A$35,'Inputs-Results'!$U$9:$U$35))*(C39-E39)/(ABS(_xlfn.XLOOKUP(A39,'Inputs-Results'!$A$9:$A$35,'Inputs-Results'!$T$9:$T$35)-_xlfn.XLOOKUP(A39,'Inputs-Results'!$A$9:$A$35,'Inputs-Results'!$V$9:$V$35))),D39)</f>
        <v>#N/A</v>
      </c>
      <c r="C39" s="2" t="e">
        <f>IFERROR(G39+_xlfn.XLOOKUP(A39,'Ditch Calculations'!$A$34:$A$114,'Ditch Calculations'!$C$34:$C$114),_xlfn.XLOOKUP(A39,'Inputs-Results'!$A$9:$A$35,'Inputs-Results'!$T$9:$T$35))</f>
        <v>#N/A</v>
      </c>
      <c r="D39" s="2" t="e">
        <f>IF(C39&gt;E39,_xlfn.XLOOKUP(A39,'Inputs-Results'!$A$9:$A$35,'Inputs-Results'!$U$9:$U$35),_xlfn.XLOOKUP(A39,'Inputs-Results'!$A$9:$A$35,'Inputs-Results'!$W$9:$W$35)-ABS((_xlfn.XLOOKUP(A39,'Inputs-Results'!$A$9:$A$35,'Inputs-Results'!$W$9:$W$35)-_xlfn.XLOOKUP(A39,'Inputs-Results'!$A$9:$A$35,'Inputs-Results'!$U$9:$U$35))*(E39-G39))/((_xlfn.XLOOKUP(A39,'Inputs-Results'!$A$9:$A$35,'Inputs-Results'!$V$9:$V$35)-_xlfn.XLOOKUP(A39,'Inputs-Results'!$A$9:$A$35,'Inputs-Results'!$X$9:$X$35))))</f>
        <v>#N/A</v>
      </c>
      <c r="E39" s="2" t="e">
        <f>IF(C39&gt;_xlfn.XLOOKUP(A39,'Inputs-Results'!$A$9:$A$35,'Inputs-Results'!$V$9:$V$35),_xlfn.XLOOKUP(A39,'Inputs-Results'!$A$9:$A$35,'Inputs-Results'!$V$9:$V$35),C39)</f>
        <v>#N/A</v>
      </c>
      <c r="F39" s="2" t="e">
        <f>_xlfn.XLOOKUP(A39,'Inputs-Results'!$A$9:$A$35,'Inputs-Results'!$W$9:$W$35)</f>
        <v>#N/A</v>
      </c>
      <c r="G39" s="2" t="e">
        <f>_xlfn.XLOOKUP(A39,'Inputs-Results'!$A$9:$A$35,'Inputs-Results'!$O$9:$O$35)</f>
        <v>#N/A</v>
      </c>
      <c r="H39" s="2" t="e">
        <f>IF(K39&gt;I39,_xlfn.XLOOKUP(A39,'Inputs-Results'!$A$9:$A$35,'Inputs-Results'!$Y$9:$Y$35),_xlfn.XLOOKUP(A39,'Inputs-Results'!$A$9:$A$35,'Inputs-Results'!$W$9:$W$35)+ABS((_xlfn.XLOOKUP(A39,'Inputs-Results'!$A$9:$A$35,'Inputs-Results'!$Y$9:$Y$35)-_xlfn.XLOOKUP(A39,'Inputs-Results'!$A$9:$A$35,'Inputs-Results'!$W$9:$W$35))*(I39-G39)/(_xlfn.XLOOKUP(A39,'Inputs-Results'!$A$9:$A$35,'Inputs-Results'!$Z$9:$Z$35)-_xlfn.XLOOKUP(A39,'Inputs-Results'!$A$9:$A$35,'Inputs-Results'!$X$9:$X$35))))</f>
        <v>#N/A</v>
      </c>
      <c r="I39" s="2" t="e">
        <f>IF(K39&gt;_xlfn.XLOOKUP(A39,'Inputs-Results'!$A$9:$A$35,'Inputs-Results'!$Z$9:$Z$35),_xlfn.XLOOKUP(A39,'Inputs-Results'!$A$9:$A$35,'Inputs-Results'!$Z$9:$Z$35),K39)</f>
        <v>#N/A</v>
      </c>
      <c r="J39" s="41" t="e">
        <f>IF(K39&gt;I39,H39+ABS(_xlfn.XLOOKUP(A39,'Inputs-Results'!$A$9:$A$35,'Inputs-Results'!$AA$9:$AA$35)-_xlfn.XLOOKUP(A39,'Inputs-Results'!$A$9:$A$35,'Inputs-Results'!$Y$9:$Y$35))*(K39-I39)/(ABS(_xlfn.XLOOKUP(A39,'Inputs-Results'!$A$9:$A$35,'Inputs-Results'!$AB$9:$AB$35)-_xlfn.XLOOKUP(A39,'Inputs-Results'!$A$9:$A$35,'Inputs-Results'!$Z$9:$Z$35))),H39)</f>
        <v>#N/A</v>
      </c>
      <c r="K39" s="41" t="e">
        <f t="shared" si="3"/>
        <v>#N/A</v>
      </c>
      <c r="L39" s="41" t="e">
        <f t="shared" si="4"/>
        <v>#N/A</v>
      </c>
      <c r="M39" s="41" t="e">
        <f t="shared" si="5"/>
        <v>#N/A</v>
      </c>
      <c r="N39" s="41" t="e">
        <f t="shared" si="6"/>
        <v>#N/A</v>
      </c>
      <c r="O39" s="41" t="e">
        <f t="shared" si="7"/>
        <v>#N/A</v>
      </c>
      <c r="P39" s="41" t="e">
        <f t="shared" si="17"/>
        <v>#N/A</v>
      </c>
      <c r="Q39" s="41" t="e">
        <f t="shared" si="8"/>
        <v>#N/A</v>
      </c>
      <c r="R39" s="41" t="e">
        <f t="shared" si="9"/>
        <v>#N/A</v>
      </c>
      <c r="S39" s="41" t="e">
        <f t="shared" si="18"/>
        <v>#N/A</v>
      </c>
      <c r="T39" s="41" t="e">
        <f>IF(P39&gt;0,1.486*L39*(L39/P39)^(2/3)/_xlfn.XLOOKUP($A39,'Inputs-Results'!$A$9:$A$35,'Inputs-Results'!$AC$9:$AC$35),0)</f>
        <v>#N/A</v>
      </c>
      <c r="U39" s="41" t="e">
        <f>IF(Q39&gt;0,1.486*M39*(M39/Q39)^(2/3)/_xlfn.XLOOKUP($A39,'Inputs-Results'!$A$9:$A$35,'Inputs-Results'!$AC$9:$AC$35),0)+T39</f>
        <v>#N/A</v>
      </c>
      <c r="V39" s="41" t="e">
        <f>IF(R39&gt;0,1.486*N39*(N39/R39)^(2/3)/_xlfn.XLOOKUP($A39,'Inputs-Results'!$A$9:$A$35,'Inputs-Results'!$AC$9:$AC$35),0)+U39</f>
        <v>#N/A</v>
      </c>
      <c r="W39" s="41" t="e">
        <f>IF(S39&gt;0,1.486*O39*(O39/S39)^(2/3)/_xlfn.XLOOKUP($A39,'Inputs-Results'!$A$9:$A$35,'Inputs-Results'!$AC$9:$AC$35),0)+V39</f>
        <v>#N/A</v>
      </c>
      <c r="X39" s="41" t="e">
        <f>_xlfn.XLOOKUP(A39,'Inputs-Results'!$A$9:$A$35,'Inputs-Results'!$AE$9:$AE$35)</f>
        <v>#N/A</v>
      </c>
      <c r="Y39" s="41" t="e">
        <f>IF(_xlfn.XLOOKUP(A39,'Inputs-Results'!$A$9:$A$35,'Inputs-Results'!$N$9:$N$35)="",IF(X39="left",D39,IF(X39="right",H39,IF(X39="center (Berm)",F39,""))),'Inputs-Results'!N14)</f>
        <v>#N/A</v>
      </c>
      <c r="Z39" s="41" t="e">
        <f>IF(_xlfn.XLOOKUP(A39,'Inputs-Results'!A14:A40,'Inputs-Results'!B14:B40)="P-12",COS(ATAN(1/_xlfn.XLOOKUP(A39,'Inputs-Results'!$A$9:$A$35,'Inputs-Results'!$C$9:$C$35)))*'Standard Data'!$D$12,IF(_xlfn.XLOOKUP(A39,'Inputs-Results'!$A$9:$A$35,'Inputs-Results'!$B$9:$B$35)="N-12",COS(ATAN(1/_xlfn.XLOOKUP(A39,'Inputs-Results'!$A$9:$A$35,'Inputs-Results'!$C$9:$C$35)))*'Standard Data'!$D$13))</f>
        <v>#N/A</v>
      </c>
      <c r="AA39" s="41" t="e">
        <f t="shared" si="10"/>
        <v>#N/A</v>
      </c>
      <c r="AB39" s="41">
        <v>0</v>
      </c>
      <c r="AC39" s="41" t="e">
        <f t="shared" si="11"/>
        <v>#N/A</v>
      </c>
      <c r="AD39" s="41" t="e">
        <f t="shared" si="12"/>
        <v>#N/A</v>
      </c>
      <c r="AE39" s="41" t="e">
        <f t="shared" si="19"/>
        <v>#N/A</v>
      </c>
      <c r="AF39" s="41" t="e">
        <f t="shared" si="13"/>
        <v>#N/A</v>
      </c>
      <c r="AG39" s="41" t="e">
        <f t="shared" si="14"/>
        <v>#N/A</v>
      </c>
      <c r="AH39" s="41" t="e">
        <f t="shared" si="15"/>
        <v>#N/A</v>
      </c>
      <c r="AI39" s="19" t="e">
        <f>AF39/$AE39*_xlfn.XLOOKUP(A39,'Inputs-Results'!$A$9:$A$35,'Inputs-Results'!$M$9:$M$35)</f>
        <v>#N/A</v>
      </c>
      <c r="AJ39" s="19" t="e">
        <f>AG39/$AE39*_xlfn.XLOOKUP(A39,'Inputs-Results'!$A$9:$A$35,'Inputs-Results'!$M$9:$M$35)</f>
        <v>#N/A</v>
      </c>
      <c r="AK39" s="19" t="e">
        <f>AH39/$AE39*_xlfn.XLOOKUP(A39,'Inputs-Results'!$A$9:$A$35,'Inputs-Results'!$M$9:$M$35)</f>
        <v>#N/A</v>
      </c>
      <c r="AL39" s="18" t="e">
        <f>1/(1+0.15*_xlfn.XLOOKUP(A39,$A$3:$A$29,$C$3:$C$29)^1.8/(1/IF(AND(X39="left",AA39&lt;D39),ABS((_xlfn.XLOOKUP(A39,'Inputs-Results'!$A$9:$A$35,'Inputs-Results'!$U$9:$U$35)-_xlfn.XLOOKUP(A39,'Inputs-Results'!$A$9:$A$35,'Inputs-Results'!$S$9:$S$35))/(_xlfn.XLOOKUP(A39,'Inputs-Results'!$A$9:$A$35,'Inputs-Results'!$T$9:$T$35)-_xlfn.XLOOKUP(A39,'Inputs-Results'!$A$9:$A$35,'Inputs-Results'!$V$9:$V$35))),IF(AND(X39="left",AA39&lt;=F39,AA39&gt;D39),ABS((_xlfn.XLOOKUP(A39,'Inputs-Results'!$A$9:$A$35,'Inputs-Results'!$W$9:$W$35)-_xlfn.XLOOKUP(A39,'Inputs-Results'!$A$9:$A$35,'Inputs-Results'!$U$9:$U$35))/(_xlfn.XLOOKUP(A39,'Inputs-Results'!$A$9:$A$35,'Inputs-Results'!$V$9:$V$35)-_xlfn.XLOOKUP(A39,'Inputs-Results'!$A$9:$A$35,'Inputs-Results'!$X$9:$X$35))),IF(AND(X39="right",Y39&gt;H39),ABS((_xlfn.XLOOKUP(A39,'Inputs-Results'!$A$9:$A$35,'Inputs-Results'!$AA$9:$AA$35)-_xlfn.XLOOKUP(A39,'Inputs-Results'!$A$9:$A$35,'Inputs-Results'!$Y$9:$Y$35))/(_xlfn.XLOOKUP(A39,'Inputs-Results'!$A$9:$A$35,'Inputs-Results'!$AB$9:$AB$35)-_xlfn.XLOOKUP(A39,'Inputs-Results'!$A$9:$A$35,'Inputs-Results'!$Z$9:$Z$35))),IF(AND(X39="right",Y39&lt;=H39,Y39&gt;=F39),(_xlfn.XLOOKUP(A39,'Inputs-Results'!$A$9:$A$35,'Inputs-Results'!$Y$9:$Y$35)-_xlfn.XLOOKUP(A39,'Inputs-Results'!$A$9:$A$35,'Inputs-Results'!$W$9:$W$35))/(_xlfn.XLOOKUP(A39,'Inputs-Results'!$A$9:$A$35,'Inputs-Results'!$Z$9:$Z$35)-_xlfn.XLOOKUP(A39,'Inputs-Results'!$A$9:$A$35,'Inputs-Results'!$X$9:$X$35)))))))/'Standard Data'!$C$12^2.3)</f>
        <v>#N/A</v>
      </c>
      <c r="AM39" s="18" t="e">
        <f>MIN(1-0.09*(_xlfn.XLOOKUP(A39,$A$3:$A$29,$C$3:$C$29)-'Standard Data'!$G$12),1)</f>
        <v>#N/A</v>
      </c>
      <c r="AN39" s="18" t="e">
        <f>1/(1+0.15*_xlfn.XLOOKUP(A39,$A$3:$A$29,$C$3:$C$29)^1.8/(1/IF(AND(X39="left",AA39&lt;D39),ABS((_xlfn.XLOOKUP(A39,'Inputs-Results'!$A$9:$A$35,'Inputs-Results'!$U$9:$U$35)-_xlfn.XLOOKUP(A39,'Inputs-Results'!$A$9:$A$35,'Inputs-Results'!$S$9:$S$35))/(_xlfn.XLOOKUP(A39,'Inputs-Results'!$A$9:$A$35,'Inputs-Results'!$T$9:$T$35)-_xlfn.XLOOKUP(A39,'Inputs-Results'!$A$9:$A$35,'Inputs-Results'!$V$9:$V$35))),IF(AND(X39="left",AA39&lt;=F39,AA39&gt;D39),ABS((_xlfn.XLOOKUP(A39,'Inputs-Results'!$A$9:$A$35,'Inputs-Results'!$W$9:$W$35)-_xlfn.XLOOKUP(A39,'Inputs-Results'!$A$9:$A$35,'Inputs-Results'!$U$9:$U$35))/(_xlfn.XLOOKUP(A39,'Inputs-Results'!$A$9:$A$35,'Inputs-Results'!$V$9:$V$35)-_xlfn.XLOOKUP(A39,'Inputs-Results'!$A$9:$A$35,'Inputs-Results'!$X$9:$X$35))),IF(AND(X39="right",Y39&gt;H39),ABS((_xlfn.XLOOKUP(A39,'Inputs-Results'!$A$9:$A$35,'Inputs-Results'!$AA$9:$AA$35)-_xlfn.XLOOKUP(A39,'Inputs-Results'!$A$9:$A$35,'Inputs-Results'!$Y$9:$Y$35))/(_xlfn.XLOOKUP(A39,'Inputs-Results'!$A$9:$A$35,'Inputs-Results'!$AB$9:$AB$35)-_xlfn.XLOOKUP(A39,'Inputs-Results'!$A$9:$A$35,'Inputs-Results'!$Z$9:$Z$35))),IF(AND(X39="right",Y39&lt;=H39,Y39&gt;=F39),(_xlfn.XLOOKUP(A39,'Inputs-Results'!$A$9:$A$35,'Inputs-Results'!$Y$9:$Y$35)-_xlfn.XLOOKUP(A39,'Inputs-Results'!$A$9:$A$35,'Inputs-Results'!$W$9:$W$35))/(_xlfn.XLOOKUP(A39,'Inputs-Results'!$A$9:$A$35,'Inputs-Results'!$Z$9:$Z$35)-_xlfn.XLOOKUP(A39,'Inputs-Results'!$A$9:$A$35,'Inputs-Results'!$X$9:$X$35)))))))/'Standard Data'!$C$12^2.3)</f>
        <v>#N/A</v>
      </c>
      <c r="AO39" s="19" t="e">
        <f t="shared" si="20"/>
        <v>#N/A</v>
      </c>
      <c r="AP39" s="19" t="e">
        <f t="shared" si="21"/>
        <v>#N/A</v>
      </c>
      <c r="AQ39" s="2" t="str">
        <f t="shared" si="16"/>
        <v/>
      </c>
    </row>
    <row r="40" spans="1:43" x14ac:dyDescent="0.25">
      <c r="A40" s="2">
        <f>'Inputs-Results'!A15</f>
        <v>0</v>
      </c>
      <c r="B40" s="2" t="e">
        <f>IF(C40&gt;E40,D40-ABS(_xlfn.XLOOKUP(A40,'Inputs-Results'!$A$9:$A$35,'Inputs-Results'!$S$9:$S$35)-_xlfn.XLOOKUP(A40,'Inputs-Results'!$A$9:$A$35,'Inputs-Results'!$U$9:$U$35))*(C40-E40)/(ABS(_xlfn.XLOOKUP(A40,'Inputs-Results'!$A$9:$A$35,'Inputs-Results'!$T$9:$T$35)-_xlfn.XLOOKUP(A40,'Inputs-Results'!$A$9:$A$35,'Inputs-Results'!$V$9:$V$35))),D40)</f>
        <v>#N/A</v>
      </c>
      <c r="C40" s="2" t="e">
        <f>IFERROR(G40+_xlfn.XLOOKUP(A40,'Ditch Calculations'!$A$34:$A$114,'Ditch Calculations'!$C$34:$C$114),_xlfn.XLOOKUP(A40,'Inputs-Results'!$A$9:$A$35,'Inputs-Results'!$T$9:$T$35))</f>
        <v>#N/A</v>
      </c>
      <c r="D40" s="2" t="e">
        <f>IF(C40&gt;E40,_xlfn.XLOOKUP(A40,'Inputs-Results'!$A$9:$A$35,'Inputs-Results'!$U$9:$U$35),_xlfn.XLOOKUP(A40,'Inputs-Results'!$A$9:$A$35,'Inputs-Results'!$W$9:$W$35)-ABS((_xlfn.XLOOKUP(A40,'Inputs-Results'!$A$9:$A$35,'Inputs-Results'!$W$9:$W$35)-_xlfn.XLOOKUP(A40,'Inputs-Results'!$A$9:$A$35,'Inputs-Results'!$U$9:$U$35))*(E40-G40))/((_xlfn.XLOOKUP(A40,'Inputs-Results'!$A$9:$A$35,'Inputs-Results'!$V$9:$V$35)-_xlfn.XLOOKUP(A40,'Inputs-Results'!$A$9:$A$35,'Inputs-Results'!$X$9:$X$35))))</f>
        <v>#N/A</v>
      </c>
      <c r="E40" s="2" t="e">
        <f>IF(C40&gt;_xlfn.XLOOKUP(A40,'Inputs-Results'!$A$9:$A$35,'Inputs-Results'!$V$9:$V$35),_xlfn.XLOOKUP(A40,'Inputs-Results'!$A$9:$A$35,'Inputs-Results'!$V$9:$V$35),C40)</f>
        <v>#N/A</v>
      </c>
      <c r="F40" s="2" t="e">
        <f>_xlfn.XLOOKUP(A40,'Inputs-Results'!$A$9:$A$35,'Inputs-Results'!$W$9:$W$35)</f>
        <v>#N/A</v>
      </c>
      <c r="G40" s="2" t="e">
        <f>_xlfn.XLOOKUP(A40,'Inputs-Results'!$A$9:$A$35,'Inputs-Results'!$O$9:$O$35)</f>
        <v>#N/A</v>
      </c>
      <c r="H40" s="2" t="e">
        <f>IF(K40&gt;I40,_xlfn.XLOOKUP(A40,'Inputs-Results'!$A$9:$A$35,'Inputs-Results'!$Y$9:$Y$35),_xlfn.XLOOKUP(A40,'Inputs-Results'!$A$9:$A$35,'Inputs-Results'!$W$9:$W$35)+ABS((_xlfn.XLOOKUP(A40,'Inputs-Results'!$A$9:$A$35,'Inputs-Results'!$Y$9:$Y$35)-_xlfn.XLOOKUP(A40,'Inputs-Results'!$A$9:$A$35,'Inputs-Results'!$W$9:$W$35))*(I40-G40)/(_xlfn.XLOOKUP(A40,'Inputs-Results'!$A$9:$A$35,'Inputs-Results'!$Z$9:$Z$35)-_xlfn.XLOOKUP(A40,'Inputs-Results'!$A$9:$A$35,'Inputs-Results'!$X$9:$X$35))))</f>
        <v>#N/A</v>
      </c>
      <c r="I40" s="2" t="e">
        <f>IF(K40&gt;_xlfn.XLOOKUP(A40,'Inputs-Results'!$A$9:$A$35,'Inputs-Results'!$Z$9:$Z$35),_xlfn.XLOOKUP(A40,'Inputs-Results'!$A$9:$A$35,'Inputs-Results'!$Z$9:$Z$35),K40)</f>
        <v>#N/A</v>
      </c>
      <c r="J40" s="41" t="e">
        <f>IF(K40&gt;I40,H40+ABS(_xlfn.XLOOKUP(A40,'Inputs-Results'!$A$9:$A$35,'Inputs-Results'!$AA$9:$AA$35)-_xlfn.XLOOKUP(A40,'Inputs-Results'!$A$9:$A$35,'Inputs-Results'!$Y$9:$Y$35))*(K40-I40)/(ABS(_xlfn.XLOOKUP(A40,'Inputs-Results'!$A$9:$A$35,'Inputs-Results'!$AB$9:$AB$35)-_xlfn.XLOOKUP(A40,'Inputs-Results'!$A$9:$A$35,'Inputs-Results'!$Z$9:$Z$35))),H40)</f>
        <v>#N/A</v>
      </c>
      <c r="K40" s="41" t="e">
        <f t="shared" si="3"/>
        <v>#N/A</v>
      </c>
      <c r="L40" s="41" t="e">
        <f t="shared" si="4"/>
        <v>#N/A</v>
      </c>
      <c r="M40" s="41" t="e">
        <f t="shared" si="5"/>
        <v>#N/A</v>
      </c>
      <c r="N40" s="41" t="e">
        <f t="shared" si="6"/>
        <v>#N/A</v>
      </c>
      <c r="O40" s="41" t="e">
        <f t="shared" si="7"/>
        <v>#N/A</v>
      </c>
      <c r="P40" s="41" t="e">
        <f t="shared" si="17"/>
        <v>#N/A</v>
      </c>
      <c r="Q40" s="41" t="e">
        <f t="shared" si="8"/>
        <v>#N/A</v>
      </c>
      <c r="R40" s="41" t="e">
        <f t="shared" si="9"/>
        <v>#N/A</v>
      </c>
      <c r="S40" s="41" t="e">
        <f t="shared" si="18"/>
        <v>#N/A</v>
      </c>
      <c r="T40" s="41" t="e">
        <f>IF(P40&gt;0,1.486*L40*(L40/P40)^(2/3)/_xlfn.XLOOKUP($A40,'Inputs-Results'!$A$9:$A$35,'Inputs-Results'!$AC$9:$AC$35),0)</f>
        <v>#N/A</v>
      </c>
      <c r="U40" s="41" t="e">
        <f>IF(Q40&gt;0,1.486*M40*(M40/Q40)^(2/3)/_xlfn.XLOOKUP($A40,'Inputs-Results'!$A$9:$A$35,'Inputs-Results'!$AC$9:$AC$35),0)+T40</f>
        <v>#N/A</v>
      </c>
      <c r="V40" s="41" t="e">
        <f>IF(R40&gt;0,1.486*N40*(N40/R40)^(2/3)/_xlfn.XLOOKUP($A40,'Inputs-Results'!$A$9:$A$35,'Inputs-Results'!$AC$9:$AC$35),0)+U40</f>
        <v>#N/A</v>
      </c>
      <c r="W40" s="41" t="e">
        <f>IF(S40&gt;0,1.486*O40*(O40/S40)^(2/3)/_xlfn.XLOOKUP($A40,'Inputs-Results'!$A$9:$A$35,'Inputs-Results'!$AC$9:$AC$35),0)+V40</f>
        <v>#N/A</v>
      </c>
      <c r="X40" s="41" t="e">
        <f>_xlfn.XLOOKUP(A40,'Inputs-Results'!$A$9:$A$35,'Inputs-Results'!$AE$9:$AE$35)</f>
        <v>#N/A</v>
      </c>
      <c r="Y40" s="41" t="e">
        <f>IF(_xlfn.XLOOKUP(A40,'Inputs-Results'!$A$9:$A$35,'Inputs-Results'!$N$9:$N$35)="",IF(X40="left",D40,IF(X40="right",H40,IF(X40="center (Berm)",F40,""))),'Inputs-Results'!N15)</f>
        <v>#N/A</v>
      </c>
      <c r="Z40" s="41" t="e">
        <f>IF(_xlfn.XLOOKUP(A40,'Inputs-Results'!A15:A41,'Inputs-Results'!B15:B41)="P-12",COS(ATAN(1/_xlfn.XLOOKUP(A40,'Inputs-Results'!$A$9:$A$35,'Inputs-Results'!$C$9:$C$35)))*'Standard Data'!$D$12,IF(_xlfn.XLOOKUP(A40,'Inputs-Results'!$A$9:$A$35,'Inputs-Results'!$B$9:$B$35)="N-12",COS(ATAN(1/_xlfn.XLOOKUP(A40,'Inputs-Results'!$A$9:$A$35,'Inputs-Results'!$C$9:$C$35)))*'Standard Data'!$D$13))</f>
        <v>#N/A</v>
      </c>
      <c r="AA40" s="41" t="e">
        <f t="shared" si="10"/>
        <v>#N/A</v>
      </c>
      <c r="AB40" s="41">
        <v>0</v>
      </c>
      <c r="AC40" s="41" t="e">
        <f t="shared" si="11"/>
        <v>#N/A</v>
      </c>
      <c r="AD40" s="41" t="e">
        <f>IF(AND(X40="left",Y40&lt;=D40),ABS((D40-Y40)*(T40-0)/(D40-B40)),IF(AND(X40="left",Y40&lt;=F40,Y40&gt;D40),U40-ABS((F40-Y40)*(U40-T40)/(F40-D40)),IF(AND(X40="right",AA40&gt;=H40),W40-(W40-V40)*(J40-AA40)/(J40-H40),IF(AND(X40="right",AA40&lt;H40,AA40&gt;=F40),IF(AND(X40="right",AA40&lt;H40,AA40&gt;=F40),V40-ABS((AA40-Y40)*(V40-AC40)/(H40-Y40)),W40)))))</f>
        <v>#N/A</v>
      </c>
      <c r="AE40" s="41" t="e">
        <f t="shared" si="19"/>
        <v>#N/A</v>
      </c>
      <c r="AF40" s="41" t="e">
        <f t="shared" si="13"/>
        <v>#N/A</v>
      </c>
      <c r="AG40" s="41" t="e">
        <f t="shared" si="14"/>
        <v>#N/A</v>
      </c>
      <c r="AH40" s="41" t="e">
        <f>AE40-AD40</f>
        <v>#N/A</v>
      </c>
      <c r="AI40" s="19" t="e">
        <f>AF40/$AE40*_xlfn.XLOOKUP(A40,'Inputs-Results'!$A$9:$A$35,'Inputs-Results'!$M$9:$M$35)</f>
        <v>#N/A</v>
      </c>
      <c r="AJ40" s="19" t="e">
        <f>AG40/$AE40*_xlfn.XLOOKUP(A40,'Inputs-Results'!$A$9:$A$35,'Inputs-Results'!$M$9:$M$35)</f>
        <v>#N/A</v>
      </c>
      <c r="AK40" s="19" t="e">
        <f>AH40/$AE40*_xlfn.XLOOKUP(A40,'Inputs-Results'!$A$9:$A$35,'Inputs-Results'!$M$9:$M$35)</f>
        <v>#N/A</v>
      </c>
      <c r="AL40" s="18" t="e">
        <f>1/(1+0.15*_xlfn.XLOOKUP(A40,$A$3:$A$29,$C$3:$C$29)^1.8/(1/IF(AND(X40="left",AA40&lt;D40),ABS((_xlfn.XLOOKUP(A40,'Inputs-Results'!$A$9:$A$35,'Inputs-Results'!$U$9:$U$35)-_xlfn.XLOOKUP(A40,'Inputs-Results'!$A$9:$A$35,'Inputs-Results'!$S$9:$S$35))/(_xlfn.XLOOKUP(A40,'Inputs-Results'!$A$9:$A$35,'Inputs-Results'!$T$9:$T$35)-_xlfn.XLOOKUP(A40,'Inputs-Results'!$A$9:$A$35,'Inputs-Results'!$V$9:$V$35))),IF(AND(X40="left",AA40&lt;=F40,AA40&gt;D40),ABS((_xlfn.XLOOKUP(A40,'Inputs-Results'!$A$9:$A$35,'Inputs-Results'!$W$9:$W$35)-_xlfn.XLOOKUP(A40,'Inputs-Results'!$A$9:$A$35,'Inputs-Results'!$U$9:$U$35))/(_xlfn.XLOOKUP(A40,'Inputs-Results'!$A$9:$A$35,'Inputs-Results'!$V$9:$V$35)-_xlfn.XLOOKUP(A40,'Inputs-Results'!$A$9:$A$35,'Inputs-Results'!$X$9:$X$35))),IF(AND(X40="right",Y40&gt;H40),ABS((_xlfn.XLOOKUP(A40,'Inputs-Results'!$A$9:$A$35,'Inputs-Results'!$AA$9:$AA$35)-_xlfn.XLOOKUP(A40,'Inputs-Results'!$A$9:$A$35,'Inputs-Results'!$Y$9:$Y$35))/(_xlfn.XLOOKUP(A40,'Inputs-Results'!$A$9:$A$35,'Inputs-Results'!$AB$9:$AB$35)-_xlfn.XLOOKUP(A40,'Inputs-Results'!$A$9:$A$35,'Inputs-Results'!$Z$9:$Z$35))),IF(AND(X40="right",Y40&lt;=H40,Y40&gt;=F40),(_xlfn.XLOOKUP(A40,'Inputs-Results'!$A$9:$A$35,'Inputs-Results'!$Y$9:$Y$35)-_xlfn.XLOOKUP(A40,'Inputs-Results'!$A$9:$A$35,'Inputs-Results'!$W$9:$W$35))/(_xlfn.XLOOKUP(A40,'Inputs-Results'!$A$9:$A$35,'Inputs-Results'!$Z$9:$Z$35)-_xlfn.XLOOKUP(A40,'Inputs-Results'!$A$9:$A$35,'Inputs-Results'!$X$9:$X$35)))))))/'Standard Data'!$C$12^2.3)</f>
        <v>#N/A</v>
      </c>
      <c r="AM40" s="18" t="e">
        <f>MIN(1-0.09*(_xlfn.XLOOKUP(A40,$A$3:$A$29,$C$3:$C$29)-'Standard Data'!$G$12),1)</f>
        <v>#N/A</v>
      </c>
      <c r="AN40" s="18" t="e">
        <f>1/(1+0.15*_xlfn.XLOOKUP(A40,$A$3:$A$29,$C$3:$C$29)^1.8/(1/IF(AND(X40="left",AA40&lt;D40),ABS((_xlfn.XLOOKUP(A40,'Inputs-Results'!$A$9:$A$35,'Inputs-Results'!$U$9:$U$35)-_xlfn.XLOOKUP(A40,'Inputs-Results'!$A$9:$A$35,'Inputs-Results'!$S$9:$S$35))/(_xlfn.XLOOKUP(A40,'Inputs-Results'!$A$9:$A$35,'Inputs-Results'!$T$9:$T$35)-_xlfn.XLOOKUP(A40,'Inputs-Results'!$A$9:$A$35,'Inputs-Results'!$V$9:$V$35))),IF(AND(X40="left",AA40&lt;=F40,AA40&gt;D40),ABS((_xlfn.XLOOKUP(A40,'Inputs-Results'!$A$9:$A$35,'Inputs-Results'!$W$9:$W$35)-_xlfn.XLOOKUP(A40,'Inputs-Results'!$A$9:$A$35,'Inputs-Results'!$U$9:$U$35))/(_xlfn.XLOOKUP(A40,'Inputs-Results'!$A$9:$A$35,'Inputs-Results'!$V$9:$V$35)-_xlfn.XLOOKUP(A40,'Inputs-Results'!$A$9:$A$35,'Inputs-Results'!$X$9:$X$35))),IF(AND(X40="right",Y40&gt;H40),ABS((_xlfn.XLOOKUP(A40,'Inputs-Results'!$A$9:$A$35,'Inputs-Results'!$AA$9:$AA$35)-_xlfn.XLOOKUP(A40,'Inputs-Results'!$A$9:$A$35,'Inputs-Results'!$Y$9:$Y$35))/(_xlfn.XLOOKUP(A40,'Inputs-Results'!$A$9:$A$35,'Inputs-Results'!$AB$9:$AB$35)-_xlfn.XLOOKUP(A40,'Inputs-Results'!$A$9:$A$35,'Inputs-Results'!$Z$9:$Z$35))),IF(AND(X40="right",Y40&lt;=H40,Y40&gt;=F40),(_xlfn.XLOOKUP(A40,'Inputs-Results'!$A$9:$A$35,'Inputs-Results'!$Y$9:$Y$35)-_xlfn.XLOOKUP(A40,'Inputs-Results'!$A$9:$A$35,'Inputs-Results'!$W$9:$W$35))/(_xlfn.XLOOKUP(A40,'Inputs-Results'!$A$9:$A$35,'Inputs-Results'!$Z$9:$Z$35)-_xlfn.XLOOKUP(A40,'Inputs-Results'!$A$9:$A$35,'Inputs-Results'!$X$9:$X$35)))))))/'Standard Data'!$C$12^2.3)</f>
        <v>#N/A</v>
      </c>
      <c r="AO40" s="19" t="e">
        <f t="shared" si="20"/>
        <v>#N/A</v>
      </c>
      <c r="AP40" s="19" t="e">
        <f t="shared" si="21"/>
        <v>#N/A</v>
      </c>
      <c r="AQ40" s="2" t="str">
        <f t="shared" si="16"/>
        <v/>
      </c>
    </row>
    <row r="41" spans="1:43" x14ac:dyDescent="0.25">
      <c r="A41" s="2">
        <f>'Inputs-Results'!A16</f>
        <v>0</v>
      </c>
      <c r="B41" s="2" t="e">
        <f>IF(C41&gt;E41,D41-ABS(_xlfn.XLOOKUP(A41,'Inputs-Results'!$A$9:$A$35,'Inputs-Results'!$S$9:$S$35)-_xlfn.XLOOKUP(A41,'Inputs-Results'!$A$9:$A$35,'Inputs-Results'!$U$9:$U$35))*(C41-E41)/(ABS(_xlfn.XLOOKUP(A41,'Inputs-Results'!$A$9:$A$35,'Inputs-Results'!$T$9:$T$35)-_xlfn.XLOOKUP(A41,'Inputs-Results'!$A$9:$A$35,'Inputs-Results'!$V$9:$V$35))),D41)</f>
        <v>#N/A</v>
      </c>
      <c r="C41" s="2" t="e">
        <f>IFERROR(G41+_xlfn.XLOOKUP(A41,'Ditch Calculations'!$A$34:$A$114,'Ditch Calculations'!$C$34:$C$114),_xlfn.XLOOKUP(A41,'Inputs-Results'!$A$9:$A$35,'Inputs-Results'!$T$9:$T$35))</f>
        <v>#N/A</v>
      </c>
      <c r="D41" s="2" t="e">
        <f>IF(C41&gt;E41,_xlfn.XLOOKUP(A41,'Inputs-Results'!$A$9:$A$35,'Inputs-Results'!$U$9:$U$35),_xlfn.XLOOKUP(A41,'Inputs-Results'!$A$9:$A$35,'Inputs-Results'!$W$9:$W$35)-ABS((_xlfn.XLOOKUP(A41,'Inputs-Results'!$A$9:$A$35,'Inputs-Results'!$W$9:$W$35)-_xlfn.XLOOKUP(A41,'Inputs-Results'!$A$9:$A$35,'Inputs-Results'!$U$9:$U$35))*(E41-G41))/((_xlfn.XLOOKUP(A41,'Inputs-Results'!$A$9:$A$35,'Inputs-Results'!$V$9:$V$35)-_xlfn.XLOOKUP(A41,'Inputs-Results'!$A$9:$A$35,'Inputs-Results'!$X$9:$X$35))))</f>
        <v>#N/A</v>
      </c>
      <c r="E41" s="2" t="e">
        <f>IF(C41&gt;_xlfn.XLOOKUP(A41,'Inputs-Results'!$A$9:$A$35,'Inputs-Results'!$V$9:$V$35),_xlfn.XLOOKUP(A41,'Inputs-Results'!$A$9:$A$35,'Inputs-Results'!$V$9:$V$35),C41)</f>
        <v>#N/A</v>
      </c>
      <c r="F41" s="2" t="e">
        <f>_xlfn.XLOOKUP(A41,'Inputs-Results'!$A$9:$A$35,'Inputs-Results'!$W$9:$W$35)</f>
        <v>#N/A</v>
      </c>
      <c r="G41" s="2" t="e">
        <f>_xlfn.XLOOKUP(A41,'Inputs-Results'!$A$9:$A$35,'Inputs-Results'!$O$9:$O$35)</f>
        <v>#N/A</v>
      </c>
      <c r="H41" s="2" t="e">
        <f>IF(K41&gt;I41,_xlfn.XLOOKUP(A41,'Inputs-Results'!$A$9:$A$35,'Inputs-Results'!$Y$9:$Y$35),_xlfn.XLOOKUP(A41,'Inputs-Results'!$A$9:$A$35,'Inputs-Results'!$W$9:$W$35)+ABS((_xlfn.XLOOKUP(A41,'Inputs-Results'!$A$9:$A$35,'Inputs-Results'!$Y$9:$Y$35)-_xlfn.XLOOKUP(A41,'Inputs-Results'!$A$9:$A$35,'Inputs-Results'!$W$9:$W$35))*(I41-G41)/(_xlfn.XLOOKUP(A41,'Inputs-Results'!$A$9:$A$35,'Inputs-Results'!$Z$9:$Z$35)-_xlfn.XLOOKUP(A41,'Inputs-Results'!$A$9:$A$35,'Inputs-Results'!$X$9:$X$35))))</f>
        <v>#N/A</v>
      </c>
      <c r="I41" s="2" t="e">
        <f>IF(K41&gt;_xlfn.XLOOKUP(A41,'Inputs-Results'!$A$9:$A$35,'Inputs-Results'!$Z$9:$Z$35),_xlfn.XLOOKUP(A41,'Inputs-Results'!$A$9:$A$35,'Inputs-Results'!$Z$9:$Z$35),K41)</f>
        <v>#N/A</v>
      </c>
      <c r="J41" s="41" t="e">
        <f>IF(K41&gt;I41,H41+ABS(_xlfn.XLOOKUP(A41,'Inputs-Results'!$A$9:$A$35,'Inputs-Results'!$AA$9:$AA$35)-_xlfn.XLOOKUP(A41,'Inputs-Results'!$A$9:$A$35,'Inputs-Results'!$Y$9:$Y$35))*(K41-I41)/(ABS(_xlfn.XLOOKUP(A41,'Inputs-Results'!$A$9:$A$35,'Inputs-Results'!$AB$9:$AB$35)-_xlfn.XLOOKUP(A41,'Inputs-Results'!$A$9:$A$35,'Inputs-Results'!$Z$9:$Z$35))),H41)</f>
        <v>#N/A</v>
      </c>
      <c r="K41" s="41" t="e">
        <f t="shared" si="3"/>
        <v>#N/A</v>
      </c>
      <c r="L41" s="41" t="e">
        <f t="shared" si="4"/>
        <v>#N/A</v>
      </c>
      <c r="M41" s="41" t="e">
        <f t="shared" si="5"/>
        <v>#N/A</v>
      </c>
      <c r="N41" s="41" t="e">
        <f t="shared" si="6"/>
        <v>#N/A</v>
      </c>
      <c r="O41" s="41" t="e">
        <f t="shared" si="7"/>
        <v>#N/A</v>
      </c>
      <c r="P41" s="41" t="e">
        <f t="shared" si="17"/>
        <v>#N/A</v>
      </c>
      <c r="Q41" s="41" t="e">
        <f t="shared" si="8"/>
        <v>#N/A</v>
      </c>
      <c r="R41" s="41" t="e">
        <f t="shared" si="9"/>
        <v>#N/A</v>
      </c>
      <c r="S41" s="41" t="e">
        <f t="shared" si="18"/>
        <v>#N/A</v>
      </c>
      <c r="T41" s="41" t="e">
        <f>IF(P41&gt;0,1.486*L41*(L41/P41)^(2/3)/_xlfn.XLOOKUP($A41,'Inputs-Results'!$A$9:$A$35,'Inputs-Results'!$AC$9:$AC$35),0)</f>
        <v>#N/A</v>
      </c>
      <c r="U41" s="41" t="e">
        <f>IF(Q41&gt;0,1.486*M41*(M41/Q41)^(2/3)/_xlfn.XLOOKUP($A41,'Inputs-Results'!$A$9:$A$35,'Inputs-Results'!$AC$9:$AC$35),0)+T41</f>
        <v>#N/A</v>
      </c>
      <c r="V41" s="41" t="e">
        <f>IF(R41&gt;0,1.486*N41*(N41/R41)^(2/3)/_xlfn.XLOOKUP($A41,'Inputs-Results'!$A$9:$A$35,'Inputs-Results'!$AC$9:$AC$35),0)+U41</f>
        <v>#N/A</v>
      </c>
      <c r="W41" s="41" t="e">
        <f>IF(S41&gt;0,1.486*O41*(O41/S41)^(2/3)/_xlfn.XLOOKUP($A41,'Inputs-Results'!$A$9:$A$35,'Inputs-Results'!$AC$9:$AC$35),0)+V41</f>
        <v>#N/A</v>
      </c>
      <c r="X41" s="41" t="e">
        <f>_xlfn.XLOOKUP(A41,'Inputs-Results'!$A$9:$A$35,'Inputs-Results'!$AE$9:$AE$35)</f>
        <v>#N/A</v>
      </c>
      <c r="Y41" s="41" t="e">
        <f>IF(_xlfn.XLOOKUP(A41,'Inputs-Results'!$A$9:$A$35,'Inputs-Results'!$N$9:$N$35)="",IF(X41="left",D41,IF(X41="right",H41,IF(X41="center (Berm)",F41,""))),'Inputs-Results'!N16)</f>
        <v>#N/A</v>
      </c>
      <c r="Z41" s="41" t="e">
        <f>IF(_xlfn.XLOOKUP(A41,'Inputs-Results'!A16:A42,'Inputs-Results'!B16:B42)="P-12",COS(ATAN(1/_xlfn.XLOOKUP(A41,'Inputs-Results'!$A$9:$A$35,'Inputs-Results'!$C$9:$C$35)))*'Standard Data'!$D$12,IF(_xlfn.XLOOKUP(A41,'Inputs-Results'!$A$9:$A$35,'Inputs-Results'!$B$9:$B$35)="N-12",COS(ATAN(1/_xlfn.XLOOKUP(A41,'Inputs-Results'!$A$9:$A$35,'Inputs-Results'!$C$9:$C$35)))*'Standard Data'!$D$13))</f>
        <v>#N/A</v>
      </c>
      <c r="AA41" s="41" t="e">
        <f t="shared" si="10"/>
        <v>#N/A</v>
      </c>
      <c r="AB41" s="41">
        <v>0</v>
      </c>
      <c r="AC41" s="41" t="e">
        <f t="shared" si="11"/>
        <v>#N/A</v>
      </c>
      <c r="AD41" s="41" t="e">
        <f t="shared" si="12"/>
        <v>#N/A</v>
      </c>
      <c r="AE41" s="41" t="e">
        <f t="shared" si="19"/>
        <v>#N/A</v>
      </c>
      <c r="AF41" s="41" t="e">
        <f t="shared" si="13"/>
        <v>#N/A</v>
      </c>
      <c r="AG41" s="41" t="e">
        <f t="shared" si="14"/>
        <v>#N/A</v>
      </c>
      <c r="AH41" s="41" t="e">
        <f t="shared" si="15"/>
        <v>#N/A</v>
      </c>
      <c r="AI41" s="19" t="e">
        <f>AF41/$AE41*_xlfn.XLOOKUP(A41,'Inputs-Results'!$A$9:$A$35,'Inputs-Results'!$M$9:$M$35)</f>
        <v>#N/A</v>
      </c>
      <c r="AJ41" s="19" t="e">
        <f>AG41/$AE41*_xlfn.XLOOKUP(A41,'Inputs-Results'!$A$9:$A$35,'Inputs-Results'!$M$9:$M$35)</f>
        <v>#N/A</v>
      </c>
      <c r="AK41" s="19" t="e">
        <f>AH41/$AE41*_xlfn.XLOOKUP(A41,'Inputs-Results'!$A$9:$A$35,'Inputs-Results'!$M$9:$M$35)</f>
        <v>#N/A</v>
      </c>
      <c r="AL41" s="18" t="e">
        <f>1/(1+0.15*_xlfn.XLOOKUP(A41,$A$3:$A$29,$C$3:$C$29)^1.8/(1/IF(AND(X41="left",AA41&lt;D41),ABS((_xlfn.XLOOKUP(A41,'Inputs-Results'!$A$9:$A$35,'Inputs-Results'!$U$9:$U$35)-_xlfn.XLOOKUP(A41,'Inputs-Results'!$A$9:$A$35,'Inputs-Results'!$S$9:$S$35))/(_xlfn.XLOOKUP(A41,'Inputs-Results'!$A$9:$A$35,'Inputs-Results'!$T$9:$T$35)-_xlfn.XLOOKUP(A41,'Inputs-Results'!$A$9:$A$35,'Inputs-Results'!$V$9:$V$35))),IF(AND(X41="left",AA41&lt;=F41,AA41&gt;D41),ABS((_xlfn.XLOOKUP(A41,'Inputs-Results'!$A$9:$A$35,'Inputs-Results'!$W$9:$W$35)-_xlfn.XLOOKUP(A41,'Inputs-Results'!$A$9:$A$35,'Inputs-Results'!$U$9:$U$35))/(_xlfn.XLOOKUP(A41,'Inputs-Results'!$A$9:$A$35,'Inputs-Results'!$V$9:$V$35)-_xlfn.XLOOKUP(A41,'Inputs-Results'!$A$9:$A$35,'Inputs-Results'!$X$9:$X$35))),IF(AND(X41="right",Y41&gt;H41),ABS((_xlfn.XLOOKUP(A41,'Inputs-Results'!$A$9:$A$35,'Inputs-Results'!$AA$9:$AA$35)-_xlfn.XLOOKUP(A41,'Inputs-Results'!$A$9:$A$35,'Inputs-Results'!$Y$9:$Y$35))/(_xlfn.XLOOKUP(A41,'Inputs-Results'!$A$9:$A$35,'Inputs-Results'!$AB$9:$AB$35)-_xlfn.XLOOKUP(A41,'Inputs-Results'!$A$9:$A$35,'Inputs-Results'!$Z$9:$Z$35))),IF(AND(X41="right",Y41&lt;=H41,Y41&gt;=F41),(_xlfn.XLOOKUP(A41,'Inputs-Results'!$A$9:$A$35,'Inputs-Results'!$Y$9:$Y$35)-_xlfn.XLOOKUP(A41,'Inputs-Results'!$A$9:$A$35,'Inputs-Results'!$W$9:$W$35))/(_xlfn.XLOOKUP(A41,'Inputs-Results'!$A$9:$A$35,'Inputs-Results'!$Z$9:$Z$35)-_xlfn.XLOOKUP(A41,'Inputs-Results'!$A$9:$A$35,'Inputs-Results'!$X$9:$X$35)))))))/'Standard Data'!$C$12^2.3)</f>
        <v>#N/A</v>
      </c>
      <c r="AM41" s="18" t="e">
        <f>MIN(1-0.09*(_xlfn.XLOOKUP(A41,$A$3:$A$29,$C$3:$C$29)-'Standard Data'!$G$12),1)</f>
        <v>#N/A</v>
      </c>
      <c r="AN41" s="18" t="e">
        <f>1/(1+0.15*_xlfn.XLOOKUP(A41,$A$3:$A$29,$C$3:$C$29)^1.8/(1/IF(AND(X41="left",AA41&lt;D41),ABS((_xlfn.XLOOKUP(A41,'Inputs-Results'!$A$9:$A$35,'Inputs-Results'!$U$9:$U$35)-_xlfn.XLOOKUP(A41,'Inputs-Results'!$A$9:$A$35,'Inputs-Results'!$S$9:$S$35))/(_xlfn.XLOOKUP(A41,'Inputs-Results'!$A$9:$A$35,'Inputs-Results'!$T$9:$T$35)-_xlfn.XLOOKUP(A41,'Inputs-Results'!$A$9:$A$35,'Inputs-Results'!$V$9:$V$35))),IF(AND(X41="left",AA41&lt;=F41,AA41&gt;D41),ABS((_xlfn.XLOOKUP(A41,'Inputs-Results'!$A$9:$A$35,'Inputs-Results'!$W$9:$W$35)-_xlfn.XLOOKUP(A41,'Inputs-Results'!$A$9:$A$35,'Inputs-Results'!$U$9:$U$35))/(_xlfn.XLOOKUP(A41,'Inputs-Results'!$A$9:$A$35,'Inputs-Results'!$V$9:$V$35)-_xlfn.XLOOKUP(A41,'Inputs-Results'!$A$9:$A$35,'Inputs-Results'!$X$9:$X$35))),IF(AND(X41="right",Y41&gt;H41),ABS((_xlfn.XLOOKUP(A41,'Inputs-Results'!$A$9:$A$35,'Inputs-Results'!$AA$9:$AA$35)-_xlfn.XLOOKUP(A41,'Inputs-Results'!$A$9:$A$35,'Inputs-Results'!$Y$9:$Y$35))/(_xlfn.XLOOKUP(A41,'Inputs-Results'!$A$9:$A$35,'Inputs-Results'!$AB$9:$AB$35)-_xlfn.XLOOKUP(A41,'Inputs-Results'!$A$9:$A$35,'Inputs-Results'!$Z$9:$Z$35))),IF(AND(X41="right",Y41&lt;=H41,Y41&gt;=F41),(_xlfn.XLOOKUP(A41,'Inputs-Results'!$A$9:$A$35,'Inputs-Results'!$Y$9:$Y$35)-_xlfn.XLOOKUP(A41,'Inputs-Results'!$A$9:$A$35,'Inputs-Results'!$W$9:$W$35))/(_xlfn.XLOOKUP(A41,'Inputs-Results'!$A$9:$A$35,'Inputs-Results'!$Z$9:$Z$35)-_xlfn.XLOOKUP(A41,'Inputs-Results'!$A$9:$A$35,'Inputs-Results'!$X$9:$X$35)))))))/'Standard Data'!$C$12^2.3)</f>
        <v>#N/A</v>
      </c>
      <c r="AO41" s="19" t="e">
        <f t="shared" si="20"/>
        <v>#N/A</v>
      </c>
      <c r="AP41" s="19" t="e">
        <f t="shared" si="21"/>
        <v>#N/A</v>
      </c>
      <c r="AQ41" s="2" t="str">
        <f t="shared" si="16"/>
        <v/>
      </c>
    </row>
    <row r="42" spans="1:43" x14ac:dyDescent="0.25">
      <c r="A42" s="2">
        <f>'Inputs-Results'!A17</f>
        <v>0</v>
      </c>
      <c r="B42" s="2" t="e">
        <f>IF(C42&gt;E42,D42-ABS(_xlfn.XLOOKUP(A42,'Inputs-Results'!$A$9:$A$35,'Inputs-Results'!$S$9:$S$35)-_xlfn.XLOOKUP(A42,'Inputs-Results'!$A$9:$A$35,'Inputs-Results'!$U$9:$U$35))*(C42-E42)/(ABS(_xlfn.XLOOKUP(A42,'Inputs-Results'!$A$9:$A$35,'Inputs-Results'!$T$9:$T$35)-_xlfn.XLOOKUP(A42,'Inputs-Results'!$A$9:$A$35,'Inputs-Results'!$V$9:$V$35))),D42)</f>
        <v>#N/A</v>
      </c>
      <c r="C42" s="2" t="e">
        <f>IFERROR(G42+_xlfn.XLOOKUP(A42,'Ditch Calculations'!$A$34:$A$114,'Ditch Calculations'!$C$34:$C$114),_xlfn.XLOOKUP(A42,'Inputs-Results'!$A$9:$A$35,'Inputs-Results'!$T$9:$T$35))</f>
        <v>#N/A</v>
      </c>
      <c r="D42" s="2" t="e">
        <f>IF(C42&gt;E42,_xlfn.XLOOKUP(A42,'Inputs-Results'!$A$9:$A$35,'Inputs-Results'!$U$9:$U$35),_xlfn.XLOOKUP(A42,'Inputs-Results'!$A$9:$A$35,'Inputs-Results'!$W$9:$W$35)-ABS((_xlfn.XLOOKUP(A42,'Inputs-Results'!$A$9:$A$35,'Inputs-Results'!$W$9:$W$35)-_xlfn.XLOOKUP(A42,'Inputs-Results'!$A$9:$A$35,'Inputs-Results'!$U$9:$U$35))*(E42-G42))/((_xlfn.XLOOKUP(A42,'Inputs-Results'!$A$9:$A$35,'Inputs-Results'!$V$9:$V$35)-_xlfn.XLOOKUP(A42,'Inputs-Results'!$A$9:$A$35,'Inputs-Results'!$X$9:$X$35))))</f>
        <v>#N/A</v>
      </c>
      <c r="E42" s="2" t="e">
        <f>IF(C42&gt;_xlfn.XLOOKUP(A42,'Inputs-Results'!$A$9:$A$35,'Inputs-Results'!$V$9:$V$35),_xlfn.XLOOKUP(A42,'Inputs-Results'!$A$9:$A$35,'Inputs-Results'!$V$9:$V$35),C42)</f>
        <v>#N/A</v>
      </c>
      <c r="F42" s="2" t="e">
        <f>_xlfn.XLOOKUP(A42,'Inputs-Results'!$A$9:$A$35,'Inputs-Results'!$W$9:$W$35)</f>
        <v>#N/A</v>
      </c>
      <c r="G42" s="2" t="e">
        <f>_xlfn.XLOOKUP(A42,'Inputs-Results'!$A$9:$A$35,'Inputs-Results'!$O$9:$O$35)</f>
        <v>#N/A</v>
      </c>
      <c r="H42" s="2" t="e">
        <f>IF(K42&gt;I42,_xlfn.XLOOKUP(A42,'Inputs-Results'!$A$9:$A$35,'Inputs-Results'!$Y$9:$Y$35),_xlfn.XLOOKUP(A42,'Inputs-Results'!$A$9:$A$35,'Inputs-Results'!$W$9:$W$35)+ABS((_xlfn.XLOOKUP(A42,'Inputs-Results'!$A$9:$A$35,'Inputs-Results'!$Y$9:$Y$35)-_xlfn.XLOOKUP(A42,'Inputs-Results'!$A$9:$A$35,'Inputs-Results'!$W$9:$W$35))*(I42-G42)/(_xlfn.XLOOKUP(A42,'Inputs-Results'!$A$9:$A$35,'Inputs-Results'!$Z$9:$Z$35)-_xlfn.XLOOKUP(A42,'Inputs-Results'!$A$9:$A$35,'Inputs-Results'!$X$9:$X$35))))</f>
        <v>#N/A</v>
      </c>
      <c r="I42" s="2" t="e">
        <f>IF(K42&gt;_xlfn.XLOOKUP(A42,'Inputs-Results'!$A$9:$A$35,'Inputs-Results'!$Z$9:$Z$35),_xlfn.XLOOKUP(A42,'Inputs-Results'!$A$9:$A$35,'Inputs-Results'!$Z$9:$Z$35),K42)</f>
        <v>#N/A</v>
      </c>
      <c r="J42" s="41" t="e">
        <f>IF(K42&gt;I42,H42+ABS(_xlfn.XLOOKUP(A42,'Inputs-Results'!$A$9:$A$35,'Inputs-Results'!$AA$9:$AA$35)-_xlfn.XLOOKUP(A42,'Inputs-Results'!$A$9:$A$35,'Inputs-Results'!$Y$9:$Y$35))*(K42-I42)/(ABS(_xlfn.XLOOKUP(A42,'Inputs-Results'!$A$9:$A$35,'Inputs-Results'!$AB$9:$AB$35)-_xlfn.XLOOKUP(A42,'Inputs-Results'!$A$9:$A$35,'Inputs-Results'!$Z$9:$Z$35))),H42)</f>
        <v>#N/A</v>
      </c>
      <c r="K42" s="41" t="e">
        <f t="shared" si="3"/>
        <v>#N/A</v>
      </c>
      <c r="L42" s="41" t="e">
        <f t="shared" si="4"/>
        <v>#N/A</v>
      </c>
      <c r="M42" s="41" t="e">
        <f t="shared" si="5"/>
        <v>#N/A</v>
      </c>
      <c r="N42" s="41" t="e">
        <f t="shared" si="6"/>
        <v>#N/A</v>
      </c>
      <c r="O42" s="41" t="e">
        <f t="shared" si="7"/>
        <v>#N/A</v>
      </c>
      <c r="P42" s="41" t="e">
        <f t="shared" si="17"/>
        <v>#N/A</v>
      </c>
      <c r="Q42" s="41" t="e">
        <f t="shared" si="8"/>
        <v>#N/A</v>
      </c>
      <c r="R42" s="41" t="e">
        <f t="shared" si="9"/>
        <v>#N/A</v>
      </c>
      <c r="S42" s="41" t="e">
        <f t="shared" si="18"/>
        <v>#N/A</v>
      </c>
      <c r="T42" s="41" t="e">
        <f>IF(P42&gt;0,1.486*L42*(L42/P42)^(2/3)/_xlfn.XLOOKUP($A42,'Inputs-Results'!$A$9:$A$35,'Inputs-Results'!$AC$9:$AC$35),0)</f>
        <v>#N/A</v>
      </c>
      <c r="U42" s="41" t="e">
        <f>IF(Q42&gt;0,1.486*M42*(M42/Q42)^(2/3)/_xlfn.XLOOKUP($A42,'Inputs-Results'!$A$9:$A$35,'Inputs-Results'!$AC$9:$AC$35),0)+T42</f>
        <v>#N/A</v>
      </c>
      <c r="V42" s="41" t="e">
        <f>IF(R42&gt;0,1.486*N42*(N42/R42)^(2/3)/_xlfn.XLOOKUP($A42,'Inputs-Results'!$A$9:$A$35,'Inputs-Results'!$AC$9:$AC$35),0)+U42</f>
        <v>#N/A</v>
      </c>
      <c r="W42" s="41" t="e">
        <f>IF(S42&gt;0,1.486*O42*(O42/S42)^(2/3)/_xlfn.XLOOKUP($A42,'Inputs-Results'!$A$9:$A$35,'Inputs-Results'!$AC$9:$AC$35),0)+V42</f>
        <v>#N/A</v>
      </c>
      <c r="X42" s="41" t="e">
        <f>_xlfn.XLOOKUP(A42,'Inputs-Results'!$A$9:$A$35,'Inputs-Results'!$AE$9:$AE$35)</f>
        <v>#N/A</v>
      </c>
      <c r="Y42" s="41" t="e">
        <f>IF(_xlfn.XLOOKUP(A42,'Inputs-Results'!$A$9:$A$35,'Inputs-Results'!$N$9:$N$35)="",IF(X42="left",D42,IF(X42="right",H42,IF(X42="center (Berm)",F42,""))),'Inputs-Results'!N17)</f>
        <v>#N/A</v>
      </c>
      <c r="Z42" s="41" t="e">
        <f>IF(_xlfn.XLOOKUP(A42,'Inputs-Results'!A17:A43,'Inputs-Results'!B17:B43)="P-12",COS(ATAN(1/_xlfn.XLOOKUP(A42,'Inputs-Results'!$A$9:$A$35,'Inputs-Results'!$C$9:$C$35)))*'Standard Data'!$D$12,IF(_xlfn.XLOOKUP(A42,'Inputs-Results'!$A$9:$A$35,'Inputs-Results'!$B$9:$B$35)="N-12",COS(ATAN(1/_xlfn.XLOOKUP(A42,'Inputs-Results'!$A$9:$A$35,'Inputs-Results'!$C$9:$C$35)))*'Standard Data'!$D$13))</f>
        <v>#N/A</v>
      </c>
      <c r="AA42" s="41" t="e">
        <f t="shared" si="10"/>
        <v>#N/A</v>
      </c>
      <c r="AB42" s="41">
        <v>0</v>
      </c>
      <c r="AC42" s="41" t="e">
        <f t="shared" si="11"/>
        <v>#N/A</v>
      </c>
      <c r="AD42" s="41" t="e">
        <f t="shared" si="12"/>
        <v>#N/A</v>
      </c>
      <c r="AE42" s="41" t="e">
        <f t="shared" si="19"/>
        <v>#N/A</v>
      </c>
      <c r="AF42" s="41" t="e">
        <f t="shared" si="13"/>
        <v>#N/A</v>
      </c>
      <c r="AG42" s="41" t="e">
        <f t="shared" si="14"/>
        <v>#N/A</v>
      </c>
      <c r="AH42" s="41" t="e">
        <f t="shared" si="15"/>
        <v>#N/A</v>
      </c>
      <c r="AI42" s="19" t="e">
        <f>AF42/$AE42*_xlfn.XLOOKUP(A42,'Inputs-Results'!$A$9:$A$35,'Inputs-Results'!$M$9:$M$35)</f>
        <v>#N/A</v>
      </c>
      <c r="AJ42" s="19" t="e">
        <f>AG42/$AE42*_xlfn.XLOOKUP(A42,'Inputs-Results'!$A$9:$A$35,'Inputs-Results'!$M$9:$M$35)</f>
        <v>#N/A</v>
      </c>
      <c r="AK42" s="19" t="e">
        <f>AH42/$AE42*_xlfn.XLOOKUP(A42,'Inputs-Results'!$A$9:$A$35,'Inputs-Results'!$M$9:$M$35)</f>
        <v>#N/A</v>
      </c>
      <c r="AL42" s="18" t="e">
        <f>1/(1+0.15*_xlfn.XLOOKUP(A42,$A$3:$A$29,$C$3:$C$29)^1.8/(1/IF(AND(X42="left",AA42&lt;D42),ABS((_xlfn.XLOOKUP(A42,'Inputs-Results'!$A$9:$A$35,'Inputs-Results'!$U$9:$U$35)-_xlfn.XLOOKUP(A42,'Inputs-Results'!$A$9:$A$35,'Inputs-Results'!$S$9:$S$35))/(_xlfn.XLOOKUP(A42,'Inputs-Results'!$A$9:$A$35,'Inputs-Results'!$T$9:$T$35)-_xlfn.XLOOKUP(A42,'Inputs-Results'!$A$9:$A$35,'Inputs-Results'!$V$9:$V$35))),IF(AND(X42="left",AA42&lt;=F42,AA42&gt;D42),ABS((_xlfn.XLOOKUP(A42,'Inputs-Results'!$A$9:$A$35,'Inputs-Results'!$W$9:$W$35)-_xlfn.XLOOKUP(A42,'Inputs-Results'!$A$9:$A$35,'Inputs-Results'!$U$9:$U$35))/(_xlfn.XLOOKUP(A42,'Inputs-Results'!$A$9:$A$35,'Inputs-Results'!$V$9:$V$35)-_xlfn.XLOOKUP(A42,'Inputs-Results'!$A$9:$A$35,'Inputs-Results'!$X$9:$X$35))),IF(AND(X42="right",Y42&gt;H42),ABS((_xlfn.XLOOKUP(A42,'Inputs-Results'!$A$9:$A$35,'Inputs-Results'!$AA$9:$AA$35)-_xlfn.XLOOKUP(A42,'Inputs-Results'!$A$9:$A$35,'Inputs-Results'!$Y$9:$Y$35))/(_xlfn.XLOOKUP(A42,'Inputs-Results'!$A$9:$A$35,'Inputs-Results'!$AB$9:$AB$35)-_xlfn.XLOOKUP(A42,'Inputs-Results'!$A$9:$A$35,'Inputs-Results'!$Z$9:$Z$35))),IF(AND(X42="right",Y42&lt;=H42,Y42&gt;=F42),(_xlfn.XLOOKUP(A42,'Inputs-Results'!$A$9:$A$35,'Inputs-Results'!$Y$9:$Y$35)-_xlfn.XLOOKUP(A42,'Inputs-Results'!$A$9:$A$35,'Inputs-Results'!$W$9:$W$35))/(_xlfn.XLOOKUP(A42,'Inputs-Results'!$A$9:$A$35,'Inputs-Results'!$Z$9:$Z$35)-_xlfn.XLOOKUP(A42,'Inputs-Results'!$A$9:$A$35,'Inputs-Results'!$X$9:$X$35)))))))/'Standard Data'!$C$12^2.3)</f>
        <v>#N/A</v>
      </c>
      <c r="AM42" s="18" t="e">
        <f>MIN(1-0.09*(_xlfn.XLOOKUP(A42,$A$3:$A$29,$C$3:$C$29)-'Standard Data'!$G$12),1)</f>
        <v>#N/A</v>
      </c>
      <c r="AN42" s="18" t="e">
        <f>1/(1+0.15*_xlfn.XLOOKUP(A42,$A$3:$A$29,$C$3:$C$29)^1.8/(1/IF(AND(X42="left",AA42&lt;D42),ABS((_xlfn.XLOOKUP(A42,'Inputs-Results'!$A$9:$A$35,'Inputs-Results'!$U$9:$U$35)-_xlfn.XLOOKUP(A42,'Inputs-Results'!$A$9:$A$35,'Inputs-Results'!$S$9:$S$35))/(_xlfn.XLOOKUP(A42,'Inputs-Results'!$A$9:$A$35,'Inputs-Results'!$T$9:$T$35)-_xlfn.XLOOKUP(A42,'Inputs-Results'!$A$9:$A$35,'Inputs-Results'!$V$9:$V$35))),IF(AND(X42="left",AA42&lt;=F42,AA42&gt;D42),ABS((_xlfn.XLOOKUP(A42,'Inputs-Results'!$A$9:$A$35,'Inputs-Results'!$W$9:$W$35)-_xlfn.XLOOKUP(A42,'Inputs-Results'!$A$9:$A$35,'Inputs-Results'!$U$9:$U$35))/(_xlfn.XLOOKUP(A42,'Inputs-Results'!$A$9:$A$35,'Inputs-Results'!$V$9:$V$35)-_xlfn.XLOOKUP(A42,'Inputs-Results'!$A$9:$A$35,'Inputs-Results'!$X$9:$X$35))),IF(AND(X42="right",Y42&gt;H42),ABS((_xlfn.XLOOKUP(A42,'Inputs-Results'!$A$9:$A$35,'Inputs-Results'!$AA$9:$AA$35)-_xlfn.XLOOKUP(A42,'Inputs-Results'!$A$9:$A$35,'Inputs-Results'!$Y$9:$Y$35))/(_xlfn.XLOOKUP(A42,'Inputs-Results'!$A$9:$A$35,'Inputs-Results'!$AB$9:$AB$35)-_xlfn.XLOOKUP(A42,'Inputs-Results'!$A$9:$A$35,'Inputs-Results'!$Z$9:$Z$35))),IF(AND(X42="right",Y42&lt;=H42,Y42&gt;=F42),(_xlfn.XLOOKUP(A42,'Inputs-Results'!$A$9:$A$35,'Inputs-Results'!$Y$9:$Y$35)-_xlfn.XLOOKUP(A42,'Inputs-Results'!$A$9:$A$35,'Inputs-Results'!$W$9:$W$35))/(_xlfn.XLOOKUP(A42,'Inputs-Results'!$A$9:$A$35,'Inputs-Results'!$Z$9:$Z$35)-_xlfn.XLOOKUP(A42,'Inputs-Results'!$A$9:$A$35,'Inputs-Results'!$X$9:$X$35)))))))/'Standard Data'!$C$12^2.3)</f>
        <v>#N/A</v>
      </c>
      <c r="AO42" s="19" t="e">
        <f t="shared" si="20"/>
        <v>#N/A</v>
      </c>
      <c r="AP42" s="19" t="e">
        <f t="shared" si="21"/>
        <v>#N/A</v>
      </c>
      <c r="AQ42" s="2" t="str">
        <f t="shared" si="16"/>
        <v/>
      </c>
    </row>
    <row r="43" spans="1:43" x14ac:dyDescent="0.25">
      <c r="A43" s="2">
        <f>'Inputs-Results'!A18</f>
        <v>0</v>
      </c>
      <c r="B43" s="2" t="e">
        <f>IF(C43&gt;E43,D43-ABS(_xlfn.XLOOKUP(A43,'Inputs-Results'!$A$9:$A$35,'Inputs-Results'!$S$9:$S$35)-_xlfn.XLOOKUP(A43,'Inputs-Results'!$A$9:$A$35,'Inputs-Results'!$U$9:$U$35))*(C43-E43)/(ABS(_xlfn.XLOOKUP(A43,'Inputs-Results'!$A$9:$A$35,'Inputs-Results'!$T$9:$T$35)-_xlfn.XLOOKUP(A43,'Inputs-Results'!$A$9:$A$35,'Inputs-Results'!$V$9:$V$35))),D43)</f>
        <v>#N/A</v>
      </c>
      <c r="C43" s="2" t="e">
        <f>IFERROR(G43+_xlfn.XLOOKUP(A43,'Ditch Calculations'!$A$34:$A$114,'Ditch Calculations'!$C$34:$C$114),_xlfn.XLOOKUP(A43,'Inputs-Results'!$A$9:$A$35,'Inputs-Results'!$T$9:$T$35))</f>
        <v>#N/A</v>
      </c>
      <c r="D43" s="2" t="e">
        <f>IF(C43&gt;E43,_xlfn.XLOOKUP(A43,'Inputs-Results'!$A$9:$A$35,'Inputs-Results'!$U$9:$U$35),_xlfn.XLOOKUP(A43,'Inputs-Results'!$A$9:$A$35,'Inputs-Results'!$W$9:$W$35)-ABS((_xlfn.XLOOKUP(A43,'Inputs-Results'!$A$9:$A$35,'Inputs-Results'!$W$9:$W$35)-_xlfn.XLOOKUP(A43,'Inputs-Results'!$A$9:$A$35,'Inputs-Results'!$U$9:$U$35))*(E43-G43))/((_xlfn.XLOOKUP(A43,'Inputs-Results'!$A$9:$A$35,'Inputs-Results'!$V$9:$V$35)-_xlfn.XLOOKUP(A43,'Inputs-Results'!$A$9:$A$35,'Inputs-Results'!$X$9:$X$35))))</f>
        <v>#N/A</v>
      </c>
      <c r="E43" s="2" t="e">
        <f>IF(C43&gt;_xlfn.XLOOKUP(A43,'Inputs-Results'!$A$9:$A$35,'Inputs-Results'!$V$9:$V$35),_xlfn.XLOOKUP(A43,'Inputs-Results'!$A$9:$A$35,'Inputs-Results'!$V$9:$V$35),C43)</f>
        <v>#N/A</v>
      </c>
      <c r="F43" s="2" t="e">
        <f>_xlfn.XLOOKUP(A43,'Inputs-Results'!$A$9:$A$35,'Inputs-Results'!$W$9:$W$35)</f>
        <v>#N/A</v>
      </c>
      <c r="G43" s="2" t="e">
        <f>_xlfn.XLOOKUP(A43,'Inputs-Results'!$A$9:$A$35,'Inputs-Results'!$O$9:$O$35)</f>
        <v>#N/A</v>
      </c>
      <c r="H43" s="2" t="e">
        <f>IF(K43&gt;I43,_xlfn.XLOOKUP(A43,'Inputs-Results'!$A$9:$A$35,'Inputs-Results'!$Y$9:$Y$35),_xlfn.XLOOKUP(A43,'Inputs-Results'!$A$9:$A$35,'Inputs-Results'!$W$9:$W$35)+ABS((_xlfn.XLOOKUP(A43,'Inputs-Results'!$A$9:$A$35,'Inputs-Results'!$Y$9:$Y$35)-_xlfn.XLOOKUP(A43,'Inputs-Results'!$A$9:$A$35,'Inputs-Results'!$W$9:$W$35))*(I43-G43)/(_xlfn.XLOOKUP(A43,'Inputs-Results'!$A$9:$A$35,'Inputs-Results'!$Z$9:$Z$35)-_xlfn.XLOOKUP(A43,'Inputs-Results'!$A$9:$A$35,'Inputs-Results'!$X$9:$X$35))))</f>
        <v>#N/A</v>
      </c>
      <c r="I43" s="2" t="e">
        <f>IF(K43&gt;_xlfn.XLOOKUP(A43,'Inputs-Results'!$A$9:$A$35,'Inputs-Results'!$Z$9:$Z$35),_xlfn.XLOOKUP(A43,'Inputs-Results'!$A$9:$A$35,'Inputs-Results'!$Z$9:$Z$35),K43)</f>
        <v>#N/A</v>
      </c>
      <c r="J43" s="41" t="e">
        <f>IF(K43&gt;I43,H43+ABS(_xlfn.XLOOKUP(A43,'Inputs-Results'!$A$9:$A$35,'Inputs-Results'!$AA$9:$AA$35)-_xlfn.XLOOKUP(A43,'Inputs-Results'!$A$9:$A$35,'Inputs-Results'!$Y$9:$Y$35))*(K43-I43)/(ABS(_xlfn.XLOOKUP(A43,'Inputs-Results'!$A$9:$A$35,'Inputs-Results'!$AB$9:$AB$35)-_xlfn.XLOOKUP(A43,'Inputs-Results'!$A$9:$A$35,'Inputs-Results'!$Z$9:$Z$35))),H43)</f>
        <v>#N/A</v>
      </c>
      <c r="K43" s="41" t="e">
        <f t="shared" si="3"/>
        <v>#N/A</v>
      </c>
      <c r="L43" s="41" t="e">
        <f t="shared" si="4"/>
        <v>#N/A</v>
      </c>
      <c r="M43" s="41" t="e">
        <f t="shared" si="5"/>
        <v>#N/A</v>
      </c>
      <c r="N43" s="41" t="e">
        <f t="shared" si="6"/>
        <v>#N/A</v>
      </c>
      <c r="O43" s="41" t="e">
        <f t="shared" si="7"/>
        <v>#N/A</v>
      </c>
      <c r="P43" s="41" t="e">
        <f t="shared" si="17"/>
        <v>#N/A</v>
      </c>
      <c r="Q43" s="41" t="e">
        <f t="shared" si="8"/>
        <v>#N/A</v>
      </c>
      <c r="R43" s="41" t="e">
        <f t="shared" si="9"/>
        <v>#N/A</v>
      </c>
      <c r="S43" s="41" t="e">
        <f t="shared" si="18"/>
        <v>#N/A</v>
      </c>
      <c r="T43" s="41" t="e">
        <f>IF(P43&gt;0,1.486*L43*(L43/P43)^(2/3)/_xlfn.XLOOKUP($A43,'Inputs-Results'!$A$9:$A$35,'Inputs-Results'!$AC$9:$AC$35),0)</f>
        <v>#N/A</v>
      </c>
      <c r="U43" s="41" t="e">
        <f>IF(Q43&gt;0,1.486*M43*(M43/Q43)^(2/3)/_xlfn.XLOOKUP($A43,'Inputs-Results'!$A$9:$A$35,'Inputs-Results'!$AC$9:$AC$35),0)+T43</f>
        <v>#N/A</v>
      </c>
      <c r="V43" s="41" t="e">
        <f>IF(R43&gt;0,1.486*N43*(N43/R43)^(2/3)/_xlfn.XLOOKUP($A43,'Inputs-Results'!$A$9:$A$35,'Inputs-Results'!$AC$9:$AC$35),0)+U43</f>
        <v>#N/A</v>
      </c>
      <c r="W43" s="41" t="e">
        <f>IF(S43&gt;0,1.486*O43*(O43/S43)^(2/3)/_xlfn.XLOOKUP($A43,'Inputs-Results'!$A$9:$A$35,'Inputs-Results'!$AC$9:$AC$35),0)+V43</f>
        <v>#N/A</v>
      </c>
      <c r="X43" s="41" t="e">
        <f>_xlfn.XLOOKUP(A43,'Inputs-Results'!$A$9:$A$35,'Inputs-Results'!$AE$9:$AE$35)</f>
        <v>#N/A</v>
      </c>
      <c r="Y43" s="41" t="e">
        <f>IF(_xlfn.XLOOKUP(A43,'Inputs-Results'!$A$9:$A$35,'Inputs-Results'!$N$9:$N$35)="",IF(X43="left",D43,IF(X43="right",H43,IF(X43="center (Berm)",F43,""))),'Inputs-Results'!N18)</f>
        <v>#N/A</v>
      </c>
      <c r="Z43" s="41" t="e">
        <f>IF(_xlfn.XLOOKUP(A43,'Inputs-Results'!A18:A44,'Inputs-Results'!B18:B44)="P-12",COS(ATAN(1/_xlfn.XLOOKUP(A43,'Inputs-Results'!$A$9:$A$35,'Inputs-Results'!$C$9:$C$35)))*'Standard Data'!$D$12,IF(_xlfn.XLOOKUP(A43,'Inputs-Results'!$A$9:$A$35,'Inputs-Results'!$B$9:$B$35)="N-12",COS(ATAN(1/_xlfn.XLOOKUP(A43,'Inputs-Results'!$A$9:$A$35,'Inputs-Results'!$C$9:$C$35)))*'Standard Data'!$D$13))</f>
        <v>#N/A</v>
      </c>
      <c r="AA43" s="41" t="e">
        <f t="shared" si="10"/>
        <v>#N/A</v>
      </c>
      <c r="AB43" s="41">
        <v>0</v>
      </c>
      <c r="AC43" s="41" t="e">
        <f t="shared" si="11"/>
        <v>#N/A</v>
      </c>
      <c r="AD43" s="41" t="e">
        <f t="shared" si="12"/>
        <v>#N/A</v>
      </c>
      <c r="AE43" s="41" t="e">
        <f t="shared" si="19"/>
        <v>#N/A</v>
      </c>
      <c r="AF43" s="41" t="e">
        <f t="shared" si="13"/>
        <v>#N/A</v>
      </c>
      <c r="AG43" s="41" t="e">
        <f t="shared" si="14"/>
        <v>#N/A</v>
      </c>
      <c r="AH43" s="41" t="e">
        <f t="shared" si="15"/>
        <v>#N/A</v>
      </c>
      <c r="AI43" s="19" t="e">
        <f>AF43/$AE43*_xlfn.XLOOKUP(A43,'Inputs-Results'!$A$9:$A$35,'Inputs-Results'!$M$9:$M$35)</f>
        <v>#N/A</v>
      </c>
      <c r="AJ43" s="19" t="e">
        <f>AG43/$AE43*_xlfn.XLOOKUP(A43,'Inputs-Results'!$A$9:$A$35,'Inputs-Results'!$M$9:$M$35)</f>
        <v>#N/A</v>
      </c>
      <c r="AK43" s="19" t="e">
        <f>AH43/$AE43*_xlfn.XLOOKUP(A43,'Inputs-Results'!$A$9:$A$35,'Inputs-Results'!$M$9:$M$35)</f>
        <v>#N/A</v>
      </c>
      <c r="AL43" s="18" t="e">
        <f>1/(1+0.15*_xlfn.XLOOKUP(A43,$A$3:$A$29,$C$3:$C$29)^1.8/(1/IF(AND(X43="left",AA43&lt;D43),ABS((_xlfn.XLOOKUP(A43,'Inputs-Results'!$A$9:$A$35,'Inputs-Results'!$U$9:$U$35)-_xlfn.XLOOKUP(A43,'Inputs-Results'!$A$9:$A$35,'Inputs-Results'!$S$9:$S$35))/(_xlfn.XLOOKUP(A43,'Inputs-Results'!$A$9:$A$35,'Inputs-Results'!$T$9:$T$35)-_xlfn.XLOOKUP(A43,'Inputs-Results'!$A$9:$A$35,'Inputs-Results'!$V$9:$V$35))),IF(AND(X43="left",AA43&lt;=F43,AA43&gt;D43),ABS((_xlfn.XLOOKUP(A43,'Inputs-Results'!$A$9:$A$35,'Inputs-Results'!$W$9:$W$35)-_xlfn.XLOOKUP(A43,'Inputs-Results'!$A$9:$A$35,'Inputs-Results'!$U$9:$U$35))/(_xlfn.XLOOKUP(A43,'Inputs-Results'!$A$9:$A$35,'Inputs-Results'!$V$9:$V$35)-_xlfn.XLOOKUP(A43,'Inputs-Results'!$A$9:$A$35,'Inputs-Results'!$X$9:$X$35))),IF(AND(X43="right",Y43&gt;H43),ABS((_xlfn.XLOOKUP(A43,'Inputs-Results'!$A$9:$A$35,'Inputs-Results'!$AA$9:$AA$35)-_xlfn.XLOOKUP(A43,'Inputs-Results'!$A$9:$A$35,'Inputs-Results'!$Y$9:$Y$35))/(_xlfn.XLOOKUP(A43,'Inputs-Results'!$A$9:$A$35,'Inputs-Results'!$AB$9:$AB$35)-_xlfn.XLOOKUP(A43,'Inputs-Results'!$A$9:$A$35,'Inputs-Results'!$Z$9:$Z$35))),IF(AND(X43="right",Y43&lt;=H43,Y43&gt;=F43),(_xlfn.XLOOKUP(A43,'Inputs-Results'!$A$9:$A$35,'Inputs-Results'!$Y$9:$Y$35)-_xlfn.XLOOKUP(A43,'Inputs-Results'!$A$9:$A$35,'Inputs-Results'!$W$9:$W$35))/(_xlfn.XLOOKUP(A43,'Inputs-Results'!$A$9:$A$35,'Inputs-Results'!$Z$9:$Z$35)-_xlfn.XLOOKUP(A43,'Inputs-Results'!$A$9:$A$35,'Inputs-Results'!$X$9:$X$35)))))))/'Standard Data'!$C$12^2.3)</f>
        <v>#N/A</v>
      </c>
      <c r="AM43" s="18" t="e">
        <f>MIN(1-0.09*(_xlfn.XLOOKUP(A43,$A$3:$A$29,$C$3:$C$29)-'Standard Data'!$G$12),1)</f>
        <v>#N/A</v>
      </c>
      <c r="AN43" s="18" t="e">
        <f>1/(1+0.15*_xlfn.XLOOKUP(A43,$A$3:$A$29,$C$3:$C$29)^1.8/(1/IF(AND(X43="left",AA43&lt;D43),ABS((_xlfn.XLOOKUP(A43,'Inputs-Results'!$A$9:$A$35,'Inputs-Results'!$U$9:$U$35)-_xlfn.XLOOKUP(A43,'Inputs-Results'!$A$9:$A$35,'Inputs-Results'!$S$9:$S$35))/(_xlfn.XLOOKUP(A43,'Inputs-Results'!$A$9:$A$35,'Inputs-Results'!$T$9:$T$35)-_xlfn.XLOOKUP(A43,'Inputs-Results'!$A$9:$A$35,'Inputs-Results'!$V$9:$V$35))),IF(AND(X43="left",AA43&lt;=F43,AA43&gt;D43),ABS((_xlfn.XLOOKUP(A43,'Inputs-Results'!$A$9:$A$35,'Inputs-Results'!$W$9:$W$35)-_xlfn.XLOOKUP(A43,'Inputs-Results'!$A$9:$A$35,'Inputs-Results'!$U$9:$U$35))/(_xlfn.XLOOKUP(A43,'Inputs-Results'!$A$9:$A$35,'Inputs-Results'!$V$9:$V$35)-_xlfn.XLOOKUP(A43,'Inputs-Results'!$A$9:$A$35,'Inputs-Results'!$X$9:$X$35))),IF(AND(X43="right",Y43&gt;H43),ABS((_xlfn.XLOOKUP(A43,'Inputs-Results'!$A$9:$A$35,'Inputs-Results'!$AA$9:$AA$35)-_xlfn.XLOOKUP(A43,'Inputs-Results'!$A$9:$A$35,'Inputs-Results'!$Y$9:$Y$35))/(_xlfn.XLOOKUP(A43,'Inputs-Results'!$A$9:$A$35,'Inputs-Results'!$AB$9:$AB$35)-_xlfn.XLOOKUP(A43,'Inputs-Results'!$A$9:$A$35,'Inputs-Results'!$Z$9:$Z$35))),IF(AND(X43="right",Y43&lt;=H43,Y43&gt;=F43),(_xlfn.XLOOKUP(A43,'Inputs-Results'!$A$9:$A$35,'Inputs-Results'!$Y$9:$Y$35)-_xlfn.XLOOKUP(A43,'Inputs-Results'!$A$9:$A$35,'Inputs-Results'!$W$9:$W$35))/(_xlfn.XLOOKUP(A43,'Inputs-Results'!$A$9:$A$35,'Inputs-Results'!$Z$9:$Z$35)-_xlfn.XLOOKUP(A43,'Inputs-Results'!$A$9:$A$35,'Inputs-Results'!$X$9:$X$35)))))))/'Standard Data'!$C$12^2.3)</f>
        <v>#N/A</v>
      </c>
      <c r="AO43" s="19" t="e">
        <f t="shared" si="20"/>
        <v>#N/A</v>
      </c>
      <c r="AP43" s="19" t="e">
        <f t="shared" si="21"/>
        <v>#N/A</v>
      </c>
      <c r="AQ43" s="2" t="str">
        <f t="shared" si="16"/>
        <v/>
      </c>
    </row>
    <row r="44" spans="1:43" x14ac:dyDescent="0.25">
      <c r="A44" s="2">
        <f>'Inputs-Results'!A19</f>
        <v>0</v>
      </c>
      <c r="B44" s="2" t="e">
        <f>IF(C44&gt;E44,D44-ABS(_xlfn.XLOOKUP(A44,'Inputs-Results'!$A$9:$A$35,'Inputs-Results'!$S$9:$S$35)-_xlfn.XLOOKUP(A44,'Inputs-Results'!$A$9:$A$35,'Inputs-Results'!$U$9:$U$35))*(C44-E44)/(ABS(_xlfn.XLOOKUP(A44,'Inputs-Results'!$A$9:$A$35,'Inputs-Results'!$T$9:$T$35)-_xlfn.XLOOKUP(A44,'Inputs-Results'!$A$9:$A$35,'Inputs-Results'!$V$9:$V$35))),D44)</f>
        <v>#N/A</v>
      </c>
      <c r="C44" s="2" t="e">
        <f>IFERROR(G44+_xlfn.XLOOKUP(A44,'Ditch Calculations'!$A$34:$A$114,'Ditch Calculations'!$C$34:$C$114),_xlfn.XLOOKUP(A44,'Inputs-Results'!$A$9:$A$35,'Inputs-Results'!$T$9:$T$35))</f>
        <v>#N/A</v>
      </c>
      <c r="D44" s="2" t="e">
        <f>IF(C44&gt;E44,_xlfn.XLOOKUP(A44,'Inputs-Results'!$A$9:$A$35,'Inputs-Results'!$U$9:$U$35),_xlfn.XLOOKUP(A44,'Inputs-Results'!$A$9:$A$35,'Inputs-Results'!$W$9:$W$35)-ABS((_xlfn.XLOOKUP(A44,'Inputs-Results'!$A$9:$A$35,'Inputs-Results'!$W$9:$W$35)-_xlfn.XLOOKUP(A44,'Inputs-Results'!$A$9:$A$35,'Inputs-Results'!$U$9:$U$35))*(E44-G44))/((_xlfn.XLOOKUP(A44,'Inputs-Results'!$A$9:$A$35,'Inputs-Results'!$V$9:$V$35)-_xlfn.XLOOKUP(A44,'Inputs-Results'!$A$9:$A$35,'Inputs-Results'!$X$9:$X$35))))</f>
        <v>#N/A</v>
      </c>
      <c r="E44" s="2" t="e">
        <f>IF(C44&gt;_xlfn.XLOOKUP(A44,'Inputs-Results'!$A$9:$A$35,'Inputs-Results'!$V$9:$V$35),_xlfn.XLOOKUP(A44,'Inputs-Results'!$A$9:$A$35,'Inputs-Results'!$V$9:$V$35),C44)</f>
        <v>#N/A</v>
      </c>
      <c r="F44" s="2" t="e">
        <f>_xlfn.XLOOKUP(A44,'Inputs-Results'!$A$9:$A$35,'Inputs-Results'!$W$9:$W$35)</f>
        <v>#N/A</v>
      </c>
      <c r="G44" s="2" t="e">
        <f>_xlfn.XLOOKUP(A44,'Inputs-Results'!$A$9:$A$35,'Inputs-Results'!$O$9:$O$35)</f>
        <v>#N/A</v>
      </c>
      <c r="H44" s="2" t="e">
        <f>IF(K44&gt;I44,_xlfn.XLOOKUP(A44,'Inputs-Results'!$A$9:$A$35,'Inputs-Results'!$Y$9:$Y$35),_xlfn.XLOOKUP(A44,'Inputs-Results'!$A$9:$A$35,'Inputs-Results'!$W$9:$W$35)+ABS((_xlfn.XLOOKUP(A44,'Inputs-Results'!$A$9:$A$35,'Inputs-Results'!$Y$9:$Y$35)-_xlfn.XLOOKUP(A44,'Inputs-Results'!$A$9:$A$35,'Inputs-Results'!$W$9:$W$35))*(I44-G44)/(_xlfn.XLOOKUP(A44,'Inputs-Results'!$A$9:$A$35,'Inputs-Results'!$Z$9:$Z$35)-_xlfn.XLOOKUP(A44,'Inputs-Results'!$A$9:$A$35,'Inputs-Results'!$X$9:$X$35))))</f>
        <v>#N/A</v>
      </c>
      <c r="I44" s="2" t="e">
        <f>IF(K44&gt;_xlfn.XLOOKUP(A44,'Inputs-Results'!$A$9:$A$35,'Inputs-Results'!$Z$9:$Z$35),_xlfn.XLOOKUP(A44,'Inputs-Results'!$A$9:$A$35,'Inputs-Results'!$Z$9:$Z$35),K44)</f>
        <v>#N/A</v>
      </c>
      <c r="J44" s="41" t="e">
        <f>IF(K44&gt;I44,H44+ABS(_xlfn.XLOOKUP(A44,'Inputs-Results'!$A$9:$A$35,'Inputs-Results'!$AA$9:$AA$35)-_xlfn.XLOOKUP(A44,'Inputs-Results'!$A$9:$A$35,'Inputs-Results'!$Y$9:$Y$35))*(K44-I44)/(ABS(_xlfn.XLOOKUP(A44,'Inputs-Results'!$A$9:$A$35,'Inputs-Results'!$AB$9:$AB$35)-_xlfn.XLOOKUP(A44,'Inputs-Results'!$A$9:$A$35,'Inputs-Results'!$Z$9:$Z$35))),H44)</f>
        <v>#N/A</v>
      </c>
      <c r="K44" s="41" t="e">
        <f t="shared" si="3"/>
        <v>#N/A</v>
      </c>
      <c r="L44" s="41" t="e">
        <f t="shared" si="4"/>
        <v>#N/A</v>
      </c>
      <c r="M44" s="41" t="e">
        <f t="shared" si="5"/>
        <v>#N/A</v>
      </c>
      <c r="N44" s="41" t="e">
        <f t="shared" si="6"/>
        <v>#N/A</v>
      </c>
      <c r="O44" s="41" t="e">
        <f t="shared" si="7"/>
        <v>#N/A</v>
      </c>
      <c r="P44" s="41" t="e">
        <f t="shared" si="17"/>
        <v>#N/A</v>
      </c>
      <c r="Q44" s="41" t="e">
        <f t="shared" si="8"/>
        <v>#N/A</v>
      </c>
      <c r="R44" s="41" t="e">
        <f t="shared" si="9"/>
        <v>#N/A</v>
      </c>
      <c r="S44" s="41" t="e">
        <f t="shared" si="18"/>
        <v>#N/A</v>
      </c>
      <c r="T44" s="41" t="e">
        <f>IF(P44&gt;0,1.486*L44*(L44/P44)^(2/3)/_xlfn.XLOOKUP($A44,'Inputs-Results'!$A$9:$A$35,'Inputs-Results'!$AC$9:$AC$35),0)</f>
        <v>#N/A</v>
      </c>
      <c r="U44" s="41" t="e">
        <f>IF(Q44&gt;0,1.486*M44*(M44/Q44)^(2/3)/_xlfn.XLOOKUP($A44,'Inputs-Results'!$A$9:$A$35,'Inputs-Results'!$AC$9:$AC$35),0)+T44</f>
        <v>#N/A</v>
      </c>
      <c r="V44" s="41" t="e">
        <f>IF(R44&gt;0,1.486*N44*(N44/R44)^(2/3)/_xlfn.XLOOKUP($A44,'Inputs-Results'!$A$9:$A$35,'Inputs-Results'!$AC$9:$AC$35),0)+U44</f>
        <v>#N/A</v>
      </c>
      <c r="W44" s="41" t="e">
        <f>IF(S44&gt;0,1.486*O44*(O44/S44)^(2/3)/_xlfn.XLOOKUP($A44,'Inputs-Results'!$A$9:$A$35,'Inputs-Results'!$AC$9:$AC$35),0)+V44</f>
        <v>#N/A</v>
      </c>
      <c r="X44" s="41" t="e">
        <f>_xlfn.XLOOKUP(A44,'Inputs-Results'!$A$9:$A$35,'Inputs-Results'!$AE$9:$AE$35)</f>
        <v>#N/A</v>
      </c>
      <c r="Y44" s="41" t="e">
        <f>IF(_xlfn.XLOOKUP(A44,'Inputs-Results'!$A$9:$A$35,'Inputs-Results'!$N$9:$N$35)="",IF(X44="left",D44,IF(X44="right",H44,IF(X44="center (Berm)",F44,""))),'Inputs-Results'!N19)</f>
        <v>#N/A</v>
      </c>
      <c r="Z44" s="41" t="e">
        <f>IF(_xlfn.XLOOKUP(A44,'Inputs-Results'!A19:A45,'Inputs-Results'!B19:B45)="P-12",COS(ATAN(1/_xlfn.XLOOKUP(A44,'Inputs-Results'!$A$9:$A$35,'Inputs-Results'!$C$9:$C$35)))*'Standard Data'!$D$12,IF(_xlfn.XLOOKUP(A44,'Inputs-Results'!$A$9:$A$35,'Inputs-Results'!$B$9:$B$35)="N-12",COS(ATAN(1/_xlfn.XLOOKUP(A44,'Inputs-Results'!$A$9:$A$35,'Inputs-Results'!$C$9:$C$35)))*'Standard Data'!$D$13))</f>
        <v>#N/A</v>
      </c>
      <c r="AA44" s="41" t="e">
        <f t="shared" si="10"/>
        <v>#N/A</v>
      </c>
      <c r="AB44" s="41">
        <v>0</v>
      </c>
      <c r="AC44" s="41" t="e">
        <f t="shared" si="11"/>
        <v>#N/A</v>
      </c>
      <c r="AD44" s="41" t="e">
        <f>IF(AND(X44="left",Y44&lt;=D44),ABS((D44-Y44)*(T44-0)/(D44-B44)),IF(AND(X44="left",Y44&lt;=F44,Y44&gt;D44),U44-ABS((F44-Y44)*(U44-T44)/(F44-D44)),IF(AND(X44="right",AA44&gt;=H44),W44-(W44-V44)*(J44-AA44)/(J44-H44),IF(AND(X44="right",AA44&lt;H44,AA44&gt;=F44),IF(AND(X44="right",AA44&lt;H44,AA44&gt;=F44),V44-ABS((AA44-Y44)*(V44-AC44)/(H44-Y44)),W44)))))</f>
        <v>#N/A</v>
      </c>
      <c r="AE44" s="41" t="e">
        <f t="shared" si="19"/>
        <v>#N/A</v>
      </c>
      <c r="AF44" s="41" t="e">
        <f t="shared" si="13"/>
        <v>#N/A</v>
      </c>
      <c r="AG44" s="41" t="e">
        <f t="shared" si="14"/>
        <v>#N/A</v>
      </c>
      <c r="AH44" s="41" t="e">
        <f t="shared" si="15"/>
        <v>#N/A</v>
      </c>
      <c r="AI44" s="19" t="e">
        <f>AF44/$AE44*_xlfn.XLOOKUP(A44,'Inputs-Results'!$A$9:$A$35,'Inputs-Results'!$M$9:$M$35)</f>
        <v>#N/A</v>
      </c>
      <c r="AJ44" s="19" t="e">
        <f>AG44/$AE44*_xlfn.XLOOKUP(A44,'Inputs-Results'!$A$9:$A$35,'Inputs-Results'!$M$9:$M$35)</f>
        <v>#N/A</v>
      </c>
      <c r="AK44" s="19" t="e">
        <f>AH44/$AE44*_xlfn.XLOOKUP(A44,'Inputs-Results'!$A$9:$A$35,'Inputs-Results'!$M$9:$M$35)</f>
        <v>#N/A</v>
      </c>
      <c r="AL44" s="18" t="e">
        <f>1/(1+0.15*_xlfn.XLOOKUP(A44,$A$3:$A$29,$C$3:$C$29)^1.8/(1/IF(AND(X44="left",AA44&lt;D44),ABS((_xlfn.XLOOKUP(A44,'Inputs-Results'!$A$9:$A$35,'Inputs-Results'!$U$9:$U$35)-_xlfn.XLOOKUP(A44,'Inputs-Results'!$A$9:$A$35,'Inputs-Results'!$S$9:$S$35))/(_xlfn.XLOOKUP(A44,'Inputs-Results'!$A$9:$A$35,'Inputs-Results'!$T$9:$T$35)-_xlfn.XLOOKUP(A44,'Inputs-Results'!$A$9:$A$35,'Inputs-Results'!$V$9:$V$35))),IF(AND(X44="left",AA44&lt;=F44,AA44&gt;D44),ABS((_xlfn.XLOOKUP(A44,'Inputs-Results'!$A$9:$A$35,'Inputs-Results'!$W$9:$W$35)-_xlfn.XLOOKUP(A44,'Inputs-Results'!$A$9:$A$35,'Inputs-Results'!$U$9:$U$35))/(_xlfn.XLOOKUP(A44,'Inputs-Results'!$A$9:$A$35,'Inputs-Results'!$V$9:$V$35)-_xlfn.XLOOKUP(A44,'Inputs-Results'!$A$9:$A$35,'Inputs-Results'!$X$9:$X$35))),IF(AND(X44="right",Y44&gt;H44),ABS((_xlfn.XLOOKUP(A44,'Inputs-Results'!$A$9:$A$35,'Inputs-Results'!$AA$9:$AA$35)-_xlfn.XLOOKUP(A44,'Inputs-Results'!$A$9:$A$35,'Inputs-Results'!$Y$9:$Y$35))/(_xlfn.XLOOKUP(A44,'Inputs-Results'!$A$9:$A$35,'Inputs-Results'!$AB$9:$AB$35)-_xlfn.XLOOKUP(A44,'Inputs-Results'!$A$9:$A$35,'Inputs-Results'!$Z$9:$Z$35))),IF(AND(X44="right",Y44&lt;=H44,Y44&gt;=F44),(_xlfn.XLOOKUP(A44,'Inputs-Results'!$A$9:$A$35,'Inputs-Results'!$Y$9:$Y$35)-_xlfn.XLOOKUP(A44,'Inputs-Results'!$A$9:$A$35,'Inputs-Results'!$W$9:$W$35))/(_xlfn.XLOOKUP(A44,'Inputs-Results'!$A$9:$A$35,'Inputs-Results'!$Z$9:$Z$35)-_xlfn.XLOOKUP(A44,'Inputs-Results'!$A$9:$A$35,'Inputs-Results'!$X$9:$X$35)))))))/'Standard Data'!$C$12^2.3)</f>
        <v>#N/A</v>
      </c>
      <c r="AM44" s="18" t="e">
        <f>MIN(1-0.09*(_xlfn.XLOOKUP(A44,$A$3:$A$29,$C$3:$C$29)-'Standard Data'!$G$12),1)</f>
        <v>#N/A</v>
      </c>
      <c r="AN44" s="18" t="e">
        <f>1/(1+0.15*_xlfn.XLOOKUP(A44,$A$3:$A$29,$C$3:$C$29)^1.8/(1/IF(AND(X44="left",AA44&lt;D44),ABS((_xlfn.XLOOKUP(A44,'Inputs-Results'!$A$9:$A$35,'Inputs-Results'!$U$9:$U$35)-_xlfn.XLOOKUP(A44,'Inputs-Results'!$A$9:$A$35,'Inputs-Results'!$S$9:$S$35))/(_xlfn.XLOOKUP(A44,'Inputs-Results'!$A$9:$A$35,'Inputs-Results'!$T$9:$T$35)-_xlfn.XLOOKUP(A44,'Inputs-Results'!$A$9:$A$35,'Inputs-Results'!$V$9:$V$35))),IF(AND(X44="left",AA44&lt;=F44,AA44&gt;D44),ABS((_xlfn.XLOOKUP(A44,'Inputs-Results'!$A$9:$A$35,'Inputs-Results'!$W$9:$W$35)-_xlfn.XLOOKUP(A44,'Inputs-Results'!$A$9:$A$35,'Inputs-Results'!$U$9:$U$35))/(_xlfn.XLOOKUP(A44,'Inputs-Results'!$A$9:$A$35,'Inputs-Results'!$V$9:$V$35)-_xlfn.XLOOKUP(A44,'Inputs-Results'!$A$9:$A$35,'Inputs-Results'!$X$9:$X$35))),IF(AND(X44="right",Y44&gt;H44),ABS((_xlfn.XLOOKUP(A44,'Inputs-Results'!$A$9:$A$35,'Inputs-Results'!$AA$9:$AA$35)-_xlfn.XLOOKUP(A44,'Inputs-Results'!$A$9:$A$35,'Inputs-Results'!$Y$9:$Y$35))/(_xlfn.XLOOKUP(A44,'Inputs-Results'!$A$9:$A$35,'Inputs-Results'!$AB$9:$AB$35)-_xlfn.XLOOKUP(A44,'Inputs-Results'!$A$9:$A$35,'Inputs-Results'!$Z$9:$Z$35))),IF(AND(X44="right",Y44&lt;=H44,Y44&gt;=F44),(_xlfn.XLOOKUP(A44,'Inputs-Results'!$A$9:$A$35,'Inputs-Results'!$Y$9:$Y$35)-_xlfn.XLOOKUP(A44,'Inputs-Results'!$A$9:$A$35,'Inputs-Results'!$W$9:$W$35))/(_xlfn.XLOOKUP(A44,'Inputs-Results'!$A$9:$A$35,'Inputs-Results'!$Z$9:$Z$35)-_xlfn.XLOOKUP(A44,'Inputs-Results'!$A$9:$A$35,'Inputs-Results'!$X$9:$X$35)))))))/'Standard Data'!$C$12^2.3)</f>
        <v>#N/A</v>
      </c>
      <c r="AO44" s="19" t="e">
        <f t="shared" si="20"/>
        <v>#N/A</v>
      </c>
      <c r="AP44" s="19" t="e">
        <f t="shared" si="21"/>
        <v>#N/A</v>
      </c>
      <c r="AQ44" s="2" t="str">
        <f t="shared" si="16"/>
        <v/>
      </c>
    </row>
    <row r="45" spans="1:43" x14ac:dyDescent="0.25">
      <c r="A45" s="2">
        <f>'Inputs-Results'!A20</f>
        <v>0</v>
      </c>
      <c r="B45" s="2" t="e">
        <f>IF(C45&gt;E45,D45-ABS(_xlfn.XLOOKUP(A45,'Inputs-Results'!$A$9:$A$35,'Inputs-Results'!$S$9:$S$35)-_xlfn.XLOOKUP(A45,'Inputs-Results'!$A$9:$A$35,'Inputs-Results'!$U$9:$U$35))*(C45-E45)/(ABS(_xlfn.XLOOKUP(A45,'Inputs-Results'!$A$9:$A$35,'Inputs-Results'!$T$9:$T$35)-_xlfn.XLOOKUP(A45,'Inputs-Results'!$A$9:$A$35,'Inputs-Results'!$V$9:$V$35))),D45)</f>
        <v>#N/A</v>
      </c>
      <c r="C45" s="2" t="e">
        <f>IFERROR(G45+_xlfn.XLOOKUP(A45,'Ditch Calculations'!$A$34:$A$114,'Ditch Calculations'!$C$34:$C$114),_xlfn.XLOOKUP(A45,'Inputs-Results'!$A$9:$A$35,'Inputs-Results'!$T$9:$T$35))</f>
        <v>#N/A</v>
      </c>
      <c r="D45" s="2" t="e">
        <f>IF(C45&gt;E45,_xlfn.XLOOKUP(A45,'Inputs-Results'!$A$9:$A$35,'Inputs-Results'!$U$9:$U$35),_xlfn.XLOOKUP(A45,'Inputs-Results'!$A$9:$A$35,'Inputs-Results'!$W$9:$W$35)-ABS((_xlfn.XLOOKUP(A45,'Inputs-Results'!$A$9:$A$35,'Inputs-Results'!$W$9:$W$35)-_xlfn.XLOOKUP(A45,'Inputs-Results'!$A$9:$A$35,'Inputs-Results'!$U$9:$U$35))*(E45-G45))/((_xlfn.XLOOKUP(A45,'Inputs-Results'!$A$9:$A$35,'Inputs-Results'!$V$9:$V$35)-_xlfn.XLOOKUP(A45,'Inputs-Results'!$A$9:$A$35,'Inputs-Results'!$X$9:$X$35))))</f>
        <v>#N/A</v>
      </c>
      <c r="E45" s="2" t="e">
        <f>IF(C45&gt;_xlfn.XLOOKUP(A45,'Inputs-Results'!$A$9:$A$35,'Inputs-Results'!$V$9:$V$35),_xlfn.XLOOKUP(A45,'Inputs-Results'!$A$9:$A$35,'Inputs-Results'!$V$9:$V$35),C45)</f>
        <v>#N/A</v>
      </c>
      <c r="F45" s="2" t="e">
        <f>_xlfn.XLOOKUP(A45,'Inputs-Results'!$A$9:$A$35,'Inputs-Results'!$W$9:$W$35)</f>
        <v>#N/A</v>
      </c>
      <c r="G45" s="2" t="e">
        <f>_xlfn.XLOOKUP(A45,'Inputs-Results'!$A$9:$A$35,'Inputs-Results'!$O$9:$O$35)</f>
        <v>#N/A</v>
      </c>
      <c r="H45" s="2" t="e">
        <f>IF(K45&gt;I45,_xlfn.XLOOKUP(A45,'Inputs-Results'!$A$9:$A$35,'Inputs-Results'!$Y$9:$Y$35),_xlfn.XLOOKUP(A45,'Inputs-Results'!$A$9:$A$35,'Inputs-Results'!$W$9:$W$35)+ABS((_xlfn.XLOOKUP(A45,'Inputs-Results'!$A$9:$A$35,'Inputs-Results'!$Y$9:$Y$35)-_xlfn.XLOOKUP(A45,'Inputs-Results'!$A$9:$A$35,'Inputs-Results'!$W$9:$W$35))*(I45-G45)/(_xlfn.XLOOKUP(A45,'Inputs-Results'!$A$9:$A$35,'Inputs-Results'!$Z$9:$Z$35)-_xlfn.XLOOKUP(A45,'Inputs-Results'!$A$9:$A$35,'Inputs-Results'!$X$9:$X$35))))</f>
        <v>#N/A</v>
      </c>
      <c r="I45" s="2" t="e">
        <f>IF(K45&gt;_xlfn.XLOOKUP(A45,'Inputs-Results'!$A$9:$A$35,'Inputs-Results'!$Z$9:$Z$35),_xlfn.XLOOKUP(A45,'Inputs-Results'!$A$9:$A$35,'Inputs-Results'!$Z$9:$Z$35),K45)</f>
        <v>#N/A</v>
      </c>
      <c r="J45" s="41" t="e">
        <f>IF(K45&gt;I45,H45+ABS(_xlfn.XLOOKUP(A45,'Inputs-Results'!$A$9:$A$35,'Inputs-Results'!$AA$9:$AA$35)-_xlfn.XLOOKUP(A45,'Inputs-Results'!$A$9:$A$35,'Inputs-Results'!$Y$9:$Y$35))*(K45-I45)/(ABS(_xlfn.XLOOKUP(A45,'Inputs-Results'!$A$9:$A$35,'Inputs-Results'!$AB$9:$AB$35)-_xlfn.XLOOKUP(A45,'Inputs-Results'!$A$9:$A$35,'Inputs-Results'!$Z$9:$Z$35))),H45)</f>
        <v>#N/A</v>
      </c>
      <c r="K45" s="41" t="e">
        <f t="shared" si="3"/>
        <v>#N/A</v>
      </c>
      <c r="L45" s="41" t="e">
        <f t="shared" si="4"/>
        <v>#N/A</v>
      </c>
      <c r="M45" s="41" t="e">
        <f t="shared" si="5"/>
        <v>#N/A</v>
      </c>
      <c r="N45" s="41" t="e">
        <f t="shared" si="6"/>
        <v>#N/A</v>
      </c>
      <c r="O45" s="41" t="e">
        <f t="shared" si="7"/>
        <v>#N/A</v>
      </c>
      <c r="P45" s="41" t="e">
        <f t="shared" si="17"/>
        <v>#N/A</v>
      </c>
      <c r="Q45" s="41" t="e">
        <f t="shared" si="8"/>
        <v>#N/A</v>
      </c>
      <c r="R45" s="41" t="e">
        <f t="shared" si="9"/>
        <v>#N/A</v>
      </c>
      <c r="S45" s="41" t="e">
        <f t="shared" si="18"/>
        <v>#N/A</v>
      </c>
      <c r="T45" s="41" t="e">
        <f>IF(P45&gt;0,1.486*L45*(L45/P45)^(2/3)/_xlfn.XLOOKUP($A45,'Inputs-Results'!$A$9:$A$35,'Inputs-Results'!$AC$9:$AC$35),0)</f>
        <v>#N/A</v>
      </c>
      <c r="U45" s="41" t="e">
        <f>IF(Q45&gt;0,1.486*M45*(M45/Q45)^(2/3)/_xlfn.XLOOKUP($A45,'Inputs-Results'!$A$9:$A$35,'Inputs-Results'!$AC$9:$AC$35),0)+T45</f>
        <v>#N/A</v>
      </c>
      <c r="V45" s="41" t="e">
        <f>IF(R45&gt;0,1.486*N45*(N45/R45)^(2/3)/_xlfn.XLOOKUP($A45,'Inputs-Results'!$A$9:$A$35,'Inputs-Results'!$AC$9:$AC$35),0)+U45</f>
        <v>#N/A</v>
      </c>
      <c r="W45" s="41" t="e">
        <f>IF(S45&gt;0,1.486*O45*(O45/S45)^(2/3)/_xlfn.XLOOKUP($A45,'Inputs-Results'!$A$9:$A$35,'Inputs-Results'!$AC$9:$AC$35),0)+V45</f>
        <v>#N/A</v>
      </c>
      <c r="X45" s="41" t="e">
        <f>_xlfn.XLOOKUP(A45,'Inputs-Results'!$A$9:$A$35,'Inputs-Results'!$AE$9:$AE$35)</f>
        <v>#N/A</v>
      </c>
      <c r="Y45" s="41" t="e">
        <f>IF(_xlfn.XLOOKUP(A45,'Inputs-Results'!$A$9:$A$35,'Inputs-Results'!$N$9:$N$35)="",IF(X45="left",D45,IF(X45="right",H45,IF(X45="center (Berm)",F45,""))),'Inputs-Results'!N20)</f>
        <v>#N/A</v>
      </c>
      <c r="Z45" s="41" t="e">
        <f>IF(_xlfn.XLOOKUP(A45,'Inputs-Results'!A20:A46,'Inputs-Results'!B20:B46)="P-12",COS(ATAN(1/_xlfn.XLOOKUP(A45,'Inputs-Results'!$A$9:$A$35,'Inputs-Results'!$C$9:$C$35)))*'Standard Data'!$D$12,IF(_xlfn.XLOOKUP(A45,'Inputs-Results'!$A$9:$A$35,'Inputs-Results'!$B$9:$B$35)="N-12",COS(ATAN(1/_xlfn.XLOOKUP(A45,'Inputs-Results'!$A$9:$A$35,'Inputs-Results'!$C$9:$C$35)))*'Standard Data'!$D$13))</f>
        <v>#N/A</v>
      </c>
      <c r="AA45" s="41" t="e">
        <f t="shared" si="10"/>
        <v>#N/A</v>
      </c>
      <c r="AB45" s="41">
        <v>0</v>
      </c>
      <c r="AC45" s="41" t="e">
        <f t="shared" si="11"/>
        <v>#N/A</v>
      </c>
      <c r="AD45" s="41" t="e">
        <f t="shared" si="12"/>
        <v>#N/A</v>
      </c>
      <c r="AE45" s="41" t="e">
        <f t="shared" si="19"/>
        <v>#N/A</v>
      </c>
      <c r="AF45" s="41" t="e">
        <f t="shared" si="13"/>
        <v>#N/A</v>
      </c>
      <c r="AG45" s="41" t="e">
        <f t="shared" si="14"/>
        <v>#N/A</v>
      </c>
      <c r="AH45" s="41" t="e">
        <f t="shared" si="15"/>
        <v>#N/A</v>
      </c>
      <c r="AI45" s="19" t="e">
        <f>AF45/$AE45*_xlfn.XLOOKUP(A45,'Inputs-Results'!$A$9:$A$35,'Inputs-Results'!$M$9:$M$35)</f>
        <v>#N/A</v>
      </c>
      <c r="AJ45" s="19" t="e">
        <f>AG45/$AE45*_xlfn.XLOOKUP(A45,'Inputs-Results'!$A$9:$A$35,'Inputs-Results'!$M$9:$M$35)</f>
        <v>#N/A</v>
      </c>
      <c r="AK45" s="19" t="e">
        <f>AH45/$AE45*_xlfn.XLOOKUP(A45,'Inputs-Results'!$A$9:$A$35,'Inputs-Results'!$M$9:$M$35)</f>
        <v>#N/A</v>
      </c>
      <c r="AL45" s="18" t="e">
        <f>1/(1+0.15*_xlfn.XLOOKUP(A45,$A$3:$A$29,$C$3:$C$29)^1.8/(1/IF(AND(X45="left",AA45&lt;D45),ABS((_xlfn.XLOOKUP(A45,'Inputs-Results'!$A$9:$A$35,'Inputs-Results'!$U$9:$U$35)-_xlfn.XLOOKUP(A45,'Inputs-Results'!$A$9:$A$35,'Inputs-Results'!$S$9:$S$35))/(_xlfn.XLOOKUP(A45,'Inputs-Results'!$A$9:$A$35,'Inputs-Results'!$T$9:$T$35)-_xlfn.XLOOKUP(A45,'Inputs-Results'!$A$9:$A$35,'Inputs-Results'!$V$9:$V$35))),IF(AND(X45="left",AA45&lt;=F45,AA45&gt;D45),ABS((_xlfn.XLOOKUP(A45,'Inputs-Results'!$A$9:$A$35,'Inputs-Results'!$W$9:$W$35)-_xlfn.XLOOKUP(A45,'Inputs-Results'!$A$9:$A$35,'Inputs-Results'!$U$9:$U$35))/(_xlfn.XLOOKUP(A45,'Inputs-Results'!$A$9:$A$35,'Inputs-Results'!$V$9:$V$35)-_xlfn.XLOOKUP(A45,'Inputs-Results'!$A$9:$A$35,'Inputs-Results'!$X$9:$X$35))),IF(AND(X45="right",Y45&gt;H45),ABS((_xlfn.XLOOKUP(A45,'Inputs-Results'!$A$9:$A$35,'Inputs-Results'!$AA$9:$AA$35)-_xlfn.XLOOKUP(A45,'Inputs-Results'!$A$9:$A$35,'Inputs-Results'!$Y$9:$Y$35))/(_xlfn.XLOOKUP(A45,'Inputs-Results'!$A$9:$A$35,'Inputs-Results'!$AB$9:$AB$35)-_xlfn.XLOOKUP(A45,'Inputs-Results'!$A$9:$A$35,'Inputs-Results'!$Z$9:$Z$35))),IF(AND(X45="right",Y45&lt;=H45,Y45&gt;=F45),(_xlfn.XLOOKUP(A45,'Inputs-Results'!$A$9:$A$35,'Inputs-Results'!$Y$9:$Y$35)-_xlfn.XLOOKUP(A45,'Inputs-Results'!$A$9:$A$35,'Inputs-Results'!$W$9:$W$35))/(_xlfn.XLOOKUP(A45,'Inputs-Results'!$A$9:$A$35,'Inputs-Results'!$Z$9:$Z$35)-_xlfn.XLOOKUP(A45,'Inputs-Results'!$A$9:$A$35,'Inputs-Results'!$X$9:$X$35)))))))/'Standard Data'!$C$12^2.3)</f>
        <v>#N/A</v>
      </c>
      <c r="AM45" s="18" t="e">
        <f>MIN(1-0.09*(_xlfn.XLOOKUP(A45,$A$3:$A$29,$C$3:$C$29)-'Standard Data'!$G$12),1)</f>
        <v>#N/A</v>
      </c>
      <c r="AN45" s="18" t="e">
        <f>1/(1+0.15*_xlfn.XLOOKUP(A45,$A$3:$A$29,$C$3:$C$29)^1.8/(1/IF(AND(X45="left",AA45&lt;D45),ABS((_xlfn.XLOOKUP(A45,'Inputs-Results'!$A$9:$A$35,'Inputs-Results'!$U$9:$U$35)-_xlfn.XLOOKUP(A45,'Inputs-Results'!$A$9:$A$35,'Inputs-Results'!$S$9:$S$35))/(_xlfn.XLOOKUP(A45,'Inputs-Results'!$A$9:$A$35,'Inputs-Results'!$T$9:$T$35)-_xlfn.XLOOKUP(A45,'Inputs-Results'!$A$9:$A$35,'Inputs-Results'!$V$9:$V$35))),IF(AND(X45="left",AA45&lt;=F45,AA45&gt;D45),ABS((_xlfn.XLOOKUP(A45,'Inputs-Results'!$A$9:$A$35,'Inputs-Results'!$W$9:$W$35)-_xlfn.XLOOKUP(A45,'Inputs-Results'!$A$9:$A$35,'Inputs-Results'!$U$9:$U$35))/(_xlfn.XLOOKUP(A45,'Inputs-Results'!$A$9:$A$35,'Inputs-Results'!$V$9:$V$35)-_xlfn.XLOOKUP(A45,'Inputs-Results'!$A$9:$A$35,'Inputs-Results'!$X$9:$X$35))),IF(AND(X45="right",Y45&gt;H45),ABS((_xlfn.XLOOKUP(A45,'Inputs-Results'!$A$9:$A$35,'Inputs-Results'!$AA$9:$AA$35)-_xlfn.XLOOKUP(A45,'Inputs-Results'!$A$9:$A$35,'Inputs-Results'!$Y$9:$Y$35))/(_xlfn.XLOOKUP(A45,'Inputs-Results'!$A$9:$A$35,'Inputs-Results'!$AB$9:$AB$35)-_xlfn.XLOOKUP(A45,'Inputs-Results'!$A$9:$A$35,'Inputs-Results'!$Z$9:$Z$35))),IF(AND(X45="right",Y45&lt;=H45,Y45&gt;=F45),(_xlfn.XLOOKUP(A45,'Inputs-Results'!$A$9:$A$35,'Inputs-Results'!$Y$9:$Y$35)-_xlfn.XLOOKUP(A45,'Inputs-Results'!$A$9:$A$35,'Inputs-Results'!$W$9:$W$35))/(_xlfn.XLOOKUP(A45,'Inputs-Results'!$A$9:$A$35,'Inputs-Results'!$Z$9:$Z$35)-_xlfn.XLOOKUP(A45,'Inputs-Results'!$A$9:$A$35,'Inputs-Results'!$X$9:$X$35)))))))/'Standard Data'!$C$12^2.3)</f>
        <v>#N/A</v>
      </c>
      <c r="AO45" s="19" t="e">
        <f t="shared" si="20"/>
        <v>#N/A</v>
      </c>
      <c r="AP45" s="19" t="e">
        <f t="shared" si="21"/>
        <v>#N/A</v>
      </c>
      <c r="AQ45" s="2" t="str">
        <f t="shared" si="16"/>
        <v/>
      </c>
    </row>
    <row r="46" spans="1:43" x14ac:dyDescent="0.25">
      <c r="A46" s="2">
        <f>'Inputs-Results'!A21</f>
        <v>0</v>
      </c>
      <c r="B46" s="2" t="e">
        <f>IF(C46&gt;E46,D46-ABS(_xlfn.XLOOKUP(A46,'Inputs-Results'!$A$9:$A$35,'Inputs-Results'!$S$9:$S$35)-_xlfn.XLOOKUP(A46,'Inputs-Results'!$A$9:$A$35,'Inputs-Results'!$U$9:$U$35))*(C46-E46)/(ABS(_xlfn.XLOOKUP(A46,'Inputs-Results'!$A$9:$A$35,'Inputs-Results'!$T$9:$T$35)-_xlfn.XLOOKUP(A46,'Inputs-Results'!$A$9:$A$35,'Inputs-Results'!$V$9:$V$35))),D46)</f>
        <v>#N/A</v>
      </c>
      <c r="C46" s="2" t="e">
        <f>IFERROR(G46+_xlfn.XLOOKUP(A46,'Ditch Calculations'!$A$34:$A$114,'Ditch Calculations'!$C$34:$C$114),_xlfn.XLOOKUP(A46,'Inputs-Results'!$A$9:$A$35,'Inputs-Results'!$T$9:$T$35))</f>
        <v>#N/A</v>
      </c>
      <c r="D46" s="2" t="e">
        <f>IF(C46&gt;E46,_xlfn.XLOOKUP(A46,'Inputs-Results'!$A$9:$A$35,'Inputs-Results'!$U$9:$U$35),_xlfn.XLOOKUP(A46,'Inputs-Results'!$A$9:$A$35,'Inputs-Results'!$W$9:$W$35)-ABS((_xlfn.XLOOKUP(A46,'Inputs-Results'!$A$9:$A$35,'Inputs-Results'!$W$9:$W$35)-_xlfn.XLOOKUP(A46,'Inputs-Results'!$A$9:$A$35,'Inputs-Results'!$U$9:$U$35))*(E46-G46))/((_xlfn.XLOOKUP(A46,'Inputs-Results'!$A$9:$A$35,'Inputs-Results'!$V$9:$V$35)-_xlfn.XLOOKUP(A46,'Inputs-Results'!$A$9:$A$35,'Inputs-Results'!$X$9:$X$35))))</f>
        <v>#N/A</v>
      </c>
      <c r="E46" s="2" t="e">
        <f>IF(C46&gt;_xlfn.XLOOKUP(A46,'Inputs-Results'!$A$9:$A$35,'Inputs-Results'!$V$9:$V$35),_xlfn.XLOOKUP(A46,'Inputs-Results'!$A$9:$A$35,'Inputs-Results'!$V$9:$V$35),C46)</f>
        <v>#N/A</v>
      </c>
      <c r="F46" s="2" t="e">
        <f>_xlfn.XLOOKUP(A46,'Inputs-Results'!$A$9:$A$35,'Inputs-Results'!$W$9:$W$35)</f>
        <v>#N/A</v>
      </c>
      <c r="G46" s="2" t="e">
        <f>_xlfn.XLOOKUP(A46,'Inputs-Results'!$A$9:$A$35,'Inputs-Results'!$O$9:$O$35)</f>
        <v>#N/A</v>
      </c>
      <c r="H46" s="2" t="e">
        <f>IF(K46&gt;I46,_xlfn.XLOOKUP(A46,'Inputs-Results'!$A$9:$A$35,'Inputs-Results'!$Y$9:$Y$35),_xlfn.XLOOKUP(A46,'Inputs-Results'!$A$9:$A$35,'Inputs-Results'!$W$9:$W$35)+ABS((_xlfn.XLOOKUP(A46,'Inputs-Results'!$A$9:$A$35,'Inputs-Results'!$Y$9:$Y$35)-_xlfn.XLOOKUP(A46,'Inputs-Results'!$A$9:$A$35,'Inputs-Results'!$W$9:$W$35))*(I46-G46)/(_xlfn.XLOOKUP(A46,'Inputs-Results'!$A$9:$A$35,'Inputs-Results'!$Z$9:$Z$35)-_xlfn.XLOOKUP(A46,'Inputs-Results'!$A$9:$A$35,'Inputs-Results'!$X$9:$X$35))))</f>
        <v>#N/A</v>
      </c>
      <c r="I46" s="2" t="e">
        <f>IF(K46&gt;_xlfn.XLOOKUP(A46,'Inputs-Results'!$A$9:$A$35,'Inputs-Results'!$Z$9:$Z$35),_xlfn.XLOOKUP(A46,'Inputs-Results'!$A$9:$A$35,'Inputs-Results'!$Z$9:$Z$35),K46)</f>
        <v>#N/A</v>
      </c>
      <c r="J46" s="41" t="e">
        <f>IF(K46&gt;I46,H46+ABS(_xlfn.XLOOKUP(A46,'Inputs-Results'!$A$9:$A$35,'Inputs-Results'!$AA$9:$AA$35)-_xlfn.XLOOKUP(A46,'Inputs-Results'!$A$9:$A$35,'Inputs-Results'!$Y$9:$Y$35))*(K46-I46)/(ABS(_xlfn.XLOOKUP(A46,'Inputs-Results'!$A$9:$A$35,'Inputs-Results'!$AB$9:$AB$35)-_xlfn.XLOOKUP(A46,'Inputs-Results'!$A$9:$A$35,'Inputs-Results'!$Z$9:$Z$35))),H46)</f>
        <v>#N/A</v>
      </c>
      <c r="K46" s="41" t="e">
        <f t="shared" si="3"/>
        <v>#N/A</v>
      </c>
      <c r="L46" s="41" t="e">
        <f t="shared" si="4"/>
        <v>#N/A</v>
      </c>
      <c r="M46" s="41" t="e">
        <f t="shared" si="5"/>
        <v>#N/A</v>
      </c>
      <c r="N46" s="41" t="e">
        <f t="shared" si="6"/>
        <v>#N/A</v>
      </c>
      <c r="O46" s="41" t="e">
        <f t="shared" si="7"/>
        <v>#N/A</v>
      </c>
      <c r="P46" s="41" t="e">
        <f t="shared" si="17"/>
        <v>#N/A</v>
      </c>
      <c r="Q46" s="41" t="e">
        <f t="shared" si="8"/>
        <v>#N/A</v>
      </c>
      <c r="R46" s="41" t="e">
        <f t="shared" si="9"/>
        <v>#N/A</v>
      </c>
      <c r="S46" s="41" t="e">
        <f t="shared" si="18"/>
        <v>#N/A</v>
      </c>
      <c r="T46" s="41" t="e">
        <f>IF(P46&gt;0,1.486*L46*(L46/P46)^(2/3)/_xlfn.XLOOKUP($A46,'Inputs-Results'!$A$9:$A$35,'Inputs-Results'!$AC$9:$AC$35),0)</f>
        <v>#N/A</v>
      </c>
      <c r="U46" s="41" t="e">
        <f>IF(Q46&gt;0,1.486*M46*(M46/Q46)^(2/3)/_xlfn.XLOOKUP($A46,'Inputs-Results'!$A$9:$A$35,'Inputs-Results'!$AC$9:$AC$35),0)+T46</f>
        <v>#N/A</v>
      </c>
      <c r="V46" s="41" t="e">
        <f>IF(R46&gt;0,1.486*N46*(N46/R46)^(2/3)/_xlfn.XLOOKUP($A46,'Inputs-Results'!$A$9:$A$35,'Inputs-Results'!$AC$9:$AC$35),0)+U46</f>
        <v>#N/A</v>
      </c>
      <c r="W46" s="41" t="e">
        <f>IF(S46&gt;0,1.486*O46*(O46/S46)^(2/3)/_xlfn.XLOOKUP($A46,'Inputs-Results'!$A$9:$A$35,'Inputs-Results'!$AC$9:$AC$35),0)+V46</f>
        <v>#N/A</v>
      </c>
      <c r="X46" s="41" t="e">
        <f>_xlfn.XLOOKUP(A46,'Inputs-Results'!$A$9:$A$35,'Inputs-Results'!$AE$9:$AE$35)</f>
        <v>#N/A</v>
      </c>
      <c r="Y46" s="41" t="e">
        <f>IF(_xlfn.XLOOKUP(A46,'Inputs-Results'!$A$9:$A$35,'Inputs-Results'!$N$9:$N$35)="",IF(X46="left",D46,IF(X46="right",H46,IF(X46="center (Berm)",F46,""))),'Inputs-Results'!N21)</f>
        <v>#N/A</v>
      </c>
      <c r="Z46" s="41" t="e">
        <f>IF(_xlfn.XLOOKUP(A46,'Inputs-Results'!A21:A47,'Inputs-Results'!B21:B47)="P-12",COS(ATAN(1/_xlfn.XLOOKUP(A46,'Inputs-Results'!$A$9:$A$35,'Inputs-Results'!$C$9:$C$35)))*'Standard Data'!$D$12,IF(_xlfn.XLOOKUP(A46,'Inputs-Results'!$A$9:$A$35,'Inputs-Results'!$B$9:$B$35)="N-12",COS(ATAN(1/_xlfn.XLOOKUP(A46,'Inputs-Results'!$A$9:$A$35,'Inputs-Results'!$C$9:$C$35)))*'Standard Data'!$D$13))</f>
        <v>#N/A</v>
      </c>
      <c r="AA46" s="41" t="e">
        <f t="shared" si="10"/>
        <v>#N/A</v>
      </c>
      <c r="AB46" s="41">
        <v>0</v>
      </c>
      <c r="AC46" s="41" t="e">
        <f t="shared" si="11"/>
        <v>#N/A</v>
      </c>
      <c r="AD46" s="41" t="e">
        <f t="shared" si="12"/>
        <v>#N/A</v>
      </c>
      <c r="AE46" s="41" t="e">
        <f t="shared" si="19"/>
        <v>#N/A</v>
      </c>
      <c r="AF46" s="41" t="e">
        <f t="shared" si="13"/>
        <v>#N/A</v>
      </c>
      <c r="AG46" s="41" t="e">
        <f t="shared" si="14"/>
        <v>#N/A</v>
      </c>
      <c r="AH46" s="41" t="e">
        <f t="shared" si="15"/>
        <v>#N/A</v>
      </c>
      <c r="AI46" s="19" t="e">
        <f>AF46/$AE46*_xlfn.XLOOKUP(A46,'Inputs-Results'!$A$9:$A$35,'Inputs-Results'!$M$9:$M$35)</f>
        <v>#N/A</v>
      </c>
      <c r="AJ46" s="19" t="e">
        <f>AG46/$AE46*_xlfn.XLOOKUP(A46,'Inputs-Results'!$A$9:$A$35,'Inputs-Results'!$M$9:$M$35)</f>
        <v>#N/A</v>
      </c>
      <c r="AK46" s="19" t="e">
        <f>AH46/$AE46*_xlfn.XLOOKUP(A46,'Inputs-Results'!$A$9:$A$35,'Inputs-Results'!$M$9:$M$35)</f>
        <v>#N/A</v>
      </c>
      <c r="AL46" s="18" t="e">
        <f>1/(1+0.15*_xlfn.XLOOKUP(A46,$A$3:$A$29,$C$3:$C$29)^1.8/(1/IF(AND(X46="left",AA46&lt;D46),ABS((_xlfn.XLOOKUP(A46,'Inputs-Results'!$A$9:$A$35,'Inputs-Results'!$U$9:$U$35)-_xlfn.XLOOKUP(A46,'Inputs-Results'!$A$9:$A$35,'Inputs-Results'!$S$9:$S$35))/(_xlfn.XLOOKUP(A46,'Inputs-Results'!$A$9:$A$35,'Inputs-Results'!$T$9:$T$35)-_xlfn.XLOOKUP(A46,'Inputs-Results'!$A$9:$A$35,'Inputs-Results'!$V$9:$V$35))),IF(AND(X46="left",AA46&lt;=F46,AA46&gt;D46),ABS((_xlfn.XLOOKUP(A46,'Inputs-Results'!$A$9:$A$35,'Inputs-Results'!$W$9:$W$35)-_xlfn.XLOOKUP(A46,'Inputs-Results'!$A$9:$A$35,'Inputs-Results'!$U$9:$U$35))/(_xlfn.XLOOKUP(A46,'Inputs-Results'!$A$9:$A$35,'Inputs-Results'!$V$9:$V$35)-_xlfn.XLOOKUP(A46,'Inputs-Results'!$A$9:$A$35,'Inputs-Results'!$X$9:$X$35))),IF(AND(X46="right",Y46&gt;H46),ABS((_xlfn.XLOOKUP(A46,'Inputs-Results'!$A$9:$A$35,'Inputs-Results'!$AA$9:$AA$35)-_xlfn.XLOOKUP(A46,'Inputs-Results'!$A$9:$A$35,'Inputs-Results'!$Y$9:$Y$35))/(_xlfn.XLOOKUP(A46,'Inputs-Results'!$A$9:$A$35,'Inputs-Results'!$AB$9:$AB$35)-_xlfn.XLOOKUP(A46,'Inputs-Results'!$A$9:$A$35,'Inputs-Results'!$Z$9:$Z$35))),IF(AND(X46="right",Y46&lt;=H46,Y46&gt;=F46),(_xlfn.XLOOKUP(A46,'Inputs-Results'!$A$9:$A$35,'Inputs-Results'!$Y$9:$Y$35)-_xlfn.XLOOKUP(A46,'Inputs-Results'!$A$9:$A$35,'Inputs-Results'!$W$9:$W$35))/(_xlfn.XLOOKUP(A46,'Inputs-Results'!$A$9:$A$35,'Inputs-Results'!$Z$9:$Z$35)-_xlfn.XLOOKUP(A46,'Inputs-Results'!$A$9:$A$35,'Inputs-Results'!$X$9:$X$35)))))))/'Standard Data'!$C$12^2.3)</f>
        <v>#N/A</v>
      </c>
      <c r="AM46" s="18" t="e">
        <f>MIN(1-0.09*(_xlfn.XLOOKUP(A46,$A$3:$A$29,$C$3:$C$29)-'Standard Data'!$G$12),1)</f>
        <v>#N/A</v>
      </c>
      <c r="AN46" s="18" t="e">
        <f>1/(1+0.15*_xlfn.XLOOKUP(A46,$A$3:$A$29,$C$3:$C$29)^1.8/(1/IF(AND(X46="left",AA46&lt;D46),ABS((_xlfn.XLOOKUP(A46,'Inputs-Results'!$A$9:$A$35,'Inputs-Results'!$U$9:$U$35)-_xlfn.XLOOKUP(A46,'Inputs-Results'!$A$9:$A$35,'Inputs-Results'!$S$9:$S$35))/(_xlfn.XLOOKUP(A46,'Inputs-Results'!$A$9:$A$35,'Inputs-Results'!$T$9:$T$35)-_xlfn.XLOOKUP(A46,'Inputs-Results'!$A$9:$A$35,'Inputs-Results'!$V$9:$V$35))),IF(AND(X46="left",AA46&lt;=F46,AA46&gt;D46),ABS((_xlfn.XLOOKUP(A46,'Inputs-Results'!$A$9:$A$35,'Inputs-Results'!$W$9:$W$35)-_xlfn.XLOOKUP(A46,'Inputs-Results'!$A$9:$A$35,'Inputs-Results'!$U$9:$U$35))/(_xlfn.XLOOKUP(A46,'Inputs-Results'!$A$9:$A$35,'Inputs-Results'!$V$9:$V$35)-_xlfn.XLOOKUP(A46,'Inputs-Results'!$A$9:$A$35,'Inputs-Results'!$X$9:$X$35))),IF(AND(X46="right",Y46&gt;H46),ABS((_xlfn.XLOOKUP(A46,'Inputs-Results'!$A$9:$A$35,'Inputs-Results'!$AA$9:$AA$35)-_xlfn.XLOOKUP(A46,'Inputs-Results'!$A$9:$A$35,'Inputs-Results'!$Y$9:$Y$35))/(_xlfn.XLOOKUP(A46,'Inputs-Results'!$A$9:$A$35,'Inputs-Results'!$AB$9:$AB$35)-_xlfn.XLOOKUP(A46,'Inputs-Results'!$A$9:$A$35,'Inputs-Results'!$Z$9:$Z$35))),IF(AND(X46="right",Y46&lt;=H46,Y46&gt;=F46),(_xlfn.XLOOKUP(A46,'Inputs-Results'!$A$9:$A$35,'Inputs-Results'!$Y$9:$Y$35)-_xlfn.XLOOKUP(A46,'Inputs-Results'!$A$9:$A$35,'Inputs-Results'!$W$9:$W$35))/(_xlfn.XLOOKUP(A46,'Inputs-Results'!$A$9:$A$35,'Inputs-Results'!$Z$9:$Z$35)-_xlfn.XLOOKUP(A46,'Inputs-Results'!$A$9:$A$35,'Inputs-Results'!$X$9:$X$35)))))))/'Standard Data'!$C$12^2.3)</f>
        <v>#N/A</v>
      </c>
      <c r="AO46" s="19" t="e">
        <f t="shared" si="20"/>
        <v>#N/A</v>
      </c>
      <c r="AP46" s="19" t="e">
        <f t="shared" si="21"/>
        <v>#N/A</v>
      </c>
      <c r="AQ46" s="2" t="str">
        <f t="shared" si="16"/>
        <v/>
      </c>
    </row>
    <row r="47" spans="1:43" x14ac:dyDescent="0.25">
      <c r="A47" s="2">
        <f>'Inputs-Results'!A22</f>
        <v>0</v>
      </c>
      <c r="B47" s="2" t="e">
        <f>IF(C47&gt;E47,D47-ABS(_xlfn.XLOOKUP(A47,'Inputs-Results'!$A$9:$A$35,'Inputs-Results'!$S$9:$S$35)-_xlfn.XLOOKUP(A47,'Inputs-Results'!$A$9:$A$35,'Inputs-Results'!$U$9:$U$35))*(C47-E47)/(ABS(_xlfn.XLOOKUP(A47,'Inputs-Results'!$A$9:$A$35,'Inputs-Results'!$T$9:$T$35)-_xlfn.XLOOKUP(A47,'Inputs-Results'!$A$9:$A$35,'Inputs-Results'!$V$9:$V$35))),D47)</f>
        <v>#N/A</v>
      </c>
      <c r="C47" s="2" t="e">
        <f>IFERROR(G47+_xlfn.XLOOKUP(A47,'Ditch Calculations'!$A$34:$A$114,'Ditch Calculations'!$C$34:$C$114),_xlfn.XLOOKUP(A47,'Inputs-Results'!$A$9:$A$35,'Inputs-Results'!$T$9:$T$35))</f>
        <v>#N/A</v>
      </c>
      <c r="D47" s="2" t="e">
        <f>IF(C47&gt;E47,_xlfn.XLOOKUP(A47,'Inputs-Results'!$A$9:$A$35,'Inputs-Results'!$U$9:$U$35),_xlfn.XLOOKUP(A47,'Inputs-Results'!$A$9:$A$35,'Inputs-Results'!$W$9:$W$35)-ABS((_xlfn.XLOOKUP(A47,'Inputs-Results'!$A$9:$A$35,'Inputs-Results'!$W$9:$W$35)-_xlfn.XLOOKUP(A47,'Inputs-Results'!$A$9:$A$35,'Inputs-Results'!$U$9:$U$35))*(E47-G47))/((_xlfn.XLOOKUP(A47,'Inputs-Results'!$A$9:$A$35,'Inputs-Results'!$V$9:$V$35)-_xlfn.XLOOKUP(A47,'Inputs-Results'!$A$9:$A$35,'Inputs-Results'!$X$9:$X$35))))</f>
        <v>#N/A</v>
      </c>
      <c r="E47" s="2" t="e">
        <f>IF(C47&gt;_xlfn.XLOOKUP(A47,'Inputs-Results'!$A$9:$A$35,'Inputs-Results'!$V$9:$V$35),_xlfn.XLOOKUP(A47,'Inputs-Results'!$A$9:$A$35,'Inputs-Results'!$V$9:$V$35),C47)</f>
        <v>#N/A</v>
      </c>
      <c r="F47" s="2" t="e">
        <f>_xlfn.XLOOKUP(A47,'Inputs-Results'!$A$9:$A$35,'Inputs-Results'!$W$9:$W$35)</f>
        <v>#N/A</v>
      </c>
      <c r="G47" s="2" t="e">
        <f>_xlfn.XLOOKUP(A47,'Inputs-Results'!$A$9:$A$35,'Inputs-Results'!$O$9:$O$35)</f>
        <v>#N/A</v>
      </c>
      <c r="H47" s="2" t="e">
        <f>IF(K47&gt;I47,_xlfn.XLOOKUP(A47,'Inputs-Results'!$A$9:$A$35,'Inputs-Results'!$Y$9:$Y$35),_xlfn.XLOOKUP(A47,'Inputs-Results'!$A$9:$A$35,'Inputs-Results'!$W$9:$W$35)+ABS((_xlfn.XLOOKUP(A47,'Inputs-Results'!$A$9:$A$35,'Inputs-Results'!$Y$9:$Y$35)-_xlfn.XLOOKUP(A47,'Inputs-Results'!$A$9:$A$35,'Inputs-Results'!$W$9:$W$35))*(I47-G47)/(_xlfn.XLOOKUP(A47,'Inputs-Results'!$A$9:$A$35,'Inputs-Results'!$Z$9:$Z$35)-_xlfn.XLOOKUP(A47,'Inputs-Results'!$A$9:$A$35,'Inputs-Results'!$X$9:$X$35))))</f>
        <v>#N/A</v>
      </c>
      <c r="I47" s="2" t="e">
        <f>IF(K47&gt;_xlfn.XLOOKUP(A47,'Inputs-Results'!$A$9:$A$35,'Inputs-Results'!$Z$9:$Z$35),_xlfn.XLOOKUP(A47,'Inputs-Results'!$A$9:$A$35,'Inputs-Results'!$Z$9:$Z$35),K47)</f>
        <v>#N/A</v>
      </c>
      <c r="J47" s="41" t="e">
        <f>IF(K47&gt;I47,H47+ABS(_xlfn.XLOOKUP(A47,'Inputs-Results'!$A$9:$A$35,'Inputs-Results'!$AA$9:$AA$35)-_xlfn.XLOOKUP(A47,'Inputs-Results'!$A$9:$A$35,'Inputs-Results'!$Y$9:$Y$35))*(K47-I47)/(ABS(_xlfn.XLOOKUP(A47,'Inputs-Results'!$A$9:$A$35,'Inputs-Results'!$AB$9:$AB$35)-_xlfn.XLOOKUP(A47,'Inputs-Results'!$A$9:$A$35,'Inputs-Results'!$Z$9:$Z$35))),H47)</f>
        <v>#N/A</v>
      </c>
      <c r="K47" s="41" t="e">
        <f t="shared" si="3"/>
        <v>#N/A</v>
      </c>
      <c r="L47" s="41" t="e">
        <f t="shared" si="4"/>
        <v>#N/A</v>
      </c>
      <c r="M47" s="41" t="e">
        <f t="shared" si="5"/>
        <v>#N/A</v>
      </c>
      <c r="N47" s="41" t="e">
        <f t="shared" si="6"/>
        <v>#N/A</v>
      </c>
      <c r="O47" s="41" t="e">
        <f t="shared" si="7"/>
        <v>#N/A</v>
      </c>
      <c r="P47" s="41" t="e">
        <f t="shared" si="17"/>
        <v>#N/A</v>
      </c>
      <c r="Q47" s="41" t="e">
        <f t="shared" si="8"/>
        <v>#N/A</v>
      </c>
      <c r="R47" s="41" t="e">
        <f t="shared" si="9"/>
        <v>#N/A</v>
      </c>
      <c r="S47" s="41" t="e">
        <f t="shared" si="18"/>
        <v>#N/A</v>
      </c>
      <c r="T47" s="41" t="e">
        <f>IF(P47&gt;0,1.486*L47*(L47/P47)^(2/3)/_xlfn.XLOOKUP($A47,'Inputs-Results'!$A$9:$A$35,'Inputs-Results'!$AC$9:$AC$35),0)</f>
        <v>#N/A</v>
      </c>
      <c r="U47" s="41" t="e">
        <f>IF(Q47&gt;0,1.486*M47*(M47/Q47)^(2/3)/_xlfn.XLOOKUP($A47,'Inputs-Results'!$A$9:$A$35,'Inputs-Results'!$AC$9:$AC$35),0)+T47</f>
        <v>#N/A</v>
      </c>
      <c r="V47" s="41" t="e">
        <f>IF(R47&gt;0,1.486*N47*(N47/R47)^(2/3)/_xlfn.XLOOKUP($A47,'Inputs-Results'!$A$9:$A$35,'Inputs-Results'!$AC$9:$AC$35),0)+U47</f>
        <v>#N/A</v>
      </c>
      <c r="W47" s="41" t="e">
        <f>IF(S47&gt;0,1.486*O47*(O47/S47)^(2/3)/_xlfn.XLOOKUP($A47,'Inputs-Results'!$A$9:$A$35,'Inputs-Results'!$AC$9:$AC$35),0)+V47</f>
        <v>#N/A</v>
      </c>
      <c r="X47" s="41" t="e">
        <f>_xlfn.XLOOKUP(A47,'Inputs-Results'!$A$9:$A$35,'Inputs-Results'!$AE$9:$AE$35)</f>
        <v>#N/A</v>
      </c>
      <c r="Y47" s="41" t="e">
        <f>IF(_xlfn.XLOOKUP(A47,'Inputs-Results'!$A$9:$A$35,'Inputs-Results'!$N$9:$N$35)="",IF(X47="left",D47,IF(X47="right",H47,IF(X47="center (Berm)",F47,""))),'Inputs-Results'!N22)</f>
        <v>#N/A</v>
      </c>
      <c r="Z47" s="41" t="e">
        <f>IF(_xlfn.XLOOKUP(A47,'Inputs-Results'!A22:A48,'Inputs-Results'!B22:B48)="P-12",COS(ATAN(1/_xlfn.XLOOKUP(A47,'Inputs-Results'!$A$9:$A$35,'Inputs-Results'!$C$9:$C$35)))*'Standard Data'!$D$12,IF(_xlfn.XLOOKUP(A47,'Inputs-Results'!$A$9:$A$35,'Inputs-Results'!$B$9:$B$35)="N-12",COS(ATAN(1/_xlfn.XLOOKUP(A47,'Inputs-Results'!$A$9:$A$35,'Inputs-Results'!$C$9:$C$35)))*'Standard Data'!$D$13))</f>
        <v>#N/A</v>
      </c>
      <c r="AA47" s="41" t="e">
        <f t="shared" si="10"/>
        <v>#N/A</v>
      </c>
      <c r="AB47" s="41">
        <v>0</v>
      </c>
      <c r="AC47" s="41" t="e">
        <f t="shared" si="11"/>
        <v>#N/A</v>
      </c>
      <c r="AD47" s="41" t="e">
        <f t="shared" si="12"/>
        <v>#N/A</v>
      </c>
      <c r="AE47" s="41" t="e">
        <f t="shared" si="19"/>
        <v>#N/A</v>
      </c>
      <c r="AF47" s="41" t="e">
        <f t="shared" si="13"/>
        <v>#N/A</v>
      </c>
      <c r="AG47" s="41" t="e">
        <f t="shared" si="14"/>
        <v>#N/A</v>
      </c>
      <c r="AH47" s="41" t="e">
        <f t="shared" si="15"/>
        <v>#N/A</v>
      </c>
      <c r="AI47" s="19" t="e">
        <f>AF47/$AE47*_xlfn.XLOOKUP(A47,'Inputs-Results'!$A$9:$A$35,'Inputs-Results'!$M$9:$M$35)</f>
        <v>#N/A</v>
      </c>
      <c r="AJ47" s="19" t="e">
        <f>AG47/$AE47*_xlfn.XLOOKUP(A47,'Inputs-Results'!$A$9:$A$35,'Inputs-Results'!$M$9:$M$35)</f>
        <v>#N/A</v>
      </c>
      <c r="AK47" s="19" t="e">
        <f>AH47/$AE47*_xlfn.XLOOKUP(A47,'Inputs-Results'!$A$9:$A$35,'Inputs-Results'!$M$9:$M$35)</f>
        <v>#N/A</v>
      </c>
      <c r="AL47" s="18" t="e">
        <f>1/(1+0.15*_xlfn.XLOOKUP(A47,$A$3:$A$29,$C$3:$C$29)^1.8/(1/IF(AND(X47="left",AA47&lt;D47),ABS((_xlfn.XLOOKUP(A47,'Inputs-Results'!$A$9:$A$35,'Inputs-Results'!$U$9:$U$35)-_xlfn.XLOOKUP(A47,'Inputs-Results'!$A$9:$A$35,'Inputs-Results'!$S$9:$S$35))/(_xlfn.XLOOKUP(A47,'Inputs-Results'!$A$9:$A$35,'Inputs-Results'!$T$9:$T$35)-_xlfn.XLOOKUP(A47,'Inputs-Results'!$A$9:$A$35,'Inputs-Results'!$V$9:$V$35))),IF(AND(X47="left",AA47&lt;=F47,AA47&gt;D47),ABS((_xlfn.XLOOKUP(A47,'Inputs-Results'!$A$9:$A$35,'Inputs-Results'!$W$9:$W$35)-_xlfn.XLOOKUP(A47,'Inputs-Results'!$A$9:$A$35,'Inputs-Results'!$U$9:$U$35))/(_xlfn.XLOOKUP(A47,'Inputs-Results'!$A$9:$A$35,'Inputs-Results'!$V$9:$V$35)-_xlfn.XLOOKUP(A47,'Inputs-Results'!$A$9:$A$35,'Inputs-Results'!$X$9:$X$35))),IF(AND(X47="right",Y47&gt;H47),ABS((_xlfn.XLOOKUP(A47,'Inputs-Results'!$A$9:$A$35,'Inputs-Results'!$AA$9:$AA$35)-_xlfn.XLOOKUP(A47,'Inputs-Results'!$A$9:$A$35,'Inputs-Results'!$Y$9:$Y$35))/(_xlfn.XLOOKUP(A47,'Inputs-Results'!$A$9:$A$35,'Inputs-Results'!$AB$9:$AB$35)-_xlfn.XLOOKUP(A47,'Inputs-Results'!$A$9:$A$35,'Inputs-Results'!$Z$9:$Z$35))),IF(AND(X47="right",Y47&lt;=H47,Y47&gt;=F47),(_xlfn.XLOOKUP(A47,'Inputs-Results'!$A$9:$A$35,'Inputs-Results'!$Y$9:$Y$35)-_xlfn.XLOOKUP(A47,'Inputs-Results'!$A$9:$A$35,'Inputs-Results'!$W$9:$W$35))/(_xlfn.XLOOKUP(A47,'Inputs-Results'!$A$9:$A$35,'Inputs-Results'!$Z$9:$Z$35)-_xlfn.XLOOKUP(A47,'Inputs-Results'!$A$9:$A$35,'Inputs-Results'!$X$9:$X$35)))))))/'Standard Data'!$C$12^2.3)</f>
        <v>#N/A</v>
      </c>
      <c r="AM47" s="18" t="e">
        <f>MIN(1-0.09*(_xlfn.XLOOKUP(A47,$A$3:$A$29,$C$3:$C$29)-'Standard Data'!$G$12),1)</f>
        <v>#N/A</v>
      </c>
      <c r="AN47" s="18" t="e">
        <f>1/(1+0.15*_xlfn.XLOOKUP(A47,$A$3:$A$29,$C$3:$C$29)^1.8/(1/IF(AND(X47="left",AA47&lt;D47),ABS((_xlfn.XLOOKUP(A47,'Inputs-Results'!$A$9:$A$35,'Inputs-Results'!$U$9:$U$35)-_xlfn.XLOOKUP(A47,'Inputs-Results'!$A$9:$A$35,'Inputs-Results'!$S$9:$S$35))/(_xlfn.XLOOKUP(A47,'Inputs-Results'!$A$9:$A$35,'Inputs-Results'!$T$9:$T$35)-_xlfn.XLOOKUP(A47,'Inputs-Results'!$A$9:$A$35,'Inputs-Results'!$V$9:$V$35))),IF(AND(X47="left",AA47&lt;=F47,AA47&gt;D47),ABS((_xlfn.XLOOKUP(A47,'Inputs-Results'!$A$9:$A$35,'Inputs-Results'!$W$9:$W$35)-_xlfn.XLOOKUP(A47,'Inputs-Results'!$A$9:$A$35,'Inputs-Results'!$U$9:$U$35))/(_xlfn.XLOOKUP(A47,'Inputs-Results'!$A$9:$A$35,'Inputs-Results'!$V$9:$V$35)-_xlfn.XLOOKUP(A47,'Inputs-Results'!$A$9:$A$35,'Inputs-Results'!$X$9:$X$35))),IF(AND(X47="right",Y47&gt;H47),ABS((_xlfn.XLOOKUP(A47,'Inputs-Results'!$A$9:$A$35,'Inputs-Results'!$AA$9:$AA$35)-_xlfn.XLOOKUP(A47,'Inputs-Results'!$A$9:$A$35,'Inputs-Results'!$Y$9:$Y$35))/(_xlfn.XLOOKUP(A47,'Inputs-Results'!$A$9:$A$35,'Inputs-Results'!$AB$9:$AB$35)-_xlfn.XLOOKUP(A47,'Inputs-Results'!$A$9:$A$35,'Inputs-Results'!$Z$9:$Z$35))),IF(AND(X47="right",Y47&lt;=H47,Y47&gt;=F47),(_xlfn.XLOOKUP(A47,'Inputs-Results'!$A$9:$A$35,'Inputs-Results'!$Y$9:$Y$35)-_xlfn.XLOOKUP(A47,'Inputs-Results'!$A$9:$A$35,'Inputs-Results'!$W$9:$W$35))/(_xlfn.XLOOKUP(A47,'Inputs-Results'!$A$9:$A$35,'Inputs-Results'!$Z$9:$Z$35)-_xlfn.XLOOKUP(A47,'Inputs-Results'!$A$9:$A$35,'Inputs-Results'!$X$9:$X$35)))))))/'Standard Data'!$C$12^2.3)</f>
        <v>#N/A</v>
      </c>
      <c r="AO47" s="19" t="e">
        <f t="shared" si="20"/>
        <v>#N/A</v>
      </c>
      <c r="AP47" s="19" t="e">
        <f t="shared" si="21"/>
        <v>#N/A</v>
      </c>
      <c r="AQ47" s="2" t="str">
        <f t="shared" si="16"/>
        <v/>
      </c>
    </row>
    <row r="48" spans="1:43" x14ac:dyDescent="0.25">
      <c r="A48" s="2">
        <f>'Inputs-Results'!A23</f>
        <v>0</v>
      </c>
      <c r="B48" s="2" t="e">
        <f>IF(C48&gt;E48,D48-ABS(_xlfn.XLOOKUP(A48,'Inputs-Results'!$A$9:$A$35,'Inputs-Results'!$S$9:$S$35)-_xlfn.XLOOKUP(A48,'Inputs-Results'!$A$9:$A$35,'Inputs-Results'!$U$9:$U$35))*(C48-E48)/(ABS(_xlfn.XLOOKUP(A48,'Inputs-Results'!$A$9:$A$35,'Inputs-Results'!$T$9:$T$35)-_xlfn.XLOOKUP(A48,'Inputs-Results'!$A$9:$A$35,'Inputs-Results'!$V$9:$V$35))),D48)</f>
        <v>#N/A</v>
      </c>
      <c r="C48" s="2" t="e">
        <f>IFERROR(G48+_xlfn.XLOOKUP(A48,'Ditch Calculations'!$A$34:$A$114,'Ditch Calculations'!$C$34:$C$114),_xlfn.XLOOKUP(A48,'Inputs-Results'!$A$9:$A$35,'Inputs-Results'!$T$9:$T$35))</f>
        <v>#N/A</v>
      </c>
      <c r="D48" s="2" t="e">
        <f>IF(C48&gt;E48,_xlfn.XLOOKUP(A48,'Inputs-Results'!$A$9:$A$35,'Inputs-Results'!$U$9:$U$35),_xlfn.XLOOKUP(A48,'Inputs-Results'!$A$9:$A$35,'Inputs-Results'!$W$9:$W$35)-ABS((_xlfn.XLOOKUP(A48,'Inputs-Results'!$A$9:$A$35,'Inputs-Results'!$W$9:$W$35)-_xlfn.XLOOKUP(A48,'Inputs-Results'!$A$9:$A$35,'Inputs-Results'!$U$9:$U$35))*(E48-G48))/((_xlfn.XLOOKUP(A48,'Inputs-Results'!$A$9:$A$35,'Inputs-Results'!$V$9:$V$35)-_xlfn.XLOOKUP(A48,'Inputs-Results'!$A$9:$A$35,'Inputs-Results'!$X$9:$X$35))))</f>
        <v>#N/A</v>
      </c>
      <c r="E48" s="2" t="e">
        <f>IF(C48&gt;_xlfn.XLOOKUP(A48,'Inputs-Results'!$A$9:$A$35,'Inputs-Results'!$V$9:$V$35),_xlfn.XLOOKUP(A48,'Inputs-Results'!$A$9:$A$35,'Inputs-Results'!$V$9:$V$35),C48)</f>
        <v>#N/A</v>
      </c>
      <c r="F48" s="2" t="e">
        <f>_xlfn.XLOOKUP(A48,'Inputs-Results'!$A$9:$A$35,'Inputs-Results'!$W$9:$W$35)</f>
        <v>#N/A</v>
      </c>
      <c r="G48" s="2" t="e">
        <f>_xlfn.XLOOKUP(A48,'Inputs-Results'!$A$9:$A$35,'Inputs-Results'!$O$9:$O$35)</f>
        <v>#N/A</v>
      </c>
      <c r="H48" s="2" t="e">
        <f>IF(K48&gt;I48,_xlfn.XLOOKUP(A48,'Inputs-Results'!$A$9:$A$35,'Inputs-Results'!$Y$9:$Y$35),_xlfn.XLOOKUP(A48,'Inputs-Results'!$A$9:$A$35,'Inputs-Results'!$W$9:$W$35)+ABS((_xlfn.XLOOKUP(A48,'Inputs-Results'!$A$9:$A$35,'Inputs-Results'!$Y$9:$Y$35)-_xlfn.XLOOKUP(A48,'Inputs-Results'!$A$9:$A$35,'Inputs-Results'!$W$9:$W$35))*(I48-G48)/(_xlfn.XLOOKUP(A48,'Inputs-Results'!$A$9:$A$35,'Inputs-Results'!$Z$9:$Z$35)-_xlfn.XLOOKUP(A48,'Inputs-Results'!$A$9:$A$35,'Inputs-Results'!$X$9:$X$35))))</f>
        <v>#N/A</v>
      </c>
      <c r="I48" s="2" t="e">
        <f>IF(K48&gt;_xlfn.XLOOKUP(A48,'Inputs-Results'!$A$9:$A$35,'Inputs-Results'!$Z$9:$Z$35),_xlfn.XLOOKUP(A48,'Inputs-Results'!$A$9:$A$35,'Inputs-Results'!$Z$9:$Z$35),K48)</f>
        <v>#N/A</v>
      </c>
      <c r="J48" s="41" t="e">
        <f>IF(K48&gt;I48,H48+ABS(_xlfn.XLOOKUP(A48,'Inputs-Results'!$A$9:$A$35,'Inputs-Results'!$AA$9:$AA$35)-_xlfn.XLOOKUP(A48,'Inputs-Results'!$A$9:$A$35,'Inputs-Results'!$Y$9:$Y$35))*(K48-I48)/(ABS(_xlfn.XLOOKUP(A48,'Inputs-Results'!$A$9:$A$35,'Inputs-Results'!$AB$9:$AB$35)-_xlfn.XLOOKUP(A48,'Inputs-Results'!$A$9:$A$35,'Inputs-Results'!$Z$9:$Z$35))),H48)</f>
        <v>#N/A</v>
      </c>
      <c r="K48" s="41" t="e">
        <f t="shared" si="3"/>
        <v>#N/A</v>
      </c>
      <c r="L48" s="41" t="e">
        <f t="shared" si="4"/>
        <v>#N/A</v>
      </c>
      <c r="M48" s="41" t="e">
        <f t="shared" si="5"/>
        <v>#N/A</v>
      </c>
      <c r="N48" s="41" t="e">
        <f t="shared" si="6"/>
        <v>#N/A</v>
      </c>
      <c r="O48" s="41" t="e">
        <f t="shared" si="7"/>
        <v>#N/A</v>
      </c>
      <c r="P48" s="41" t="e">
        <f t="shared" si="17"/>
        <v>#N/A</v>
      </c>
      <c r="Q48" s="41" t="e">
        <f t="shared" si="8"/>
        <v>#N/A</v>
      </c>
      <c r="R48" s="41" t="e">
        <f t="shared" si="9"/>
        <v>#N/A</v>
      </c>
      <c r="S48" s="41" t="e">
        <f t="shared" si="18"/>
        <v>#N/A</v>
      </c>
      <c r="T48" s="41" t="e">
        <f>IF(P48&gt;0,1.486*L48*(L48/P48)^(2/3)/_xlfn.XLOOKUP($A48,'Inputs-Results'!$A$9:$A$35,'Inputs-Results'!$AC$9:$AC$35),0)</f>
        <v>#N/A</v>
      </c>
      <c r="U48" s="41" t="e">
        <f>IF(Q48&gt;0,1.486*M48*(M48/Q48)^(2/3)/_xlfn.XLOOKUP($A48,'Inputs-Results'!$A$9:$A$35,'Inputs-Results'!$AC$9:$AC$35),0)+T48</f>
        <v>#N/A</v>
      </c>
      <c r="V48" s="41" t="e">
        <f>IF(R48&gt;0,1.486*N48*(N48/R48)^(2/3)/_xlfn.XLOOKUP($A48,'Inputs-Results'!$A$9:$A$35,'Inputs-Results'!$AC$9:$AC$35),0)+U48</f>
        <v>#N/A</v>
      </c>
      <c r="W48" s="41" t="e">
        <f>IF(S48&gt;0,1.486*O48*(O48/S48)^(2/3)/_xlfn.XLOOKUP($A48,'Inputs-Results'!$A$9:$A$35,'Inputs-Results'!$AC$9:$AC$35),0)+V48</f>
        <v>#N/A</v>
      </c>
      <c r="X48" s="41" t="e">
        <f>_xlfn.XLOOKUP(A48,'Inputs-Results'!$A$9:$A$35,'Inputs-Results'!$AE$9:$AE$35)</f>
        <v>#N/A</v>
      </c>
      <c r="Y48" s="41" t="e">
        <f>IF(_xlfn.XLOOKUP(A48,'Inputs-Results'!$A$9:$A$35,'Inputs-Results'!$N$9:$N$35)="",IF(X48="left",D48,IF(X48="right",H48,IF(X48="center (Berm)",F48,""))),'Inputs-Results'!N23)</f>
        <v>#N/A</v>
      </c>
      <c r="Z48" s="41" t="e">
        <f>IF(_xlfn.XLOOKUP(A48,'Inputs-Results'!A23:A49,'Inputs-Results'!B23:B49)="P-12",COS(ATAN(1/_xlfn.XLOOKUP(A48,'Inputs-Results'!$A$9:$A$35,'Inputs-Results'!$C$9:$C$35)))*'Standard Data'!$D$12,IF(_xlfn.XLOOKUP(A48,'Inputs-Results'!$A$9:$A$35,'Inputs-Results'!$B$9:$B$35)="N-12",COS(ATAN(1/_xlfn.XLOOKUP(A48,'Inputs-Results'!$A$9:$A$35,'Inputs-Results'!$C$9:$C$35)))*'Standard Data'!$D$13))</f>
        <v>#N/A</v>
      </c>
      <c r="AA48" s="41" t="e">
        <f t="shared" si="10"/>
        <v>#N/A</v>
      </c>
      <c r="AB48" s="41">
        <v>0</v>
      </c>
      <c r="AC48" s="41" t="e">
        <f t="shared" si="11"/>
        <v>#N/A</v>
      </c>
      <c r="AD48" s="41" t="e">
        <f t="shared" si="12"/>
        <v>#N/A</v>
      </c>
      <c r="AE48" s="41" t="e">
        <f t="shared" si="19"/>
        <v>#N/A</v>
      </c>
      <c r="AF48" s="41" t="e">
        <f t="shared" si="13"/>
        <v>#N/A</v>
      </c>
      <c r="AG48" s="41" t="e">
        <f t="shared" si="14"/>
        <v>#N/A</v>
      </c>
      <c r="AH48" s="41" t="e">
        <f t="shared" si="15"/>
        <v>#N/A</v>
      </c>
      <c r="AI48" s="19" t="e">
        <f>AF48/$AE48*_xlfn.XLOOKUP(A48,'Inputs-Results'!$A$9:$A$35,'Inputs-Results'!$M$9:$M$35)</f>
        <v>#N/A</v>
      </c>
      <c r="AJ48" s="19" t="e">
        <f>AG48/$AE48*_xlfn.XLOOKUP(A48,'Inputs-Results'!$A$9:$A$35,'Inputs-Results'!$M$9:$M$35)</f>
        <v>#N/A</v>
      </c>
      <c r="AK48" s="19" t="e">
        <f>AH48/$AE48*_xlfn.XLOOKUP(A48,'Inputs-Results'!$A$9:$A$35,'Inputs-Results'!$M$9:$M$35)</f>
        <v>#N/A</v>
      </c>
      <c r="AL48" s="18" t="e">
        <f>1/(1+0.15*_xlfn.XLOOKUP(A48,$A$3:$A$29,$C$3:$C$29)^1.8/(1/IF(AND(X48="left",AA48&lt;D48),ABS((_xlfn.XLOOKUP(A48,'Inputs-Results'!$A$9:$A$35,'Inputs-Results'!$U$9:$U$35)-_xlfn.XLOOKUP(A48,'Inputs-Results'!$A$9:$A$35,'Inputs-Results'!$S$9:$S$35))/(_xlfn.XLOOKUP(A48,'Inputs-Results'!$A$9:$A$35,'Inputs-Results'!$T$9:$T$35)-_xlfn.XLOOKUP(A48,'Inputs-Results'!$A$9:$A$35,'Inputs-Results'!$V$9:$V$35))),IF(AND(X48="left",AA48&lt;=F48,AA48&gt;D48),ABS((_xlfn.XLOOKUP(A48,'Inputs-Results'!$A$9:$A$35,'Inputs-Results'!$W$9:$W$35)-_xlfn.XLOOKUP(A48,'Inputs-Results'!$A$9:$A$35,'Inputs-Results'!$U$9:$U$35))/(_xlfn.XLOOKUP(A48,'Inputs-Results'!$A$9:$A$35,'Inputs-Results'!$V$9:$V$35)-_xlfn.XLOOKUP(A48,'Inputs-Results'!$A$9:$A$35,'Inputs-Results'!$X$9:$X$35))),IF(AND(X48="right",Y48&gt;H48),ABS((_xlfn.XLOOKUP(A48,'Inputs-Results'!$A$9:$A$35,'Inputs-Results'!$AA$9:$AA$35)-_xlfn.XLOOKUP(A48,'Inputs-Results'!$A$9:$A$35,'Inputs-Results'!$Y$9:$Y$35))/(_xlfn.XLOOKUP(A48,'Inputs-Results'!$A$9:$A$35,'Inputs-Results'!$AB$9:$AB$35)-_xlfn.XLOOKUP(A48,'Inputs-Results'!$A$9:$A$35,'Inputs-Results'!$Z$9:$Z$35))),IF(AND(X48="right",Y48&lt;=H48,Y48&gt;=F48),(_xlfn.XLOOKUP(A48,'Inputs-Results'!$A$9:$A$35,'Inputs-Results'!$Y$9:$Y$35)-_xlfn.XLOOKUP(A48,'Inputs-Results'!$A$9:$A$35,'Inputs-Results'!$W$9:$W$35))/(_xlfn.XLOOKUP(A48,'Inputs-Results'!$A$9:$A$35,'Inputs-Results'!$Z$9:$Z$35)-_xlfn.XLOOKUP(A48,'Inputs-Results'!$A$9:$A$35,'Inputs-Results'!$X$9:$X$35)))))))/'Standard Data'!$C$12^2.3)</f>
        <v>#N/A</v>
      </c>
      <c r="AM48" s="18" t="e">
        <f>MIN(1-0.09*(_xlfn.XLOOKUP(A48,$A$3:$A$29,$C$3:$C$29)-'Standard Data'!$G$12),1)</f>
        <v>#N/A</v>
      </c>
      <c r="AN48" s="18" t="e">
        <f>1/(1+0.15*_xlfn.XLOOKUP(A48,$A$3:$A$29,$C$3:$C$29)^1.8/(1/IF(AND(X48="left",AA48&lt;D48),ABS((_xlfn.XLOOKUP(A48,'Inputs-Results'!$A$9:$A$35,'Inputs-Results'!$U$9:$U$35)-_xlfn.XLOOKUP(A48,'Inputs-Results'!$A$9:$A$35,'Inputs-Results'!$S$9:$S$35))/(_xlfn.XLOOKUP(A48,'Inputs-Results'!$A$9:$A$35,'Inputs-Results'!$T$9:$T$35)-_xlfn.XLOOKUP(A48,'Inputs-Results'!$A$9:$A$35,'Inputs-Results'!$V$9:$V$35))),IF(AND(X48="left",AA48&lt;=F48,AA48&gt;D48),ABS((_xlfn.XLOOKUP(A48,'Inputs-Results'!$A$9:$A$35,'Inputs-Results'!$W$9:$W$35)-_xlfn.XLOOKUP(A48,'Inputs-Results'!$A$9:$A$35,'Inputs-Results'!$U$9:$U$35))/(_xlfn.XLOOKUP(A48,'Inputs-Results'!$A$9:$A$35,'Inputs-Results'!$V$9:$V$35)-_xlfn.XLOOKUP(A48,'Inputs-Results'!$A$9:$A$35,'Inputs-Results'!$X$9:$X$35))),IF(AND(X48="right",Y48&gt;H48),ABS((_xlfn.XLOOKUP(A48,'Inputs-Results'!$A$9:$A$35,'Inputs-Results'!$AA$9:$AA$35)-_xlfn.XLOOKUP(A48,'Inputs-Results'!$A$9:$A$35,'Inputs-Results'!$Y$9:$Y$35))/(_xlfn.XLOOKUP(A48,'Inputs-Results'!$A$9:$A$35,'Inputs-Results'!$AB$9:$AB$35)-_xlfn.XLOOKUP(A48,'Inputs-Results'!$A$9:$A$35,'Inputs-Results'!$Z$9:$Z$35))),IF(AND(X48="right",Y48&lt;=H48,Y48&gt;=F48),(_xlfn.XLOOKUP(A48,'Inputs-Results'!$A$9:$A$35,'Inputs-Results'!$Y$9:$Y$35)-_xlfn.XLOOKUP(A48,'Inputs-Results'!$A$9:$A$35,'Inputs-Results'!$W$9:$W$35))/(_xlfn.XLOOKUP(A48,'Inputs-Results'!$A$9:$A$35,'Inputs-Results'!$Z$9:$Z$35)-_xlfn.XLOOKUP(A48,'Inputs-Results'!$A$9:$A$35,'Inputs-Results'!$X$9:$X$35)))))))/'Standard Data'!$C$12^2.3)</f>
        <v>#N/A</v>
      </c>
      <c r="AO48" s="19" t="e">
        <f t="shared" si="20"/>
        <v>#N/A</v>
      </c>
      <c r="AP48" s="19" t="e">
        <f t="shared" si="21"/>
        <v>#N/A</v>
      </c>
      <c r="AQ48" s="2" t="str">
        <f t="shared" si="16"/>
        <v/>
      </c>
    </row>
    <row r="49" spans="1:43" x14ac:dyDescent="0.25">
      <c r="A49" s="2">
        <f>'Inputs-Results'!A24</f>
        <v>0</v>
      </c>
      <c r="B49" s="2" t="e">
        <f>IF(C49&gt;E49,D49-ABS(_xlfn.XLOOKUP(A49,'Inputs-Results'!$A$9:$A$35,'Inputs-Results'!$S$9:$S$35)-_xlfn.XLOOKUP(A49,'Inputs-Results'!$A$9:$A$35,'Inputs-Results'!$U$9:$U$35))*(C49-E49)/(ABS(_xlfn.XLOOKUP(A49,'Inputs-Results'!$A$9:$A$35,'Inputs-Results'!$T$9:$T$35)-_xlfn.XLOOKUP(A49,'Inputs-Results'!$A$9:$A$35,'Inputs-Results'!$V$9:$V$35))),D49)</f>
        <v>#N/A</v>
      </c>
      <c r="C49" s="2" t="e">
        <f>IFERROR(G49+_xlfn.XLOOKUP(A49,'Ditch Calculations'!$A$34:$A$114,'Ditch Calculations'!$C$34:$C$114),_xlfn.XLOOKUP(A49,'Inputs-Results'!$A$9:$A$35,'Inputs-Results'!$T$9:$T$35))</f>
        <v>#N/A</v>
      </c>
      <c r="D49" s="2" t="e">
        <f>IF(C49&gt;E49,_xlfn.XLOOKUP(A49,'Inputs-Results'!$A$9:$A$35,'Inputs-Results'!$U$9:$U$35),_xlfn.XLOOKUP(A49,'Inputs-Results'!$A$9:$A$35,'Inputs-Results'!$W$9:$W$35)-ABS((_xlfn.XLOOKUP(A49,'Inputs-Results'!$A$9:$A$35,'Inputs-Results'!$W$9:$W$35)-_xlfn.XLOOKUP(A49,'Inputs-Results'!$A$9:$A$35,'Inputs-Results'!$U$9:$U$35))*(E49-G49))/((_xlfn.XLOOKUP(A49,'Inputs-Results'!$A$9:$A$35,'Inputs-Results'!$V$9:$V$35)-_xlfn.XLOOKUP(A49,'Inputs-Results'!$A$9:$A$35,'Inputs-Results'!$X$9:$X$35))))</f>
        <v>#N/A</v>
      </c>
      <c r="E49" s="2" t="e">
        <f>IF(C49&gt;_xlfn.XLOOKUP(A49,'Inputs-Results'!$A$9:$A$35,'Inputs-Results'!$V$9:$V$35),_xlfn.XLOOKUP(A49,'Inputs-Results'!$A$9:$A$35,'Inputs-Results'!$V$9:$V$35),C49)</f>
        <v>#N/A</v>
      </c>
      <c r="F49" s="2" t="e">
        <f>_xlfn.XLOOKUP(A49,'Inputs-Results'!$A$9:$A$35,'Inputs-Results'!$W$9:$W$35)</f>
        <v>#N/A</v>
      </c>
      <c r="G49" s="2" t="e">
        <f>_xlfn.XLOOKUP(A49,'Inputs-Results'!$A$9:$A$35,'Inputs-Results'!$O$9:$O$35)</f>
        <v>#N/A</v>
      </c>
      <c r="H49" s="2" t="e">
        <f>IF(K49&gt;I49,_xlfn.XLOOKUP(A49,'Inputs-Results'!$A$9:$A$35,'Inputs-Results'!$Y$9:$Y$35),_xlfn.XLOOKUP(A49,'Inputs-Results'!$A$9:$A$35,'Inputs-Results'!$W$9:$W$35)+ABS((_xlfn.XLOOKUP(A49,'Inputs-Results'!$A$9:$A$35,'Inputs-Results'!$Y$9:$Y$35)-_xlfn.XLOOKUP(A49,'Inputs-Results'!$A$9:$A$35,'Inputs-Results'!$W$9:$W$35))*(I49-G49)/(_xlfn.XLOOKUP(A49,'Inputs-Results'!$A$9:$A$35,'Inputs-Results'!$Z$9:$Z$35)-_xlfn.XLOOKUP(A49,'Inputs-Results'!$A$9:$A$35,'Inputs-Results'!$X$9:$X$35))))</f>
        <v>#N/A</v>
      </c>
      <c r="I49" s="2" t="e">
        <f>IF(K49&gt;_xlfn.XLOOKUP(A49,'Inputs-Results'!$A$9:$A$35,'Inputs-Results'!$Z$9:$Z$35),_xlfn.XLOOKUP(A49,'Inputs-Results'!$A$9:$A$35,'Inputs-Results'!$Z$9:$Z$35),K49)</f>
        <v>#N/A</v>
      </c>
      <c r="J49" s="41" t="e">
        <f>IF(K49&gt;I49,H49+ABS(_xlfn.XLOOKUP(A49,'Inputs-Results'!$A$9:$A$35,'Inputs-Results'!$AA$9:$AA$35)-_xlfn.XLOOKUP(A49,'Inputs-Results'!$A$9:$A$35,'Inputs-Results'!$Y$9:$Y$35))*(K49-I49)/(ABS(_xlfn.XLOOKUP(A49,'Inputs-Results'!$A$9:$A$35,'Inputs-Results'!$AB$9:$AB$35)-_xlfn.XLOOKUP(A49,'Inputs-Results'!$A$9:$A$35,'Inputs-Results'!$Z$9:$Z$35))),H49)</f>
        <v>#N/A</v>
      </c>
      <c r="K49" s="41" t="e">
        <f t="shared" si="3"/>
        <v>#N/A</v>
      </c>
      <c r="L49" s="41" t="e">
        <f t="shared" si="4"/>
        <v>#N/A</v>
      </c>
      <c r="M49" s="41" t="e">
        <f t="shared" si="5"/>
        <v>#N/A</v>
      </c>
      <c r="N49" s="41" t="e">
        <f t="shared" si="6"/>
        <v>#N/A</v>
      </c>
      <c r="O49" s="41" t="e">
        <f t="shared" si="7"/>
        <v>#N/A</v>
      </c>
      <c r="P49" s="41" t="e">
        <f t="shared" si="17"/>
        <v>#N/A</v>
      </c>
      <c r="Q49" s="41" t="e">
        <f t="shared" si="8"/>
        <v>#N/A</v>
      </c>
      <c r="R49" s="41" t="e">
        <f t="shared" si="9"/>
        <v>#N/A</v>
      </c>
      <c r="S49" s="41" t="e">
        <f t="shared" si="18"/>
        <v>#N/A</v>
      </c>
      <c r="T49" s="41" t="e">
        <f>IF(P49&gt;0,1.486*L49*(L49/P49)^(2/3)/_xlfn.XLOOKUP($A49,'Inputs-Results'!$A$9:$A$35,'Inputs-Results'!$AC$9:$AC$35),0)</f>
        <v>#N/A</v>
      </c>
      <c r="U49" s="41" t="e">
        <f>IF(Q49&gt;0,1.486*M49*(M49/Q49)^(2/3)/_xlfn.XLOOKUP($A49,'Inputs-Results'!$A$9:$A$35,'Inputs-Results'!$AC$9:$AC$35),0)+T49</f>
        <v>#N/A</v>
      </c>
      <c r="V49" s="41" t="e">
        <f>IF(R49&gt;0,1.486*N49*(N49/R49)^(2/3)/_xlfn.XLOOKUP($A49,'Inputs-Results'!$A$9:$A$35,'Inputs-Results'!$AC$9:$AC$35),0)+U49</f>
        <v>#N/A</v>
      </c>
      <c r="W49" s="41" t="e">
        <f>IF(S49&gt;0,1.486*O49*(O49/S49)^(2/3)/_xlfn.XLOOKUP($A49,'Inputs-Results'!$A$9:$A$35,'Inputs-Results'!$AC$9:$AC$35),0)+V49</f>
        <v>#N/A</v>
      </c>
      <c r="X49" s="41" t="e">
        <f>_xlfn.XLOOKUP(A49,'Inputs-Results'!$A$9:$A$35,'Inputs-Results'!$AE$9:$AE$35)</f>
        <v>#N/A</v>
      </c>
      <c r="Y49" s="41" t="e">
        <f>IF(_xlfn.XLOOKUP(A49,'Inputs-Results'!$A$9:$A$35,'Inputs-Results'!$N$9:$N$35)="",IF(X49="left",D49,IF(X49="right",H49,IF(X49="center (Berm)",F49,""))),'Inputs-Results'!N24)</f>
        <v>#N/A</v>
      </c>
      <c r="Z49" s="41" t="e">
        <f>IF(_xlfn.XLOOKUP(A49,'Inputs-Results'!A24:A50,'Inputs-Results'!B24:B50)="P-12",COS(ATAN(1/_xlfn.XLOOKUP(A49,'Inputs-Results'!$A$9:$A$35,'Inputs-Results'!$C$9:$C$35)))*'Standard Data'!$D$12,IF(_xlfn.XLOOKUP(A49,'Inputs-Results'!$A$9:$A$35,'Inputs-Results'!$B$9:$B$35)="N-12",COS(ATAN(1/_xlfn.XLOOKUP(A49,'Inputs-Results'!$A$9:$A$35,'Inputs-Results'!$C$9:$C$35)))*'Standard Data'!$D$13))</f>
        <v>#N/A</v>
      </c>
      <c r="AA49" s="41" t="e">
        <f t="shared" si="10"/>
        <v>#N/A</v>
      </c>
      <c r="AB49" s="41">
        <v>0</v>
      </c>
      <c r="AC49" s="41" t="e">
        <f t="shared" si="11"/>
        <v>#N/A</v>
      </c>
      <c r="AD49" s="41" t="e">
        <f t="shared" si="12"/>
        <v>#N/A</v>
      </c>
      <c r="AE49" s="41" t="e">
        <f t="shared" si="19"/>
        <v>#N/A</v>
      </c>
      <c r="AF49" s="41" t="e">
        <f t="shared" si="13"/>
        <v>#N/A</v>
      </c>
      <c r="AG49" s="41" t="e">
        <f t="shared" si="14"/>
        <v>#N/A</v>
      </c>
      <c r="AH49" s="41" t="e">
        <f t="shared" si="15"/>
        <v>#N/A</v>
      </c>
      <c r="AI49" s="19" t="e">
        <f>AF49/$AE49*_xlfn.XLOOKUP(A49,'Inputs-Results'!$A$9:$A$35,'Inputs-Results'!$M$9:$M$35)</f>
        <v>#N/A</v>
      </c>
      <c r="AJ49" s="19" t="e">
        <f>AG49/$AE49*_xlfn.XLOOKUP(A49,'Inputs-Results'!$A$9:$A$35,'Inputs-Results'!$M$9:$M$35)</f>
        <v>#N/A</v>
      </c>
      <c r="AK49" s="19" t="e">
        <f>AH49/$AE49*_xlfn.XLOOKUP(A49,'Inputs-Results'!$A$9:$A$35,'Inputs-Results'!$M$9:$M$35)</f>
        <v>#N/A</v>
      </c>
      <c r="AL49" s="18" t="e">
        <f>1/(1+0.15*_xlfn.XLOOKUP(A49,$A$3:$A$29,$C$3:$C$29)^1.8/(1/IF(AND(X49="left",AA49&lt;D49),ABS((_xlfn.XLOOKUP(A49,'Inputs-Results'!$A$9:$A$35,'Inputs-Results'!$U$9:$U$35)-_xlfn.XLOOKUP(A49,'Inputs-Results'!$A$9:$A$35,'Inputs-Results'!$S$9:$S$35))/(_xlfn.XLOOKUP(A49,'Inputs-Results'!$A$9:$A$35,'Inputs-Results'!$T$9:$T$35)-_xlfn.XLOOKUP(A49,'Inputs-Results'!$A$9:$A$35,'Inputs-Results'!$V$9:$V$35))),IF(AND(X49="left",AA49&lt;=F49,AA49&gt;D49),ABS((_xlfn.XLOOKUP(A49,'Inputs-Results'!$A$9:$A$35,'Inputs-Results'!$W$9:$W$35)-_xlfn.XLOOKUP(A49,'Inputs-Results'!$A$9:$A$35,'Inputs-Results'!$U$9:$U$35))/(_xlfn.XLOOKUP(A49,'Inputs-Results'!$A$9:$A$35,'Inputs-Results'!$V$9:$V$35)-_xlfn.XLOOKUP(A49,'Inputs-Results'!$A$9:$A$35,'Inputs-Results'!$X$9:$X$35))),IF(AND(X49="right",Y49&gt;H49),ABS((_xlfn.XLOOKUP(A49,'Inputs-Results'!$A$9:$A$35,'Inputs-Results'!$AA$9:$AA$35)-_xlfn.XLOOKUP(A49,'Inputs-Results'!$A$9:$A$35,'Inputs-Results'!$Y$9:$Y$35))/(_xlfn.XLOOKUP(A49,'Inputs-Results'!$A$9:$A$35,'Inputs-Results'!$AB$9:$AB$35)-_xlfn.XLOOKUP(A49,'Inputs-Results'!$A$9:$A$35,'Inputs-Results'!$Z$9:$Z$35))),IF(AND(X49="right",Y49&lt;=H49,Y49&gt;=F49),(_xlfn.XLOOKUP(A49,'Inputs-Results'!$A$9:$A$35,'Inputs-Results'!$Y$9:$Y$35)-_xlfn.XLOOKUP(A49,'Inputs-Results'!$A$9:$A$35,'Inputs-Results'!$W$9:$W$35))/(_xlfn.XLOOKUP(A49,'Inputs-Results'!$A$9:$A$35,'Inputs-Results'!$Z$9:$Z$35)-_xlfn.XLOOKUP(A49,'Inputs-Results'!$A$9:$A$35,'Inputs-Results'!$X$9:$X$35)))))))/'Standard Data'!$C$12^2.3)</f>
        <v>#N/A</v>
      </c>
      <c r="AM49" s="18" t="e">
        <f>MIN(1-0.09*(_xlfn.XLOOKUP(A49,$A$3:$A$29,$C$3:$C$29)-'Standard Data'!$G$12),1)</f>
        <v>#N/A</v>
      </c>
      <c r="AN49" s="18" t="e">
        <f>1/(1+0.15*_xlfn.XLOOKUP(A49,$A$3:$A$29,$C$3:$C$29)^1.8/(1/IF(AND(X49="left",AA49&lt;D49),ABS((_xlfn.XLOOKUP(A49,'Inputs-Results'!$A$9:$A$35,'Inputs-Results'!$U$9:$U$35)-_xlfn.XLOOKUP(A49,'Inputs-Results'!$A$9:$A$35,'Inputs-Results'!$S$9:$S$35))/(_xlfn.XLOOKUP(A49,'Inputs-Results'!$A$9:$A$35,'Inputs-Results'!$T$9:$T$35)-_xlfn.XLOOKUP(A49,'Inputs-Results'!$A$9:$A$35,'Inputs-Results'!$V$9:$V$35))),IF(AND(X49="left",AA49&lt;=F49,AA49&gt;D49),ABS((_xlfn.XLOOKUP(A49,'Inputs-Results'!$A$9:$A$35,'Inputs-Results'!$W$9:$W$35)-_xlfn.XLOOKUP(A49,'Inputs-Results'!$A$9:$A$35,'Inputs-Results'!$U$9:$U$35))/(_xlfn.XLOOKUP(A49,'Inputs-Results'!$A$9:$A$35,'Inputs-Results'!$V$9:$V$35)-_xlfn.XLOOKUP(A49,'Inputs-Results'!$A$9:$A$35,'Inputs-Results'!$X$9:$X$35))),IF(AND(X49="right",Y49&gt;H49),ABS((_xlfn.XLOOKUP(A49,'Inputs-Results'!$A$9:$A$35,'Inputs-Results'!$AA$9:$AA$35)-_xlfn.XLOOKUP(A49,'Inputs-Results'!$A$9:$A$35,'Inputs-Results'!$Y$9:$Y$35))/(_xlfn.XLOOKUP(A49,'Inputs-Results'!$A$9:$A$35,'Inputs-Results'!$AB$9:$AB$35)-_xlfn.XLOOKUP(A49,'Inputs-Results'!$A$9:$A$35,'Inputs-Results'!$Z$9:$Z$35))),IF(AND(X49="right",Y49&lt;=H49,Y49&gt;=F49),(_xlfn.XLOOKUP(A49,'Inputs-Results'!$A$9:$A$35,'Inputs-Results'!$Y$9:$Y$35)-_xlfn.XLOOKUP(A49,'Inputs-Results'!$A$9:$A$35,'Inputs-Results'!$W$9:$W$35))/(_xlfn.XLOOKUP(A49,'Inputs-Results'!$A$9:$A$35,'Inputs-Results'!$Z$9:$Z$35)-_xlfn.XLOOKUP(A49,'Inputs-Results'!$A$9:$A$35,'Inputs-Results'!$X$9:$X$35)))))))/'Standard Data'!$C$12^2.3)</f>
        <v>#N/A</v>
      </c>
      <c r="AO49" s="19" t="e">
        <f t="shared" si="20"/>
        <v>#N/A</v>
      </c>
      <c r="AP49" s="19" t="e">
        <f t="shared" si="21"/>
        <v>#N/A</v>
      </c>
      <c r="AQ49" s="2" t="str">
        <f t="shared" si="16"/>
        <v/>
      </c>
    </row>
    <row r="50" spans="1:43" x14ac:dyDescent="0.25">
      <c r="A50" s="2">
        <f>'Inputs-Results'!A25</f>
        <v>0</v>
      </c>
      <c r="B50" s="2" t="e">
        <f>IF(C50&gt;E50,D50-ABS(_xlfn.XLOOKUP(A50,'Inputs-Results'!$A$9:$A$35,'Inputs-Results'!$S$9:$S$35)-_xlfn.XLOOKUP(A50,'Inputs-Results'!$A$9:$A$35,'Inputs-Results'!$U$9:$U$35))*(C50-E50)/(ABS(_xlfn.XLOOKUP(A50,'Inputs-Results'!$A$9:$A$35,'Inputs-Results'!$T$9:$T$35)-_xlfn.XLOOKUP(A50,'Inputs-Results'!$A$9:$A$35,'Inputs-Results'!$V$9:$V$35))),D50)</f>
        <v>#N/A</v>
      </c>
      <c r="C50" s="2" t="e">
        <f>IFERROR(G50+_xlfn.XLOOKUP(A50,'Ditch Calculations'!$A$34:$A$114,'Ditch Calculations'!$C$34:$C$114),_xlfn.XLOOKUP(A50,'Inputs-Results'!$A$9:$A$35,'Inputs-Results'!$T$9:$T$35))</f>
        <v>#N/A</v>
      </c>
      <c r="D50" s="2" t="e">
        <f>IF(C50&gt;E50,_xlfn.XLOOKUP(A50,'Inputs-Results'!$A$9:$A$35,'Inputs-Results'!$U$9:$U$35),_xlfn.XLOOKUP(A50,'Inputs-Results'!$A$9:$A$35,'Inputs-Results'!$W$9:$W$35)-ABS((_xlfn.XLOOKUP(A50,'Inputs-Results'!$A$9:$A$35,'Inputs-Results'!$W$9:$W$35)-_xlfn.XLOOKUP(A50,'Inputs-Results'!$A$9:$A$35,'Inputs-Results'!$U$9:$U$35))*(E50-G50))/((_xlfn.XLOOKUP(A50,'Inputs-Results'!$A$9:$A$35,'Inputs-Results'!$V$9:$V$35)-_xlfn.XLOOKUP(A50,'Inputs-Results'!$A$9:$A$35,'Inputs-Results'!$X$9:$X$35))))</f>
        <v>#N/A</v>
      </c>
      <c r="E50" s="2" t="e">
        <f>IF(C50&gt;_xlfn.XLOOKUP(A50,'Inputs-Results'!$A$9:$A$35,'Inputs-Results'!$V$9:$V$35),_xlfn.XLOOKUP(A50,'Inputs-Results'!$A$9:$A$35,'Inputs-Results'!$V$9:$V$35),C50)</f>
        <v>#N/A</v>
      </c>
      <c r="F50" s="2" t="e">
        <f>_xlfn.XLOOKUP(A50,'Inputs-Results'!$A$9:$A$35,'Inputs-Results'!$W$9:$W$35)</f>
        <v>#N/A</v>
      </c>
      <c r="G50" s="2" t="e">
        <f>_xlfn.XLOOKUP(A50,'Inputs-Results'!$A$9:$A$35,'Inputs-Results'!$O$9:$O$35)</f>
        <v>#N/A</v>
      </c>
      <c r="H50" s="2" t="e">
        <f>IF(K50&gt;I50,_xlfn.XLOOKUP(A50,'Inputs-Results'!$A$9:$A$35,'Inputs-Results'!$Y$9:$Y$35),_xlfn.XLOOKUP(A50,'Inputs-Results'!$A$9:$A$35,'Inputs-Results'!$W$9:$W$35)+ABS((_xlfn.XLOOKUP(A50,'Inputs-Results'!$A$9:$A$35,'Inputs-Results'!$Y$9:$Y$35)-_xlfn.XLOOKUP(A50,'Inputs-Results'!$A$9:$A$35,'Inputs-Results'!$W$9:$W$35))*(I50-G50)/(_xlfn.XLOOKUP(A50,'Inputs-Results'!$A$9:$A$35,'Inputs-Results'!$Z$9:$Z$35)-_xlfn.XLOOKUP(A50,'Inputs-Results'!$A$9:$A$35,'Inputs-Results'!$X$9:$X$35))))</f>
        <v>#N/A</v>
      </c>
      <c r="I50" s="2" t="e">
        <f>IF(K50&gt;_xlfn.XLOOKUP(A50,'Inputs-Results'!$A$9:$A$35,'Inputs-Results'!$Z$9:$Z$35),_xlfn.XLOOKUP(A50,'Inputs-Results'!$A$9:$A$35,'Inputs-Results'!$Z$9:$Z$35),K50)</f>
        <v>#N/A</v>
      </c>
      <c r="J50" s="41" t="e">
        <f>IF(K50&gt;I50,H50+ABS(_xlfn.XLOOKUP(A50,'Inputs-Results'!$A$9:$A$35,'Inputs-Results'!$AA$9:$AA$35)-_xlfn.XLOOKUP(A50,'Inputs-Results'!$A$9:$A$35,'Inputs-Results'!$Y$9:$Y$35))*(K50-I50)/(ABS(_xlfn.XLOOKUP(A50,'Inputs-Results'!$A$9:$A$35,'Inputs-Results'!$AB$9:$AB$35)-_xlfn.XLOOKUP(A50,'Inputs-Results'!$A$9:$A$35,'Inputs-Results'!$Z$9:$Z$35))),H50)</f>
        <v>#N/A</v>
      </c>
      <c r="K50" s="41" t="e">
        <f t="shared" si="3"/>
        <v>#N/A</v>
      </c>
      <c r="L50" s="41" t="e">
        <f t="shared" si="4"/>
        <v>#N/A</v>
      </c>
      <c r="M50" s="41" t="e">
        <f t="shared" si="5"/>
        <v>#N/A</v>
      </c>
      <c r="N50" s="41" t="e">
        <f t="shared" si="6"/>
        <v>#N/A</v>
      </c>
      <c r="O50" s="41" t="e">
        <f t="shared" si="7"/>
        <v>#N/A</v>
      </c>
      <c r="P50" s="41" t="e">
        <f t="shared" si="17"/>
        <v>#N/A</v>
      </c>
      <c r="Q50" s="41" t="e">
        <f t="shared" si="8"/>
        <v>#N/A</v>
      </c>
      <c r="R50" s="41" t="e">
        <f t="shared" si="9"/>
        <v>#N/A</v>
      </c>
      <c r="S50" s="41" t="e">
        <f t="shared" si="18"/>
        <v>#N/A</v>
      </c>
      <c r="T50" s="41" t="e">
        <f>IF(P50&gt;0,1.486*L50*(L50/P50)^(2/3)/_xlfn.XLOOKUP($A50,'Inputs-Results'!$A$9:$A$35,'Inputs-Results'!$AC$9:$AC$35),0)</f>
        <v>#N/A</v>
      </c>
      <c r="U50" s="41" t="e">
        <f>IF(Q50&gt;0,1.486*M50*(M50/Q50)^(2/3)/_xlfn.XLOOKUP($A50,'Inputs-Results'!$A$9:$A$35,'Inputs-Results'!$AC$9:$AC$35),0)+T50</f>
        <v>#N/A</v>
      </c>
      <c r="V50" s="41" t="e">
        <f>IF(R50&gt;0,1.486*N50*(N50/R50)^(2/3)/_xlfn.XLOOKUP($A50,'Inputs-Results'!$A$9:$A$35,'Inputs-Results'!$AC$9:$AC$35),0)+U50</f>
        <v>#N/A</v>
      </c>
      <c r="W50" s="41" t="e">
        <f>IF(S50&gt;0,1.486*O50*(O50/S50)^(2/3)/_xlfn.XLOOKUP($A50,'Inputs-Results'!$A$9:$A$35,'Inputs-Results'!$AC$9:$AC$35),0)+V50</f>
        <v>#N/A</v>
      </c>
      <c r="X50" s="41" t="e">
        <f>_xlfn.XLOOKUP(A50,'Inputs-Results'!$A$9:$A$35,'Inputs-Results'!$AE$9:$AE$35)</f>
        <v>#N/A</v>
      </c>
      <c r="Y50" s="41" t="e">
        <f>IF(_xlfn.XLOOKUP(A50,'Inputs-Results'!$A$9:$A$35,'Inputs-Results'!$N$9:$N$35)="",IF(X50="left",D50,IF(X50="right",H50,IF(X50="center (Berm)",F50,""))),'Inputs-Results'!N25)</f>
        <v>#N/A</v>
      </c>
      <c r="Z50" s="41" t="e">
        <f>IF(_xlfn.XLOOKUP(A50,'Inputs-Results'!A25:A51,'Inputs-Results'!B25:B51)="P-12",COS(ATAN(1/_xlfn.XLOOKUP(A50,'Inputs-Results'!$A$9:$A$35,'Inputs-Results'!$C$9:$C$35)))*'Standard Data'!$D$12,IF(_xlfn.XLOOKUP(A50,'Inputs-Results'!$A$9:$A$35,'Inputs-Results'!$B$9:$B$35)="N-12",COS(ATAN(1/_xlfn.XLOOKUP(A50,'Inputs-Results'!$A$9:$A$35,'Inputs-Results'!$C$9:$C$35)))*'Standard Data'!$D$13))</f>
        <v>#N/A</v>
      </c>
      <c r="AA50" s="41" t="e">
        <f t="shared" si="10"/>
        <v>#N/A</v>
      </c>
      <c r="AB50" s="41">
        <v>0</v>
      </c>
      <c r="AC50" s="41" t="e">
        <f t="shared" si="11"/>
        <v>#N/A</v>
      </c>
      <c r="AD50" s="41" t="e">
        <f t="shared" si="12"/>
        <v>#N/A</v>
      </c>
      <c r="AE50" s="41" t="e">
        <f t="shared" si="19"/>
        <v>#N/A</v>
      </c>
      <c r="AF50" s="41" t="e">
        <f t="shared" si="13"/>
        <v>#N/A</v>
      </c>
      <c r="AG50" s="41" t="e">
        <f t="shared" si="14"/>
        <v>#N/A</v>
      </c>
      <c r="AH50" s="41" t="e">
        <f t="shared" si="15"/>
        <v>#N/A</v>
      </c>
      <c r="AI50" s="19" t="e">
        <f>AF50/$AE50*_xlfn.XLOOKUP(A50,'Inputs-Results'!$A$9:$A$35,'Inputs-Results'!$M$9:$M$35)</f>
        <v>#N/A</v>
      </c>
      <c r="AJ50" s="19" t="e">
        <f>AG50/$AE50*_xlfn.XLOOKUP(A50,'Inputs-Results'!$A$9:$A$35,'Inputs-Results'!$M$9:$M$35)</f>
        <v>#N/A</v>
      </c>
      <c r="AK50" s="19" t="e">
        <f>AH50/$AE50*_xlfn.XLOOKUP(A50,'Inputs-Results'!$A$9:$A$35,'Inputs-Results'!$M$9:$M$35)</f>
        <v>#N/A</v>
      </c>
      <c r="AL50" s="18" t="e">
        <f>1/(1+0.15*_xlfn.XLOOKUP(A50,$A$3:$A$29,$C$3:$C$29)^1.8/(1/IF(AND(X50="left",AA50&lt;D50),ABS((_xlfn.XLOOKUP(A50,'Inputs-Results'!$A$9:$A$35,'Inputs-Results'!$U$9:$U$35)-_xlfn.XLOOKUP(A50,'Inputs-Results'!$A$9:$A$35,'Inputs-Results'!$S$9:$S$35))/(_xlfn.XLOOKUP(A50,'Inputs-Results'!$A$9:$A$35,'Inputs-Results'!$T$9:$T$35)-_xlfn.XLOOKUP(A50,'Inputs-Results'!$A$9:$A$35,'Inputs-Results'!$V$9:$V$35))),IF(AND(X50="left",AA50&lt;=F50,AA50&gt;D50),ABS((_xlfn.XLOOKUP(A50,'Inputs-Results'!$A$9:$A$35,'Inputs-Results'!$W$9:$W$35)-_xlfn.XLOOKUP(A50,'Inputs-Results'!$A$9:$A$35,'Inputs-Results'!$U$9:$U$35))/(_xlfn.XLOOKUP(A50,'Inputs-Results'!$A$9:$A$35,'Inputs-Results'!$V$9:$V$35)-_xlfn.XLOOKUP(A50,'Inputs-Results'!$A$9:$A$35,'Inputs-Results'!$X$9:$X$35))),IF(AND(X50="right",Y50&gt;H50),ABS((_xlfn.XLOOKUP(A50,'Inputs-Results'!$A$9:$A$35,'Inputs-Results'!$AA$9:$AA$35)-_xlfn.XLOOKUP(A50,'Inputs-Results'!$A$9:$A$35,'Inputs-Results'!$Y$9:$Y$35))/(_xlfn.XLOOKUP(A50,'Inputs-Results'!$A$9:$A$35,'Inputs-Results'!$AB$9:$AB$35)-_xlfn.XLOOKUP(A50,'Inputs-Results'!$A$9:$A$35,'Inputs-Results'!$Z$9:$Z$35))),IF(AND(X50="right",Y50&lt;=H50,Y50&gt;=F50),(_xlfn.XLOOKUP(A50,'Inputs-Results'!$A$9:$A$35,'Inputs-Results'!$Y$9:$Y$35)-_xlfn.XLOOKUP(A50,'Inputs-Results'!$A$9:$A$35,'Inputs-Results'!$W$9:$W$35))/(_xlfn.XLOOKUP(A50,'Inputs-Results'!$A$9:$A$35,'Inputs-Results'!$Z$9:$Z$35)-_xlfn.XLOOKUP(A50,'Inputs-Results'!$A$9:$A$35,'Inputs-Results'!$X$9:$X$35)))))))/'Standard Data'!$C$12^2.3)</f>
        <v>#N/A</v>
      </c>
      <c r="AM50" s="18" t="e">
        <f>MIN(1-0.09*(_xlfn.XLOOKUP(A50,$A$3:$A$29,$C$3:$C$29)-'Standard Data'!$G$12),1)</f>
        <v>#N/A</v>
      </c>
      <c r="AN50" s="18" t="e">
        <f>1/(1+0.15*_xlfn.XLOOKUP(A50,$A$3:$A$29,$C$3:$C$29)^1.8/(1/IF(AND(X50="left",AA50&lt;D50),ABS((_xlfn.XLOOKUP(A50,'Inputs-Results'!$A$9:$A$35,'Inputs-Results'!$U$9:$U$35)-_xlfn.XLOOKUP(A50,'Inputs-Results'!$A$9:$A$35,'Inputs-Results'!$S$9:$S$35))/(_xlfn.XLOOKUP(A50,'Inputs-Results'!$A$9:$A$35,'Inputs-Results'!$T$9:$T$35)-_xlfn.XLOOKUP(A50,'Inputs-Results'!$A$9:$A$35,'Inputs-Results'!$V$9:$V$35))),IF(AND(X50="left",AA50&lt;=F50,AA50&gt;D50),ABS((_xlfn.XLOOKUP(A50,'Inputs-Results'!$A$9:$A$35,'Inputs-Results'!$W$9:$W$35)-_xlfn.XLOOKUP(A50,'Inputs-Results'!$A$9:$A$35,'Inputs-Results'!$U$9:$U$35))/(_xlfn.XLOOKUP(A50,'Inputs-Results'!$A$9:$A$35,'Inputs-Results'!$V$9:$V$35)-_xlfn.XLOOKUP(A50,'Inputs-Results'!$A$9:$A$35,'Inputs-Results'!$X$9:$X$35))),IF(AND(X50="right",Y50&gt;H50),ABS((_xlfn.XLOOKUP(A50,'Inputs-Results'!$A$9:$A$35,'Inputs-Results'!$AA$9:$AA$35)-_xlfn.XLOOKUP(A50,'Inputs-Results'!$A$9:$A$35,'Inputs-Results'!$Y$9:$Y$35))/(_xlfn.XLOOKUP(A50,'Inputs-Results'!$A$9:$A$35,'Inputs-Results'!$AB$9:$AB$35)-_xlfn.XLOOKUP(A50,'Inputs-Results'!$A$9:$A$35,'Inputs-Results'!$Z$9:$Z$35))),IF(AND(X50="right",Y50&lt;=H50,Y50&gt;=F50),(_xlfn.XLOOKUP(A50,'Inputs-Results'!$A$9:$A$35,'Inputs-Results'!$Y$9:$Y$35)-_xlfn.XLOOKUP(A50,'Inputs-Results'!$A$9:$A$35,'Inputs-Results'!$W$9:$W$35))/(_xlfn.XLOOKUP(A50,'Inputs-Results'!$A$9:$A$35,'Inputs-Results'!$Z$9:$Z$35)-_xlfn.XLOOKUP(A50,'Inputs-Results'!$A$9:$A$35,'Inputs-Results'!$X$9:$X$35)))))))/'Standard Data'!$C$12^2.3)</f>
        <v>#N/A</v>
      </c>
      <c r="AO50" s="19" t="e">
        <f t="shared" si="20"/>
        <v>#N/A</v>
      </c>
      <c r="AP50" s="19" t="e">
        <f t="shared" si="21"/>
        <v>#N/A</v>
      </c>
      <c r="AQ50" s="2" t="str">
        <f t="shared" si="16"/>
        <v/>
      </c>
    </row>
    <row r="51" spans="1:43" x14ac:dyDescent="0.25">
      <c r="A51" s="2">
        <f>'Inputs-Results'!A26</f>
        <v>0</v>
      </c>
      <c r="B51" s="2" t="e">
        <f>IF(C51&gt;E51,D51-ABS(_xlfn.XLOOKUP(A51,'Inputs-Results'!$A$9:$A$35,'Inputs-Results'!$S$9:$S$35)-_xlfn.XLOOKUP(A51,'Inputs-Results'!$A$9:$A$35,'Inputs-Results'!$U$9:$U$35))*(C51-E51)/(ABS(_xlfn.XLOOKUP(A51,'Inputs-Results'!$A$9:$A$35,'Inputs-Results'!$T$9:$T$35)-_xlfn.XLOOKUP(A51,'Inputs-Results'!$A$9:$A$35,'Inputs-Results'!$V$9:$V$35))),D51)</f>
        <v>#N/A</v>
      </c>
      <c r="C51" s="2" t="e">
        <f>IFERROR(G51+_xlfn.XLOOKUP(A51,'Ditch Calculations'!$A$34:$A$114,'Ditch Calculations'!$C$34:$C$114),_xlfn.XLOOKUP(A51,'Inputs-Results'!$A$9:$A$35,'Inputs-Results'!$T$9:$T$35))</f>
        <v>#N/A</v>
      </c>
      <c r="D51" s="2" t="e">
        <f>IF(C51&gt;E51,_xlfn.XLOOKUP(A51,'Inputs-Results'!$A$9:$A$35,'Inputs-Results'!$U$9:$U$35),_xlfn.XLOOKUP(A51,'Inputs-Results'!$A$9:$A$35,'Inputs-Results'!$W$9:$W$35)-ABS((_xlfn.XLOOKUP(A51,'Inputs-Results'!$A$9:$A$35,'Inputs-Results'!$W$9:$W$35)-_xlfn.XLOOKUP(A51,'Inputs-Results'!$A$9:$A$35,'Inputs-Results'!$U$9:$U$35))*(E51-G51))/((_xlfn.XLOOKUP(A51,'Inputs-Results'!$A$9:$A$35,'Inputs-Results'!$V$9:$V$35)-_xlfn.XLOOKUP(A51,'Inputs-Results'!$A$9:$A$35,'Inputs-Results'!$X$9:$X$35))))</f>
        <v>#N/A</v>
      </c>
      <c r="E51" s="2" t="e">
        <f>IF(C51&gt;_xlfn.XLOOKUP(A51,'Inputs-Results'!$A$9:$A$35,'Inputs-Results'!$V$9:$V$35),_xlfn.XLOOKUP(A51,'Inputs-Results'!$A$9:$A$35,'Inputs-Results'!$V$9:$V$35),C51)</f>
        <v>#N/A</v>
      </c>
      <c r="F51" s="2" t="e">
        <f>_xlfn.XLOOKUP(A51,'Inputs-Results'!$A$9:$A$35,'Inputs-Results'!$W$9:$W$35)</f>
        <v>#N/A</v>
      </c>
      <c r="G51" s="2" t="e">
        <f>_xlfn.XLOOKUP(A51,'Inputs-Results'!$A$9:$A$35,'Inputs-Results'!$O$9:$O$35)</f>
        <v>#N/A</v>
      </c>
      <c r="H51" s="2" t="e">
        <f>IF(K51&gt;I51,_xlfn.XLOOKUP(A51,'Inputs-Results'!$A$9:$A$35,'Inputs-Results'!$Y$9:$Y$35),_xlfn.XLOOKUP(A51,'Inputs-Results'!$A$9:$A$35,'Inputs-Results'!$W$9:$W$35)+ABS((_xlfn.XLOOKUP(A51,'Inputs-Results'!$A$9:$A$35,'Inputs-Results'!$Y$9:$Y$35)-_xlfn.XLOOKUP(A51,'Inputs-Results'!$A$9:$A$35,'Inputs-Results'!$W$9:$W$35))*(I51-G51)/(_xlfn.XLOOKUP(A51,'Inputs-Results'!$A$9:$A$35,'Inputs-Results'!$Z$9:$Z$35)-_xlfn.XLOOKUP(A51,'Inputs-Results'!$A$9:$A$35,'Inputs-Results'!$X$9:$X$35))))</f>
        <v>#N/A</v>
      </c>
      <c r="I51" s="2" t="e">
        <f>IF(K51&gt;_xlfn.XLOOKUP(A51,'Inputs-Results'!$A$9:$A$35,'Inputs-Results'!$Z$9:$Z$35),_xlfn.XLOOKUP(A51,'Inputs-Results'!$A$9:$A$35,'Inputs-Results'!$Z$9:$Z$35),K51)</f>
        <v>#N/A</v>
      </c>
      <c r="J51" s="41" t="e">
        <f>IF(K51&gt;I51,H51+ABS(_xlfn.XLOOKUP(A51,'Inputs-Results'!$A$9:$A$35,'Inputs-Results'!$AA$9:$AA$35)-_xlfn.XLOOKUP(A51,'Inputs-Results'!$A$9:$A$35,'Inputs-Results'!$Y$9:$Y$35))*(K51-I51)/(ABS(_xlfn.XLOOKUP(A51,'Inputs-Results'!$A$9:$A$35,'Inputs-Results'!$AB$9:$AB$35)-_xlfn.XLOOKUP(A51,'Inputs-Results'!$A$9:$A$35,'Inputs-Results'!$Z$9:$Z$35))),H51)</f>
        <v>#N/A</v>
      </c>
      <c r="K51" s="41" t="e">
        <f t="shared" si="3"/>
        <v>#N/A</v>
      </c>
      <c r="L51" s="41" t="e">
        <f t="shared" si="4"/>
        <v>#N/A</v>
      </c>
      <c r="M51" s="41" t="e">
        <f t="shared" si="5"/>
        <v>#N/A</v>
      </c>
      <c r="N51" s="41" t="e">
        <f t="shared" si="6"/>
        <v>#N/A</v>
      </c>
      <c r="O51" s="41" t="e">
        <f t="shared" si="7"/>
        <v>#N/A</v>
      </c>
      <c r="P51" s="41" t="e">
        <f t="shared" si="17"/>
        <v>#N/A</v>
      </c>
      <c r="Q51" s="41" t="e">
        <f t="shared" si="8"/>
        <v>#N/A</v>
      </c>
      <c r="R51" s="41" t="e">
        <f t="shared" si="9"/>
        <v>#N/A</v>
      </c>
      <c r="S51" s="41" t="e">
        <f t="shared" si="18"/>
        <v>#N/A</v>
      </c>
      <c r="T51" s="41" t="e">
        <f>IF(P51&gt;0,1.486*L51*(L51/P51)^(2/3)/_xlfn.XLOOKUP($A51,'Inputs-Results'!$A$9:$A$35,'Inputs-Results'!$AC$9:$AC$35),0)</f>
        <v>#N/A</v>
      </c>
      <c r="U51" s="41" t="e">
        <f>IF(Q51&gt;0,1.486*M51*(M51/Q51)^(2/3)/_xlfn.XLOOKUP($A51,'Inputs-Results'!$A$9:$A$35,'Inputs-Results'!$AC$9:$AC$35),0)+T51</f>
        <v>#N/A</v>
      </c>
      <c r="V51" s="41" t="e">
        <f>IF(R51&gt;0,1.486*N51*(N51/R51)^(2/3)/_xlfn.XLOOKUP($A51,'Inputs-Results'!$A$9:$A$35,'Inputs-Results'!$AC$9:$AC$35),0)+U51</f>
        <v>#N/A</v>
      </c>
      <c r="W51" s="41" t="e">
        <f>IF(S51&gt;0,1.486*O51*(O51/S51)^(2/3)/_xlfn.XLOOKUP($A51,'Inputs-Results'!$A$9:$A$35,'Inputs-Results'!$AC$9:$AC$35),0)+V51</f>
        <v>#N/A</v>
      </c>
      <c r="X51" s="41" t="e">
        <f>_xlfn.XLOOKUP(A51,'Inputs-Results'!$A$9:$A$35,'Inputs-Results'!$AE$9:$AE$35)</f>
        <v>#N/A</v>
      </c>
      <c r="Y51" s="41" t="e">
        <f>IF(_xlfn.XLOOKUP(A51,'Inputs-Results'!$A$9:$A$35,'Inputs-Results'!$N$9:$N$35)="",IF(X51="left",D51,IF(X51="right",H51,IF(X51="center (Berm)",F51,""))),'Inputs-Results'!N26)</f>
        <v>#N/A</v>
      </c>
      <c r="Z51" s="41" t="e">
        <f>IF(_xlfn.XLOOKUP(A51,'Inputs-Results'!A26:A52,'Inputs-Results'!B26:B52)="P-12",COS(ATAN(1/_xlfn.XLOOKUP(A51,'Inputs-Results'!$A$9:$A$35,'Inputs-Results'!$C$9:$C$35)))*'Standard Data'!$D$12,IF(_xlfn.XLOOKUP(A51,'Inputs-Results'!$A$9:$A$35,'Inputs-Results'!$B$9:$B$35)="N-12",COS(ATAN(1/_xlfn.XLOOKUP(A51,'Inputs-Results'!$A$9:$A$35,'Inputs-Results'!$C$9:$C$35)))*'Standard Data'!$D$13))</f>
        <v>#N/A</v>
      </c>
      <c r="AA51" s="41" t="e">
        <f t="shared" si="10"/>
        <v>#N/A</v>
      </c>
      <c r="AB51" s="41">
        <v>0</v>
      </c>
      <c r="AC51" s="41" t="e">
        <f t="shared" si="11"/>
        <v>#N/A</v>
      </c>
      <c r="AD51" s="41" t="e">
        <f t="shared" si="12"/>
        <v>#N/A</v>
      </c>
      <c r="AE51" s="41" t="e">
        <f t="shared" si="19"/>
        <v>#N/A</v>
      </c>
      <c r="AF51" s="41" t="e">
        <f t="shared" si="13"/>
        <v>#N/A</v>
      </c>
      <c r="AG51" s="41" t="e">
        <f t="shared" si="14"/>
        <v>#N/A</v>
      </c>
      <c r="AH51" s="41" t="e">
        <f t="shared" si="15"/>
        <v>#N/A</v>
      </c>
      <c r="AI51" s="19" t="e">
        <f>AF51/$AE51*_xlfn.XLOOKUP(A51,'Inputs-Results'!$A$9:$A$35,'Inputs-Results'!$M$9:$M$35)</f>
        <v>#N/A</v>
      </c>
      <c r="AJ51" s="19" t="e">
        <f>AG51/$AE51*_xlfn.XLOOKUP(A51,'Inputs-Results'!$A$9:$A$35,'Inputs-Results'!$M$9:$M$35)</f>
        <v>#N/A</v>
      </c>
      <c r="AK51" s="19" t="e">
        <f>AH51/$AE51*_xlfn.XLOOKUP(A51,'Inputs-Results'!$A$9:$A$35,'Inputs-Results'!$M$9:$M$35)</f>
        <v>#N/A</v>
      </c>
      <c r="AL51" s="18" t="e">
        <f>1/(1+0.15*_xlfn.XLOOKUP(A51,$A$3:$A$29,$C$3:$C$29)^1.8/(1/IF(AND(X51="left",AA51&lt;D51),ABS((_xlfn.XLOOKUP(A51,'Inputs-Results'!$A$9:$A$35,'Inputs-Results'!$U$9:$U$35)-_xlfn.XLOOKUP(A51,'Inputs-Results'!$A$9:$A$35,'Inputs-Results'!$S$9:$S$35))/(_xlfn.XLOOKUP(A51,'Inputs-Results'!$A$9:$A$35,'Inputs-Results'!$T$9:$T$35)-_xlfn.XLOOKUP(A51,'Inputs-Results'!$A$9:$A$35,'Inputs-Results'!$V$9:$V$35))),IF(AND(X51="left",AA51&lt;=F51,AA51&gt;D51),ABS((_xlfn.XLOOKUP(A51,'Inputs-Results'!$A$9:$A$35,'Inputs-Results'!$W$9:$W$35)-_xlfn.XLOOKUP(A51,'Inputs-Results'!$A$9:$A$35,'Inputs-Results'!$U$9:$U$35))/(_xlfn.XLOOKUP(A51,'Inputs-Results'!$A$9:$A$35,'Inputs-Results'!$V$9:$V$35)-_xlfn.XLOOKUP(A51,'Inputs-Results'!$A$9:$A$35,'Inputs-Results'!$X$9:$X$35))),IF(AND(X51="right",Y51&gt;H51),ABS((_xlfn.XLOOKUP(A51,'Inputs-Results'!$A$9:$A$35,'Inputs-Results'!$AA$9:$AA$35)-_xlfn.XLOOKUP(A51,'Inputs-Results'!$A$9:$A$35,'Inputs-Results'!$Y$9:$Y$35))/(_xlfn.XLOOKUP(A51,'Inputs-Results'!$A$9:$A$35,'Inputs-Results'!$AB$9:$AB$35)-_xlfn.XLOOKUP(A51,'Inputs-Results'!$A$9:$A$35,'Inputs-Results'!$Z$9:$Z$35))),IF(AND(X51="right",Y51&lt;=H51,Y51&gt;=F51),(_xlfn.XLOOKUP(A51,'Inputs-Results'!$A$9:$A$35,'Inputs-Results'!$Y$9:$Y$35)-_xlfn.XLOOKUP(A51,'Inputs-Results'!$A$9:$A$35,'Inputs-Results'!$W$9:$W$35))/(_xlfn.XLOOKUP(A51,'Inputs-Results'!$A$9:$A$35,'Inputs-Results'!$Z$9:$Z$35)-_xlfn.XLOOKUP(A51,'Inputs-Results'!$A$9:$A$35,'Inputs-Results'!$X$9:$X$35)))))))/'Standard Data'!$C$12^2.3)</f>
        <v>#N/A</v>
      </c>
      <c r="AM51" s="18" t="e">
        <f>MIN(1-0.09*(_xlfn.XLOOKUP(A51,$A$3:$A$29,$C$3:$C$29)-'Standard Data'!$G$12),1)</f>
        <v>#N/A</v>
      </c>
      <c r="AN51" s="18" t="e">
        <f>1/(1+0.15*_xlfn.XLOOKUP(A51,$A$3:$A$29,$C$3:$C$29)^1.8/(1/IF(AND(X51="left",AA51&lt;D51),ABS((_xlfn.XLOOKUP(A51,'Inputs-Results'!$A$9:$A$35,'Inputs-Results'!$U$9:$U$35)-_xlfn.XLOOKUP(A51,'Inputs-Results'!$A$9:$A$35,'Inputs-Results'!$S$9:$S$35))/(_xlfn.XLOOKUP(A51,'Inputs-Results'!$A$9:$A$35,'Inputs-Results'!$T$9:$T$35)-_xlfn.XLOOKUP(A51,'Inputs-Results'!$A$9:$A$35,'Inputs-Results'!$V$9:$V$35))),IF(AND(X51="left",AA51&lt;=F51,AA51&gt;D51),ABS((_xlfn.XLOOKUP(A51,'Inputs-Results'!$A$9:$A$35,'Inputs-Results'!$W$9:$W$35)-_xlfn.XLOOKUP(A51,'Inputs-Results'!$A$9:$A$35,'Inputs-Results'!$U$9:$U$35))/(_xlfn.XLOOKUP(A51,'Inputs-Results'!$A$9:$A$35,'Inputs-Results'!$V$9:$V$35)-_xlfn.XLOOKUP(A51,'Inputs-Results'!$A$9:$A$35,'Inputs-Results'!$X$9:$X$35))),IF(AND(X51="right",Y51&gt;H51),ABS((_xlfn.XLOOKUP(A51,'Inputs-Results'!$A$9:$A$35,'Inputs-Results'!$AA$9:$AA$35)-_xlfn.XLOOKUP(A51,'Inputs-Results'!$A$9:$A$35,'Inputs-Results'!$Y$9:$Y$35))/(_xlfn.XLOOKUP(A51,'Inputs-Results'!$A$9:$A$35,'Inputs-Results'!$AB$9:$AB$35)-_xlfn.XLOOKUP(A51,'Inputs-Results'!$A$9:$A$35,'Inputs-Results'!$Z$9:$Z$35))),IF(AND(X51="right",Y51&lt;=H51,Y51&gt;=F51),(_xlfn.XLOOKUP(A51,'Inputs-Results'!$A$9:$A$35,'Inputs-Results'!$Y$9:$Y$35)-_xlfn.XLOOKUP(A51,'Inputs-Results'!$A$9:$A$35,'Inputs-Results'!$W$9:$W$35))/(_xlfn.XLOOKUP(A51,'Inputs-Results'!$A$9:$A$35,'Inputs-Results'!$Z$9:$Z$35)-_xlfn.XLOOKUP(A51,'Inputs-Results'!$A$9:$A$35,'Inputs-Results'!$X$9:$X$35)))))))/'Standard Data'!$C$12^2.3)</f>
        <v>#N/A</v>
      </c>
      <c r="AO51" s="19" t="e">
        <f t="shared" si="20"/>
        <v>#N/A</v>
      </c>
      <c r="AP51" s="19" t="e">
        <f t="shared" si="21"/>
        <v>#N/A</v>
      </c>
      <c r="AQ51" s="2" t="str">
        <f t="shared" si="16"/>
        <v/>
      </c>
    </row>
    <row r="52" spans="1:43" x14ac:dyDescent="0.25">
      <c r="A52" s="2">
        <f>'Inputs-Results'!A27</f>
        <v>0</v>
      </c>
      <c r="B52" s="2" t="e">
        <f>IF(C52&gt;E52,D52-ABS(_xlfn.XLOOKUP(A52,'Inputs-Results'!$A$9:$A$35,'Inputs-Results'!$S$9:$S$35)-_xlfn.XLOOKUP(A52,'Inputs-Results'!$A$9:$A$35,'Inputs-Results'!$U$9:$U$35))*(C52-E52)/(ABS(_xlfn.XLOOKUP(A52,'Inputs-Results'!$A$9:$A$35,'Inputs-Results'!$T$9:$T$35)-_xlfn.XLOOKUP(A52,'Inputs-Results'!$A$9:$A$35,'Inputs-Results'!$V$9:$V$35))),D52)</f>
        <v>#N/A</v>
      </c>
      <c r="C52" s="2" t="e">
        <f>IFERROR(G52+_xlfn.XLOOKUP(A52,'Ditch Calculations'!$A$34:$A$114,'Ditch Calculations'!$C$34:$C$114),_xlfn.XLOOKUP(A52,'Inputs-Results'!$A$9:$A$35,'Inputs-Results'!$T$9:$T$35))</f>
        <v>#N/A</v>
      </c>
      <c r="D52" s="2" t="e">
        <f>IF(C52&gt;E52,_xlfn.XLOOKUP(A52,'Inputs-Results'!$A$9:$A$35,'Inputs-Results'!$U$9:$U$35),_xlfn.XLOOKUP(A52,'Inputs-Results'!$A$9:$A$35,'Inputs-Results'!$W$9:$W$35)-ABS((_xlfn.XLOOKUP(A52,'Inputs-Results'!$A$9:$A$35,'Inputs-Results'!$W$9:$W$35)-_xlfn.XLOOKUP(A52,'Inputs-Results'!$A$9:$A$35,'Inputs-Results'!$U$9:$U$35))*(E52-G52))/((_xlfn.XLOOKUP(A52,'Inputs-Results'!$A$9:$A$35,'Inputs-Results'!$V$9:$V$35)-_xlfn.XLOOKUP(A52,'Inputs-Results'!$A$9:$A$35,'Inputs-Results'!$X$9:$X$35))))</f>
        <v>#N/A</v>
      </c>
      <c r="E52" s="2" t="e">
        <f>IF(C52&gt;_xlfn.XLOOKUP(A52,'Inputs-Results'!$A$9:$A$35,'Inputs-Results'!$V$9:$V$35),_xlfn.XLOOKUP(A52,'Inputs-Results'!$A$9:$A$35,'Inputs-Results'!$V$9:$V$35),C52)</f>
        <v>#N/A</v>
      </c>
      <c r="F52" s="2" t="e">
        <f>_xlfn.XLOOKUP(A52,'Inputs-Results'!$A$9:$A$35,'Inputs-Results'!$W$9:$W$35)</f>
        <v>#N/A</v>
      </c>
      <c r="G52" s="2" t="e">
        <f>_xlfn.XLOOKUP(A52,'Inputs-Results'!$A$9:$A$35,'Inputs-Results'!$O$9:$O$35)</f>
        <v>#N/A</v>
      </c>
      <c r="H52" s="2" t="e">
        <f>IF(K52&gt;I52,_xlfn.XLOOKUP(A52,'Inputs-Results'!$A$9:$A$35,'Inputs-Results'!$Y$9:$Y$35),_xlfn.XLOOKUP(A52,'Inputs-Results'!$A$9:$A$35,'Inputs-Results'!$W$9:$W$35)+ABS((_xlfn.XLOOKUP(A52,'Inputs-Results'!$A$9:$A$35,'Inputs-Results'!$Y$9:$Y$35)-_xlfn.XLOOKUP(A52,'Inputs-Results'!$A$9:$A$35,'Inputs-Results'!$W$9:$W$35))*(I52-G52)/(_xlfn.XLOOKUP(A52,'Inputs-Results'!$A$9:$A$35,'Inputs-Results'!$Z$9:$Z$35)-_xlfn.XLOOKUP(A52,'Inputs-Results'!$A$9:$A$35,'Inputs-Results'!$X$9:$X$35))))</f>
        <v>#N/A</v>
      </c>
      <c r="I52" s="2" t="e">
        <f>IF(K52&gt;_xlfn.XLOOKUP(A52,'Inputs-Results'!$A$9:$A$35,'Inputs-Results'!$Z$9:$Z$35),_xlfn.XLOOKUP(A52,'Inputs-Results'!$A$9:$A$35,'Inputs-Results'!$Z$9:$Z$35),K52)</f>
        <v>#N/A</v>
      </c>
      <c r="J52" s="41" t="e">
        <f>IF(K52&gt;I52,H52+ABS(_xlfn.XLOOKUP(A52,'Inputs-Results'!$A$9:$A$35,'Inputs-Results'!$AA$9:$AA$35)-_xlfn.XLOOKUP(A52,'Inputs-Results'!$A$9:$A$35,'Inputs-Results'!$Y$9:$Y$35))*(K52-I52)/(ABS(_xlfn.XLOOKUP(A52,'Inputs-Results'!$A$9:$A$35,'Inputs-Results'!$AB$9:$AB$35)-_xlfn.XLOOKUP(A52,'Inputs-Results'!$A$9:$A$35,'Inputs-Results'!$Z$9:$Z$35))),H52)</f>
        <v>#N/A</v>
      </c>
      <c r="K52" s="41" t="e">
        <f t="shared" si="3"/>
        <v>#N/A</v>
      </c>
      <c r="L52" s="41" t="e">
        <f t="shared" si="4"/>
        <v>#N/A</v>
      </c>
      <c r="M52" s="41" t="e">
        <f t="shared" si="5"/>
        <v>#N/A</v>
      </c>
      <c r="N52" s="41" t="e">
        <f t="shared" si="6"/>
        <v>#N/A</v>
      </c>
      <c r="O52" s="41" t="e">
        <f t="shared" si="7"/>
        <v>#N/A</v>
      </c>
      <c r="P52" s="41" t="e">
        <f t="shared" si="17"/>
        <v>#N/A</v>
      </c>
      <c r="Q52" s="41" t="e">
        <f t="shared" si="8"/>
        <v>#N/A</v>
      </c>
      <c r="R52" s="41" t="e">
        <f t="shared" si="9"/>
        <v>#N/A</v>
      </c>
      <c r="S52" s="41" t="e">
        <f t="shared" si="18"/>
        <v>#N/A</v>
      </c>
      <c r="T52" s="41" t="e">
        <f>IF(P52&gt;0,1.486*L52*(L52/P52)^(2/3)/_xlfn.XLOOKUP($A52,'Inputs-Results'!$A$9:$A$35,'Inputs-Results'!$AC$9:$AC$35),0)</f>
        <v>#N/A</v>
      </c>
      <c r="U52" s="41" t="e">
        <f>IF(Q52&gt;0,1.486*M52*(M52/Q52)^(2/3)/_xlfn.XLOOKUP($A52,'Inputs-Results'!$A$9:$A$35,'Inputs-Results'!$AC$9:$AC$35),0)+T52</f>
        <v>#N/A</v>
      </c>
      <c r="V52" s="41" t="e">
        <f>IF(R52&gt;0,1.486*N52*(N52/R52)^(2/3)/_xlfn.XLOOKUP($A52,'Inputs-Results'!$A$9:$A$35,'Inputs-Results'!$AC$9:$AC$35),0)+U52</f>
        <v>#N/A</v>
      </c>
      <c r="W52" s="41" t="e">
        <f>IF(S52&gt;0,1.486*O52*(O52/S52)^(2/3)/_xlfn.XLOOKUP($A52,'Inputs-Results'!$A$9:$A$35,'Inputs-Results'!$AC$9:$AC$35),0)+V52</f>
        <v>#N/A</v>
      </c>
      <c r="X52" s="41" t="e">
        <f>_xlfn.XLOOKUP(A52,'Inputs-Results'!$A$9:$A$35,'Inputs-Results'!$AE$9:$AE$35)</f>
        <v>#N/A</v>
      </c>
      <c r="Y52" s="41" t="e">
        <f>IF(_xlfn.XLOOKUP(A52,'Inputs-Results'!$A$9:$A$35,'Inputs-Results'!$N$9:$N$35)="",IF(X52="left",D52,IF(X52="right",H52,IF(X52="center (Berm)",F52,""))),'Inputs-Results'!N27)</f>
        <v>#N/A</v>
      </c>
      <c r="Z52" s="41" t="e">
        <f>IF(_xlfn.XLOOKUP(A52,'Inputs-Results'!A27:A53,'Inputs-Results'!B27:B53)="P-12",COS(ATAN(1/_xlfn.XLOOKUP(A52,'Inputs-Results'!$A$9:$A$35,'Inputs-Results'!$C$9:$C$35)))*'Standard Data'!$D$12,IF(_xlfn.XLOOKUP(A52,'Inputs-Results'!$A$9:$A$35,'Inputs-Results'!$B$9:$B$35)="N-12",COS(ATAN(1/_xlfn.XLOOKUP(A52,'Inputs-Results'!$A$9:$A$35,'Inputs-Results'!$C$9:$C$35)))*'Standard Data'!$D$13))</f>
        <v>#N/A</v>
      </c>
      <c r="AA52" s="41" t="e">
        <f t="shared" si="10"/>
        <v>#N/A</v>
      </c>
      <c r="AB52" s="41">
        <v>0</v>
      </c>
      <c r="AC52" s="41" t="e">
        <f t="shared" si="11"/>
        <v>#N/A</v>
      </c>
      <c r="AD52" s="41" t="e">
        <f t="shared" si="12"/>
        <v>#N/A</v>
      </c>
      <c r="AE52" s="41" t="e">
        <f t="shared" si="19"/>
        <v>#N/A</v>
      </c>
      <c r="AF52" s="41" t="e">
        <f t="shared" si="13"/>
        <v>#N/A</v>
      </c>
      <c r="AG52" s="41" t="e">
        <f t="shared" si="14"/>
        <v>#N/A</v>
      </c>
      <c r="AH52" s="41" t="e">
        <f t="shared" si="15"/>
        <v>#N/A</v>
      </c>
      <c r="AI52" s="19" t="e">
        <f>AF52/$AE52*_xlfn.XLOOKUP(A52,'Inputs-Results'!$A$9:$A$35,'Inputs-Results'!$M$9:$M$35)</f>
        <v>#N/A</v>
      </c>
      <c r="AJ52" s="19" t="e">
        <f>AG52/$AE52*_xlfn.XLOOKUP(A52,'Inputs-Results'!$A$9:$A$35,'Inputs-Results'!$M$9:$M$35)</f>
        <v>#N/A</v>
      </c>
      <c r="AK52" s="19" t="e">
        <f>AH52/$AE52*_xlfn.XLOOKUP(A52,'Inputs-Results'!$A$9:$A$35,'Inputs-Results'!$M$9:$M$35)</f>
        <v>#N/A</v>
      </c>
      <c r="AL52" s="18" t="e">
        <f>1/(1+0.15*_xlfn.XLOOKUP(A52,$A$3:$A$29,$C$3:$C$29)^1.8/(1/IF(AND(X52="left",AA52&lt;D52),ABS((_xlfn.XLOOKUP(A52,'Inputs-Results'!$A$9:$A$35,'Inputs-Results'!$U$9:$U$35)-_xlfn.XLOOKUP(A52,'Inputs-Results'!$A$9:$A$35,'Inputs-Results'!$S$9:$S$35))/(_xlfn.XLOOKUP(A52,'Inputs-Results'!$A$9:$A$35,'Inputs-Results'!$T$9:$T$35)-_xlfn.XLOOKUP(A52,'Inputs-Results'!$A$9:$A$35,'Inputs-Results'!$V$9:$V$35))),IF(AND(X52="left",AA52&lt;=F52,AA52&gt;D52),ABS((_xlfn.XLOOKUP(A52,'Inputs-Results'!$A$9:$A$35,'Inputs-Results'!$W$9:$W$35)-_xlfn.XLOOKUP(A52,'Inputs-Results'!$A$9:$A$35,'Inputs-Results'!$U$9:$U$35))/(_xlfn.XLOOKUP(A52,'Inputs-Results'!$A$9:$A$35,'Inputs-Results'!$V$9:$V$35)-_xlfn.XLOOKUP(A52,'Inputs-Results'!$A$9:$A$35,'Inputs-Results'!$X$9:$X$35))),IF(AND(X52="right",Y52&gt;H52),ABS((_xlfn.XLOOKUP(A52,'Inputs-Results'!$A$9:$A$35,'Inputs-Results'!$AA$9:$AA$35)-_xlfn.XLOOKUP(A52,'Inputs-Results'!$A$9:$A$35,'Inputs-Results'!$Y$9:$Y$35))/(_xlfn.XLOOKUP(A52,'Inputs-Results'!$A$9:$A$35,'Inputs-Results'!$AB$9:$AB$35)-_xlfn.XLOOKUP(A52,'Inputs-Results'!$A$9:$A$35,'Inputs-Results'!$Z$9:$Z$35))),IF(AND(X52="right",Y52&lt;=H52,Y52&gt;=F52),(_xlfn.XLOOKUP(A52,'Inputs-Results'!$A$9:$A$35,'Inputs-Results'!$Y$9:$Y$35)-_xlfn.XLOOKUP(A52,'Inputs-Results'!$A$9:$A$35,'Inputs-Results'!$W$9:$W$35))/(_xlfn.XLOOKUP(A52,'Inputs-Results'!$A$9:$A$35,'Inputs-Results'!$Z$9:$Z$35)-_xlfn.XLOOKUP(A52,'Inputs-Results'!$A$9:$A$35,'Inputs-Results'!$X$9:$X$35)))))))/'Standard Data'!$C$12^2.3)</f>
        <v>#N/A</v>
      </c>
      <c r="AM52" s="18" t="e">
        <f>MIN(1-0.09*(_xlfn.XLOOKUP(A52,$A$3:$A$29,$C$3:$C$29)-'Standard Data'!$G$12),1)</f>
        <v>#N/A</v>
      </c>
      <c r="AN52" s="18" t="e">
        <f>1/(1+0.15*_xlfn.XLOOKUP(A52,$A$3:$A$29,$C$3:$C$29)^1.8/(1/IF(AND(X52="left",AA52&lt;D52),ABS((_xlfn.XLOOKUP(A52,'Inputs-Results'!$A$9:$A$35,'Inputs-Results'!$U$9:$U$35)-_xlfn.XLOOKUP(A52,'Inputs-Results'!$A$9:$A$35,'Inputs-Results'!$S$9:$S$35))/(_xlfn.XLOOKUP(A52,'Inputs-Results'!$A$9:$A$35,'Inputs-Results'!$T$9:$T$35)-_xlfn.XLOOKUP(A52,'Inputs-Results'!$A$9:$A$35,'Inputs-Results'!$V$9:$V$35))),IF(AND(X52="left",AA52&lt;=F52,AA52&gt;D52),ABS((_xlfn.XLOOKUP(A52,'Inputs-Results'!$A$9:$A$35,'Inputs-Results'!$W$9:$W$35)-_xlfn.XLOOKUP(A52,'Inputs-Results'!$A$9:$A$35,'Inputs-Results'!$U$9:$U$35))/(_xlfn.XLOOKUP(A52,'Inputs-Results'!$A$9:$A$35,'Inputs-Results'!$V$9:$V$35)-_xlfn.XLOOKUP(A52,'Inputs-Results'!$A$9:$A$35,'Inputs-Results'!$X$9:$X$35))),IF(AND(X52="right",Y52&gt;H52),ABS((_xlfn.XLOOKUP(A52,'Inputs-Results'!$A$9:$A$35,'Inputs-Results'!$AA$9:$AA$35)-_xlfn.XLOOKUP(A52,'Inputs-Results'!$A$9:$A$35,'Inputs-Results'!$Y$9:$Y$35))/(_xlfn.XLOOKUP(A52,'Inputs-Results'!$A$9:$A$35,'Inputs-Results'!$AB$9:$AB$35)-_xlfn.XLOOKUP(A52,'Inputs-Results'!$A$9:$A$35,'Inputs-Results'!$Z$9:$Z$35))),IF(AND(X52="right",Y52&lt;=H52,Y52&gt;=F52),(_xlfn.XLOOKUP(A52,'Inputs-Results'!$A$9:$A$35,'Inputs-Results'!$Y$9:$Y$35)-_xlfn.XLOOKUP(A52,'Inputs-Results'!$A$9:$A$35,'Inputs-Results'!$W$9:$W$35))/(_xlfn.XLOOKUP(A52,'Inputs-Results'!$A$9:$A$35,'Inputs-Results'!$Z$9:$Z$35)-_xlfn.XLOOKUP(A52,'Inputs-Results'!$A$9:$A$35,'Inputs-Results'!$X$9:$X$35)))))))/'Standard Data'!$C$12^2.3)</f>
        <v>#N/A</v>
      </c>
      <c r="AO52" s="19" t="e">
        <f t="shared" si="20"/>
        <v>#N/A</v>
      </c>
      <c r="AP52" s="19" t="e">
        <f t="shared" si="21"/>
        <v>#N/A</v>
      </c>
      <c r="AQ52" s="2" t="str">
        <f t="shared" si="16"/>
        <v/>
      </c>
    </row>
    <row r="53" spans="1:43" x14ac:dyDescent="0.25">
      <c r="A53" s="2">
        <f>'Inputs-Results'!A28</f>
        <v>0</v>
      </c>
      <c r="B53" s="2" t="e">
        <f>IF(C53&gt;E53,D53-ABS(_xlfn.XLOOKUP(A53,'Inputs-Results'!$A$9:$A$35,'Inputs-Results'!$S$9:$S$35)-_xlfn.XLOOKUP(A53,'Inputs-Results'!$A$9:$A$35,'Inputs-Results'!$U$9:$U$35))*(C53-E53)/(ABS(_xlfn.XLOOKUP(A53,'Inputs-Results'!$A$9:$A$35,'Inputs-Results'!$T$9:$T$35)-_xlfn.XLOOKUP(A53,'Inputs-Results'!$A$9:$A$35,'Inputs-Results'!$V$9:$V$35))),D53)</f>
        <v>#N/A</v>
      </c>
      <c r="C53" s="2" t="e">
        <f>IFERROR(G53+_xlfn.XLOOKUP(A53,'Ditch Calculations'!$A$34:$A$114,'Ditch Calculations'!$C$34:$C$114),_xlfn.XLOOKUP(A53,'Inputs-Results'!$A$9:$A$35,'Inputs-Results'!$T$9:$T$35))</f>
        <v>#N/A</v>
      </c>
      <c r="D53" s="2" t="e">
        <f>IF(C53&gt;E53,_xlfn.XLOOKUP(A53,'Inputs-Results'!$A$9:$A$35,'Inputs-Results'!$U$9:$U$35),_xlfn.XLOOKUP(A53,'Inputs-Results'!$A$9:$A$35,'Inputs-Results'!$W$9:$W$35)-ABS((_xlfn.XLOOKUP(A53,'Inputs-Results'!$A$9:$A$35,'Inputs-Results'!$W$9:$W$35)-_xlfn.XLOOKUP(A53,'Inputs-Results'!$A$9:$A$35,'Inputs-Results'!$U$9:$U$35))*(E53-G53))/((_xlfn.XLOOKUP(A53,'Inputs-Results'!$A$9:$A$35,'Inputs-Results'!$V$9:$V$35)-_xlfn.XLOOKUP(A53,'Inputs-Results'!$A$9:$A$35,'Inputs-Results'!$X$9:$X$35))))</f>
        <v>#N/A</v>
      </c>
      <c r="E53" s="2" t="e">
        <f>IF(C53&gt;_xlfn.XLOOKUP(A53,'Inputs-Results'!$A$9:$A$35,'Inputs-Results'!$V$9:$V$35),_xlfn.XLOOKUP(A53,'Inputs-Results'!$A$9:$A$35,'Inputs-Results'!$V$9:$V$35),C53)</f>
        <v>#N/A</v>
      </c>
      <c r="F53" s="2" t="e">
        <f>_xlfn.XLOOKUP(A53,'Inputs-Results'!$A$9:$A$35,'Inputs-Results'!$W$9:$W$35)</f>
        <v>#N/A</v>
      </c>
      <c r="G53" s="2" t="e">
        <f>_xlfn.XLOOKUP(A53,'Inputs-Results'!$A$9:$A$35,'Inputs-Results'!$O$9:$O$35)</f>
        <v>#N/A</v>
      </c>
      <c r="H53" s="2" t="e">
        <f>IF(K53&gt;I53,_xlfn.XLOOKUP(A53,'Inputs-Results'!$A$9:$A$35,'Inputs-Results'!$Y$9:$Y$35),_xlfn.XLOOKUP(A53,'Inputs-Results'!$A$9:$A$35,'Inputs-Results'!$W$9:$W$35)+ABS((_xlfn.XLOOKUP(A53,'Inputs-Results'!$A$9:$A$35,'Inputs-Results'!$Y$9:$Y$35)-_xlfn.XLOOKUP(A53,'Inputs-Results'!$A$9:$A$35,'Inputs-Results'!$W$9:$W$35))*(I53-G53)/(_xlfn.XLOOKUP(A53,'Inputs-Results'!$A$9:$A$35,'Inputs-Results'!$Z$9:$Z$35)-_xlfn.XLOOKUP(A53,'Inputs-Results'!$A$9:$A$35,'Inputs-Results'!$X$9:$X$35))))</f>
        <v>#N/A</v>
      </c>
      <c r="I53" s="2" t="e">
        <f>IF(K53&gt;_xlfn.XLOOKUP(A53,'Inputs-Results'!$A$9:$A$35,'Inputs-Results'!$Z$9:$Z$35),_xlfn.XLOOKUP(A53,'Inputs-Results'!$A$9:$A$35,'Inputs-Results'!$Z$9:$Z$35),K53)</f>
        <v>#N/A</v>
      </c>
      <c r="J53" s="41" t="e">
        <f>IF(K53&gt;I53,H53+ABS(_xlfn.XLOOKUP(A53,'Inputs-Results'!$A$9:$A$35,'Inputs-Results'!$AA$9:$AA$35)-_xlfn.XLOOKUP(A53,'Inputs-Results'!$A$9:$A$35,'Inputs-Results'!$Y$9:$Y$35))*(K53-I53)/(ABS(_xlfn.XLOOKUP(A53,'Inputs-Results'!$A$9:$A$35,'Inputs-Results'!$AB$9:$AB$35)-_xlfn.XLOOKUP(A53,'Inputs-Results'!$A$9:$A$35,'Inputs-Results'!$Z$9:$Z$35))),H53)</f>
        <v>#N/A</v>
      </c>
      <c r="K53" s="41" t="e">
        <f t="shared" si="3"/>
        <v>#N/A</v>
      </c>
      <c r="L53" s="41" t="e">
        <f t="shared" si="4"/>
        <v>#N/A</v>
      </c>
      <c r="M53" s="41" t="e">
        <f t="shared" si="5"/>
        <v>#N/A</v>
      </c>
      <c r="N53" s="41" t="e">
        <f t="shared" si="6"/>
        <v>#N/A</v>
      </c>
      <c r="O53" s="41" t="e">
        <f t="shared" si="7"/>
        <v>#N/A</v>
      </c>
      <c r="P53" s="41" t="e">
        <f t="shared" si="17"/>
        <v>#N/A</v>
      </c>
      <c r="Q53" s="41" t="e">
        <f t="shared" si="8"/>
        <v>#N/A</v>
      </c>
      <c r="R53" s="41" t="e">
        <f t="shared" si="9"/>
        <v>#N/A</v>
      </c>
      <c r="S53" s="41" t="e">
        <f t="shared" si="18"/>
        <v>#N/A</v>
      </c>
      <c r="T53" s="41" t="e">
        <f>IF(P53&gt;0,1.486*L53*(L53/P53)^(2/3)/_xlfn.XLOOKUP($A53,'Inputs-Results'!$A$9:$A$35,'Inputs-Results'!$AC$9:$AC$35),0)</f>
        <v>#N/A</v>
      </c>
      <c r="U53" s="41" t="e">
        <f>IF(Q53&gt;0,1.486*M53*(M53/Q53)^(2/3)/_xlfn.XLOOKUP($A53,'Inputs-Results'!$A$9:$A$35,'Inputs-Results'!$AC$9:$AC$35),0)+T53</f>
        <v>#N/A</v>
      </c>
      <c r="V53" s="41" t="e">
        <f>IF(R53&gt;0,1.486*N53*(N53/R53)^(2/3)/_xlfn.XLOOKUP($A53,'Inputs-Results'!$A$9:$A$35,'Inputs-Results'!$AC$9:$AC$35),0)+U53</f>
        <v>#N/A</v>
      </c>
      <c r="W53" s="41" t="e">
        <f>IF(S53&gt;0,1.486*O53*(O53/S53)^(2/3)/_xlfn.XLOOKUP($A53,'Inputs-Results'!$A$9:$A$35,'Inputs-Results'!$AC$9:$AC$35),0)+V53</f>
        <v>#N/A</v>
      </c>
      <c r="X53" s="41" t="e">
        <f>_xlfn.XLOOKUP(A53,'Inputs-Results'!$A$9:$A$35,'Inputs-Results'!$AE$9:$AE$35)</f>
        <v>#N/A</v>
      </c>
      <c r="Y53" s="41" t="e">
        <f>IF(_xlfn.XLOOKUP(A53,'Inputs-Results'!$A$9:$A$35,'Inputs-Results'!$N$9:$N$35)="",IF(X53="left",D53,IF(X53="right",H53,IF(X53="center (Berm)",F53,""))),'Inputs-Results'!N28)</f>
        <v>#N/A</v>
      </c>
      <c r="Z53" s="41" t="e">
        <f>IF(_xlfn.XLOOKUP(A53,'Inputs-Results'!A28:A54,'Inputs-Results'!B28:B54)="P-12",COS(ATAN(1/_xlfn.XLOOKUP(A53,'Inputs-Results'!$A$9:$A$35,'Inputs-Results'!$C$9:$C$35)))*'Standard Data'!$D$12,IF(_xlfn.XLOOKUP(A53,'Inputs-Results'!$A$9:$A$35,'Inputs-Results'!$B$9:$B$35)="N-12",COS(ATAN(1/_xlfn.XLOOKUP(A53,'Inputs-Results'!$A$9:$A$35,'Inputs-Results'!$C$9:$C$35)))*'Standard Data'!$D$13))</f>
        <v>#N/A</v>
      </c>
      <c r="AA53" s="41" t="e">
        <f t="shared" si="10"/>
        <v>#N/A</v>
      </c>
      <c r="AB53" s="41">
        <v>0</v>
      </c>
      <c r="AC53" s="41" t="e">
        <f t="shared" si="11"/>
        <v>#N/A</v>
      </c>
      <c r="AD53" s="41" t="e">
        <f t="shared" si="12"/>
        <v>#N/A</v>
      </c>
      <c r="AE53" s="41" t="e">
        <f t="shared" si="19"/>
        <v>#N/A</v>
      </c>
      <c r="AF53" s="41" t="e">
        <f t="shared" si="13"/>
        <v>#N/A</v>
      </c>
      <c r="AG53" s="41" t="e">
        <f t="shared" si="14"/>
        <v>#N/A</v>
      </c>
      <c r="AH53" s="41" t="e">
        <f t="shared" si="15"/>
        <v>#N/A</v>
      </c>
      <c r="AI53" s="19" t="e">
        <f>AF53/$AE53*_xlfn.XLOOKUP(A53,'Inputs-Results'!$A$9:$A$35,'Inputs-Results'!$M$9:$M$35)</f>
        <v>#N/A</v>
      </c>
      <c r="AJ53" s="19" t="e">
        <f>AG53/$AE53*_xlfn.XLOOKUP(A53,'Inputs-Results'!$A$9:$A$35,'Inputs-Results'!$M$9:$M$35)</f>
        <v>#N/A</v>
      </c>
      <c r="AK53" s="19" t="e">
        <f>AH53/$AE53*_xlfn.XLOOKUP(A53,'Inputs-Results'!$A$9:$A$35,'Inputs-Results'!$M$9:$M$35)</f>
        <v>#N/A</v>
      </c>
      <c r="AL53" s="18" t="e">
        <f>1/(1+0.15*_xlfn.XLOOKUP(A53,$A$3:$A$29,$C$3:$C$29)^1.8/(1/IF(AND(X53="left",AA53&lt;D53),ABS((_xlfn.XLOOKUP(A53,'Inputs-Results'!$A$9:$A$35,'Inputs-Results'!$U$9:$U$35)-_xlfn.XLOOKUP(A53,'Inputs-Results'!$A$9:$A$35,'Inputs-Results'!$S$9:$S$35))/(_xlfn.XLOOKUP(A53,'Inputs-Results'!$A$9:$A$35,'Inputs-Results'!$T$9:$T$35)-_xlfn.XLOOKUP(A53,'Inputs-Results'!$A$9:$A$35,'Inputs-Results'!$V$9:$V$35))),IF(AND(X53="left",AA53&lt;=F53,AA53&gt;D53),ABS((_xlfn.XLOOKUP(A53,'Inputs-Results'!$A$9:$A$35,'Inputs-Results'!$W$9:$W$35)-_xlfn.XLOOKUP(A53,'Inputs-Results'!$A$9:$A$35,'Inputs-Results'!$U$9:$U$35))/(_xlfn.XLOOKUP(A53,'Inputs-Results'!$A$9:$A$35,'Inputs-Results'!$V$9:$V$35)-_xlfn.XLOOKUP(A53,'Inputs-Results'!$A$9:$A$35,'Inputs-Results'!$X$9:$X$35))),IF(AND(X53="right",Y53&gt;H53),ABS((_xlfn.XLOOKUP(A53,'Inputs-Results'!$A$9:$A$35,'Inputs-Results'!$AA$9:$AA$35)-_xlfn.XLOOKUP(A53,'Inputs-Results'!$A$9:$A$35,'Inputs-Results'!$Y$9:$Y$35))/(_xlfn.XLOOKUP(A53,'Inputs-Results'!$A$9:$A$35,'Inputs-Results'!$AB$9:$AB$35)-_xlfn.XLOOKUP(A53,'Inputs-Results'!$A$9:$A$35,'Inputs-Results'!$Z$9:$Z$35))),IF(AND(X53="right",Y53&lt;=H53,Y53&gt;=F53),(_xlfn.XLOOKUP(A53,'Inputs-Results'!$A$9:$A$35,'Inputs-Results'!$Y$9:$Y$35)-_xlfn.XLOOKUP(A53,'Inputs-Results'!$A$9:$A$35,'Inputs-Results'!$W$9:$W$35))/(_xlfn.XLOOKUP(A53,'Inputs-Results'!$A$9:$A$35,'Inputs-Results'!$Z$9:$Z$35)-_xlfn.XLOOKUP(A53,'Inputs-Results'!$A$9:$A$35,'Inputs-Results'!$X$9:$X$35)))))))/'Standard Data'!$C$12^2.3)</f>
        <v>#N/A</v>
      </c>
      <c r="AM53" s="18" t="e">
        <f>MIN(1-0.09*(_xlfn.XLOOKUP(A53,$A$3:$A$29,$C$3:$C$29)-'Standard Data'!$G$12),1)</f>
        <v>#N/A</v>
      </c>
      <c r="AN53" s="18" t="e">
        <f>1/(1+0.15*_xlfn.XLOOKUP(A53,$A$3:$A$29,$C$3:$C$29)^1.8/(1/IF(AND(X53="left",AA53&lt;D53),ABS((_xlfn.XLOOKUP(A53,'Inputs-Results'!$A$9:$A$35,'Inputs-Results'!$U$9:$U$35)-_xlfn.XLOOKUP(A53,'Inputs-Results'!$A$9:$A$35,'Inputs-Results'!$S$9:$S$35))/(_xlfn.XLOOKUP(A53,'Inputs-Results'!$A$9:$A$35,'Inputs-Results'!$T$9:$T$35)-_xlfn.XLOOKUP(A53,'Inputs-Results'!$A$9:$A$35,'Inputs-Results'!$V$9:$V$35))),IF(AND(X53="left",AA53&lt;=F53,AA53&gt;D53),ABS((_xlfn.XLOOKUP(A53,'Inputs-Results'!$A$9:$A$35,'Inputs-Results'!$W$9:$W$35)-_xlfn.XLOOKUP(A53,'Inputs-Results'!$A$9:$A$35,'Inputs-Results'!$U$9:$U$35))/(_xlfn.XLOOKUP(A53,'Inputs-Results'!$A$9:$A$35,'Inputs-Results'!$V$9:$V$35)-_xlfn.XLOOKUP(A53,'Inputs-Results'!$A$9:$A$35,'Inputs-Results'!$X$9:$X$35))),IF(AND(X53="right",Y53&gt;H53),ABS((_xlfn.XLOOKUP(A53,'Inputs-Results'!$A$9:$A$35,'Inputs-Results'!$AA$9:$AA$35)-_xlfn.XLOOKUP(A53,'Inputs-Results'!$A$9:$A$35,'Inputs-Results'!$Y$9:$Y$35))/(_xlfn.XLOOKUP(A53,'Inputs-Results'!$A$9:$A$35,'Inputs-Results'!$AB$9:$AB$35)-_xlfn.XLOOKUP(A53,'Inputs-Results'!$A$9:$A$35,'Inputs-Results'!$Z$9:$Z$35))),IF(AND(X53="right",Y53&lt;=H53,Y53&gt;=F53),(_xlfn.XLOOKUP(A53,'Inputs-Results'!$A$9:$A$35,'Inputs-Results'!$Y$9:$Y$35)-_xlfn.XLOOKUP(A53,'Inputs-Results'!$A$9:$A$35,'Inputs-Results'!$W$9:$W$35))/(_xlfn.XLOOKUP(A53,'Inputs-Results'!$A$9:$A$35,'Inputs-Results'!$Z$9:$Z$35)-_xlfn.XLOOKUP(A53,'Inputs-Results'!$A$9:$A$35,'Inputs-Results'!$X$9:$X$35)))))))/'Standard Data'!$C$12^2.3)</f>
        <v>#N/A</v>
      </c>
      <c r="AO53" s="19" t="e">
        <f t="shared" si="20"/>
        <v>#N/A</v>
      </c>
      <c r="AP53" s="19" t="e">
        <f t="shared" si="21"/>
        <v>#N/A</v>
      </c>
      <c r="AQ53" s="2" t="str">
        <f t="shared" si="16"/>
        <v/>
      </c>
    </row>
    <row r="54" spans="1:43" x14ac:dyDescent="0.25">
      <c r="A54" s="2">
        <f>'Inputs-Results'!A29</f>
        <v>0</v>
      </c>
      <c r="B54" s="2" t="e">
        <f>IF(C54&gt;E54,D54-ABS(_xlfn.XLOOKUP(A54,'Inputs-Results'!$A$9:$A$35,'Inputs-Results'!$S$9:$S$35)-_xlfn.XLOOKUP(A54,'Inputs-Results'!$A$9:$A$35,'Inputs-Results'!$U$9:$U$35))*(C54-E54)/(ABS(_xlfn.XLOOKUP(A54,'Inputs-Results'!$A$9:$A$35,'Inputs-Results'!$T$9:$T$35)-_xlfn.XLOOKUP(A54,'Inputs-Results'!$A$9:$A$35,'Inputs-Results'!$V$9:$V$35))),D54)</f>
        <v>#N/A</v>
      </c>
      <c r="C54" s="2" t="e">
        <f>IFERROR(G54+_xlfn.XLOOKUP(A54,'Ditch Calculations'!$A$34:$A$114,'Ditch Calculations'!$C$34:$C$114),_xlfn.XLOOKUP(A54,'Inputs-Results'!$A$9:$A$35,'Inputs-Results'!$T$9:$T$35))</f>
        <v>#N/A</v>
      </c>
      <c r="D54" s="2" t="e">
        <f>IF(C54&gt;E54,_xlfn.XLOOKUP(A54,'Inputs-Results'!$A$9:$A$35,'Inputs-Results'!$U$9:$U$35),_xlfn.XLOOKUP(A54,'Inputs-Results'!$A$9:$A$35,'Inputs-Results'!$W$9:$W$35)-ABS((_xlfn.XLOOKUP(A54,'Inputs-Results'!$A$9:$A$35,'Inputs-Results'!$W$9:$W$35)-_xlfn.XLOOKUP(A54,'Inputs-Results'!$A$9:$A$35,'Inputs-Results'!$U$9:$U$35))*(E54-G54))/((_xlfn.XLOOKUP(A54,'Inputs-Results'!$A$9:$A$35,'Inputs-Results'!$V$9:$V$35)-_xlfn.XLOOKUP(A54,'Inputs-Results'!$A$9:$A$35,'Inputs-Results'!$X$9:$X$35))))</f>
        <v>#N/A</v>
      </c>
      <c r="E54" s="2" t="e">
        <f>IF(C54&gt;_xlfn.XLOOKUP(A54,'Inputs-Results'!$A$9:$A$35,'Inputs-Results'!$V$9:$V$35),_xlfn.XLOOKUP(A54,'Inputs-Results'!$A$9:$A$35,'Inputs-Results'!$V$9:$V$35),C54)</f>
        <v>#N/A</v>
      </c>
      <c r="F54" s="2" t="e">
        <f>_xlfn.XLOOKUP(A54,'Inputs-Results'!$A$9:$A$35,'Inputs-Results'!$W$9:$W$35)</f>
        <v>#N/A</v>
      </c>
      <c r="G54" s="2" t="e">
        <f>_xlfn.XLOOKUP(A54,'Inputs-Results'!$A$9:$A$35,'Inputs-Results'!$O$9:$O$35)</f>
        <v>#N/A</v>
      </c>
      <c r="H54" s="2" t="e">
        <f>IF(K54&gt;I54,_xlfn.XLOOKUP(A54,'Inputs-Results'!$A$9:$A$35,'Inputs-Results'!$Y$9:$Y$35),_xlfn.XLOOKUP(A54,'Inputs-Results'!$A$9:$A$35,'Inputs-Results'!$W$9:$W$35)+ABS((_xlfn.XLOOKUP(A54,'Inputs-Results'!$A$9:$A$35,'Inputs-Results'!$Y$9:$Y$35)-_xlfn.XLOOKUP(A54,'Inputs-Results'!$A$9:$A$35,'Inputs-Results'!$W$9:$W$35))*(I54-G54)/(_xlfn.XLOOKUP(A54,'Inputs-Results'!$A$9:$A$35,'Inputs-Results'!$Z$9:$Z$35)-_xlfn.XLOOKUP(A54,'Inputs-Results'!$A$9:$A$35,'Inputs-Results'!$X$9:$X$35))))</f>
        <v>#N/A</v>
      </c>
      <c r="I54" s="2" t="e">
        <f>IF(K54&gt;_xlfn.XLOOKUP(A54,'Inputs-Results'!$A$9:$A$35,'Inputs-Results'!$Z$9:$Z$35),_xlfn.XLOOKUP(A54,'Inputs-Results'!$A$9:$A$35,'Inputs-Results'!$Z$9:$Z$35),K54)</f>
        <v>#N/A</v>
      </c>
      <c r="J54" s="41" t="e">
        <f>IF(K54&gt;I54,H54+ABS(_xlfn.XLOOKUP(A54,'Inputs-Results'!$A$9:$A$35,'Inputs-Results'!$AA$9:$AA$35)-_xlfn.XLOOKUP(A54,'Inputs-Results'!$A$9:$A$35,'Inputs-Results'!$Y$9:$Y$35))*(K54-I54)/(ABS(_xlfn.XLOOKUP(A54,'Inputs-Results'!$A$9:$A$35,'Inputs-Results'!$AB$9:$AB$35)-_xlfn.XLOOKUP(A54,'Inputs-Results'!$A$9:$A$35,'Inputs-Results'!$Z$9:$Z$35))),H54)</f>
        <v>#N/A</v>
      </c>
      <c r="K54" s="41" t="e">
        <f t="shared" si="3"/>
        <v>#N/A</v>
      </c>
      <c r="L54" s="41" t="e">
        <f t="shared" si="4"/>
        <v>#N/A</v>
      </c>
      <c r="M54" s="41" t="e">
        <f t="shared" si="5"/>
        <v>#N/A</v>
      </c>
      <c r="N54" s="41" t="e">
        <f t="shared" si="6"/>
        <v>#N/A</v>
      </c>
      <c r="O54" s="41" t="e">
        <f t="shared" si="7"/>
        <v>#N/A</v>
      </c>
      <c r="P54" s="41" t="e">
        <f t="shared" si="17"/>
        <v>#N/A</v>
      </c>
      <c r="Q54" s="41" t="e">
        <f t="shared" si="8"/>
        <v>#N/A</v>
      </c>
      <c r="R54" s="41" t="e">
        <f t="shared" si="9"/>
        <v>#N/A</v>
      </c>
      <c r="S54" s="41" t="e">
        <f t="shared" si="18"/>
        <v>#N/A</v>
      </c>
      <c r="T54" s="41" t="e">
        <f>IF(P54&gt;0,1.486*L54*(L54/P54)^(2/3)/_xlfn.XLOOKUP($A54,'Inputs-Results'!$A$9:$A$35,'Inputs-Results'!$AC$9:$AC$35),0)</f>
        <v>#N/A</v>
      </c>
      <c r="U54" s="41" t="e">
        <f>IF(Q54&gt;0,1.486*M54*(M54/Q54)^(2/3)/_xlfn.XLOOKUP($A54,'Inputs-Results'!$A$9:$A$35,'Inputs-Results'!$AC$9:$AC$35),0)+T54</f>
        <v>#N/A</v>
      </c>
      <c r="V54" s="41" t="e">
        <f>IF(R54&gt;0,1.486*N54*(N54/R54)^(2/3)/_xlfn.XLOOKUP($A54,'Inputs-Results'!$A$9:$A$35,'Inputs-Results'!$AC$9:$AC$35),0)+U54</f>
        <v>#N/A</v>
      </c>
      <c r="W54" s="41" t="e">
        <f>IF(S54&gt;0,1.486*O54*(O54/S54)^(2/3)/_xlfn.XLOOKUP($A54,'Inputs-Results'!$A$9:$A$35,'Inputs-Results'!$AC$9:$AC$35),0)+V54</f>
        <v>#N/A</v>
      </c>
      <c r="X54" s="41" t="e">
        <f>_xlfn.XLOOKUP(A54,'Inputs-Results'!$A$9:$A$35,'Inputs-Results'!$AE$9:$AE$35)</f>
        <v>#N/A</v>
      </c>
      <c r="Y54" s="41" t="e">
        <f>IF(_xlfn.XLOOKUP(A54,'Inputs-Results'!$A$9:$A$35,'Inputs-Results'!$N$9:$N$35)="",IF(X54="left",D54,IF(X54="right",H54,IF(X54="center (Berm)",F54,""))),'Inputs-Results'!N29)</f>
        <v>#N/A</v>
      </c>
      <c r="Z54" s="41" t="e">
        <f>IF(_xlfn.XLOOKUP(A54,'Inputs-Results'!A29:A55,'Inputs-Results'!B29:B55)="P-12",COS(ATAN(1/_xlfn.XLOOKUP(A54,'Inputs-Results'!$A$9:$A$35,'Inputs-Results'!$C$9:$C$35)))*'Standard Data'!$D$12,IF(_xlfn.XLOOKUP(A54,'Inputs-Results'!$A$9:$A$35,'Inputs-Results'!$B$9:$B$35)="N-12",COS(ATAN(1/_xlfn.XLOOKUP(A54,'Inputs-Results'!$A$9:$A$35,'Inputs-Results'!$C$9:$C$35)))*'Standard Data'!$D$13))</f>
        <v>#N/A</v>
      </c>
      <c r="AA54" s="41" t="e">
        <f t="shared" si="10"/>
        <v>#N/A</v>
      </c>
      <c r="AB54" s="41">
        <v>0</v>
      </c>
      <c r="AC54" s="41" t="e">
        <f t="shared" si="11"/>
        <v>#N/A</v>
      </c>
      <c r="AD54" s="41" t="e">
        <f t="shared" si="12"/>
        <v>#N/A</v>
      </c>
      <c r="AE54" s="41" t="e">
        <f t="shared" si="19"/>
        <v>#N/A</v>
      </c>
      <c r="AF54" s="41" t="e">
        <f t="shared" si="13"/>
        <v>#N/A</v>
      </c>
      <c r="AG54" s="41" t="e">
        <f t="shared" si="14"/>
        <v>#N/A</v>
      </c>
      <c r="AH54" s="41" t="e">
        <f t="shared" si="15"/>
        <v>#N/A</v>
      </c>
      <c r="AI54" s="19" t="e">
        <f>AF54/$AE54*_xlfn.XLOOKUP(A54,'Inputs-Results'!$A$9:$A$35,'Inputs-Results'!$M$9:$M$35)</f>
        <v>#N/A</v>
      </c>
      <c r="AJ54" s="19" t="e">
        <f>AG54/$AE54*_xlfn.XLOOKUP(A54,'Inputs-Results'!$A$9:$A$35,'Inputs-Results'!$M$9:$M$35)</f>
        <v>#N/A</v>
      </c>
      <c r="AK54" s="19" t="e">
        <f>AH54/$AE54*_xlfn.XLOOKUP(A54,'Inputs-Results'!$A$9:$A$35,'Inputs-Results'!$M$9:$M$35)</f>
        <v>#N/A</v>
      </c>
      <c r="AL54" s="18" t="e">
        <f>1/(1+0.15*_xlfn.XLOOKUP(A54,$A$3:$A$29,$C$3:$C$29)^1.8/(1/IF(AND(X54="left",AA54&lt;D54),ABS((_xlfn.XLOOKUP(A54,'Inputs-Results'!$A$9:$A$35,'Inputs-Results'!$U$9:$U$35)-_xlfn.XLOOKUP(A54,'Inputs-Results'!$A$9:$A$35,'Inputs-Results'!$S$9:$S$35))/(_xlfn.XLOOKUP(A54,'Inputs-Results'!$A$9:$A$35,'Inputs-Results'!$T$9:$T$35)-_xlfn.XLOOKUP(A54,'Inputs-Results'!$A$9:$A$35,'Inputs-Results'!$V$9:$V$35))),IF(AND(X54="left",AA54&lt;=F54,AA54&gt;D54),ABS((_xlfn.XLOOKUP(A54,'Inputs-Results'!$A$9:$A$35,'Inputs-Results'!$W$9:$W$35)-_xlfn.XLOOKUP(A54,'Inputs-Results'!$A$9:$A$35,'Inputs-Results'!$U$9:$U$35))/(_xlfn.XLOOKUP(A54,'Inputs-Results'!$A$9:$A$35,'Inputs-Results'!$V$9:$V$35)-_xlfn.XLOOKUP(A54,'Inputs-Results'!$A$9:$A$35,'Inputs-Results'!$X$9:$X$35))),IF(AND(X54="right",Y54&gt;H54),ABS((_xlfn.XLOOKUP(A54,'Inputs-Results'!$A$9:$A$35,'Inputs-Results'!$AA$9:$AA$35)-_xlfn.XLOOKUP(A54,'Inputs-Results'!$A$9:$A$35,'Inputs-Results'!$Y$9:$Y$35))/(_xlfn.XLOOKUP(A54,'Inputs-Results'!$A$9:$A$35,'Inputs-Results'!$AB$9:$AB$35)-_xlfn.XLOOKUP(A54,'Inputs-Results'!$A$9:$A$35,'Inputs-Results'!$Z$9:$Z$35))),IF(AND(X54="right",Y54&lt;=H54,Y54&gt;=F54),(_xlfn.XLOOKUP(A54,'Inputs-Results'!$A$9:$A$35,'Inputs-Results'!$Y$9:$Y$35)-_xlfn.XLOOKUP(A54,'Inputs-Results'!$A$9:$A$35,'Inputs-Results'!$W$9:$W$35))/(_xlfn.XLOOKUP(A54,'Inputs-Results'!$A$9:$A$35,'Inputs-Results'!$Z$9:$Z$35)-_xlfn.XLOOKUP(A54,'Inputs-Results'!$A$9:$A$35,'Inputs-Results'!$X$9:$X$35)))))))/'Standard Data'!$C$12^2.3)</f>
        <v>#N/A</v>
      </c>
      <c r="AM54" s="18" t="e">
        <f>MIN(1-0.09*(_xlfn.XLOOKUP(A54,$A$3:$A$29,$C$3:$C$29)-'Standard Data'!$G$12),1)</f>
        <v>#N/A</v>
      </c>
      <c r="AN54" s="18" t="e">
        <f>1/(1+0.15*_xlfn.XLOOKUP(A54,$A$3:$A$29,$C$3:$C$29)^1.8/(1/IF(AND(X54="left",AA54&lt;D54),ABS((_xlfn.XLOOKUP(A54,'Inputs-Results'!$A$9:$A$35,'Inputs-Results'!$U$9:$U$35)-_xlfn.XLOOKUP(A54,'Inputs-Results'!$A$9:$A$35,'Inputs-Results'!$S$9:$S$35))/(_xlfn.XLOOKUP(A54,'Inputs-Results'!$A$9:$A$35,'Inputs-Results'!$T$9:$T$35)-_xlfn.XLOOKUP(A54,'Inputs-Results'!$A$9:$A$35,'Inputs-Results'!$V$9:$V$35))),IF(AND(X54="left",AA54&lt;=F54,AA54&gt;D54),ABS((_xlfn.XLOOKUP(A54,'Inputs-Results'!$A$9:$A$35,'Inputs-Results'!$W$9:$W$35)-_xlfn.XLOOKUP(A54,'Inputs-Results'!$A$9:$A$35,'Inputs-Results'!$U$9:$U$35))/(_xlfn.XLOOKUP(A54,'Inputs-Results'!$A$9:$A$35,'Inputs-Results'!$V$9:$V$35)-_xlfn.XLOOKUP(A54,'Inputs-Results'!$A$9:$A$35,'Inputs-Results'!$X$9:$X$35))),IF(AND(X54="right",Y54&gt;H54),ABS((_xlfn.XLOOKUP(A54,'Inputs-Results'!$A$9:$A$35,'Inputs-Results'!$AA$9:$AA$35)-_xlfn.XLOOKUP(A54,'Inputs-Results'!$A$9:$A$35,'Inputs-Results'!$Y$9:$Y$35))/(_xlfn.XLOOKUP(A54,'Inputs-Results'!$A$9:$A$35,'Inputs-Results'!$AB$9:$AB$35)-_xlfn.XLOOKUP(A54,'Inputs-Results'!$A$9:$A$35,'Inputs-Results'!$Z$9:$Z$35))),IF(AND(X54="right",Y54&lt;=H54,Y54&gt;=F54),(_xlfn.XLOOKUP(A54,'Inputs-Results'!$A$9:$A$35,'Inputs-Results'!$Y$9:$Y$35)-_xlfn.XLOOKUP(A54,'Inputs-Results'!$A$9:$A$35,'Inputs-Results'!$W$9:$W$35))/(_xlfn.XLOOKUP(A54,'Inputs-Results'!$A$9:$A$35,'Inputs-Results'!$Z$9:$Z$35)-_xlfn.XLOOKUP(A54,'Inputs-Results'!$A$9:$A$35,'Inputs-Results'!$X$9:$X$35)))))))/'Standard Data'!$C$12^2.3)</f>
        <v>#N/A</v>
      </c>
      <c r="AO54" s="19" t="e">
        <f t="shared" si="20"/>
        <v>#N/A</v>
      </c>
      <c r="AP54" s="19" t="e">
        <f t="shared" si="21"/>
        <v>#N/A</v>
      </c>
      <c r="AQ54" s="2" t="str">
        <f t="shared" si="16"/>
        <v/>
      </c>
    </row>
    <row r="55" spans="1:43" x14ac:dyDescent="0.25">
      <c r="A55" s="2">
        <f>'Inputs-Results'!A30</f>
        <v>0</v>
      </c>
      <c r="B55" s="2" t="e">
        <f>IF(C55&gt;E55,D55-ABS(_xlfn.XLOOKUP(A55,'Inputs-Results'!$A$9:$A$35,'Inputs-Results'!$S$9:$S$35)-_xlfn.XLOOKUP(A55,'Inputs-Results'!$A$9:$A$35,'Inputs-Results'!$U$9:$U$35))*(C55-E55)/(ABS(_xlfn.XLOOKUP(A55,'Inputs-Results'!$A$9:$A$35,'Inputs-Results'!$T$9:$T$35)-_xlfn.XLOOKUP(A55,'Inputs-Results'!$A$9:$A$35,'Inputs-Results'!$V$9:$V$35))),D55)</f>
        <v>#N/A</v>
      </c>
      <c r="C55" s="2" t="e">
        <f>IFERROR(G55+_xlfn.XLOOKUP(A55,'Ditch Calculations'!$A$34:$A$114,'Ditch Calculations'!$C$34:$C$114),_xlfn.XLOOKUP(A55,'Inputs-Results'!$A$9:$A$35,'Inputs-Results'!$T$9:$T$35))</f>
        <v>#N/A</v>
      </c>
      <c r="D55" s="2" t="e">
        <f>IF(C55&gt;E55,_xlfn.XLOOKUP(A55,'Inputs-Results'!$A$9:$A$35,'Inputs-Results'!$U$9:$U$35),_xlfn.XLOOKUP(A55,'Inputs-Results'!$A$9:$A$35,'Inputs-Results'!$W$9:$W$35)-ABS((_xlfn.XLOOKUP(A55,'Inputs-Results'!$A$9:$A$35,'Inputs-Results'!$W$9:$W$35)-_xlfn.XLOOKUP(A55,'Inputs-Results'!$A$9:$A$35,'Inputs-Results'!$U$9:$U$35))*(E55-G55))/((_xlfn.XLOOKUP(A55,'Inputs-Results'!$A$9:$A$35,'Inputs-Results'!$V$9:$V$35)-_xlfn.XLOOKUP(A55,'Inputs-Results'!$A$9:$A$35,'Inputs-Results'!$X$9:$X$35))))</f>
        <v>#N/A</v>
      </c>
      <c r="E55" s="2" t="e">
        <f>IF(C55&gt;_xlfn.XLOOKUP(A55,'Inputs-Results'!$A$9:$A$35,'Inputs-Results'!$V$9:$V$35),_xlfn.XLOOKUP(A55,'Inputs-Results'!$A$9:$A$35,'Inputs-Results'!$V$9:$V$35),C55)</f>
        <v>#N/A</v>
      </c>
      <c r="F55" s="2" t="e">
        <f>_xlfn.XLOOKUP(A55,'Inputs-Results'!$A$9:$A$35,'Inputs-Results'!$W$9:$W$35)</f>
        <v>#N/A</v>
      </c>
      <c r="G55" s="2" t="e">
        <f>_xlfn.XLOOKUP(A55,'Inputs-Results'!$A$9:$A$35,'Inputs-Results'!$O$9:$O$35)</f>
        <v>#N/A</v>
      </c>
      <c r="H55" s="2" t="e">
        <f>IF(K55&gt;I55,_xlfn.XLOOKUP(A55,'Inputs-Results'!$A$9:$A$35,'Inputs-Results'!$Y$9:$Y$35),_xlfn.XLOOKUP(A55,'Inputs-Results'!$A$9:$A$35,'Inputs-Results'!$W$9:$W$35)+ABS((_xlfn.XLOOKUP(A55,'Inputs-Results'!$A$9:$A$35,'Inputs-Results'!$Y$9:$Y$35)-_xlfn.XLOOKUP(A55,'Inputs-Results'!$A$9:$A$35,'Inputs-Results'!$W$9:$W$35))*(I55-G55)/(_xlfn.XLOOKUP(A55,'Inputs-Results'!$A$9:$A$35,'Inputs-Results'!$Z$9:$Z$35)-_xlfn.XLOOKUP(A55,'Inputs-Results'!$A$9:$A$35,'Inputs-Results'!$X$9:$X$35))))</f>
        <v>#N/A</v>
      </c>
      <c r="I55" s="2" t="e">
        <f>IF(K55&gt;_xlfn.XLOOKUP(A55,'Inputs-Results'!$A$9:$A$35,'Inputs-Results'!$Z$9:$Z$35),_xlfn.XLOOKUP(A55,'Inputs-Results'!$A$9:$A$35,'Inputs-Results'!$Z$9:$Z$35),K55)</f>
        <v>#N/A</v>
      </c>
      <c r="J55" s="41" t="e">
        <f>IF(K55&gt;I55,H55+ABS(_xlfn.XLOOKUP(A55,'Inputs-Results'!$A$9:$A$35,'Inputs-Results'!$AA$9:$AA$35)-_xlfn.XLOOKUP(A55,'Inputs-Results'!$A$9:$A$35,'Inputs-Results'!$Y$9:$Y$35))*(K55-I55)/(ABS(_xlfn.XLOOKUP(A55,'Inputs-Results'!$A$9:$A$35,'Inputs-Results'!$AB$9:$AB$35)-_xlfn.XLOOKUP(A55,'Inputs-Results'!$A$9:$A$35,'Inputs-Results'!$Z$9:$Z$35))),H55)</f>
        <v>#N/A</v>
      </c>
      <c r="K55" s="41" t="e">
        <f t="shared" si="3"/>
        <v>#N/A</v>
      </c>
      <c r="L55" s="41" t="e">
        <f t="shared" si="4"/>
        <v>#N/A</v>
      </c>
      <c r="M55" s="41" t="e">
        <f t="shared" si="5"/>
        <v>#N/A</v>
      </c>
      <c r="N55" s="41" t="e">
        <f t="shared" si="6"/>
        <v>#N/A</v>
      </c>
      <c r="O55" s="41" t="e">
        <f t="shared" si="7"/>
        <v>#N/A</v>
      </c>
      <c r="P55" s="41" t="e">
        <f t="shared" si="17"/>
        <v>#N/A</v>
      </c>
      <c r="Q55" s="41" t="e">
        <f t="shared" si="8"/>
        <v>#N/A</v>
      </c>
      <c r="R55" s="41" t="e">
        <f t="shared" si="9"/>
        <v>#N/A</v>
      </c>
      <c r="S55" s="41" t="e">
        <f t="shared" si="18"/>
        <v>#N/A</v>
      </c>
      <c r="T55" s="41" t="e">
        <f>IF(P55&gt;0,1.486*L55*(L55/P55)^(2/3)/_xlfn.XLOOKUP($A55,'Inputs-Results'!$A$9:$A$35,'Inputs-Results'!$AC$9:$AC$35),0)</f>
        <v>#N/A</v>
      </c>
      <c r="U55" s="41" t="e">
        <f>IF(Q55&gt;0,1.486*M55*(M55/Q55)^(2/3)/_xlfn.XLOOKUP($A55,'Inputs-Results'!$A$9:$A$35,'Inputs-Results'!$AC$9:$AC$35),0)+T55</f>
        <v>#N/A</v>
      </c>
      <c r="V55" s="41" t="e">
        <f>IF(R55&gt;0,1.486*N55*(N55/R55)^(2/3)/_xlfn.XLOOKUP($A55,'Inputs-Results'!$A$9:$A$35,'Inputs-Results'!$AC$9:$AC$35),0)+U55</f>
        <v>#N/A</v>
      </c>
      <c r="W55" s="41" t="e">
        <f>IF(S55&gt;0,1.486*O55*(O55/S55)^(2/3)/_xlfn.XLOOKUP($A55,'Inputs-Results'!$A$9:$A$35,'Inputs-Results'!$AC$9:$AC$35),0)+V55</f>
        <v>#N/A</v>
      </c>
      <c r="X55" s="41" t="e">
        <f>_xlfn.XLOOKUP(A55,'Inputs-Results'!$A$9:$A$35,'Inputs-Results'!$AE$9:$AE$35)</f>
        <v>#N/A</v>
      </c>
      <c r="Y55" s="41" t="e">
        <f>IF(_xlfn.XLOOKUP(A55,'Inputs-Results'!$A$9:$A$35,'Inputs-Results'!$N$9:$N$35)="",IF(X55="left",D55,IF(X55="right",H55,IF(X55="center (Berm)",F55,""))),'Inputs-Results'!N30)</f>
        <v>#N/A</v>
      </c>
      <c r="Z55" s="41" t="e">
        <f>IF(_xlfn.XLOOKUP(A55,'Inputs-Results'!A30:A56,'Inputs-Results'!B30:B56)="P-12",COS(ATAN(1/_xlfn.XLOOKUP(A55,'Inputs-Results'!$A$9:$A$35,'Inputs-Results'!$C$9:$C$35)))*'Standard Data'!$D$12,IF(_xlfn.XLOOKUP(A55,'Inputs-Results'!$A$9:$A$35,'Inputs-Results'!$B$9:$B$35)="N-12",COS(ATAN(1/_xlfn.XLOOKUP(A55,'Inputs-Results'!$A$9:$A$35,'Inputs-Results'!$C$9:$C$35)))*'Standard Data'!$D$13))</f>
        <v>#N/A</v>
      </c>
      <c r="AA55" s="41" t="e">
        <f t="shared" si="10"/>
        <v>#N/A</v>
      </c>
      <c r="AB55" s="41">
        <v>0</v>
      </c>
      <c r="AC55" s="41" t="e">
        <f t="shared" si="11"/>
        <v>#N/A</v>
      </c>
      <c r="AD55" s="41" t="e">
        <f t="shared" si="12"/>
        <v>#N/A</v>
      </c>
      <c r="AE55" s="41" t="e">
        <f t="shared" si="19"/>
        <v>#N/A</v>
      </c>
      <c r="AF55" s="41" t="e">
        <f t="shared" si="13"/>
        <v>#N/A</v>
      </c>
      <c r="AG55" s="41" t="e">
        <f t="shared" si="14"/>
        <v>#N/A</v>
      </c>
      <c r="AH55" s="41" t="e">
        <f t="shared" si="15"/>
        <v>#N/A</v>
      </c>
      <c r="AI55" s="19" t="e">
        <f>AF55/$AE55*_xlfn.XLOOKUP(A55,'Inputs-Results'!$A$9:$A$35,'Inputs-Results'!$M$9:$M$35)</f>
        <v>#N/A</v>
      </c>
      <c r="AJ55" s="19" t="e">
        <f>AG55/$AE55*_xlfn.XLOOKUP(A55,'Inputs-Results'!$A$9:$A$35,'Inputs-Results'!$M$9:$M$35)</f>
        <v>#N/A</v>
      </c>
      <c r="AK55" s="19" t="e">
        <f>AH55/$AE55*_xlfn.XLOOKUP(A55,'Inputs-Results'!$A$9:$A$35,'Inputs-Results'!$M$9:$M$35)</f>
        <v>#N/A</v>
      </c>
      <c r="AL55" s="18" t="e">
        <f>1/(1+0.15*_xlfn.XLOOKUP(A55,$A$3:$A$29,$C$3:$C$29)^1.8/(1/IF(AND(X55="left",AA55&lt;D55),ABS((_xlfn.XLOOKUP(A55,'Inputs-Results'!$A$9:$A$35,'Inputs-Results'!$U$9:$U$35)-_xlfn.XLOOKUP(A55,'Inputs-Results'!$A$9:$A$35,'Inputs-Results'!$S$9:$S$35))/(_xlfn.XLOOKUP(A55,'Inputs-Results'!$A$9:$A$35,'Inputs-Results'!$T$9:$T$35)-_xlfn.XLOOKUP(A55,'Inputs-Results'!$A$9:$A$35,'Inputs-Results'!$V$9:$V$35))),IF(AND(X55="left",AA55&lt;=F55,AA55&gt;D55),ABS((_xlfn.XLOOKUP(A55,'Inputs-Results'!$A$9:$A$35,'Inputs-Results'!$W$9:$W$35)-_xlfn.XLOOKUP(A55,'Inputs-Results'!$A$9:$A$35,'Inputs-Results'!$U$9:$U$35))/(_xlfn.XLOOKUP(A55,'Inputs-Results'!$A$9:$A$35,'Inputs-Results'!$V$9:$V$35)-_xlfn.XLOOKUP(A55,'Inputs-Results'!$A$9:$A$35,'Inputs-Results'!$X$9:$X$35))),IF(AND(X55="right",Y55&gt;H55),ABS((_xlfn.XLOOKUP(A55,'Inputs-Results'!$A$9:$A$35,'Inputs-Results'!$AA$9:$AA$35)-_xlfn.XLOOKUP(A55,'Inputs-Results'!$A$9:$A$35,'Inputs-Results'!$Y$9:$Y$35))/(_xlfn.XLOOKUP(A55,'Inputs-Results'!$A$9:$A$35,'Inputs-Results'!$AB$9:$AB$35)-_xlfn.XLOOKUP(A55,'Inputs-Results'!$A$9:$A$35,'Inputs-Results'!$Z$9:$Z$35))),IF(AND(X55="right",Y55&lt;=H55,Y55&gt;=F55),(_xlfn.XLOOKUP(A55,'Inputs-Results'!$A$9:$A$35,'Inputs-Results'!$Y$9:$Y$35)-_xlfn.XLOOKUP(A55,'Inputs-Results'!$A$9:$A$35,'Inputs-Results'!$W$9:$W$35))/(_xlfn.XLOOKUP(A55,'Inputs-Results'!$A$9:$A$35,'Inputs-Results'!$Z$9:$Z$35)-_xlfn.XLOOKUP(A55,'Inputs-Results'!$A$9:$A$35,'Inputs-Results'!$X$9:$X$35)))))))/'Standard Data'!$C$12^2.3)</f>
        <v>#N/A</v>
      </c>
      <c r="AM55" s="18" t="e">
        <f>MIN(1-0.09*(_xlfn.XLOOKUP(A55,$A$3:$A$29,$C$3:$C$29)-'Standard Data'!$G$12),1)</f>
        <v>#N/A</v>
      </c>
      <c r="AN55" s="18" t="e">
        <f>1/(1+0.15*_xlfn.XLOOKUP(A55,$A$3:$A$29,$C$3:$C$29)^1.8/(1/IF(AND(X55="left",AA55&lt;D55),ABS((_xlfn.XLOOKUP(A55,'Inputs-Results'!$A$9:$A$35,'Inputs-Results'!$U$9:$U$35)-_xlfn.XLOOKUP(A55,'Inputs-Results'!$A$9:$A$35,'Inputs-Results'!$S$9:$S$35))/(_xlfn.XLOOKUP(A55,'Inputs-Results'!$A$9:$A$35,'Inputs-Results'!$T$9:$T$35)-_xlfn.XLOOKUP(A55,'Inputs-Results'!$A$9:$A$35,'Inputs-Results'!$V$9:$V$35))),IF(AND(X55="left",AA55&lt;=F55,AA55&gt;D55),ABS((_xlfn.XLOOKUP(A55,'Inputs-Results'!$A$9:$A$35,'Inputs-Results'!$W$9:$W$35)-_xlfn.XLOOKUP(A55,'Inputs-Results'!$A$9:$A$35,'Inputs-Results'!$U$9:$U$35))/(_xlfn.XLOOKUP(A55,'Inputs-Results'!$A$9:$A$35,'Inputs-Results'!$V$9:$V$35)-_xlfn.XLOOKUP(A55,'Inputs-Results'!$A$9:$A$35,'Inputs-Results'!$X$9:$X$35))),IF(AND(X55="right",Y55&gt;H55),ABS((_xlfn.XLOOKUP(A55,'Inputs-Results'!$A$9:$A$35,'Inputs-Results'!$AA$9:$AA$35)-_xlfn.XLOOKUP(A55,'Inputs-Results'!$A$9:$A$35,'Inputs-Results'!$Y$9:$Y$35))/(_xlfn.XLOOKUP(A55,'Inputs-Results'!$A$9:$A$35,'Inputs-Results'!$AB$9:$AB$35)-_xlfn.XLOOKUP(A55,'Inputs-Results'!$A$9:$A$35,'Inputs-Results'!$Z$9:$Z$35))),IF(AND(X55="right",Y55&lt;=H55,Y55&gt;=F55),(_xlfn.XLOOKUP(A55,'Inputs-Results'!$A$9:$A$35,'Inputs-Results'!$Y$9:$Y$35)-_xlfn.XLOOKUP(A55,'Inputs-Results'!$A$9:$A$35,'Inputs-Results'!$W$9:$W$35))/(_xlfn.XLOOKUP(A55,'Inputs-Results'!$A$9:$A$35,'Inputs-Results'!$Z$9:$Z$35)-_xlfn.XLOOKUP(A55,'Inputs-Results'!$A$9:$A$35,'Inputs-Results'!$X$9:$X$35)))))))/'Standard Data'!$C$12^2.3)</f>
        <v>#N/A</v>
      </c>
      <c r="AO55" s="19" t="e">
        <f t="shared" si="20"/>
        <v>#N/A</v>
      </c>
      <c r="AP55" s="19" t="e">
        <f t="shared" si="21"/>
        <v>#N/A</v>
      </c>
      <c r="AQ55" s="2" t="str">
        <f t="shared" si="16"/>
        <v/>
      </c>
    </row>
    <row r="56" spans="1:43" x14ac:dyDescent="0.25">
      <c r="A56" s="2">
        <f>'Inputs-Results'!A31</f>
        <v>0</v>
      </c>
      <c r="B56" s="2" t="e">
        <f>IF(C56&gt;E56,D56-ABS(_xlfn.XLOOKUP(A56,'Inputs-Results'!$A$9:$A$35,'Inputs-Results'!$S$9:$S$35)-_xlfn.XLOOKUP(A56,'Inputs-Results'!$A$9:$A$35,'Inputs-Results'!$U$9:$U$35))*(C56-E56)/(ABS(_xlfn.XLOOKUP(A56,'Inputs-Results'!$A$9:$A$35,'Inputs-Results'!$T$9:$T$35)-_xlfn.XLOOKUP(A56,'Inputs-Results'!$A$9:$A$35,'Inputs-Results'!$V$9:$V$35))),D56)</f>
        <v>#N/A</v>
      </c>
      <c r="C56" s="2" t="e">
        <f>IFERROR(G56+_xlfn.XLOOKUP(A56,'Ditch Calculations'!$A$34:$A$114,'Ditch Calculations'!$C$34:$C$114),_xlfn.XLOOKUP(A56,'Inputs-Results'!$A$9:$A$35,'Inputs-Results'!$T$9:$T$35))</f>
        <v>#N/A</v>
      </c>
      <c r="D56" s="2" t="e">
        <f>IF(C56&gt;E56,_xlfn.XLOOKUP(A56,'Inputs-Results'!$A$9:$A$35,'Inputs-Results'!$U$9:$U$35),_xlfn.XLOOKUP(A56,'Inputs-Results'!$A$9:$A$35,'Inputs-Results'!$W$9:$W$35)-ABS((_xlfn.XLOOKUP(A56,'Inputs-Results'!$A$9:$A$35,'Inputs-Results'!$W$9:$W$35)-_xlfn.XLOOKUP(A56,'Inputs-Results'!$A$9:$A$35,'Inputs-Results'!$U$9:$U$35))*(E56-G56))/((_xlfn.XLOOKUP(A56,'Inputs-Results'!$A$9:$A$35,'Inputs-Results'!$V$9:$V$35)-_xlfn.XLOOKUP(A56,'Inputs-Results'!$A$9:$A$35,'Inputs-Results'!$X$9:$X$35))))</f>
        <v>#N/A</v>
      </c>
      <c r="E56" s="2" t="e">
        <f>IF(C56&gt;_xlfn.XLOOKUP(A56,'Inputs-Results'!$A$9:$A$35,'Inputs-Results'!$V$9:$V$35),_xlfn.XLOOKUP(A56,'Inputs-Results'!$A$9:$A$35,'Inputs-Results'!$V$9:$V$35),C56)</f>
        <v>#N/A</v>
      </c>
      <c r="F56" s="2" t="e">
        <f>_xlfn.XLOOKUP(A56,'Inputs-Results'!$A$9:$A$35,'Inputs-Results'!$W$9:$W$35)</f>
        <v>#N/A</v>
      </c>
      <c r="G56" s="2" t="e">
        <f>_xlfn.XLOOKUP(A56,'Inputs-Results'!$A$9:$A$35,'Inputs-Results'!$O$9:$O$35)</f>
        <v>#N/A</v>
      </c>
      <c r="H56" s="2" t="e">
        <f>IF(K56&gt;I56,_xlfn.XLOOKUP(A56,'Inputs-Results'!$A$9:$A$35,'Inputs-Results'!$Y$9:$Y$35),_xlfn.XLOOKUP(A56,'Inputs-Results'!$A$9:$A$35,'Inputs-Results'!$W$9:$W$35)+ABS((_xlfn.XLOOKUP(A56,'Inputs-Results'!$A$9:$A$35,'Inputs-Results'!$Y$9:$Y$35)-_xlfn.XLOOKUP(A56,'Inputs-Results'!$A$9:$A$35,'Inputs-Results'!$W$9:$W$35))*(I56-G56)/(_xlfn.XLOOKUP(A56,'Inputs-Results'!$A$9:$A$35,'Inputs-Results'!$Z$9:$Z$35)-_xlfn.XLOOKUP(A56,'Inputs-Results'!$A$9:$A$35,'Inputs-Results'!$X$9:$X$35))))</f>
        <v>#N/A</v>
      </c>
      <c r="I56" s="2" t="e">
        <f>IF(K56&gt;_xlfn.XLOOKUP(A56,'Inputs-Results'!$A$9:$A$35,'Inputs-Results'!$Z$9:$Z$35),_xlfn.XLOOKUP(A56,'Inputs-Results'!$A$9:$A$35,'Inputs-Results'!$Z$9:$Z$35),K56)</f>
        <v>#N/A</v>
      </c>
      <c r="J56" s="41" t="e">
        <f>IF(K56&gt;I56,H56+ABS(_xlfn.XLOOKUP(A56,'Inputs-Results'!$A$9:$A$35,'Inputs-Results'!$AA$9:$AA$35)-_xlfn.XLOOKUP(A56,'Inputs-Results'!$A$9:$A$35,'Inputs-Results'!$Y$9:$Y$35))*(K56-I56)/(ABS(_xlfn.XLOOKUP(A56,'Inputs-Results'!$A$9:$A$35,'Inputs-Results'!$AB$9:$AB$35)-_xlfn.XLOOKUP(A56,'Inputs-Results'!$A$9:$A$35,'Inputs-Results'!$Z$9:$Z$35))),H56)</f>
        <v>#N/A</v>
      </c>
      <c r="K56" s="41" t="e">
        <f t="shared" si="3"/>
        <v>#N/A</v>
      </c>
      <c r="L56" s="41" t="e">
        <f t="shared" si="4"/>
        <v>#N/A</v>
      </c>
      <c r="M56" s="41" t="e">
        <f t="shared" si="5"/>
        <v>#N/A</v>
      </c>
      <c r="N56" s="41" t="e">
        <f t="shared" si="6"/>
        <v>#N/A</v>
      </c>
      <c r="O56" s="41" t="e">
        <f t="shared" si="7"/>
        <v>#N/A</v>
      </c>
      <c r="P56" s="41" t="e">
        <f t="shared" si="17"/>
        <v>#N/A</v>
      </c>
      <c r="Q56" s="41" t="e">
        <f t="shared" si="8"/>
        <v>#N/A</v>
      </c>
      <c r="R56" s="41" t="e">
        <f t="shared" si="9"/>
        <v>#N/A</v>
      </c>
      <c r="S56" s="41" t="e">
        <f t="shared" si="18"/>
        <v>#N/A</v>
      </c>
      <c r="T56" s="41" t="e">
        <f>IF(P56&gt;0,1.486*L56*(L56/P56)^(2/3)/_xlfn.XLOOKUP($A56,'Inputs-Results'!$A$9:$A$35,'Inputs-Results'!$AC$9:$AC$35),0)</f>
        <v>#N/A</v>
      </c>
      <c r="U56" s="41" t="e">
        <f>IF(Q56&gt;0,1.486*M56*(M56/Q56)^(2/3)/_xlfn.XLOOKUP($A56,'Inputs-Results'!$A$9:$A$35,'Inputs-Results'!$AC$9:$AC$35),0)+T56</f>
        <v>#N/A</v>
      </c>
      <c r="V56" s="41" t="e">
        <f>IF(R56&gt;0,1.486*N56*(N56/R56)^(2/3)/_xlfn.XLOOKUP($A56,'Inputs-Results'!$A$9:$A$35,'Inputs-Results'!$AC$9:$AC$35),0)+U56</f>
        <v>#N/A</v>
      </c>
      <c r="W56" s="41" t="e">
        <f>IF(S56&gt;0,1.486*O56*(O56/S56)^(2/3)/_xlfn.XLOOKUP($A56,'Inputs-Results'!$A$9:$A$35,'Inputs-Results'!$AC$9:$AC$35),0)+V56</f>
        <v>#N/A</v>
      </c>
      <c r="X56" s="41" t="e">
        <f>_xlfn.XLOOKUP(A56,'Inputs-Results'!$A$9:$A$35,'Inputs-Results'!$AE$9:$AE$35)</f>
        <v>#N/A</v>
      </c>
      <c r="Y56" s="41" t="e">
        <f>IF(_xlfn.XLOOKUP(A56,'Inputs-Results'!$A$9:$A$35,'Inputs-Results'!$N$9:$N$35)="",IF(X56="left",D56,IF(X56="right",H56,IF(X56="center (Berm)",F56,""))),'Inputs-Results'!N31)</f>
        <v>#N/A</v>
      </c>
      <c r="Z56" s="41" t="e">
        <f>IF(_xlfn.XLOOKUP(A56,'Inputs-Results'!A31:A57,'Inputs-Results'!B31:B57)="P-12",COS(ATAN(1/_xlfn.XLOOKUP(A56,'Inputs-Results'!$A$9:$A$35,'Inputs-Results'!$C$9:$C$35)))*'Standard Data'!$D$12,IF(_xlfn.XLOOKUP(A56,'Inputs-Results'!$A$9:$A$35,'Inputs-Results'!$B$9:$B$35)="N-12",COS(ATAN(1/_xlfn.XLOOKUP(A56,'Inputs-Results'!$A$9:$A$35,'Inputs-Results'!$C$9:$C$35)))*'Standard Data'!$D$13))</f>
        <v>#N/A</v>
      </c>
      <c r="AA56" s="41" t="e">
        <f t="shared" si="10"/>
        <v>#N/A</v>
      </c>
      <c r="AB56" s="41">
        <v>0</v>
      </c>
      <c r="AC56" s="41" t="e">
        <f t="shared" si="11"/>
        <v>#N/A</v>
      </c>
      <c r="AD56" s="41" t="e">
        <f t="shared" si="12"/>
        <v>#N/A</v>
      </c>
      <c r="AE56" s="41" t="e">
        <f t="shared" si="19"/>
        <v>#N/A</v>
      </c>
      <c r="AF56" s="41" t="e">
        <f t="shared" si="13"/>
        <v>#N/A</v>
      </c>
      <c r="AG56" s="41" t="e">
        <f t="shared" si="14"/>
        <v>#N/A</v>
      </c>
      <c r="AH56" s="41" t="e">
        <f t="shared" si="15"/>
        <v>#N/A</v>
      </c>
      <c r="AI56" s="19" t="e">
        <f>AF56/$AE56*_xlfn.XLOOKUP(A56,'Inputs-Results'!$A$9:$A$35,'Inputs-Results'!$M$9:$M$35)</f>
        <v>#N/A</v>
      </c>
      <c r="AJ56" s="19" t="e">
        <f>AG56/$AE56*_xlfn.XLOOKUP(A56,'Inputs-Results'!$A$9:$A$35,'Inputs-Results'!$M$9:$M$35)</f>
        <v>#N/A</v>
      </c>
      <c r="AK56" s="19" t="e">
        <f>AH56/$AE56*_xlfn.XLOOKUP(A56,'Inputs-Results'!$A$9:$A$35,'Inputs-Results'!$M$9:$M$35)</f>
        <v>#N/A</v>
      </c>
      <c r="AL56" s="18" t="e">
        <f>1/(1+0.15*_xlfn.XLOOKUP(A56,$A$3:$A$29,$C$3:$C$29)^1.8/(1/IF(AND(X56="left",AA56&lt;D56),ABS((_xlfn.XLOOKUP(A56,'Inputs-Results'!$A$9:$A$35,'Inputs-Results'!$U$9:$U$35)-_xlfn.XLOOKUP(A56,'Inputs-Results'!$A$9:$A$35,'Inputs-Results'!$S$9:$S$35))/(_xlfn.XLOOKUP(A56,'Inputs-Results'!$A$9:$A$35,'Inputs-Results'!$T$9:$T$35)-_xlfn.XLOOKUP(A56,'Inputs-Results'!$A$9:$A$35,'Inputs-Results'!$V$9:$V$35))),IF(AND(X56="left",AA56&lt;=F56,AA56&gt;D56),ABS((_xlfn.XLOOKUP(A56,'Inputs-Results'!$A$9:$A$35,'Inputs-Results'!$W$9:$W$35)-_xlfn.XLOOKUP(A56,'Inputs-Results'!$A$9:$A$35,'Inputs-Results'!$U$9:$U$35))/(_xlfn.XLOOKUP(A56,'Inputs-Results'!$A$9:$A$35,'Inputs-Results'!$V$9:$V$35)-_xlfn.XLOOKUP(A56,'Inputs-Results'!$A$9:$A$35,'Inputs-Results'!$X$9:$X$35))),IF(AND(X56="right",Y56&gt;H56),ABS((_xlfn.XLOOKUP(A56,'Inputs-Results'!$A$9:$A$35,'Inputs-Results'!$AA$9:$AA$35)-_xlfn.XLOOKUP(A56,'Inputs-Results'!$A$9:$A$35,'Inputs-Results'!$Y$9:$Y$35))/(_xlfn.XLOOKUP(A56,'Inputs-Results'!$A$9:$A$35,'Inputs-Results'!$AB$9:$AB$35)-_xlfn.XLOOKUP(A56,'Inputs-Results'!$A$9:$A$35,'Inputs-Results'!$Z$9:$Z$35))),IF(AND(X56="right",Y56&lt;=H56,Y56&gt;=F56),(_xlfn.XLOOKUP(A56,'Inputs-Results'!$A$9:$A$35,'Inputs-Results'!$Y$9:$Y$35)-_xlfn.XLOOKUP(A56,'Inputs-Results'!$A$9:$A$35,'Inputs-Results'!$W$9:$W$35))/(_xlfn.XLOOKUP(A56,'Inputs-Results'!$A$9:$A$35,'Inputs-Results'!$Z$9:$Z$35)-_xlfn.XLOOKUP(A56,'Inputs-Results'!$A$9:$A$35,'Inputs-Results'!$X$9:$X$35)))))))/'Standard Data'!$C$12^2.3)</f>
        <v>#N/A</v>
      </c>
      <c r="AM56" s="18" t="e">
        <f>MIN(1-0.09*(_xlfn.XLOOKUP(A56,$A$3:$A$29,$C$3:$C$29)-'Standard Data'!$G$12),1)</f>
        <v>#N/A</v>
      </c>
      <c r="AN56" s="18" t="e">
        <f>1/(1+0.15*_xlfn.XLOOKUP(A56,$A$3:$A$29,$C$3:$C$29)^1.8/(1/IF(AND(X56="left",AA56&lt;D56),ABS((_xlfn.XLOOKUP(A56,'Inputs-Results'!$A$9:$A$35,'Inputs-Results'!$U$9:$U$35)-_xlfn.XLOOKUP(A56,'Inputs-Results'!$A$9:$A$35,'Inputs-Results'!$S$9:$S$35))/(_xlfn.XLOOKUP(A56,'Inputs-Results'!$A$9:$A$35,'Inputs-Results'!$T$9:$T$35)-_xlfn.XLOOKUP(A56,'Inputs-Results'!$A$9:$A$35,'Inputs-Results'!$V$9:$V$35))),IF(AND(X56="left",AA56&lt;=F56,AA56&gt;D56),ABS((_xlfn.XLOOKUP(A56,'Inputs-Results'!$A$9:$A$35,'Inputs-Results'!$W$9:$W$35)-_xlfn.XLOOKUP(A56,'Inputs-Results'!$A$9:$A$35,'Inputs-Results'!$U$9:$U$35))/(_xlfn.XLOOKUP(A56,'Inputs-Results'!$A$9:$A$35,'Inputs-Results'!$V$9:$V$35)-_xlfn.XLOOKUP(A56,'Inputs-Results'!$A$9:$A$35,'Inputs-Results'!$X$9:$X$35))),IF(AND(X56="right",Y56&gt;H56),ABS((_xlfn.XLOOKUP(A56,'Inputs-Results'!$A$9:$A$35,'Inputs-Results'!$AA$9:$AA$35)-_xlfn.XLOOKUP(A56,'Inputs-Results'!$A$9:$A$35,'Inputs-Results'!$Y$9:$Y$35))/(_xlfn.XLOOKUP(A56,'Inputs-Results'!$A$9:$A$35,'Inputs-Results'!$AB$9:$AB$35)-_xlfn.XLOOKUP(A56,'Inputs-Results'!$A$9:$A$35,'Inputs-Results'!$Z$9:$Z$35))),IF(AND(X56="right",Y56&lt;=H56,Y56&gt;=F56),(_xlfn.XLOOKUP(A56,'Inputs-Results'!$A$9:$A$35,'Inputs-Results'!$Y$9:$Y$35)-_xlfn.XLOOKUP(A56,'Inputs-Results'!$A$9:$A$35,'Inputs-Results'!$W$9:$W$35))/(_xlfn.XLOOKUP(A56,'Inputs-Results'!$A$9:$A$35,'Inputs-Results'!$Z$9:$Z$35)-_xlfn.XLOOKUP(A56,'Inputs-Results'!$A$9:$A$35,'Inputs-Results'!$X$9:$X$35)))))))/'Standard Data'!$C$12^2.3)</f>
        <v>#N/A</v>
      </c>
      <c r="AO56" s="19" t="e">
        <f t="shared" si="20"/>
        <v>#N/A</v>
      </c>
      <c r="AP56" s="19" t="e">
        <f t="shared" si="21"/>
        <v>#N/A</v>
      </c>
      <c r="AQ56" s="2" t="str">
        <f t="shared" si="16"/>
        <v/>
      </c>
    </row>
    <row r="57" spans="1:43" x14ac:dyDescent="0.25">
      <c r="A57" s="2">
        <f>'Inputs-Results'!A32</f>
        <v>0</v>
      </c>
      <c r="B57" s="2" t="e">
        <f>IF(C57&gt;E57,D57-ABS(_xlfn.XLOOKUP(A57,'Inputs-Results'!$A$9:$A$35,'Inputs-Results'!$S$9:$S$35)-_xlfn.XLOOKUP(A57,'Inputs-Results'!$A$9:$A$35,'Inputs-Results'!$U$9:$U$35))*(C57-E57)/(ABS(_xlfn.XLOOKUP(A57,'Inputs-Results'!$A$9:$A$35,'Inputs-Results'!$T$9:$T$35)-_xlfn.XLOOKUP(A57,'Inputs-Results'!$A$9:$A$35,'Inputs-Results'!$V$9:$V$35))),D57)</f>
        <v>#N/A</v>
      </c>
      <c r="C57" s="2" t="e">
        <f>IFERROR(G57+_xlfn.XLOOKUP(A57,'Ditch Calculations'!$A$34:$A$114,'Ditch Calculations'!$C$34:$C$114),_xlfn.XLOOKUP(A57,'Inputs-Results'!$A$9:$A$35,'Inputs-Results'!$T$9:$T$35))</f>
        <v>#N/A</v>
      </c>
      <c r="D57" s="2" t="e">
        <f>IF(C57&gt;E57,_xlfn.XLOOKUP(A57,'Inputs-Results'!$A$9:$A$35,'Inputs-Results'!$U$9:$U$35),_xlfn.XLOOKUP(A57,'Inputs-Results'!$A$9:$A$35,'Inputs-Results'!$W$9:$W$35)-ABS((_xlfn.XLOOKUP(A57,'Inputs-Results'!$A$9:$A$35,'Inputs-Results'!$W$9:$W$35)-_xlfn.XLOOKUP(A57,'Inputs-Results'!$A$9:$A$35,'Inputs-Results'!$U$9:$U$35))*(E57-G57))/((_xlfn.XLOOKUP(A57,'Inputs-Results'!$A$9:$A$35,'Inputs-Results'!$V$9:$V$35)-_xlfn.XLOOKUP(A57,'Inputs-Results'!$A$9:$A$35,'Inputs-Results'!$X$9:$X$35))))</f>
        <v>#N/A</v>
      </c>
      <c r="E57" s="2" t="e">
        <f>IF(C57&gt;_xlfn.XLOOKUP(A57,'Inputs-Results'!$A$9:$A$35,'Inputs-Results'!$V$9:$V$35),_xlfn.XLOOKUP(A57,'Inputs-Results'!$A$9:$A$35,'Inputs-Results'!$V$9:$V$35),C57)</f>
        <v>#N/A</v>
      </c>
      <c r="F57" s="2" t="e">
        <f>_xlfn.XLOOKUP(A57,'Inputs-Results'!$A$9:$A$35,'Inputs-Results'!$W$9:$W$35)</f>
        <v>#N/A</v>
      </c>
      <c r="G57" s="2" t="e">
        <f>_xlfn.XLOOKUP(A57,'Inputs-Results'!$A$9:$A$35,'Inputs-Results'!$O$9:$O$35)</f>
        <v>#N/A</v>
      </c>
      <c r="H57" s="2" t="e">
        <f>IF(K57&gt;I57,_xlfn.XLOOKUP(A57,'Inputs-Results'!$A$9:$A$35,'Inputs-Results'!$Y$9:$Y$35),_xlfn.XLOOKUP(A57,'Inputs-Results'!$A$9:$A$35,'Inputs-Results'!$W$9:$W$35)+ABS((_xlfn.XLOOKUP(A57,'Inputs-Results'!$A$9:$A$35,'Inputs-Results'!$Y$9:$Y$35)-_xlfn.XLOOKUP(A57,'Inputs-Results'!$A$9:$A$35,'Inputs-Results'!$W$9:$W$35))*(I57-G57)/(_xlfn.XLOOKUP(A57,'Inputs-Results'!$A$9:$A$35,'Inputs-Results'!$Z$9:$Z$35)-_xlfn.XLOOKUP(A57,'Inputs-Results'!$A$9:$A$35,'Inputs-Results'!$X$9:$X$35))))</f>
        <v>#N/A</v>
      </c>
      <c r="I57" s="2" t="e">
        <f>IF(K57&gt;_xlfn.XLOOKUP(A57,'Inputs-Results'!$A$9:$A$35,'Inputs-Results'!$Z$9:$Z$35),_xlfn.XLOOKUP(A57,'Inputs-Results'!$A$9:$A$35,'Inputs-Results'!$Z$9:$Z$35),K57)</f>
        <v>#N/A</v>
      </c>
      <c r="J57" s="41" t="e">
        <f>IF(K57&gt;I57,H57+ABS(_xlfn.XLOOKUP(A57,'Inputs-Results'!$A$9:$A$35,'Inputs-Results'!$AA$9:$AA$35)-_xlfn.XLOOKUP(A57,'Inputs-Results'!$A$9:$A$35,'Inputs-Results'!$Y$9:$Y$35))*(K57-I57)/(ABS(_xlfn.XLOOKUP(A57,'Inputs-Results'!$A$9:$A$35,'Inputs-Results'!$AB$9:$AB$35)-_xlfn.XLOOKUP(A57,'Inputs-Results'!$A$9:$A$35,'Inputs-Results'!$Z$9:$Z$35))),H57)</f>
        <v>#N/A</v>
      </c>
      <c r="K57" s="41" t="e">
        <f t="shared" si="3"/>
        <v>#N/A</v>
      </c>
      <c r="L57" s="41" t="e">
        <f t="shared" si="4"/>
        <v>#N/A</v>
      </c>
      <c r="M57" s="41" t="e">
        <f t="shared" si="5"/>
        <v>#N/A</v>
      </c>
      <c r="N57" s="41" t="e">
        <f t="shared" si="6"/>
        <v>#N/A</v>
      </c>
      <c r="O57" s="41" t="e">
        <f t="shared" si="7"/>
        <v>#N/A</v>
      </c>
      <c r="P57" s="41" t="e">
        <f t="shared" si="17"/>
        <v>#N/A</v>
      </c>
      <c r="Q57" s="41" t="e">
        <f t="shared" si="8"/>
        <v>#N/A</v>
      </c>
      <c r="R57" s="41" t="e">
        <f t="shared" si="9"/>
        <v>#N/A</v>
      </c>
      <c r="S57" s="41" t="e">
        <f t="shared" si="18"/>
        <v>#N/A</v>
      </c>
      <c r="T57" s="41" t="e">
        <f>IF(P57&gt;0,1.486*L57*(L57/P57)^(2/3)/_xlfn.XLOOKUP($A57,'Inputs-Results'!$A$9:$A$35,'Inputs-Results'!$AC$9:$AC$35),0)</f>
        <v>#N/A</v>
      </c>
      <c r="U57" s="41" t="e">
        <f>IF(Q57&gt;0,1.486*M57*(M57/Q57)^(2/3)/_xlfn.XLOOKUP($A57,'Inputs-Results'!$A$9:$A$35,'Inputs-Results'!$AC$9:$AC$35),0)+T57</f>
        <v>#N/A</v>
      </c>
      <c r="V57" s="41" t="e">
        <f>IF(R57&gt;0,1.486*N57*(N57/R57)^(2/3)/_xlfn.XLOOKUP($A57,'Inputs-Results'!$A$9:$A$35,'Inputs-Results'!$AC$9:$AC$35),0)+U57</f>
        <v>#N/A</v>
      </c>
      <c r="W57" s="41" t="e">
        <f>IF(S57&gt;0,1.486*O57*(O57/S57)^(2/3)/_xlfn.XLOOKUP($A57,'Inputs-Results'!$A$9:$A$35,'Inputs-Results'!$AC$9:$AC$35),0)+V57</f>
        <v>#N/A</v>
      </c>
      <c r="X57" s="41" t="e">
        <f>_xlfn.XLOOKUP(A57,'Inputs-Results'!$A$9:$A$35,'Inputs-Results'!$AE$9:$AE$35)</f>
        <v>#N/A</v>
      </c>
      <c r="Y57" s="41" t="e">
        <f>IF(_xlfn.XLOOKUP(A57,'Inputs-Results'!$A$9:$A$35,'Inputs-Results'!$N$9:$N$35)="",IF(X57="left",D57,IF(X57="right",H57,IF(X57="center (Berm)",F57,""))),'Inputs-Results'!N32)</f>
        <v>#N/A</v>
      </c>
      <c r="Z57" s="41" t="e">
        <f>IF(_xlfn.XLOOKUP(A57,'Inputs-Results'!A32:A58,'Inputs-Results'!B32:B58)="P-12",COS(ATAN(1/_xlfn.XLOOKUP(A57,'Inputs-Results'!$A$9:$A$35,'Inputs-Results'!$C$9:$C$35)))*'Standard Data'!$D$12,IF(_xlfn.XLOOKUP(A57,'Inputs-Results'!$A$9:$A$35,'Inputs-Results'!$B$9:$B$35)="N-12",COS(ATAN(1/_xlfn.XLOOKUP(A57,'Inputs-Results'!$A$9:$A$35,'Inputs-Results'!$C$9:$C$35)))*'Standard Data'!$D$13))</f>
        <v>#N/A</v>
      </c>
      <c r="AA57" s="41" t="e">
        <f t="shared" si="10"/>
        <v>#N/A</v>
      </c>
      <c r="AB57" s="41">
        <v>0</v>
      </c>
      <c r="AC57" s="41" t="e">
        <f t="shared" si="11"/>
        <v>#N/A</v>
      </c>
      <c r="AD57" s="41" t="e">
        <f t="shared" si="12"/>
        <v>#N/A</v>
      </c>
      <c r="AE57" s="41" t="e">
        <f t="shared" si="19"/>
        <v>#N/A</v>
      </c>
      <c r="AF57" s="41" t="e">
        <f t="shared" si="13"/>
        <v>#N/A</v>
      </c>
      <c r="AG57" s="41" t="e">
        <f t="shared" si="14"/>
        <v>#N/A</v>
      </c>
      <c r="AH57" s="41" t="e">
        <f t="shared" si="15"/>
        <v>#N/A</v>
      </c>
      <c r="AI57" s="19" t="e">
        <f>AF57/$AE57*_xlfn.XLOOKUP(A57,'Inputs-Results'!$A$9:$A$35,'Inputs-Results'!$M$9:$M$35)</f>
        <v>#N/A</v>
      </c>
      <c r="AJ57" s="19" t="e">
        <f>AG57/$AE57*_xlfn.XLOOKUP(A57,'Inputs-Results'!$A$9:$A$35,'Inputs-Results'!$M$9:$M$35)</f>
        <v>#N/A</v>
      </c>
      <c r="AK57" s="19" t="e">
        <f>AH57/$AE57*_xlfn.XLOOKUP(A57,'Inputs-Results'!$A$9:$A$35,'Inputs-Results'!$M$9:$M$35)</f>
        <v>#N/A</v>
      </c>
      <c r="AL57" s="18" t="e">
        <f>1/(1+0.15*_xlfn.XLOOKUP(A57,$A$3:$A$29,$C$3:$C$29)^1.8/(1/IF(AND(X57="left",AA57&lt;D57),ABS((_xlfn.XLOOKUP(A57,'Inputs-Results'!$A$9:$A$35,'Inputs-Results'!$U$9:$U$35)-_xlfn.XLOOKUP(A57,'Inputs-Results'!$A$9:$A$35,'Inputs-Results'!$S$9:$S$35))/(_xlfn.XLOOKUP(A57,'Inputs-Results'!$A$9:$A$35,'Inputs-Results'!$T$9:$T$35)-_xlfn.XLOOKUP(A57,'Inputs-Results'!$A$9:$A$35,'Inputs-Results'!$V$9:$V$35))),IF(AND(X57="left",AA57&lt;=F57,AA57&gt;D57),ABS((_xlfn.XLOOKUP(A57,'Inputs-Results'!$A$9:$A$35,'Inputs-Results'!$W$9:$W$35)-_xlfn.XLOOKUP(A57,'Inputs-Results'!$A$9:$A$35,'Inputs-Results'!$U$9:$U$35))/(_xlfn.XLOOKUP(A57,'Inputs-Results'!$A$9:$A$35,'Inputs-Results'!$V$9:$V$35)-_xlfn.XLOOKUP(A57,'Inputs-Results'!$A$9:$A$35,'Inputs-Results'!$X$9:$X$35))),IF(AND(X57="right",Y57&gt;H57),ABS((_xlfn.XLOOKUP(A57,'Inputs-Results'!$A$9:$A$35,'Inputs-Results'!$AA$9:$AA$35)-_xlfn.XLOOKUP(A57,'Inputs-Results'!$A$9:$A$35,'Inputs-Results'!$Y$9:$Y$35))/(_xlfn.XLOOKUP(A57,'Inputs-Results'!$A$9:$A$35,'Inputs-Results'!$AB$9:$AB$35)-_xlfn.XLOOKUP(A57,'Inputs-Results'!$A$9:$A$35,'Inputs-Results'!$Z$9:$Z$35))),IF(AND(X57="right",Y57&lt;=H57,Y57&gt;=F57),(_xlfn.XLOOKUP(A57,'Inputs-Results'!$A$9:$A$35,'Inputs-Results'!$Y$9:$Y$35)-_xlfn.XLOOKUP(A57,'Inputs-Results'!$A$9:$A$35,'Inputs-Results'!$W$9:$W$35))/(_xlfn.XLOOKUP(A57,'Inputs-Results'!$A$9:$A$35,'Inputs-Results'!$Z$9:$Z$35)-_xlfn.XLOOKUP(A57,'Inputs-Results'!$A$9:$A$35,'Inputs-Results'!$X$9:$X$35)))))))/'Standard Data'!$C$12^2.3)</f>
        <v>#N/A</v>
      </c>
      <c r="AM57" s="18" t="e">
        <f>MIN(1-0.09*(_xlfn.XLOOKUP(A57,$A$3:$A$29,$C$3:$C$29)-'Standard Data'!$G$12),1)</f>
        <v>#N/A</v>
      </c>
      <c r="AN57" s="18" t="e">
        <f>1/(1+0.15*_xlfn.XLOOKUP(A57,$A$3:$A$29,$C$3:$C$29)^1.8/(1/IF(AND(X57="left",AA57&lt;D57),ABS((_xlfn.XLOOKUP(A57,'Inputs-Results'!$A$9:$A$35,'Inputs-Results'!$U$9:$U$35)-_xlfn.XLOOKUP(A57,'Inputs-Results'!$A$9:$A$35,'Inputs-Results'!$S$9:$S$35))/(_xlfn.XLOOKUP(A57,'Inputs-Results'!$A$9:$A$35,'Inputs-Results'!$T$9:$T$35)-_xlfn.XLOOKUP(A57,'Inputs-Results'!$A$9:$A$35,'Inputs-Results'!$V$9:$V$35))),IF(AND(X57="left",AA57&lt;=F57,AA57&gt;D57),ABS((_xlfn.XLOOKUP(A57,'Inputs-Results'!$A$9:$A$35,'Inputs-Results'!$W$9:$W$35)-_xlfn.XLOOKUP(A57,'Inputs-Results'!$A$9:$A$35,'Inputs-Results'!$U$9:$U$35))/(_xlfn.XLOOKUP(A57,'Inputs-Results'!$A$9:$A$35,'Inputs-Results'!$V$9:$V$35)-_xlfn.XLOOKUP(A57,'Inputs-Results'!$A$9:$A$35,'Inputs-Results'!$X$9:$X$35))),IF(AND(X57="right",Y57&gt;H57),ABS((_xlfn.XLOOKUP(A57,'Inputs-Results'!$A$9:$A$35,'Inputs-Results'!$AA$9:$AA$35)-_xlfn.XLOOKUP(A57,'Inputs-Results'!$A$9:$A$35,'Inputs-Results'!$Y$9:$Y$35))/(_xlfn.XLOOKUP(A57,'Inputs-Results'!$A$9:$A$35,'Inputs-Results'!$AB$9:$AB$35)-_xlfn.XLOOKUP(A57,'Inputs-Results'!$A$9:$A$35,'Inputs-Results'!$Z$9:$Z$35))),IF(AND(X57="right",Y57&lt;=H57,Y57&gt;=F57),(_xlfn.XLOOKUP(A57,'Inputs-Results'!$A$9:$A$35,'Inputs-Results'!$Y$9:$Y$35)-_xlfn.XLOOKUP(A57,'Inputs-Results'!$A$9:$A$35,'Inputs-Results'!$W$9:$W$35))/(_xlfn.XLOOKUP(A57,'Inputs-Results'!$A$9:$A$35,'Inputs-Results'!$Z$9:$Z$35)-_xlfn.XLOOKUP(A57,'Inputs-Results'!$A$9:$A$35,'Inputs-Results'!$X$9:$X$35)))))))/'Standard Data'!$C$12^2.3)</f>
        <v>#N/A</v>
      </c>
      <c r="AO57" s="19" t="e">
        <f t="shared" si="20"/>
        <v>#N/A</v>
      </c>
      <c r="AP57" s="19" t="e">
        <f t="shared" si="21"/>
        <v>#N/A</v>
      </c>
      <c r="AQ57" s="2" t="str">
        <f t="shared" si="16"/>
        <v/>
      </c>
    </row>
    <row r="58" spans="1:43" x14ac:dyDescent="0.25">
      <c r="A58" s="2">
        <f>'Inputs-Results'!A33</f>
        <v>0</v>
      </c>
      <c r="B58" s="2" t="e">
        <f>IF(C58&gt;E58,D58-ABS(_xlfn.XLOOKUP(A58,'Inputs-Results'!$A$9:$A$35,'Inputs-Results'!$S$9:$S$35)-_xlfn.XLOOKUP(A58,'Inputs-Results'!$A$9:$A$35,'Inputs-Results'!$U$9:$U$35))*(C58-E58)/(ABS(_xlfn.XLOOKUP(A58,'Inputs-Results'!$A$9:$A$35,'Inputs-Results'!$T$9:$T$35)-_xlfn.XLOOKUP(A58,'Inputs-Results'!$A$9:$A$35,'Inputs-Results'!$V$9:$V$35))),D58)</f>
        <v>#N/A</v>
      </c>
      <c r="C58" s="2" t="e">
        <f>IFERROR(G58+_xlfn.XLOOKUP(A58,'Ditch Calculations'!$A$34:$A$114,'Ditch Calculations'!$C$34:$C$114),_xlfn.XLOOKUP(A58,'Inputs-Results'!$A$9:$A$35,'Inputs-Results'!$T$9:$T$35))</f>
        <v>#N/A</v>
      </c>
      <c r="D58" s="2" t="e">
        <f>IF(C58&gt;E58,_xlfn.XLOOKUP(A58,'Inputs-Results'!$A$9:$A$35,'Inputs-Results'!$U$9:$U$35),_xlfn.XLOOKUP(A58,'Inputs-Results'!$A$9:$A$35,'Inputs-Results'!$W$9:$W$35)-ABS((_xlfn.XLOOKUP(A58,'Inputs-Results'!$A$9:$A$35,'Inputs-Results'!$W$9:$W$35)-_xlfn.XLOOKUP(A58,'Inputs-Results'!$A$9:$A$35,'Inputs-Results'!$U$9:$U$35))*(E58-G58))/((_xlfn.XLOOKUP(A58,'Inputs-Results'!$A$9:$A$35,'Inputs-Results'!$V$9:$V$35)-_xlfn.XLOOKUP(A58,'Inputs-Results'!$A$9:$A$35,'Inputs-Results'!$X$9:$X$35))))</f>
        <v>#N/A</v>
      </c>
      <c r="E58" s="2" t="e">
        <f>IF(C58&gt;_xlfn.XLOOKUP(A58,'Inputs-Results'!$A$9:$A$35,'Inputs-Results'!$V$9:$V$35),_xlfn.XLOOKUP(A58,'Inputs-Results'!$A$9:$A$35,'Inputs-Results'!$V$9:$V$35),C58)</f>
        <v>#N/A</v>
      </c>
      <c r="F58" s="2" t="e">
        <f>_xlfn.XLOOKUP(A58,'Inputs-Results'!$A$9:$A$35,'Inputs-Results'!$W$9:$W$35)</f>
        <v>#N/A</v>
      </c>
      <c r="G58" s="2" t="e">
        <f>_xlfn.XLOOKUP(A58,'Inputs-Results'!$A$9:$A$35,'Inputs-Results'!$O$9:$O$35)</f>
        <v>#N/A</v>
      </c>
      <c r="H58" s="2" t="e">
        <f>IF(K58&gt;I58,_xlfn.XLOOKUP(A58,'Inputs-Results'!$A$9:$A$35,'Inputs-Results'!$Y$9:$Y$35),_xlfn.XLOOKUP(A58,'Inputs-Results'!$A$9:$A$35,'Inputs-Results'!$W$9:$W$35)+ABS((_xlfn.XLOOKUP(A58,'Inputs-Results'!$A$9:$A$35,'Inputs-Results'!$Y$9:$Y$35)-_xlfn.XLOOKUP(A58,'Inputs-Results'!$A$9:$A$35,'Inputs-Results'!$W$9:$W$35))*(I58-G58)/(_xlfn.XLOOKUP(A58,'Inputs-Results'!$A$9:$A$35,'Inputs-Results'!$Z$9:$Z$35)-_xlfn.XLOOKUP(A58,'Inputs-Results'!$A$9:$A$35,'Inputs-Results'!$X$9:$X$35))))</f>
        <v>#N/A</v>
      </c>
      <c r="I58" s="2" t="e">
        <f>IF(K58&gt;_xlfn.XLOOKUP(A58,'Inputs-Results'!$A$9:$A$35,'Inputs-Results'!$Z$9:$Z$35),_xlfn.XLOOKUP(A58,'Inputs-Results'!$A$9:$A$35,'Inputs-Results'!$Z$9:$Z$35),K58)</f>
        <v>#N/A</v>
      </c>
      <c r="J58" s="41" t="e">
        <f>IF(K58&gt;I58,H58+ABS(_xlfn.XLOOKUP(A58,'Inputs-Results'!$A$9:$A$35,'Inputs-Results'!$AA$9:$AA$35)-_xlfn.XLOOKUP(A58,'Inputs-Results'!$A$9:$A$35,'Inputs-Results'!$Y$9:$Y$35))*(K58-I58)/(ABS(_xlfn.XLOOKUP(A58,'Inputs-Results'!$A$9:$A$35,'Inputs-Results'!$AB$9:$AB$35)-_xlfn.XLOOKUP(A58,'Inputs-Results'!$A$9:$A$35,'Inputs-Results'!$Z$9:$Z$35))),H58)</f>
        <v>#N/A</v>
      </c>
      <c r="K58" s="41" t="e">
        <f t="shared" si="3"/>
        <v>#N/A</v>
      </c>
      <c r="L58" s="41" t="e">
        <f t="shared" si="4"/>
        <v>#N/A</v>
      </c>
      <c r="M58" s="41" t="e">
        <f t="shared" si="5"/>
        <v>#N/A</v>
      </c>
      <c r="N58" s="41" t="e">
        <f t="shared" si="6"/>
        <v>#N/A</v>
      </c>
      <c r="O58" s="41" t="e">
        <f t="shared" si="7"/>
        <v>#N/A</v>
      </c>
      <c r="P58" s="41" t="e">
        <f t="shared" si="17"/>
        <v>#N/A</v>
      </c>
      <c r="Q58" s="41" t="e">
        <f t="shared" si="8"/>
        <v>#N/A</v>
      </c>
      <c r="R58" s="41" t="e">
        <f t="shared" si="9"/>
        <v>#N/A</v>
      </c>
      <c r="S58" s="41" t="e">
        <f t="shared" si="18"/>
        <v>#N/A</v>
      </c>
      <c r="T58" s="41" t="e">
        <f>IF(P58&gt;0,1.486*L58*(L58/P58)^(2/3)/_xlfn.XLOOKUP($A58,'Inputs-Results'!$A$9:$A$35,'Inputs-Results'!$AC$9:$AC$35),0)</f>
        <v>#N/A</v>
      </c>
      <c r="U58" s="41" t="e">
        <f>IF(Q58&gt;0,1.486*M58*(M58/Q58)^(2/3)/_xlfn.XLOOKUP($A58,'Inputs-Results'!$A$9:$A$35,'Inputs-Results'!$AC$9:$AC$35),0)+T58</f>
        <v>#N/A</v>
      </c>
      <c r="V58" s="41" t="e">
        <f>IF(R58&gt;0,1.486*N58*(N58/R58)^(2/3)/_xlfn.XLOOKUP($A58,'Inputs-Results'!$A$9:$A$35,'Inputs-Results'!$AC$9:$AC$35),0)+U58</f>
        <v>#N/A</v>
      </c>
      <c r="W58" s="41" t="e">
        <f>IF(S58&gt;0,1.486*O58*(O58/S58)^(2/3)/_xlfn.XLOOKUP($A58,'Inputs-Results'!$A$9:$A$35,'Inputs-Results'!$AC$9:$AC$35),0)+V58</f>
        <v>#N/A</v>
      </c>
      <c r="X58" s="41" t="e">
        <f>_xlfn.XLOOKUP(A58,'Inputs-Results'!$A$9:$A$35,'Inputs-Results'!$AE$9:$AE$35)</f>
        <v>#N/A</v>
      </c>
      <c r="Y58" s="41" t="e">
        <f>IF(_xlfn.XLOOKUP(A58,'Inputs-Results'!$A$9:$A$35,'Inputs-Results'!$N$9:$N$35)="",IF(X58="left",D58,IF(X58="right",H58,IF(X58="center (Berm)",F58,""))),'Inputs-Results'!N33)</f>
        <v>#N/A</v>
      </c>
      <c r="Z58" s="41" t="e">
        <f>IF(_xlfn.XLOOKUP(A58,'Inputs-Results'!A33:A59,'Inputs-Results'!B33:B59)="P-12",COS(ATAN(1/_xlfn.XLOOKUP(A58,'Inputs-Results'!$A$9:$A$35,'Inputs-Results'!$C$9:$C$35)))*'Standard Data'!$D$12,IF(_xlfn.XLOOKUP(A58,'Inputs-Results'!$A$9:$A$35,'Inputs-Results'!$B$9:$B$35)="N-12",COS(ATAN(1/_xlfn.XLOOKUP(A58,'Inputs-Results'!$A$9:$A$35,'Inputs-Results'!$C$9:$C$35)))*'Standard Data'!$D$13))</f>
        <v>#N/A</v>
      </c>
      <c r="AA58" s="41" t="e">
        <f t="shared" si="10"/>
        <v>#N/A</v>
      </c>
      <c r="AB58" s="41">
        <v>0</v>
      </c>
      <c r="AC58" s="41" t="e">
        <f t="shared" si="11"/>
        <v>#N/A</v>
      </c>
      <c r="AD58" s="41" t="e">
        <f t="shared" si="12"/>
        <v>#N/A</v>
      </c>
      <c r="AE58" s="41" t="e">
        <f t="shared" si="19"/>
        <v>#N/A</v>
      </c>
      <c r="AF58" s="41" t="e">
        <f t="shared" si="13"/>
        <v>#N/A</v>
      </c>
      <c r="AG58" s="41" t="e">
        <f t="shared" si="14"/>
        <v>#N/A</v>
      </c>
      <c r="AH58" s="41" t="e">
        <f t="shared" si="15"/>
        <v>#N/A</v>
      </c>
      <c r="AI58" s="19" t="e">
        <f>AF58/$AE58*_xlfn.XLOOKUP(A58,'Inputs-Results'!$A$9:$A$35,'Inputs-Results'!$M$9:$M$35)</f>
        <v>#N/A</v>
      </c>
      <c r="AJ58" s="19" t="e">
        <f>AG58/$AE58*_xlfn.XLOOKUP(A58,'Inputs-Results'!$A$9:$A$35,'Inputs-Results'!$M$9:$M$35)</f>
        <v>#N/A</v>
      </c>
      <c r="AK58" s="19" t="e">
        <f>AH58/$AE58*_xlfn.XLOOKUP(A58,'Inputs-Results'!$A$9:$A$35,'Inputs-Results'!$M$9:$M$35)</f>
        <v>#N/A</v>
      </c>
      <c r="AL58" s="18" t="e">
        <f>1/(1+0.15*_xlfn.XLOOKUP(A58,$A$3:$A$29,$C$3:$C$29)^1.8/(1/IF(AND(X58="left",AA58&lt;D58),ABS((_xlfn.XLOOKUP(A58,'Inputs-Results'!$A$9:$A$35,'Inputs-Results'!$U$9:$U$35)-_xlfn.XLOOKUP(A58,'Inputs-Results'!$A$9:$A$35,'Inputs-Results'!$S$9:$S$35))/(_xlfn.XLOOKUP(A58,'Inputs-Results'!$A$9:$A$35,'Inputs-Results'!$T$9:$T$35)-_xlfn.XLOOKUP(A58,'Inputs-Results'!$A$9:$A$35,'Inputs-Results'!$V$9:$V$35))),IF(AND(X58="left",AA58&lt;=F58,AA58&gt;D58),ABS((_xlfn.XLOOKUP(A58,'Inputs-Results'!$A$9:$A$35,'Inputs-Results'!$W$9:$W$35)-_xlfn.XLOOKUP(A58,'Inputs-Results'!$A$9:$A$35,'Inputs-Results'!$U$9:$U$35))/(_xlfn.XLOOKUP(A58,'Inputs-Results'!$A$9:$A$35,'Inputs-Results'!$V$9:$V$35)-_xlfn.XLOOKUP(A58,'Inputs-Results'!$A$9:$A$35,'Inputs-Results'!$X$9:$X$35))),IF(AND(X58="right",Y58&gt;H58),ABS((_xlfn.XLOOKUP(A58,'Inputs-Results'!$A$9:$A$35,'Inputs-Results'!$AA$9:$AA$35)-_xlfn.XLOOKUP(A58,'Inputs-Results'!$A$9:$A$35,'Inputs-Results'!$Y$9:$Y$35))/(_xlfn.XLOOKUP(A58,'Inputs-Results'!$A$9:$A$35,'Inputs-Results'!$AB$9:$AB$35)-_xlfn.XLOOKUP(A58,'Inputs-Results'!$A$9:$A$35,'Inputs-Results'!$Z$9:$Z$35))),IF(AND(X58="right",Y58&lt;=H58,Y58&gt;=F58),(_xlfn.XLOOKUP(A58,'Inputs-Results'!$A$9:$A$35,'Inputs-Results'!$Y$9:$Y$35)-_xlfn.XLOOKUP(A58,'Inputs-Results'!$A$9:$A$35,'Inputs-Results'!$W$9:$W$35))/(_xlfn.XLOOKUP(A58,'Inputs-Results'!$A$9:$A$35,'Inputs-Results'!$Z$9:$Z$35)-_xlfn.XLOOKUP(A58,'Inputs-Results'!$A$9:$A$35,'Inputs-Results'!$X$9:$X$35)))))))/'Standard Data'!$C$12^2.3)</f>
        <v>#N/A</v>
      </c>
      <c r="AM58" s="18" t="e">
        <f>MIN(1-0.09*(_xlfn.XLOOKUP(A58,$A$3:$A$29,$C$3:$C$29)-'Standard Data'!$G$12),1)</f>
        <v>#N/A</v>
      </c>
      <c r="AN58" s="18" t="e">
        <f>1/(1+0.15*_xlfn.XLOOKUP(A58,$A$3:$A$29,$C$3:$C$29)^1.8/(1/IF(AND(X58="left",AA58&lt;D58),ABS((_xlfn.XLOOKUP(A58,'Inputs-Results'!$A$9:$A$35,'Inputs-Results'!$U$9:$U$35)-_xlfn.XLOOKUP(A58,'Inputs-Results'!$A$9:$A$35,'Inputs-Results'!$S$9:$S$35))/(_xlfn.XLOOKUP(A58,'Inputs-Results'!$A$9:$A$35,'Inputs-Results'!$T$9:$T$35)-_xlfn.XLOOKUP(A58,'Inputs-Results'!$A$9:$A$35,'Inputs-Results'!$V$9:$V$35))),IF(AND(X58="left",AA58&lt;=F58,AA58&gt;D58),ABS((_xlfn.XLOOKUP(A58,'Inputs-Results'!$A$9:$A$35,'Inputs-Results'!$W$9:$W$35)-_xlfn.XLOOKUP(A58,'Inputs-Results'!$A$9:$A$35,'Inputs-Results'!$U$9:$U$35))/(_xlfn.XLOOKUP(A58,'Inputs-Results'!$A$9:$A$35,'Inputs-Results'!$V$9:$V$35)-_xlfn.XLOOKUP(A58,'Inputs-Results'!$A$9:$A$35,'Inputs-Results'!$X$9:$X$35))),IF(AND(X58="right",Y58&gt;H58),ABS((_xlfn.XLOOKUP(A58,'Inputs-Results'!$A$9:$A$35,'Inputs-Results'!$AA$9:$AA$35)-_xlfn.XLOOKUP(A58,'Inputs-Results'!$A$9:$A$35,'Inputs-Results'!$Y$9:$Y$35))/(_xlfn.XLOOKUP(A58,'Inputs-Results'!$A$9:$A$35,'Inputs-Results'!$AB$9:$AB$35)-_xlfn.XLOOKUP(A58,'Inputs-Results'!$A$9:$A$35,'Inputs-Results'!$Z$9:$Z$35))),IF(AND(X58="right",Y58&lt;=H58,Y58&gt;=F58),(_xlfn.XLOOKUP(A58,'Inputs-Results'!$A$9:$A$35,'Inputs-Results'!$Y$9:$Y$35)-_xlfn.XLOOKUP(A58,'Inputs-Results'!$A$9:$A$35,'Inputs-Results'!$W$9:$W$35))/(_xlfn.XLOOKUP(A58,'Inputs-Results'!$A$9:$A$35,'Inputs-Results'!$Z$9:$Z$35)-_xlfn.XLOOKUP(A58,'Inputs-Results'!$A$9:$A$35,'Inputs-Results'!$X$9:$X$35)))))))/'Standard Data'!$C$12^2.3)</f>
        <v>#N/A</v>
      </c>
      <c r="AO58" s="19" t="e">
        <f t="shared" si="20"/>
        <v>#N/A</v>
      </c>
      <c r="AP58" s="19" t="e">
        <f t="shared" si="21"/>
        <v>#N/A</v>
      </c>
      <c r="AQ58" s="2" t="str">
        <f t="shared" si="16"/>
        <v/>
      </c>
    </row>
    <row r="59" spans="1:43" x14ac:dyDescent="0.25">
      <c r="A59" s="2">
        <f>'Inputs-Results'!A34</f>
        <v>0</v>
      </c>
      <c r="B59" s="2" t="e">
        <f>IF(C59&gt;E59,D59-ABS(_xlfn.XLOOKUP(A59,'Inputs-Results'!$A$9:$A$35,'Inputs-Results'!$S$9:$S$35)-_xlfn.XLOOKUP(A59,'Inputs-Results'!$A$9:$A$35,'Inputs-Results'!$U$9:$U$35))*(C59-E59)/(ABS(_xlfn.XLOOKUP(A59,'Inputs-Results'!$A$9:$A$35,'Inputs-Results'!$T$9:$T$35)-_xlfn.XLOOKUP(A59,'Inputs-Results'!$A$9:$A$35,'Inputs-Results'!$V$9:$V$35))),D59)</f>
        <v>#N/A</v>
      </c>
      <c r="C59" s="2" t="e">
        <f>IFERROR(G59+_xlfn.XLOOKUP(A59,'Ditch Calculations'!$A$34:$A$114,'Ditch Calculations'!$C$34:$C$114),_xlfn.XLOOKUP(A59,'Inputs-Results'!$A$9:$A$35,'Inputs-Results'!$T$9:$T$35))</f>
        <v>#N/A</v>
      </c>
      <c r="D59" s="2" t="e">
        <f>IF(C59&gt;E59,_xlfn.XLOOKUP(A59,'Inputs-Results'!$A$9:$A$35,'Inputs-Results'!$U$9:$U$35),_xlfn.XLOOKUP(A59,'Inputs-Results'!$A$9:$A$35,'Inputs-Results'!$W$9:$W$35)-ABS((_xlfn.XLOOKUP(A59,'Inputs-Results'!$A$9:$A$35,'Inputs-Results'!$W$9:$W$35)-_xlfn.XLOOKUP(A59,'Inputs-Results'!$A$9:$A$35,'Inputs-Results'!$U$9:$U$35))*(E59-G59))/((_xlfn.XLOOKUP(A59,'Inputs-Results'!$A$9:$A$35,'Inputs-Results'!$V$9:$V$35)-_xlfn.XLOOKUP(A59,'Inputs-Results'!$A$9:$A$35,'Inputs-Results'!$X$9:$X$35))))</f>
        <v>#N/A</v>
      </c>
      <c r="E59" s="2" t="e">
        <f>IF(C59&gt;_xlfn.XLOOKUP(A59,'Inputs-Results'!$A$9:$A$35,'Inputs-Results'!$V$9:$V$35),_xlfn.XLOOKUP(A59,'Inputs-Results'!$A$9:$A$35,'Inputs-Results'!$V$9:$V$35),C59)</f>
        <v>#N/A</v>
      </c>
      <c r="F59" s="2" t="e">
        <f>_xlfn.XLOOKUP(A59,'Inputs-Results'!$A$9:$A$35,'Inputs-Results'!$W$9:$W$35)</f>
        <v>#N/A</v>
      </c>
      <c r="G59" s="2" t="e">
        <f>_xlfn.XLOOKUP(A59,'Inputs-Results'!$A$9:$A$35,'Inputs-Results'!$O$9:$O$35)</f>
        <v>#N/A</v>
      </c>
      <c r="H59" s="2" t="e">
        <f>IF(K59&gt;I59,_xlfn.XLOOKUP(A59,'Inputs-Results'!$A$9:$A$35,'Inputs-Results'!$Y$9:$Y$35),_xlfn.XLOOKUP(A59,'Inputs-Results'!$A$9:$A$35,'Inputs-Results'!$W$9:$W$35)+ABS((_xlfn.XLOOKUP(A59,'Inputs-Results'!$A$9:$A$35,'Inputs-Results'!$Y$9:$Y$35)-_xlfn.XLOOKUP(A59,'Inputs-Results'!$A$9:$A$35,'Inputs-Results'!$W$9:$W$35))*(I59-G59)/(_xlfn.XLOOKUP(A59,'Inputs-Results'!$A$9:$A$35,'Inputs-Results'!$Z$9:$Z$35)-_xlfn.XLOOKUP(A59,'Inputs-Results'!$A$9:$A$35,'Inputs-Results'!$X$9:$X$35))))</f>
        <v>#N/A</v>
      </c>
      <c r="I59" s="2" t="e">
        <f>IF(K59&gt;_xlfn.XLOOKUP(A59,'Inputs-Results'!$A$9:$A$35,'Inputs-Results'!$Z$9:$Z$35),_xlfn.XLOOKUP(A59,'Inputs-Results'!$A$9:$A$35,'Inputs-Results'!$Z$9:$Z$35),K59)</f>
        <v>#N/A</v>
      </c>
      <c r="J59" s="41" t="e">
        <f>IF(K59&gt;I59,H59+ABS(_xlfn.XLOOKUP(A59,'Inputs-Results'!$A$9:$A$35,'Inputs-Results'!$AA$9:$AA$35)-_xlfn.XLOOKUP(A59,'Inputs-Results'!$A$9:$A$35,'Inputs-Results'!$Y$9:$Y$35))*(K59-I59)/(ABS(_xlfn.XLOOKUP(A59,'Inputs-Results'!$A$9:$A$35,'Inputs-Results'!$AB$9:$AB$35)-_xlfn.XLOOKUP(A59,'Inputs-Results'!$A$9:$A$35,'Inputs-Results'!$Z$9:$Z$35))),H59)</f>
        <v>#N/A</v>
      </c>
      <c r="K59" s="41" t="e">
        <f t="shared" si="3"/>
        <v>#N/A</v>
      </c>
      <c r="L59" s="41" t="e">
        <f t="shared" si="4"/>
        <v>#N/A</v>
      </c>
      <c r="M59" s="41" t="e">
        <f t="shared" si="5"/>
        <v>#N/A</v>
      </c>
      <c r="N59" s="41" t="e">
        <f t="shared" si="6"/>
        <v>#N/A</v>
      </c>
      <c r="O59" s="41" t="e">
        <f t="shared" si="7"/>
        <v>#N/A</v>
      </c>
      <c r="P59" s="41" t="e">
        <f t="shared" si="17"/>
        <v>#N/A</v>
      </c>
      <c r="Q59" s="41" t="e">
        <f t="shared" si="8"/>
        <v>#N/A</v>
      </c>
      <c r="R59" s="41" t="e">
        <f t="shared" si="9"/>
        <v>#N/A</v>
      </c>
      <c r="S59" s="41" t="e">
        <f t="shared" si="18"/>
        <v>#N/A</v>
      </c>
      <c r="T59" s="41" t="e">
        <f>IF(P59&gt;0,1.486*L59*(L59/P59)^(2/3)/_xlfn.XLOOKUP($A59,'Inputs-Results'!$A$9:$A$35,'Inputs-Results'!$AC$9:$AC$35),0)</f>
        <v>#N/A</v>
      </c>
      <c r="U59" s="41" t="e">
        <f>IF(Q59&gt;0,1.486*M59*(M59/Q59)^(2/3)/_xlfn.XLOOKUP($A59,'Inputs-Results'!$A$9:$A$35,'Inputs-Results'!$AC$9:$AC$35),0)+T59</f>
        <v>#N/A</v>
      </c>
      <c r="V59" s="41" t="e">
        <f>IF(R59&gt;0,1.486*N59*(N59/R59)^(2/3)/_xlfn.XLOOKUP($A59,'Inputs-Results'!$A$9:$A$35,'Inputs-Results'!$AC$9:$AC$35),0)+U59</f>
        <v>#N/A</v>
      </c>
      <c r="W59" s="41" t="e">
        <f>IF(S59&gt;0,1.486*O59*(O59/S59)^(2/3)/_xlfn.XLOOKUP($A59,'Inputs-Results'!$A$9:$A$35,'Inputs-Results'!$AC$9:$AC$35),0)+V59</f>
        <v>#N/A</v>
      </c>
      <c r="X59" s="41" t="e">
        <f>_xlfn.XLOOKUP(A59,'Inputs-Results'!$A$9:$A$35,'Inputs-Results'!$AE$9:$AE$35)</f>
        <v>#N/A</v>
      </c>
      <c r="Y59" s="41" t="e">
        <f>IF(_xlfn.XLOOKUP(A59,'Inputs-Results'!$A$9:$A$35,'Inputs-Results'!$N$9:$N$35)="",IF(X59="left",D59,IF(X59="right",H59,IF(X59="center (Berm)",F59,""))),'Inputs-Results'!N34)</f>
        <v>#N/A</v>
      </c>
      <c r="Z59" s="41" t="e">
        <f>IF(_xlfn.XLOOKUP(A59,'Inputs-Results'!A34:A60,'Inputs-Results'!B34:B60)="P-12",COS(ATAN(1/_xlfn.XLOOKUP(A59,'Inputs-Results'!$A$9:$A$35,'Inputs-Results'!$C$9:$C$35)))*'Standard Data'!$D$12,IF(_xlfn.XLOOKUP(A59,'Inputs-Results'!$A$9:$A$35,'Inputs-Results'!$B$9:$B$35)="N-12",COS(ATAN(1/_xlfn.XLOOKUP(A59,'Inputs-Results'!$A$9:$A$35,'Inputs-Results'!$C$9:$C$35)))*'Standard Data'!$D$13))</f>
        <v>#N/A</v>
      </c>
      <c r="AA59" s="41" t="e">
        <f t="shared" si="10"/>
        <v>#N/A</v>
      </c>
      <c r="AB59" s="41">
        <v>0</v>
      </c>
      <c r="AC59" s="41" t="e">
        <f t="shared" si="11"/>
        <v>#N/A</v>
      </c>
      <c r="AD59" s="41" t="e">
        <f t="shared" si="12"/>
        <v>#N/A</v>
      </c>
      <c r="AE59" s="41" t="e">
        <f t="shared" si="19"/>
        <v>#N/A</v>
      </c>
      <c r="AF59" s="41" t="e">
        <f t="shared" si="13"/>
        <v>#N/A</v>
      </c>
      <c r="AG59" s="41" t="e">
        <f t="shared" si="14"/>
        <v>#N/A</v>
      </c>
      <c r="AH59" s="41" t="e">
        <f t="shared" si="15"/>
        <v>#N/A</v>
      </c>
      <c r="AI59" s="19" t="e">
        <f>AF59/$AE59*_xlfn.XLOOKUP(A59,'Inputs-Results'!$A$9:$A$35,'Inputs-Results'!$M$9:$M$35)</f>
        <v>#N/A</v>
      </c>
      <c r="AJ59" s="19" t="e">
        <f>AG59/$AE59*_xlfn.XLOOKUP(A59,'Inputs-Results'!$A$9:$A$35,'Inputs-Results'!$M$9:$M$35)</f>
        <v>#N/A</v>
      </c>
      <c r="AK59" s="19" t="e">
        <f>AH59/$AE59*_xlfn.XLOOKUP(A59,'Inputs-Results'!$A$9:$A$35,'Inputs-Results'!$M$9:$M$35)</f>
        <v>#N/A</v>
      </c>
      <c r="AL59" s="18" t="e">
        <f>1/(1+0.15*_xlfn.XLOOKUP(A59,$A$3:$A$29,$C$3:$C$29)^1.8/(1/IF(AND(X59="left",AA59&lt;D59),ABS((_xlfn.XLOOKUP(A59,'Inputs-Results'!$A$9:$A$35,'Inputs-Results'!$U$9:$U$35)-_xlfn.XLOOKUP(A59,'Inputs-Results'!$A$9:$A$35,'Inputs-Results'!$S$9:$S$35))/(_xlfn.XLOOKUP(A59,'Inputs-Results'!$A$9:$A$35,'Inputs-Results'!$T$9:$T$35)-_xlfn.XLOOKUP(A59,'Inputs-Results'!$A$9:$A$35,'Inputs-Results'!$V$9:$V$35))),IF(AND(X59="left",AA59&lt;=F59,AA59&gt;D59),ABS((_xlfn.XLOOKUP(A59,'Inputs-Results'!$A$9:$A$35,'Inputs-Results'!$W$9:$W$35)-_xlfn.XLOOKUP(A59,'Inputs-Results'!$A$9:$A$35,'Inputs-Results'!$U$9:$U$35))/(_xlfn.XLOOKUP(A59,'Inputs-Results'!$A$9:$A$35,'Inputs-Results'!$V$9:$V$35)-_xlfn.XLOOKUP(A59,'Inputs-Results'!$A$9:$A$35,'Inputs-Results'!$X$9:$X$35))),IF(AND(X59="right",Y59&gt;H59),ABS((_xlfn.XLOOKUP(A59,'Inputs-Results'!$A$9:$A$35,'Inputs-Results'!$AA$9:$AA$35)-_xlfn.XLOOKUP(A59,'Inputs-Results'!$A$9:$A$35,'Inputs-Results'!$Y$9:$Y$35))/(_xlfn.XLOOKUP(A59,'Inputs-Results'!$A$9:$A$35,'Inputs-Results'!$AB$9:$AB$35)-_xlfn.XLOOKUP(A59,'Inputs-Results'!$A$9:$A$35,'Inputs-Results'!$Z$9:$Z$35))),IF(AND(X59="right",Y59&lt;=H59,Y59&gt;=F59),(_xlfn.XLOOKUP(A59,'Inputs-Results'!$A$9:$A$35,'Inputs-Results'!$Y$9:$Y$35)-_xlfn.XLOOKUP(A59,'Inputs-Results'!$A$9:$A$35,'Inputs-Results'!$W$9:$W$35))/(_xlfn.XLOOKUP(A59,'Inputs-Results'!$A$9:$A$35,'Inputs-Results'!$Z$9:$Z$35)-_xlfn.XLOOKUP(A59,'Inputs-Results'!$A$9:$A$35,'Inputs-Results'!$X$9:$X$35)))))))/'Standard Data'!$C$12^2.3)</f>
        <v>#N/A</v>
      </c>
      <c r="AM59" s="18" t="e">
        <f>MIN(1-0.09*(_xlfn.XLOOKUP(A59,$A$3:$A$29,$C$3:$C$29)-'Standard Data'!$G$12),1)</f>
        <v>#N/A</v>
      </c>
      <c r="AN59" s="18" t="e">
        <f>1/(1+0.15*_xlfn.XLOOKUP(A59,$A$3:$A$29,$C$3:$C$29)^1.8/(1/IF(AND(X59="left",AA59&lt;D59),ABS((_xlfn.XLOOKUP(A59,'Inputs-Results'!$A$9:$A$35,'Inputs-Results'!$U$9:$U$35)-_xlfn.XLOOKUP(A59,'Inputs-Results'!$A$9:$A$35,'Inputs-Results'!$S$9:$S$35))/(_xlfn.XLOOKUP(A59,'Inputs-Results'!$A$9:$A$35,'Inputs-Results'!$T$9:$T$35)-_xlfn.XLOOKUP(A59,'Inputs-Results'!$A$9:$A$35,'Inputs-Results'!$V$9:$V$35))),IF(AND(X59="left",AA59&lt;=F59,AA59&gt;D59),ABS((_xlfn.XLOOKUP(A59,'Inputs-Results'!$A$9:$A$35,'Inputs-Results'!$W$9:$W$35)-_xlfn.XLOOKUP(A59,'Inputs-Results'!$A$9:$A$35,'Inputs-Results'!$U$9:$U$35))/(_xlfn.XLOOKUP(A59,'Inputs-Results'!$A$9:$A$35,'Inputs-Results'!$V$9:$V$35)-_xlfn.XLOOKUP(A59,'Inputs-Results'!$A$9:$A$35,'Inputs-Results'!$X$9:$X$35))),IF(AND(X59="right",Y59&gt;H59),ABS((_xlfn.XLOOKUP(A59,'Inputs-Results'!$A$9:$A$35,'Inputs-Results'!$AA$9:$AA$35)-_xlfn.XLOOKUP(A59,'Inputs-Results'!$A$9:$A$35,'Inputs-Results'!$Y$9:$Y$35))/(_xlfn.XLOOKUP(A59,'Inputs-Results'!$A$9:$A$35,'Inputs-Results'!$AB$9:$AB$35)-_xlfn.XLOOKUP(A59,'Inputs-Results'!$A$9:$A$35,'Inputs-Results'!$Z$9:$Z$35))),IF(AND(X59="right",Y59&lt;=H59,Y59&gt;=F59),(_xlfn.XLOOKUP(A59,'Inputs-Results'!$A$9:$A$35,'Inputs-Results'!$Y$9:$Y$35)-_xlfn.XLOOKUP(A59,'Inputs-Results'!$A$9:$A$35,'Inputs-Results'!$W$9:$W$35))/(_xlfn.XLOOKUP(A59,'Inputs-Results'!$A$9:$A$35,'Inputs-Results'!$Z$9:$Z$35)-_xlfn.XLOOKUP(A59,'Inputs-Results'!$A$9:$A$35,'Inputs-Results'!$X$9:$X$35)))))))/'Standard Data'!$C$12^2.3)</f>
        <v>#N/A</v>
      </c>
      <c r="AO59" s="19" t="e">
        <f t="shared" si="20"/>
        <v>#N/A</v>
      </c>
      <c r="AP59" s="19" t="e">
        <f t="shared" si="21"/>
        <v>#N/A</v>
      </c>
      <c r="AQ59" s="2" t="str">
        <f t="shared" si="16"/>
        <v/>
      </c>
    </row>
    <row r="60" spans="1:43" x14ac:dyDescent="0.25">
      <c r="A60" s="2">
        <f>'Inputs-Results'!A35</f>
        <v>0</v>
      </c>
      <c r="B60" s="2" t="e">
        <f>IF(C60&gt;E60,D60-ABS(_xlfn.XLOOKUP(A60,'Inputs-Results'!$A$9:$A$35,'Inputs-Results'!$S$9:$S$35)-_xlfn.XLOOKUP(A60,'Inputs-Results'!$A$9:$A$35,'Inputs-Results'!$U$9:$U$35))*(C60-E60)/(ABS(_xlfn.XLOOKUP(A60,'Inputs-Results'!$A$9:$A$35,'Inputs-Results'!$T$9:$T$35)-_xlfn.XLOOKUP(A60,'Inputs-Results'!$A$9:$A$35,'Inputs-Results'!$V$9:$V$35))),D60)</f>
        <v>#N/A</v>
      </c>
      <c r="C60" s="2" t="e">
        <f>IFERROR(G60+_xlfn.XLOOKUP(A60,'Ditch Calculations'!$A$34:$A$114,'Ditch Calculations'!$C$34:$C$114),_xlfn.XLOOKUP(A60,'Inputs-Results'!$A$9:$A$35,'Inputs-Results'!$T$9:$T$35))</f>
        <v>#N/A</v>
      </c>
      <c r="D60" s="2" t="e">
        <f>IF(C60&gt;E60,_xlfn.XLOOKUP(A60,'Inputs-Results'!$A$9:$A$35,'Inputs-Results'!$U$9:$U$35),_xlfn.XLOOKUP(A60,'Inputs-Results'!$A$9:$A$35,'Inputs-Results'!$W$9:$W$35)-ABS((_xlfn.XLOOKUP(A60,'Inputs-Results'!$A$9:$A$35,'Inputs-Results'!$W$9:$W$35)-_xlfn.XLOOKUP(A60,'Inputs-Results'!$A$9:$A$35,'Inputs-Results'!$U$9:$U$35))*(E60-G60))/((_xlfn.XLOOKUP(A60,'Inputs-Results'!$A$9:$A$35,'Inputs-Results'!$V$9:$V$35)-_xlfn.XLOOKUP(A60,'Inputs-Results'!$A$9:$A$35,'Inputs-Results'!$X$9:$X$35))))</f>
        <v>#N/A</v>
      </c>
      <c r="E60" s="2" t="e">
        <f>IF(C60&gt;_xlfn.XLOOKUP(A60,'Inputs-Results'!$A$9:$A$35,'Inputs-Results'!$V$9:$V$35),_xlfn.XLOOKUP(A60,'Inputs-Results'!$A$9:$A$35,'Inputs-Results'!$V$9:$V$35),C60)</f>
        <v>#N/A</v>
      </c>
      <c r="F60" s="2" t="e">
        <f>_xlfn.XLOOKUP(A60,'Inputs-Results'!$A$9:$A$35,'Inputs-Results'!$W$9:$W$35)</f>
        <v>#N/A</v>
      </c>
      <c r="G60" s="2" t="e">
        <f>_xlfn.XLOOKUP(A60,'Inputs-Results'!$A$9:$A$35,'Inputs-Results'!$O$9:$O$35)</f>
        <v>#N/A</v>
      </c>
      <c r="H60" s="2" t="e">
        <f>IF(K60&gt;I60,_xlfn.XLOOKUP(A60,'Inputs-Results'!$A$9:$A$35,'Inputs-Results'!$Y$9:$Y$35),_xlfn.XLOOKUP(A60,'Inputs-Results'!$A$9:$A$35,'Inputs-Results'!$W$9:$W$35)+ABS((_xlfn.XLOOKUP(A60,'Inputs-Results'!$A$9:$A$35,'Inputs-Results'!$Y$9:$Y$35)-_xlfn.XLOOKUP(A60,'Inputs-Results'!$A$9:$A$35,'Inputs-Results'!$W$9:$W$35))*(I60-G60)/(_xlfn.XLOOKUP(A60,'Inputs-Results'!$A$9:$A$35,'Inputs-Results'!$Z$9:$Z$35)-_xlfn.XLOOKUP(A60,'Inputs-Results'!$A$9:$A$35,'Inputs-Results'!$X$9:$X$35))))</f>
        <v>#N/A</v>
      </c>
      <c r="I60" s="2" t="e">
        <f>IF(K60&gt;_xlfn.XLOOKUP(A60,'Inputs-Results'!$A$9:$A$35,'Inputs-Results'!$Z$9:$Z$35),_xlfn.XLOOKUP(A60,'Inputs-Results'!$A$9:$A$35,'Inputs-Results'!$Z$9:$Z$35),K60)</f>
        <v>#N/A</v>
      </c>
      <c r="J60" s="41" t="e">
        <f>IF(K60&gt;I60,H60+ABS(_xlfn.XLOOKUP(A60,'Inputs-Results'!$A$9:$A$35,'Inputs-Results'!$AA$9:$AA$35)-_xlfn.XLOOKUP(A60,'Inputs-Results'!$A$9:$A$35,'Inputs-Results'!$Y$9:$Y$35))*(K60-I60)/(ABS(_xlfn.XLOOKUP(A60,'Inputs-Results'!$A$9:$A$35,'Inputs-Results'!$AB$9:$AB$35)-_xlfn.XLOOKUP(A60,'Inputs-Results'!$A$9:$A$35,'Inputs-Results'!$Z$9:$Z$35))),H60)</f>
        <v>#N/A</v>
      </c>
      <c r="K60" s="41" t="e">
        <f t="shared" si="3"/>
        <v>#N/A</v>
      </c>
      <c r="L60" s="41" t="e">
        <f t="shared" si="4"/>
        <v>#N/A</v>
      </c>
      <c r="M60" s="41" t="e">
        <f t="shared" si="5"/>
        <v>#N/A</v>
      </c>
      <c r="N60" s="41" t="e">
        <f t="shared" si="6"/>
        <v>#N/A</v>
      </c>
      <c r="O60" s="41" t="e">
        <f t="shared" si="7"/>
        <v>#N/A</v>
      </c>
      <c r="P60" s="41" t="e">
        <f t="shared" si="17"/>
        <v>#N/A</v>
      </c>
      <c r="Q60" s="41" t="e">
        <f t="shared" si="8"/>
        <v>#N/A</v>
      </c>
      <c r="R60" s="41" t="e">
        <f t="shared" si="9"/>
        <v>#N/A</v>
      </c>
      <c r="S60" s="41" t="e">
        <f t="shared" si="18"/>
        <v>#N/A</v>
      </c>
      <c r="T60" s="41" t="e">
        <f>IF(P60&gt;0,1.486*L60*(L60/P60)^(2/3)/_xlfn.XLOOKUP($A60,'Inputs-Results'!$A$9:$A$35,'Inputs-Results'!$AC$9:$AC$35),0)</f>
        <v>#N/A</v>
      </c>
      <c r="U60" s="41" t="e">
        <f>IF(Q60&gt;0,1.486*M60*(M60/Q60)^(2/3)/_xlfn.XLOOKUP($A60,'Inputs-Results'!$A$9:$A$35,'Inputs-Results'!$AC$9:$AC$35),0)+T60</f>
        <v>#N/A</v>
      </c>
      <c r="V60" s="41" t="e">
        <f>IF(R60&gt;0,1.486*N60*(N60/R60)^(2/3)/_xlfn.XLOOKUP($A60,'Inputs-Results'!$A$9:$A$35,'Inputs-Results'!$AC$9:$AC$35),0)+U60</f>
        <v>#N/A</v>
      </c>
      <c r="W60" s="41" t="e">
        <f>IF(S60&gt;0,1.486*O60*(O60/S60)^(2/3)/_xlfn.XLOOKUP($A60,'Inputs-Results'!$A$9:$A$35,'Inputs-Results'!$AC$9:$AC$35),0)+V60</f>
        <v>#N/A</v>
      </c>
      <c r="X60" s="41" t="e">
        <f>_xlfn.XLOOKUP(A60,'Inputs-Results'!$A$9:$A$35,'Inputs-Results'!$AE$9:$AE$35)</f>
        <v>#N/A</v>
      </c>
      <c r="Y60" s="41" t="e">
        <f>IF(_xlfn.XLOOKUP(A60,'Inputs-Results'!$A$9:$A$35,'Inputs-Results'!$N$9:$N$35)="",IF(X60="left",D60,IF(X60="right",H60,IF(X60="center (Berm)",F60,""))),'Inputs-Results'!N35)</f>
        <v>#N/A</v>
      </c>
      <c r="Z60" s="41" t="e">
        <f>IF(_xlfn.XLOOKUP(A60,'Inputs-Results'!A35:A61,'Inputs-Results'!B35:B61)="P-12",COS(ATAN(1/_xlfn.XLOOKUP(A60,'Inputs-Results'!$A$9:$A$35,'Inputs-Results'!$C$9:$C$35)))*'Standard Data'!$D$12,IF(_xlfn.XLOOKUP(A60,'Inputs-Results'!$A$9:$A$35,'Inputs-Results'!$B$9:$B$35)="N-12",COS(ATAN(1/_xlfn.XLOOKUP(A60,'Inputs-Results'!$A$9:$A$35,'Inputs-Results'!$C$9:$C$35)))*'Standard Data'!$D$13))</f>
        <v>#N/A</v>
      </c>
      <c r="AA60" s="41" t="e">
        <f t="shared" si="10"/>
        <v>#N/A</v>
      </c>
      <c r="AB60" s="41">
        <v>0</v>
      </c>
      <c r="AC60" s="41" t="e">
        <f t="shared" si="11"/>
        <v>#N/A</v>
      </c>
      <c r="AD60" s="41" t="e">
        <f t="shared" si="12"/>
        <v>#N/A</v>
      </c>
      <c r="AE60" s="41" t="e">
        <f t="shared" si="19"/>
        <v>#N/A</v>
      </c>
      <c r="AF60" s="41" t="e">
        <f t="shared" si="13"/>
        <v>#N/A</v>
      </c>
      <c r="AG60" s="41" t="e">
        <f t="shared" si="14"/>
        <v>#N/A</v>
      </c>
      <c r="AH60" s="41" t="e">
        <f t="shared" si="15"/>
        <v>#N/A</v>
      </c>
      <c r="AI60" s="19" t="e">
        <f>AF60/$AE60*_xlfn.XLOOKUP(A60,'Inputs-Results'!$A$9:$A$35,'Inputs-Results'!$M$9:$M$35)</f>
        <v>#N/A</v>
      </c>
      <c r="AJ60" s="19" t="e">
        <f>AG60/$AE60*_xlfn.XLOOKUP(A60,'Inputs-Results'!$A$9:$A$35,'Inputs-Results'!$M$9:$M$35)</f>
        <v>#N/A</v>
      </c>
      <c r="AK60" s="19" t="e">
        <f>AH60/$AE60*_xlfn.XLOOKUP(A60,'Inputs-Results'!$A$9:$A$35,'Inputs-Results'!$M$9:$M$35)</f>
        <v>#N/A</v>
      </c>
      <c r="AL60" s="18" t="e">
        <f>1/(1+0.15*_xlfn.XLOOKUP(A60,$A$3:$A$29,$C$3:$C$29)^1.8/(1/IF(AND(X60="left",AA60&lt;D60),ABS((_xlfn.XLOOKUP(A60,'Inputs-Results'!$A$9:$A$35,'Inputs-Results'!$U$9:$U$35)-_xlfn.XLOOKUP(A60,'Inputs-Results'!$A$9:$A$35,'Inputs-Results'!$S$9:$S$35))/(_xlfn.XLOOKUP(A60,'Inputs-Results'!$A$9:$A$35,'Inputs-Results'!$T$9:$T$35)-_xlfn.XLOOKUP(A60,'Inputs-Results'!$A$9:$A$35,'Inputs-Results'!$V$9:$V$35))),IF(AND(X60="left",AA60&lt;=F60,AA60&gt;D60),ABS((_xlfn.XLOOKUP(A60,'Inputs-Results'!$A$9:$A$35,'Inputs-Results'!$W$9:$W$35)-_xlfn.XLOOKUP(A60,'Inputs-Results'!$A$9:$A$35,'Inputs-Results'!$U$9:$U$35))/(_xlfn.XLOOKUP(A60,'Inputs-Results'!$A$9:$A$35,'Inputs-Results'!$V$9:$V$35)-_xlfn.XLOOKUP(A60,'Inputs-Results'!$A$9:$A$35,'Inputs-Results'!$X$9:$X$35))),IF(AND(X60="right",Y60&gt;H60),ABS((_xlfn.XLOOKUP(A60,'Inputs-Results'!$A$9:$A$35,'Inputs-Results'!$AA$9:$AA$35)-_xlfn.XLOOKUP(A60,'Inputs-Results'!$A$9:$A$35,'Inputs-Results'!$Y$9:$Y$35))/(_xlfn.XLOOKUP(A60,'Inputs-Results'!$A$9:$A$35,'Inputs-Results'!$AB$9:$AB$35)-_xlfn.XLOOKUP(A60,'Inputs-Results'!$A$9:$A$35,'Inputs-Results'!$Z$9:$Z$35))),IF(AND(X60="right",Y60&lt;=H60,Y60&gt;=F60),(_xlfn.XLOOKUP(A60,'Inputs-Results'!$A$9:$A$35,'Inputs-Results'!$Y$9:$Y$35)-_xlfn.XLOOKUP(A60,'Inputs-Results'!$A$9:$A$35,'Inputs-Results'!$W$9:$W$35))/(_xlfn.XLOOKUP(A60,'Inputs-Results'!$A$9:$A$35,'Inputs-Results'!$Z$9:$Z$35)-_xlfn.XLOOKUP(A60,'Inputs-Results'!$A$9:$A$35,'Inputs-Results'!$X$9:$X$35)))))))/'Standard Data'!$C$12^2.3)</f>
        <v>#N/A</v>
      </c>
      <c r="AM60" s="18" t="e">
        <f>MIN(1-0.09*(_xlfn.XLOOKUP(A60,$A$3:$A$29,$C$3:$C$29)-'Standard Data'!$G$12),1)</f>
        <v>#N/A</v>
      </c>
      <c r="AN60" s="18" t="e">
        <f>1/(1+0.15*_xlfn.XLOOKUP(A60,$A$3:$A$29,$C$3:$C$29)^1.8/(1/IF(AND(X60="left",AA60&lt;D60),ABS((_xlfn.XLOOKUP(A60,'Inputs-Results'!$A$9:$A$35,'Inputs-Results'!$U$9:$U$35)-_xlfn.XLOOKUP(A60,'Inputs-Results'!$A$9:$A$35,'Inputs-Results'!$S$9:$S$35))/(_xlfn.XLOOKUP(A60,'Inputs-Results'!$A$9:$A$35,'Inputs-Results'!$T$9:$T$35)-_xlfn.XLOOKUP(A60,'Inputs-Results'!$A$9:$A$35,'Inputs-Results'!$V$9:$V$35))),IF(AND(X60="left",AA60&lt;=F60,AA60&gt;D60),ABS((_xlfn.XLOOKUP(A60,'Inputs-Results'!$A$9:$A$35,'Inputs-Results'!$W$9:$W$35)-_xlfn.XLOOKUP(A60,'Inputs-Results'!$A$9:$A$35,'Inputs-Results'!$U$9:$U$35))/(_xlfn.XLOOKUP(A60,'Inputs-Results'!$A$9:$A$35,'Inputs-Results'!$V$9:$V$35)-_xlfn.XLOOKUP(A60,'Inputs-Results'!$A$9:$A$35,'Inputs-Results'!$X$9:$X$35))),IF(AND(X60="right",Y60&gt;H60),ABS((_xlfn.XLOOKUP(A60,'Inputs-Results'!$A$9:$A$35,'Inputs-Results'!$AA$9:$AA$35)-_xlfn.XLOOKUP(A60,'Inputs-Results'!$A$9:$A$35,'Inputs-Results'!$Y$9:$Y$35))/(_xlfn.XLOOKUP(A60,'Inputs-Results'!$A$9:$A$35,'Inputs-Results'!$AB$9:$AB$35)-_xlfn.XLOOKUP(A60,'Inputs-Results'!$A$9:$A$35,'Inputs-Results'!$Z$9:$Z$35))),IF(AND(X60="right",Y60&lt;=H60,Y60&gt;=F60),(_xlfn.XLOOKUP(A60,'Inputs-Results'!$A$9:$A$35,'Inputs-Results'!$Y$9:$Y$35)-_xlfn.XLOOKUP(A60,'Inputs-Results'!$A$9:$A$35,'Inputs-Results'!$W$9:$W$35))/(_xlfn.XLOOKUP(A60,'Inputs-Results'!$A$9:$A$35,'Inputs-Results'!$Z$9:$Z$35)-_xlfn.XLOOKUP(A60,'Inputs-Results'!$A$9:$A$35,'Inputs-Results'!$X$9:$X$35)))))))/'Standard Data'!$C$12^2.3)</f>
        <v>#N/A</v>
      </c>
      <c r="AO60" s="19" t="e">
        <f t="shared" si="20"/>
        <v>#N/A</v>
      </c>
      <c r="AP60" s="19" t="e">
        <f t="shared" si="21"/>
        <v>#N/A</v>
      </c>
      <c r="AQ60" s="2" t="str">
        <f t="shared" si="16"/>
        <v/>
      </c>
    </row>
  </sheetData>
  <mergeCells count="1">
    <mergeCell ref="AA32:AP3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1BCD6-067F-497F-B500-D645A619C5CC}">
  <dimension ref="A1:CW101"/>
  <sheetViews>
    <sheetView zoomScale="92" workbookViewId="0">
      <selection activeCell="A7" sqref="A7"/>
    </sheetView>
  </sheetViews>
  <sheetFormatPr defaultRowHeight="15" x14ac:dyDescent="0.25"/>
  <cols>
    <col min="3" max="3" width="11.140625" bestFit="1" customWidth="1"/>
    <col min="8" max="8" width="11.7109375" customWidth="1"/>
    <col min="9" max="9" width="11" bestFit="1" customWidth="1"/>
    <col min="10" max="10" width="9.28515625" customWidth="1"/>
  </cols>
  <sheetData>
    <row r="1" spans="1:35" x14ac:dyDescent="0.25">
      <c r="A1" s="25" t="s">
        <v>78</v>
      </c>
      <c r="M1" s="179" t="s">
        <v>182</v>
      </c>
      <c r="N1" s="179"/>
      <c r="O1" s="179"/>
      <c r="P1" s="179"/>
      <c r="Q1" s="179" t="s">
        <v>185</v>
      </c>
      <c r="R1" s="179"/>
      <c r="S1" s="179"/>
      <c r="T1" s="179"/>
      <c r="U1" s="179" t="s">
        <v>186</v>
      </c>
      <c r="V1" s="179"/>
      <c r="W1" s="179"/>
      <c r="X1" s="179"/>
      <c r="Y1" s="179" t="s">
        <v>187</v>
      </c>
      <c r="Z1" s="179"/>
      <c r="AA1" s="179"/>
      <c r="AB1" s="179"/>
      <c r="AC1" s="179" t="s">
        <v>188</v>
      </c>
      <c r="AD1" s="179"/>
      <c r="AE1" s="179"/>
      <c r="AF1" s="179"/>
      <c r="AG1" s="177" t="s">
        <v>202</v>
      </c>
      <c r="AH1" s="177"/>
      <c r="AI1" s="177"/>
    </row>
    <row r="2" spans="1:35" ht="60" x14ac:dyDescent="0.25">
      <c r="A2" s="2" t="s">
        <v>81</v>
      </c>
      <c r="B2" s="5" t="s">
        <v>101</v>
      </c>
      <c r="C2" s="2" t="s">
        <v>170</v>
      </c>
      <c r="D2" s="3" t="s">
        <v>11</v>
      </c>
      <c r="E2" s="3" t="s">
        <v>32</v>
      </c>
      <c r="F2" s="3" t="s">
        <v>33</v>
      </c>
      <c r="G2" s="3" t="s">
        <v>34</v>
      </c>
      <c r="H2" s="4" t="s">
        <v>38</v>
      </c>
      <c r="I2" s="3" t="s">
        <v>171</v>
      </c>
      <c r="J2" s="4" t="s">
        <v>201</v>
      </c>
      <c r="K2" s="4" t="s">
        <v>175</v>
      </c>
      <c r="L2" s="4" t="s">
        <v>218</v>
      </c>
      <c r="M2" s="4" t="s">
        <v>184</v>
      </c>
      <c r="N2" s="4" t="s">
        <v>176</v>
      </c>
      <c r="O2" s="4" t="s">
        <v>181</v>
      </c>
      <c r="P2" s="4" t="s">
        <v>183</v>
      </c>
      <c r="Q2" s="4" t="s">
        <v>184</v>
      </c>
      <c r="R2" s="4" t="s">
        <v>176</v>
      </c>
      <c r="S2" s="4" t="s">
        <v>181</v>
      </c>
      <c r="T2" s="4" t="s">
        <v>183</v>
      </c>
      <c r="U2" s="4" t="s">
        <v>184</v>
      </c>
      <c r="V2" s="4" t="s">
        <v>176</v>
      </c>
      <c r="W2" s="4" t="s">
        <v>181</v>
      </c>
      <c r="X2" s="4" t="s">
        <v>183</v>
      </c>
      <c r="Y2" s="4" t="s">
        <v>184</v>
      </c>
      <c r="Z2" s="4" t="s">
        <v>176</v>
      </c>
      <c r="AA2" s="4" t="s">
        <v>181</v>
      </c>
      <c r="AB2" s="4" t="s">
        <v>183</v>
      </c>
      <c r="AC2" s="4" t="s">
        <v>184</v>
      </c>
      <c r="AD2" s="4" t="s">
        <v>176</v>
      </c>
      <c r="AE2" s="4" t="s">
        <v>181</v>
      </c>
      <c r="AF2" s="4" t="s">
        <v>183</v>
      </c>
      <c r="AG2" s="4" t="s">
        <v>194</v>
      </c>
      <c r="AH2" s="97" t="s">
        <v>195</v>
      </c>
      <c r="AI2" s="97" t="s">
        <v>200</v>
      </c>
    </row>
    <row r="3" spans="1:35" x14ac:dyDescent="0.25">
      <c r="A3" s="2">
        <f>'Inputs-Results'!A9</f>
        <v>0</v>
      </c>
      <c r="B3" s="18" t="e">
        <f>_xlfn.XLOOKUP(A3,'Ditch Calculations'!$A$34:$A$114,'Ditch Calculations'!$C$34:$C$114)</f>
        <v>#N/A</v>
      </c>
      <c r="C3" s="2" t="e">
        <f>IF(_xlfn.XLOOKUP(A3,'Inputs-Results'!$A$9:$A$35,'Inputs-Results'!$P$9:$P$35)-_xlfn.XLOOKUP(A3,'Inputs-Results'!$A$9:$A$35,'Inputs-Results'!$X$9:$X$35)&gt;0,_xlfn.XLOOKUP(A3,'Inputs-Results'!$A$9:$A$35,'Inputs-Results'!$P$9:$P$35)-_xlfn.XLOOKUP(A3,'Inputs-Results'!$A$9:$A$35,'Inputs-Results'!$X$9:$X$35),0)</f>
        <v>#N/A</v>
      </c>
      <c r="D3" s="2" t="e">
        <f>'Standard Data'!$D$9*(1-_xlfn.XLOOKUP(A3,'Inputs-Results'!$A$9:$A$35,'Inputs-Results'!$AF$9:$AF$35))</f>
        <v>#N/A</v>
      </c>
      <c r="E3" s="2" t="e">
        <f>'Standard Data'!$B$9*(1-_xlfn.XLOOKUP(A3,'Inputs-Results'!$A$9:$A$35,'Inputs-Results'!$AF$9:$AF$35))</f>
        <v>#N/A</v>
      </c>
      <c r="F3" s="2" t="e">
        <f>(_xlfn.XLOOKUP(A3,'Inputs-Results'!$A$9:$A$35,'Inputs-Results'!$M$9:$M$35)/(0.67*E3))^2/(2*32.2)</f>
        <v>#N/A</v>
      </c>
      <c r="G3" s="18" t="e">
        <f>(_xlfn.XLOOKUP(A3,'Inputs-Results'!$A$9:$A$35,'Inputs-Results'!$M$9:$M$35)/3/E3)^(1/1.5)</f>
        <v>#N/A</v>
      </c>
      <c r="H3" s="42" t="e">
        <f>MAX(F3:G3)</f>
        <v>#N/A</v>
      </c>
      <c r="I3" s="2" t="e">
        <f>IF(H3&lt;C3,0,IF(C3=0,"no berm","has bypass"))</f>
        <v>#N/A</v>
      </c>
      <c r="J3" s="19" t="e">
        <f>MIN(0.37*$D3*(2*32.2*($C3+M3))^0.5,0.67*(2*32.2)^0.5*$E3*($C3+M3)^1.5)</f>
        <v>#N/A</v>
      </c>
      <c r="K3" s="19" t="e">
        <f>IF(C3&gt;=_xlfn.XLOOKUP(A3,'Inputs-Results'!$A$9:$A$35,'Inputs-Results'!$Z$9:$Z$35)-_xlfn.XLOOKUP(A3,'Inputs-Results'!$A$9:$A$35,'Inputs-Results'!$X$9:$X$35),(_xlfn.XLOOKUP(A3,'Inputs-Results'!$A$9:$A$35,'Inputs-Results'!$Y$9:$Y$35)-_xlfn.XLOOKUP(A3,'Inputs-Results'!$A$9:$A$35,'Inputs-Results'!$W$9:$W$35))+((_xlfn.XLOOKUP(A3,'Inputs-Results'!$A$9:$A$35,'Inputs-Results'!$AA$9:$AA$35)-_xlfn.XLOOKUP(A3,'Inputs-Results'!$A$9:$A$35,'Inputs-Results'!$Y$9:$Y$35))*(C3-(_xlfn.XLOOKUP(A3,'Inputs-Results'!$A$9:$A$35,'Inputs-Results'!$Z$9:$Z$35)-_xlfn.XLOOKUP(A3,'Inputs-Results'!$A$9:$A$35,'Inputs-Results'!$X$9:$X$35))))/(_xlfn.XLOOKUP(A3,'Inputs-Results'!$A$9:$A$35,'Inputs-Results'!$AB$9:$AB$35)-_xlfn.XLOOKUP(A3,'Inputs-Results'!$A$9:$A$35,'Inputs-Results'!$Z$9:$Z$35)),((_xlfn.XLOOKUP(A3,'Inputs-Results'!$A$9:$A$35,'Inputs-Results'!$Y$9:$Y$35)-_xlfn.XLOOKUP(A3,'Inputs-Results'!$A$9:$A$35,'Inputs-Results'!$W$9:$W$35))*C3)/(_xlfn.XLOOKUP(A3,'Inputs-Results'!$A$9:$A$35,'Inputs-Results'!$Z$9:$Z$35)-_xlfn.XLOOKUP(A3,'Inputs-Results'!$A$9:$A$35,'Inputs-Results'!$X$9:$X$35)))+IF(C3&gt;=_xlfn.XLOOKUP(A3,'Inputs-Results'!$A$9:$A$35,'Inputs-Results'!$V$9:$V$35)-_xlfn.XLOOKUP(A3,'Inputs-Results'!$A$9:$A$35,'Inputs-Results'!$X$9:$X$35),ABS(_xlfn.XLOOKUP(A3,'Inputs-Results'!$A$9:$A$35,'Inputs-Results'!$W$9:$W$35)-_xlfn.XLOOKUP(A3,'Inputs-Results'!$A$9:$A$35,'Inputs-Results'!$U$9:$U$35))+ABS((_xlfn.XLOOKUP(A3,'Inputs-Results'!$A$9:$A$35,'Inputs-Results'!$U$9:$U$35)-_xlfn.XLOOKUP(A3,'Inputs-Results'!$A$9:$A$35,'Inputs-Results'!$S$9:$S$35))*(C3-(_xlfn.XLOOKUP(A3,'Inputs-Results'!$A$9:$A$35,'Inputs-Results'!$V$9:$V$35)-_xlfn.XLOOKUP(A3,'Inputs-Results'!$A$9:$A$35,'Inputs-Results'!$X$9:$X$35))))/(_xlfn.XLOOKUP(A3,'Inputs-Results'!$A$9:$A$35,'Inputs-Results'!$T$9:$T$35)-_xlfn.XLOOKUP(A3,'Inputs-Results'!$A$9:$A$35,'Inputs-Results'!$V$9:$V$35)),ABS((_xlfn.XLOOKUP(A3,'Inputs-Results'!$A$9:$A$35,'Inputs-Results'!$W$9:$W$35)-_xlfn.XLOOKUP(A3,'Inputs-Results'!$A$9:$A$35,'Inputs-Results'!$U$9:$U$35))*C3)/(_xlfn.XLOOKUP(A3,'Inputs-Results'!$A$9:$A$35,'Inputs-Results'!$V$9:$V$35)-_xlfn.XLOOKUP(A3,'Inputs-Results'!$A$9:$A$35,'Inputs-Results'!$X$9:$X$35)))</f>
        <v>#N/A</v>
      </c>
      <c r="L3" s="2" t="e">
        <f>IF(_xlfn.XLOOKUP(A3,'Inputs-Results'!A9:A35,'Inputs-Results'!Q9:Q35)&gt;0,_xlfn.XLOOKUP(A3,'Inputs-Results'!A9:A35,'Inputs-Results'!Q9:Q35),3)</f>
        <v>#N/A</v>
      </c>
      <c r="M3" s="2">
        <v>0.2</v>
      </c>
      <c r="N3" s="2" t="e" cm="1">
        <f t="array" ref="N3">INDEX('Standard Data'!$Q$23:$AB$40,_xlfn.XMATCH(M3,'Standard Data'!$Q$23:$Q$40,0),_xlfn.XMATCH($L3,'Standard Data'!$Q$23:$AB$23,0))</f>
        <v>#N/A</v>
      </c>
      <c r="O3" s="19" t="e">
        <f t="shared" ref="O3:O29" si="0">N3*$K3*M3^1.5</f>
        <v>#N/A</v>
      </c>
      <c r="P3" s="2" t="e">
        <f>O3+MIN(0.37*$D3*(2*32.2*($C3+M3))^0.5,0.67*(2*32.2)^0.5*$E3*($C3+M3)^1.5)</f>
        <v>#N/A</v>
      </c>
      <c r="Q3" s="2">
        <v>0.4</v>
      </c>
      <c r="R3" s="2" t="e" cm="1">
        <f t="array" ref="R3">INDEX('Standard Data'!$Q$23:$AB$40,_xlfn.XMATCH(Q3,'Standard Data'!$Q$23:$Q$40,0),_xlfn.XMATCH($L3,'Standard Data'!$Q$23:$AB$23,0))</f>
        <v>#N/A</v>
      </c>
      <c r="S3" s="19" t="e">
        <f t="shared" ref="S3:S29" si="1">R3*$K3*Q3^1.5</f>
        <v>#N/A</v>
      </c>
      <c r="T3" s="2" t="e">
        <f>S3+MIN(0.37*$D3*(2*32.2*($C3+Q3))^0.5,0.67*(2*32.2)^0.5*$E3*($C3+Q3)^1.5)</f>
        <v>#N/A</v>
      </c>
      <c r="U3" s="2">
        <v>0.6</v>
      </c>
      <c r="V3" s="2" t="e" cm="1">
        <f t="array" ref="V3">INDEX('Standard Data'!$Q$23:$AB$40,_xlfn.XMATCH(U3,'Standard Data'!$Q$23:$Q$40,0),_xlfn.XMATCH($L3,'Standard Data'!$Q$23:$AB$23,0))</f>
        <v>#N/A</v>
      </c>
      <c r="W3" s="19" t="e">
        <f t="shared" ref="W3:W29" si="2">V3*$K3*U3^1.5</f>
        <v>#N/A</v>
      </c>
      <c r="X3" s="2" t="e">
        <f>W3+MIN(0.37*$D3*(2*32.2*($C3+U3))^0.5,0.67*(2*32.2)^0.5*$E3*($C3+U3)^1.5)</f>
        <v>#N/A</v>
      </c>
      <c r="Y3" s="2">
        <v>0.8</v>
      </c>
      <c r="Z3" s="2" t="e" cm="1">
        <f t="array" ref="Z3">INDEX('Standard Data'!$Q$23:$AB$40,_xlfn.XMATCH(Y3,'Standard Data'!$Q$23:$Q$40,0),_xlfn.XMATCH($L3,'Standard Data'!$Q$23:$AB$23,0))</f>
        <v>#N/A</v>
      </c>
      <c r="AA3" s="19" t="e">
        <f t="shared" ref="AA3:AA29" si="3">Z3*$K3*Y3^1.5</f>
        <v>#N/A</v>
      </c>
      <c r="AB3" s="2" t="e">
        <f>AA3+MIN(0.37*$D3*(2*32.2*($C3+Y3))^0.5,0.67*(2*32.2)^0.5*$E3*($C3+Y3)^1.5)</f>
        <v>#N/A</v>
      </c>
      <c r="AC3" s="2">
        <v>1</v>
      </c>
      <c r="AD3" s="2" t="e" cm="1">
        <f t="array" ref="AD3">INDEX('Standard Data'!$Q$23:$AB$40,_xlfn.XMATCH(AC3,'Standard Data'!$Q$23:$Q$40,0),_xlfn.XMATCH($L3,'Standard Data'!$Q$23:$AB$23,0))</f>
        <v>#N/A</v>
      </c>
      <c r="AE3" s="19" t="e">
        <f t="shared" ref="AE3:AE29" si="4">AD3*$K3*AC3^1.5</f>
        <v>#N/A</v>
      </c>
      <c r="AF3" s="2" t="e">
        <f>AE3+MIN(0.37*$D3*(2*32.2*($C3+AC3))^0.5,0.67*(2*32.2)^0.5*$E3*($C3+AC3)^1.5)</f>
        <v>#N/A</v>
      </c>
      <c r="AG3" s="19" t="e">
        <f>_xlfn.XLOOKUP(A3,'Inputs-Results'!$A$9:$A$35,'Inputs-Results'!$M$9:$M$35)</f>
        <v>#N/A</v>
      </c>
      <c r="AH3" s="107" t="e">
        <f t="shared" ref="AH3:AH9" si="5">IF(OR(I3=0,I3="no berm"),0,(IF(I3="has bypass",IF(AG3&lt;=P3,(AG3-J3)*(O3-0)/(P3-J3),IF(AND(AG3&gt;P3,AG3&lt;=T3),(AG3-P3)*(S3-O3)/(T3-P3)+O3,IF(AND(AG3&gt;T3,AG3&lt;=X3),(AG3-T3)*(W3-S3)/(X3-T3)+S3,IF(AND(AG3&gt;X3,AG3&lt;=AB3),(AG3-X3)*(AA3-W3)/(AB3-X3)+W3,IF(AND(AG3&gt;AB3,AG3&lt;=AF3),(AG3-AB3)*(AE3-AA3)/(AF3-AB3)+AA3,"that's a lot of flow"))))))))</f>
        <v>#N/A</v>
      </c>
      <c r="AI3" s="107" t="e">
        <f>IF(OR(I3=0,I3="no berm"),0,(IF(I3="has bypass",IF(AG3&lt;=P3,(AH3-0)*(M3-0)/(O3-0)+0,IF(AND(AG3&gt;P3,AG3&lt;=T3),(AH3-O3)*(Q3-M3)/(S3-O3)+M3,IF(AND(AG3&gt;T3,AG3&lt;=X3),(AH3-S3)*(U3-Q3)/(W3-S3)+Q3,IF(AND(AG3&gt;X3,AG3&lt;=AB3),(AH3-W3)*(Y3-U3)/(AA3-W3)+U3,IF(AND(AG3&gt;AB3,AG3&lt;=AF3),(AH3-AA3)*(AC3-X3)/(AE3-AA3)+Y3,"more than a foot deep"))))))))</f>
        <v>#N/A</v>
      </c>
    </row>
    <row r="4" spans="1:35" x14ac:dyDescent="0.25">
      <c r="A4" s="2">
        <f>'Inputs-Results'!A10</f>
        <v>0</v>
      </c>
      <c r="B4" s="18" t="e">
        <f>_xlfn.XLOOKUP(A4,'Ditch Calculations'!$A$34:$A$114,'Ditch Calculations'!$C$34:$C$114)</f>
        <v>#N/A</v>
      </c>
      <c r="C4" s="2" t="e">
        <f>IF(_xlfn.XLOOKUP(A4,'Inputs-Results'!$A$9:$A$35,'Inputs-Results'!$P$9:$P$35)-_xlfn.XLOOKUP(A4,'Inputs-Results'!$A$9:$A$35,'Inputs-Results'!$X$9:$X$35)&gt;0,_xlfn.XLOOKUP(A4,'Inputs-Results'!$A$9:$A$35,'Inputs-Results'!$P$9:$P$35)-_xlfn.XLOOKUP(A4,'Inputs-Results'!$A$9:$A$35,'Inputs-Results'!$X$9:$X$35),0)</f>
        <v>#N/A</v>
      </c>
      <c r="D4" s="2" t="e">
        <f>'Standard Data'!$D$9*(1-_xlfn.XLOOKUP(A4,'Inputs-Results'!$A$9:$A$35,'Inputs-Results'!$AF$9:$AF$35))</f>
        <v>#N/A</v>
      </c>
      <c r="E4" s="2" t="e">
        <f>'Standard Data'!$B$9*(1-_xlfn.XLOOKUP(A4,'Inputs-Results'!$A$9:$A$35,'Inputs-Results'!$AF$9:$AF$35))</f>
        <v>#N/A</v>
      </c>
      <c r="F4" s="2" t="e">
        <f>(_xlfn.XLOOKUP(A4,'Inputs-Results'!$A$9:$A$35,'Inputs-Results'!$M$9:$M$35)/(0.67*E4))^2/(2*32.2)</f>
        <v>#N/A</v>
      </c>
      <c r="G4" s="18" t="e">
        <f>(_xlfn.XLOOKUP(A4,'Inputs-Results'!$A$9:$A$35,'Inputs-Results'!$M$9:$M$35)/3/E4)^(1/1.5)</f>
        <v>#N/A</v>
      </c>
      <c r="H4" s="42" t="e">
        <f t="shared" ref="H4:H29" si="6">MAX(F4:G4)</f>
        <v>#N/A</v>
      </c>
      <c r="I4" s="2" t="e">
        <f t="shared" ref="I4:I29" si="7">IF(H4&lt;C4,0,IF(C4=0,"no berm","has bypass"))</f>
        <v>#N/A</v>
      </c>
      <c r="J4" s="19" t="e">
        <f t="shared" ref="J4:J29" si="8">MIN(0.37*$D4*(2*32.2*($C4+M4))^0.5,0.67*(2*32.2)^0.5*$E4*($C4+M4)^1.5)</f>
        <v>#N/A</v>
      </c>
      <c r="K4" s="19" t="e">
        <f>IF(C4&gt;=_xlfn.XLOOKUP(A4,'Inputs-Results'!$A$9:$A$35,'Inputs-Results'!$Z$9:$Z$35)-_xlfn.XLOOKUP(A4,'Inputs-Results'!$A$9:$A$35,'Inputs-Results'!$X$9:$X$35),(_xlfn.XLOOKUP(A4,'Inputs-Results'!$A$9:$A$35,'Inputs-Results'!$Y$9:$Y$35)-_xlfn.XLOOKUP(A4,'Inputs-Results'!$A$9:$A$35,'Inputs-Results'!$W$9:$W$35))+((_xlfn.XLOOKUP(A4,'Inputs-Results'!$A$9:$A$35,'Inputs-Results'!$AA$9:$AA$35)-_xlfn.XLOOKUP(A4,'Inputs-Results'!$A$9:$A$35,'Inputs-Results'!$Y$9:$Y$35))*(C4-(_xlfn.XLOOKUP(A4,'Inputs-Results'!$A$9:$A$35,'Inputs-Results'!$Z$9:$Z$35)-_xlfn.XLOOKUP(A4,'Inputs-Results'!$A$9:$A$35,'Inputs-Results'!$X$9:$X$35))))/(_xlfn.XLOOKUP(A4,'Inputs-Results'!$A$9:$A$35,'Inputs-Results'!$AB$9:$AB$35)-_xlfn.XLOOKUP(A4,'Inputs-Results'!$A$9:$A$35,'Inputs-Results'!$Z$9:$Z$35)),((_xlfn.XLOOKUP(A4,'Inputs-Results'!$A$9:$A$35,'Inputs-Results'!$Y$9:$Y$35)-_xlfn.XLOOKUP(A4,'Inputs-Results'!$A$9:$A$35,'Inputs-Results'!$W$9:$W$35))*C4)/(_xlfn.XLOOKUP(A4,'Inputs-Results'!$A$9:$A$35,'Inputs-Results'!$Z$9:$Z$35)-_xlfn.XLOOKUP(A4,'Inputs-Results'!$A$9:$A$35,'Inputs-Results'!$X$9:$X$35)))+IF(C4&gt;=_xlfn.XLOOKUP(A4,'Inputs-Results'!$A$9:$A$35,'Inputs-Results'!$V$9:$V$35)-_xlfn.XLOOKUP(A4,'Inputs-Results'!$A$9:$A$35,'Inputs-Results'!$X$9:$X$35),ABS(_xlfn.XLOOKUP(A4,'Inputs-Results'!$A$9:$A$35,'Inputs-Results'!$W$9:$W$35)-_xlfn.XLOOKUP(A4,'Inputs-Results'!$A$9:$A$35,'Inputs-Results'!$U$9:$U$35))+ABS((_xlfn.XLOOKUP(A4,'Inputs-Results'!$A$9:$A$35,'Inputs-Results'!$U$9:$U$35)-_xlfn.XLOOKUP(A4,'Inputs-Results'!$A$9:$A$35,'Inputs-Results'!$S$9:$S$35))*(C4-(_xlfn.XLOOKUP(A4,'Inputs-Results'!$A$9:$A$35,'Inputs-Results'!$V$9:$V$35)-_xlfn.XLOOKUP(A4,'Inputs-Results'!$A$9:$A$35,'Inputs-Results'!$X$9:$X$35))))/(_xlfn.XLOOKUP(A4,'Inputs-Results'!$A$9:$A$35,'Inputs-Results'!$T$9:$T$35)-_xlfn.XLOOKUP(A4,'Inputs-Results'!$A$9:$A$35,'Inputs-Results'!$V$9:$V$35)),ABS((_xlfn.XLOOKUP(A4,'Inputs-Results'!$A$9:$A$35,'Inputs-Results'!$W$9:$W$35)-_xlfn.XLOOKUP(A4,'Inputs-Results'!$A$9:$A$35,'Inputs-Results'!$U$9:$U$35))*C4)/(_xlfn.XLOOKUP(A4,'Inputs-Results'!$A$9:$A$35,'Inputs-Results'!$V$9:$V$35)-_xlfn.XLOOKUP(A4,'Inputs-Results'!$A$9:$A$35,'Inputs-Results'!$X$9:$X$35)))</f>
        <v>#N/A</v>
      </c>
      <c r="L4" s="2" t="e">
        <f>IF(_xlfn.XLOOKUP(A4,'Inputs-Results'!A10:A36,'Inputs-Results'!Q10:Q36)&gt;0,_xlfn.XLOOKUP(A4,'Inputs-Results'!A10:A36,'Inputs-Results'!Q10:Q36),3)</f>
        <v>#N/A</v>
      </c>
      <c r="M4" s="2">
        <v>0.2</v>
      </c>
      <c r="N4" s="2" t="e" cm="1">
        <f t="array" ref="N4">INDEX('Standard Data'!$Q$23:$AB$40,_xlfn.XMATCH(M4,'Standard Data'!$Q$23:$Q$40,0),_xlfn.XMATCH($L4,'Standard Data'!$Q$23:$AB$23,0))</f>
        <v>#N/A</v>
      </c>
      <c r="O4" s="19" t="e">
        <f t="shared" si="0"/>
        <v>#N/A</v>
      </c>
      <c r="P4" s="2" t="e">
        <f t="shared" ref="P4:P29" si="9">O4+MIN(0.37*$D4*(2*32.2*($C4+M4))^0.5,0.67*(2*32.2)^0.5*$E4*($C4+M4)^1.5)</f>
        <v>#N/A</v>
      </c>
      <c r="Q4" s="2">
        <v>0.4</v>
      </c>
      <c r="R4" s="2" t="e" cm="1">
        <f t="array" ref="R4">INDEX('Standard Data'!$Q$23:$AB$40,_xlfn.XMATCH(Q4,'Standard Data'!$Q$23:$Q$40,0),_xlfn.XMATCH($L4,'Standard Data'!$Q$23:$AB$23,0))</f>
        <v>#N/A</v>
      </c>
      <c r="S4" s="19" t="e">
        <f t="shared" si="1"/>
        <v>#N/A</v>
      </c>
      <c r="T4" s="2" t="e">
        <f>S4+MIN(0.37*$D4*(2*32.2*($C4+Q4))^0.5,0.67*(2*32.2)^0.5*$E4*($C4+Q4)^1.5)</f>
        <v>#N/A</v>
      </c>
      <c r="U4" s="2">
        <v>0.6</v>
      </c>
      <c r="V4" s="2" t="e" cm="1">
        <f t="array" ref="V4">INDEX('Standard Data'!$Q$23:$AB$40,_xlfn.XMATCH(U4,'Standard Data'!$Q$23:$Q$40,0),_xlfn.XMATCH($L4,'Standard Data'!$Q$23:$AB$23,0))</f>
        <v>#N/A</v>
      </c>
      <c r="W4" s="19" t="e">
        <f t="shared" si="2"/>
        <v>#N/A</v>
      </c>
      <c r="X4" s="2" t="e">
        <f>W4+MIN(0.37*$D4*(2*32.2*($C4+U4))^0.5,0.67*(2*32.2)^0.5*$E4*($C4+U4)^1.5)</f>
        <v>#N/A</v>
      </c>
      <c r="Y4" s="2">
        <v>0.8</v>
      </c>
      <c r="Z4" s="2" t="e" cm="1">
        <f t="array" ref="Z4">INDEX('Standard Data'!$Q$23:$AB$40,_xlfn.XMATCH(Y4,'Standard Data'!$Q$23:$Q$40,0),_xlfn.XMATCH($L4,'Standard Data'!$Q$23:$AB$23,0))</f>
        <v>#N/A</v>
      </c>
      <c r="AA4" s="19" t="e">
        <f t="shared" si="3"/>
        <v>#N/A</v>
      </c>
      <c r="AB4" s="2" t="e">
        <f>AA4+MIN(0.37*$D4*(2*32.2*($C4+Y4))^0.5,0.67*(2*32.2)^0.5*$E4*($C4+Y4)^1.5)</f>
        <v>#N/A</v>
      </c>
      <c r="AC4" s="2">
        <v>1</v>
      </c>
      <c r="AD4" s="2" t="e" cm="1">
        <f t="array" ref="AD4">INDEX('Standard Data'!$Q$23:$AB$40,_xlfn.XMATCH(AC4,'Standard Data'!$Q$23:$Q$40,0),_xlfn.XMATCH($L4,'Standard Data'!$Q$23:$AB$23,0))</f>
        <v>#N/A</v>
      </c>
      <c r="AE4" s="19" t="e">
        <f t="shared" si="4"/>
        <v>#N/A</v>
      </c>
      <c r="AF4" s="2" t="e">
        <f>AE4+MIN(0.37*$D4*(2*32.2*($C4+AC4))^0.5,0.67*(2*32.2)^0.5*$E4*($C4+AC4)^1.5)</f>
        <v>#N/A</v>
      </c>
      <c r="AG4" s="19" t="e">
        <f>_xlfn.XLOOKUP(A4,'Inputs-Results'!$A$9:$A$35,'Inputs-Results'!$M$9:$M$35)</f>
        <v>#N/A</v>
      </c>
      <c r="AH4" s="107" t="e">
        <f t="shared" si="5"/>
        <v>#N/A</v>
      </c>
      <c r="AI4" s="107" t="e">
        <f>IF(OR(I4=0,I4="no berm"),0,(IF(I4="has bypass",IF(AG4&lt;=P4,(AH4-0)*(M4-0)/(O4-0)+0,IF(AND(AG4&gt;P4,AG4&lt;=T4),(AH4-O4)*(Q4-M4)/(S4-O4)+M4,IF(AND(AG4&gt;T4,AG4&lt;=X4),(AH4-S4)*(U4-Q4)/(W4-S4)+Q4,IF(AND(AG4&gt;X4,AG4&lt;=AB4),(AH4-W4)*(Y4-U4)/(AA4-W4)+U4,IF(AND(AG4&gt;AB4,AG4&lt;=AF4),(AH4-AA4)*(AC4-X4)/(AE4-AA4)+Y4,"more than a foot deep"))))))))</f>
        <v>#N/A</v>
      </c>
    </row>
    <row r="5" spans="1:35" x14ac:dyDescent="0.25">
      <c r="A5" s="2">
        <f>'Inputs-Results'!A11</f>
        <v>0</v>
      </c>
      <c r="B5" s="18" t="e">
        <f>_xlfn.XLOOKUP(A5,'Ditch Calculations'!$A$34:$A$114,'Ditch Calculations'!$C$34:$C$114)</f>
        <v>#N/A</v>
      </c>
      <c r="C5" s="2" t="e">
        <f>IF(_xlfn.XLOOKUP(A5,'Inputs-Results'!$A$9:$A$35,'Inputs-Results'!$P$9:$P$35)-_xlfn.XLOOKUP(A5,'Inputs-Results'!$A$9:$A$35,'Inputs-Results'!$X$9:$X$35)&gt;0,_xlfn.XLOOKUP(A5,'Inputs-Results'!$A$9:$A$35,'Inputs-Results'!$P$9:$P$35)-_xlfn.XLOOKUP(A5,'Inputs-Results'!$A$9:$A$35,'Inputs-Results'!$X$9:$X$35),0)</f>
        <v>#N/A</v>
      </c>
      <c r="D5" s="2" t="e">
        <f>'Standard Data'!$D$9*(1-_xlfn.XLOOKUP(A5,'Inputs-Results'!$A$9:$A$35,'Inputs-Results'!$AF$9:$AF$35))</f>
        <v>#N/A</v>
      </c>
      <c r="E5" s="2" t="e">
        <f>'Standard Data'!$B$9*(1-_xlfn.XLOOKUP(A5,'Inputs-Results'!$A$9:$A$35,'Inputs-Results'!$AF$9:$AF$35))</f>
        <v>#N/A</v>
      </c>
      <c r="F5" s="2" t="e">
        <f>(_xlfn.XLOOKUP(A5,'Inputs-Results'!$A$9:$A$35,'Inputs-Results'!$M$9:$M$35)/(0.67*E5))^2/(2*32.2)</f>
        <v>#N/A</v>
      </c>
      <c r="G5" s="18" t="e">
        <f>(_xlfn.XLOOKUP(A5,'Inputs-Results'!$A$9:$A$35,'Inputs-Results'!$M$9:$M$35)/3/E5)^(1/1.5)</f>
        <v>#N/A</v>
      </c>
      <c r="H5" s="42" t="e">
        <f t="shared" si="6"/>
        <v>#N/A</v>
      </c>
      <c r="I5" s="2" t="e">
        <f t="shared" si="7"/>
        <v>#N/A</v>
      </c>
      <c r="J5" s="19" t="e">
        <f t="shared" si="8"/>
        <v>#N/A</v>
      </c>
      <c r="K5" s="19" t="e">
        <f>IF(C5&gt;=_xlfn.XLOOKUP(A5,'Inputs-Results'!$A$9:$A$35,'Inputs-Results'!$Z$9:$Z$35)-_xlfn.XLOOKUP(A5,'Inputs-Results'!$A$9:$A$35,'Inputs-Results'!$X$9:$X$35),(_xlfn.XLOOKUP(A5,'Inputs-Results'!$A$9:$A$35,'Inputs-Results'!$Y$9:$Y$35)-_xlfn.XLOOKUP(A5,'Inputs-Results'!$A$9:$A$35,'Inputs-Results'!$W$9:$W$35))+((_xlfn.XLOOKUP(A5,'Inputs-Results'!$A$9:$A$35,'Inputs-Results'!$AA$9:$AA$35)-_xlfn.XLOOKUP(A5,'Inputs-Results'!$A$9:$A$35,'Inputs-Results'!$Y$9:$Y$35))*(C5-(_xlfn.XLOOKUP(A5,'Inputs-Results'!$A$9:$A$35,'Inputs-Results'!$Z$9:$Z$35)-_xlfn.XLOOKUP(A5,'Inputs-Results'!$A$9:$A$35,'Inputs-Results'!$X$9:$X$35))))/(_xlfn.XLOOKUP(A5,'Inputs-Results'!$A$9:$A$35,'Inputs-Results'!$AB$9:$AB$35)-_xlfn.XLOOKUP(A5,'Inputs-Results'!$A$9:$A$35,'Inputs-Results'!$Z$9:$Z$35)),((_xlfn.XLOOKUP(A5,'Inputs-Results'!$A$9:$A$35,'Inputs-Results'!$Y$9:$Y$35)-_xlfn.XLOOKUP(A5,'Inputs-Results'!$A$9:$A$35,'Inputs-Results'!$W$9:$W$35))*C5)/(_xlfn.XLOOKUP(A5,'Inputs-Results'!$A$9:$A$35,'Inputs-Results'!$Z$9:$Z$35)-_xlfn.XLOOKUP(A5,'Inputs-Results'!$A$9:$A$35,'Inputs-Results'!$X$9:$X$35)))+IF(C5&gt;=_xlfn.XLOOKUP(A5,'Inputs-Results'!$A$9:$A$35,'Inputs-Results'!$V$9:$V$35)-_xlfn.XLOOKUP(A5,'Inputs-Results'!$A$9:$A$35,'Inputs-Results'!$X$9:$X$35),ABS(_xlfn.XLOOKUP(A5,'Inputs-Results'!$A$9:$A$35,'Inputs-Results'!$W$9:$W$35)-_xlfn.XLOOKUP(A5,'Inputs-Results'!$A$9:$A$35,'Inputs-Results'!$U$9:$U$35))+ABS((_xlfn.XLOOKUP(A5,'Inputs-Results'!$A$9:$A$35,'Inputs-Results'!$U$9:$U$35)-_xlfn.XLOOKUP(A5,'Inputs-Results'!$A$9:$A$35,'Inputs-Results'!$S$9:$S$35))*(C5-(_xlfn.XLOOKUP(A5,'Inputs-Results'!$A$9:$A$35,'Inputs-Results'!$V$9:$V$35)-_xlfn.XLOOKUP(A5,'Inputs-Results'!$A$9:$A$35,'Inputs-Results'!$X$9:$X$35))))/(_xlfn.XLOOKUP(A5,'Inputs-Results'!$A$9:$A$35,'Inputs-Results'!$T$9:$T$35)-_xlfn.XLOOKUP(A5,'Inputs-Results'!$A$9:$A$35,'Inputs-Results'!$V$9:$V$35)),ABS((_xlfn.XLOOKUP(A5,'Inputs-Results'!$A$9:$A$35,'Inputs-Results'!$W$9:$W$35)-_xlfn.XLOOKUP(A5,'Inputs-Results'!$A$9:$A$35,'Inputs-Results'!$U$9:$U$35))*C5)/(_xlfn.XLOOKUP(A5,'Inputs-Results'!$A$9:$A$35,'Inputs-Results'!$V$9:$V$35)-_xlfn.XLOOKUP(A5,'Inputs-Results'!$A$9:$A$35,'Inputs-Results'!$X$9:$X$35)))</f>
        <v>#N/A</v>
      </c>
      <c r="L5" s="2" t="e">
        <f>IF(_xlfn.XLOOKUP(A5,'Inputs-Results'!A11:A37,'Inputs-Results'!Q11:Q37)&gt;0,_xlfn.XLOOKUP(A5,'Inputs-Results'!A11:A37,'Inputs-Results'!Q11:Q37),3)</f>
        <v>#N/A</v>
      </c>
      <c r="M5" s="2">
        <v>0.2</v>
      </c>
      <c r="N5" s="2" t="e" cm="1">
        <f t="array" ref="N5">INDEX('Standard Data'!$Q$23:$AB$40,_xlfn.XMATCH(M5,'Standard Data'!$Q$23:$Q$40,0),_xlfn.XMATCH($L5,'Standard Data'!$Q$23:$AB$23,0))</f>
        <v>#N/A</v>
      </c>
      <c r="O5" s="19" t="e">
        <f t="shared" si="0"/>
        <v>#N/A</v>
      </c>
      <c r="P5" s="2" t="e">
        <f t="shared" si="9"/>
        <v>#N/A</v>
      </c>
      <c r="Q5" s="2">
        <v>0.4</v>
      </c>
      <c r="R5" s="2" t="e" cm="1">
        <f t="array" ref="R5">INDEX('Standard Data'!$Q$23:$AB$40,_xlfn.XMATCH(Q5,'Standard Data'!$Q$23:$Q$40,0),_xlfn.XMATCH($L5,'Standard Data'!$Q$23:$AB$23,0))</f>
        <v>#N/A</v>
      </c>
      <c r="S5" s="19" t="e">
        <f t="shared" si="1"/>
        <v>#N/A</v>
      </c>
      <c r="T5" s="2" t="e">
        <f>S5+MIN(0.37*$D5*(2*32.2*($C5+Q5))^0.5,0.67*(2*32.2)^0.5*$E5*($C5+Q5)^1.5)</f>
        <v>#N/A</v>
      </c>
      <c r="U5" s="2">
        <v>0.6</v>
      </c>
      <c r="V5" s="2" t="e" cm="1">
        <f t="array" ref="V5">INDEX('Standard Data'!$Q$23:$AB$40,_xlfn.XMATCH(U5,'Standard Data'!$Q$23:$Q$40,0),_xlfn.XMATCH($L5,'Standard Data'!$Q$23:$AB$23,0))</f>
        <v>#N/A</v>
      </c>
      <c r="W5" s="19" t="e">
        <f t="shared" si="2"/>
        <v>#N/A</v>
      </c>
      <c r="X5" s="2" t="e">
        <f t="shared" ref="X5:X29" si="10">W5+MIN(0.37*$D5*(2*32.2*($C5+U5))^0.5,0.67*(2*32.2)^0.5*$E5*($C5+U5)^1.5)</f>
        <v>#N/A</v>
      </c>
      <c r="Y5" s="2">
        <v>0.8</v>
      </c>
      <c r="Z5" s="2" t="e" cm="1">
        <f t="array" ref="Z5">INDEX('Standard Data'!$Q$23:$AB$40,_xlfn.XMATCH(Y5,'Standard Data'!$Q$23:$Q$40,0),_xlfn.XMATCH($L5,'Standard Data'!$Q$23:$AB$23,0))</f>
        <v>#N/A</v>
      </c>
      <c r="AA5" s="19" t="e">
        <f t="shared" si="3"/>
        <v>#N/A</v>
      </c>
      <c r="AB5" s="2" t="e">
        <f t="shared" ref="AB5:AB29" si="11">AA5+MIN(0.37*$D5*(2*32.2*($C5+Y5))^0.5,0.67*(2*32.2)^0.5*$E5*($C5+Y5)^1.5)</f>
        <v>#N/A</v>
      </c>
      <c r="AC5" s="2">
        <v>1</v>
      </c>
      <c r="AD5" s="2" t="e" cm="1">
        <f t="array" ref="AD5">INDEX('Standard Data'!$Q$23:$AB$40,_xlfn.XMATCH(AC5,'Standard Data'!$Q$23:$Q$40,0),_xlfn.XMATCH($L5,'Standard Data'!$Q$23:$AB$23,0))</f>
        <v>#N/A</v>
      </c>
      <c r="AE5" s="19" t="e">
        <f t="shared" si="4"/>
        <v>#N/A</v>
      </c>
      <c r="AF5" s="2" t="e">
        <f t="shared" ref="AF5:AF29" si="12">AE5+MIN(0.37*$D5*(2*32.2*($C5+AC5))^0.5,0.67*(2*32.2)^0.5*$E5*($C5+AC5)^1.5)</f>
        <v>#N/A</v>
      </c>
      <c r="AG5" s="19" t="e">
        <f>_xlfn.XLOOKUP(A5,'Inputs-Results'!$A$9:$A$35,'Inputs-Results'!$M$9:$M$35)</f>
        <v>#N/A</v>
      </c>
      <c r="AH5" s="107" t="e">
        <f t="shared" si="5"/>
        <v>#N/A</v>
      </c>
      <c r="AI5" s="107" t="e">
        <f>IF(OR(I5=0,I5="no berm"),0,(IF(I5="has bypass",IF(AG5&lt;=P5,(AH5-0)*(M5-0)/(O5-0)+0,IF(AND(AG5&gt;P5,AG5&lt;=T5),(AH5-O5)*(Q5-M5)/(S5-O5)+M5,IF(AND(AG5&gt;T5,AG5&lt;=X5),(AH5-S5)*(U5-Q5)/(W5-S5)+Q5,IF(AND(AG5&gt;X5,AG5&lt;=AB5),(AH5-W5)*(Y5-U5)/(AA5-W5)+U5,IF(AND(AG5&gt;AB5,AG5&lt;=AF5),(AH5-AA5)*(AC5-X5)/(AE5-AA5)+Y5,"more than a foot deep"))))))))</f>
        <v>#N/A</v>
      </c>
    </row>
    <row r="6" spans="1:35" x14ac:dyDescent="0.25">
      <c r="A6" s="2">
        <f>'Inputs-Results'!A12</f>
        <v>0</v>
      </c>
      <c r="B6" s="18" t="e">
        <f>_xlfn.XLOOKUP(A6,'Ditch Calculations'!$A$34:$A$114,'Ditch Calculations'!$C$34:$C$114)</f>
        <v>#N/A</v>
      </c>
      <c r="C6" s="2" t="e">
        <f>IF(_xlfn.XLOOKUP(A6,'Inputs-Results'!$A$9:$A$35,'Inputs-Results'!$P$9:$P$35)-_xlfn.XLOOKUP(A6,'Inputs-Results'!$A$9:$A$35,'Inputs-Results'!$X$9:$X$35)&gt;0,_xlfn.XLOOKUP(A6,'Inputs-Results'!$A$9:$A$35,'Inputs-Results'!$P$9:$P$35)-_xlfn.XLOOKUP(A6,'Inputs-Results'!$A$9:$A$35,'Inputs-Results'!$X$9:$X$35),0)</f>
        <v>#N/A</v>
      </c>
      <c r="D6" s="2" t="e">
        <f>'Standard Data'!$D$9*(1-_xlfn.XLOOKUP(A6,'Inputs-Results'!$A$9:$A$35,'Inputs-Results'!$AF$9:$AF$35))</f>
        <v>#N/A</v>
      </c>
      <c r="E6" s="2" t="e">
        <f>'Standard Data'!$B$9*(1-_xlfn.XLOOKUP(A6,'Inputs-Results'!$A$9:$A$35,'Inputs-Results'!$AF$9:$AF$35))</f>
        <v>#N/A</v>
      </c>
      <c r="F6" s="2" t="e">
        <f>(_xlfn.XLOOKUP(A6,'Inputs-Results'!$A$9:$A$35,'Inputs-Results'!$M$9:$M$35)/(0.67*E6))^2/(2*32.2)</f>
        <v>#N/A</v>
      </c>
      <c r="G6" s="18" t="e">
        <f>(_xlfn.XLOOKUP(A6,'Inputs-Results'!$A$9:$A$35,'Inputs-Results'!$M$9:$M$35)/3/E6)^(1/1.5)</f>
        <v>#N/A</v>
      </c>
      <c r="H6" s="42" t="e">
        <f t="shared" si="6"/>
        <v>#N/A</v>
      </c>
      <c r="I6" s="2" t="e">
        <f t="shared" si="7"/>
        <v>#N/A</v>
      </c>
      <c r="J6" s="19" t="e">
        <f t="shared" si="8"/>
        <v>#N/A</v>
      </c>
      <c r="K6" s="19" t="e">
        <f>IF(C6&gt;=_xlfn.XLOOKUP(A6,'Inputs-Results'!$A$9:$A$35,'Inputs-Results'!$Z$9:$Z$35)-_xlfn.XLOOKUP(A6,'Inputs-Results'!$A$9:$A$35,'Inputs-Results'!$X$9:$X$35),(_xlfn.XLOOKUP(A6,'Inputs-Results'!$A$9:$A$35,'Inputs-Results'!$Y$9:$Y$35)-_xlfn.XLOOKUP(A6,'Inputs-Results'!$A$9:$A$35,'Inputs-Results'!$W$9:$W$35))+((_xlfn.XLOOKUP(A6,'Inputs-Results'!$A$9:$A$35,'Inputs-Results'!$AA$9:$AA$35)-_xlfn.XLOOKUP(A6,'Inputs-Results'!$A$9:$A$35,'Inputs-Results'!$Y$9:$Y$35))*(C6-(_xlfn.XLOOKUP(A6,'Inputs-Results'!$A$9:$A$35,'Inputs-Results'!$Z$9:$Z$35)-_xlfn.XLOOKUP(A6,'Inputs-Results'!$A$9:$A$35,'Inputs-Results'!$X$9:$X$35))))/(_xlfn.XLOOKUP(A6,'Inputs-Results'!$A$9:$A$35,'Inputs-Results'!$AB$9:$AB$35)-_xlfn.XLOOKUP(A6,'Inputs-Results'!$A$9:$A$35,'Inputs-Results'!$Z$9:$Z$35)),((_xlfn.XLOOKUP(A6,'Inputs-Results'!$A$9:$A$35,'Inputs-Results'!$Y$9:$Y$35)-_xlfn.XLOOKUP(A6,'Inputs-Results'!$A$9:$A$35,'Inputs-Results'!$W$9:$W$35))*C6)/(_xlfn.XLOOKUP(A6,'Inputs-Results'!$A$9:$A$35,'Inputs-Results'!$Z$9:$Z$35)-_xlfn.XLOOKUP(A6,'Inputs-Results'!$A$9:$A$35,'Inputs-Results'!$X$9:$X$35)))+IF(C6&gt;=_xlfn.XLOOKUP(A6,'Inputs-Results'!$A$9:$A$35,'Inputs-Results'!$V$9:$V$35)-_xlfn.XLOOKUP(A6,'Inputs-Results'!$A$9:$A$35,'Inputs-Results'!$X$9:$X$35),ABS(_xlfn.XLOOKUP(A6,'Inputs-Results'!$A$9:$A$35,'Inputs-Results'!$W$9:$W$35)-_xlfn.XLOOKUP(A6,'Inputs-Results'!$A$9:$A$35,'Inputs-Results'!$U$9:$U$35))+ABS((_xlfn.XLOOKUP(A6,'Inputs-Results'!$A$9:$A$35,'Inputs-Results'!$U$9:$U$35)-_xlfn.XLOOKUP(A6,'Inputs-Results'!$A$9:$A$35,'Inputs-Results'!$S$9:$S$35))*(C6-(_xlfn.XLOOKUP(A6,'Inputs-Results'!$A$9:$A$35,'Inputs-Results'!$V$9:$V$35)-_xlfn.XLOOKUP(A6,'Inputs-Results'!$A$9:$A$35,'Inputs-Results'!$X$9:$X$35))))/(_xlfn.XLOOKUP(A6,'Inputs-Results'!$A$9:$A$35,'Inputs-Results'!$T$9:$T$35)-_xlfn.XLOOKUP(A6,'Inputs-Results'!$A$9:$A$35,'Inputs-Results'!$V$9:$V$35)),ABS((_xlfn.XLOOKUP(A6,'Inputs-Results'!$A$9:$A$35,'Inputs-Results'!$W$9:$W$35)-_xlfn.XLOOKUP(A6,'Inputs-Results'!$A$9:$A$35,'Inputs-Results'!$U$9:$U$35))*C6)/(_xlfn.XLOOKUP(A6,'Inputs-Results'!$A$9:$A$35,'Inputs-Results'!$V$9:$V$35)-_xlfn.XLOOKUP(A6,'Inputs-Results'!$A$9:$A$35,'Inputs-Results'!$X$9:$X$35)))</f>
        <v>#N/A</v>
      </c>
      <c r="L6" s="2" t="e">
        <f>IF(_xlfn.XLOOKUP(A6,'Inputs-Results'!A12:A38,'Inputs-Results'!Q12:Q38)&gt;0,_xlfn.XLOOKUP(A6,'Inputs-Results'!A12:A38,'Inputs-Results'!Q12:Q38),3)</f>
        <v>#N/A</v>
      </c>
      <c r="M6" s="2">
        <v>0.2</v>
      </c>
      <c r="N6" s="2" t="e" cm="1">
        <f t="array" ref="N6">INDEX('Standard Data'!$Q$23:$AB$40,_xlfn.XMATCH(M6,'Standard Data'!$Q$23:$Q$40,0),_xlfn.XMATCH($L6,'Standard Data'!$Q$23:$AB$23,0))</f>
        <v>#N/A</v>
      </c>
      <c r="O6" s="19" t="e">
        <f t="shared" si="0"/>
        <v>#N/A</v>
      </c>
      <c r="P6" s="2" t="e">
        <f t="shared" si="9"/>
        <v>#N/A</v>
      </c>
      <c r="Q6" s="2">
        <v>0.4</v>
      </c>
      <c r="R6" s="2" t="e" cm="1">
        <f t="array" ref="R6">INDEX('Standard Data'!$Q$23:$AB$40,_xlfn.XMATCH(Q6,'Standard Data'!$Q$23:$Q$40,0),_xlfn.XMATCH($L6,'Standard Data'!$Q$23:$AB$23,0))</f>
        <v>#N/A</v>
      </c>
      <c r="S6" s="19" t="e">
        <f t="shared" si="1"/>
        <v>#N/A</v>
      </c>
      <c r="T6" s="2" t="e">
        <f t="shared" ref="T6:T29" si="13">S6+MIN(0.37*$D6*(2*32.2*($C6+Q6))^0.5,0.67*(2*32.2)^0.5*$E6*($C6+Q6)^1.5)</f>
        <v>#N/A</v>
      </c>
      <c r="U6" s="2">
        <v>0.6</v>
      </c>
      <c r="V6" s="2" t="e" cm="1">
        <f t="array" ref="V6">INDEX('Standard Data'!$Q$23:$AB$40,_xlfn.XMATCH(U6,'Standard Data'!$Q$23:$Q$40,0),_xlfn.XMATCH($L6,'Standard Data'!$Q$23:$AB$23,0))</f>
        <v>#N/A</v>
      </c>
      <c r="W6" s="19" t="e">
        <f t="shared" si="2"/>
        <v>#N/A</v>
      </c>
      <c r="X6" s="2" t="e">
        <f t="shared" si="10"/>
        <v>#N/A</v>
      </c>
      <c r="Y6" s="2">
        <v>0.8</v>
      </c>
      <c r="Z6" s="2" t="e" cm="1">
        <f t="array" ref="Z6">INDEX('Standard Data'!$Q$23:$AB$40,_xlfn.XMATCH(Y6,'Standard Data'!$Q$23:$Q$40,0),_xlfn.XMATCH($L6,'Standard Data'!$Q$23:$AB$23,0))</f>
        <v>#N/A</v>
      </c>
      <c r="AA6" s="19" t="e">
        <f t="shared" si="3"/>
        <v>#N/A</v>
      </c>
      <c r="AB6" s="2" t="e">
        <f t="shared" si="11"/>
        <v>#N/A</v>
      </c>
      <c r="AC6" s="2">
        <v>1</v>
      </c>
      <c r="AD6" s="2" t="e" cm="1">
        <f t="array" ref="AD6">INDEX('Standard Data'!$Q$23:$AB$40,_xlfn.XMATCH(AC6,'Standard Data'!$Q$23:$Q$40,0),_xlfn.XMATCH($L6,'Standard Data'!$Q$23:$AB$23,0))</f>
        <v>#N/A</v>
      </c>
      <c r="AE6" s="19" t="e">
        <f t="shared" si="4"/>
        <v>#N/A</v>
      </c>
      <c r="AF6" s="2" t="e">
        <f t="shared" si="12"/>
        <v>#N/A</v>
      </c>
      <c r="AG6" s="19" t="e">
        <f>_xlfn.XLOOKUP(A6,'Inputs-Results'!$A$9:$A$35,'Inputs-Results'!$M$9:$M$35)</f>
        <v>#N/A</v>
      </c>
      <c r="AH6" s="107" t="e">
        <f t="shared" si="5"/>
        <v>#N/A</v>
      </c>
      <c r="AI6" s="107" t="e">
        <f>IF(OR(I6=0,I6="no berm"),0,(IF(I6="has bypass",IF(AG6&lt;=P6,(AH6-0)*(M6-0)/(O6-0)+0,IF(AND(AG6&gt;P6,AG6&lt;=T6),(AH6-O6)*(Q6-M6)/(S6-O6)+M6,IF(AND(AG6&gt;T6,AG6&lt;=X6),(AH6-S6)*(U6-Q6)/(W6-S6)+Q6,IF(AND(AG6&gt;X6,AG6&lt;=AB6),(AH6-W6)*(Y6-U6)/(AA6-W6)+U6,IF(AND(AG6&gt;AB6,AG6&lt;=AF6),(AH6-AA6)*(AC6-X6)/(AE6-AA6)+Y6,"more than a foot deep"))))))))</f>
        <v>#N/A</v>
      </c>
    </row>
    <row r="7" spans="1:35" x14ac:dyDescent="0.25">
      <c r="A7" s="2">
        <f>'Inputs-Results'!A13</f>
        <v>0</v>
      </c>
      <c r="B7" s="18" t="e">
        <f>_xlfn.XLOOKUP(A7,'Ditch Calculations'!$A$34:$A$114,'Ditch Calculations'!$C$34:$C$114)</f>
        <v>#N/A</v>
      </c>
      <c r="C7" s="2" t="e">
        <f>IF(_xlfn.XLOOKUP(A7,'Inputs-Results'!$A$9:$A$35,'Inputs-Results'!$P$9:$P$35)-_xlfn.XLOOKUP(A7,'Inputs-Results'!$A$9:$A$35,'Inputs-Results'!$X$9:$X$35)&gt;0,_xlfn.XLOOKUP(A7,'Inputs-Results'!$A$9:$A$35,'Inputs-Results'!$P$9:$P$35)-_xlfn.XLOOKUP(A7,'Inputs-Results'!$A$9:$A$35,'Inputs-Results'!$X$9:$X$35),0)</f>
        <v>#N/A</v>
      </c>
      <c r="D7" s="2" t="e">
        <f>'Standard Data'!$D$9*(1-_xlfn.XLOOKUP(A7,'Inputs-Results'!$A$9:$A$35,'Inputs-Results'!$AF$9:$AF$35))</f>
        <v>#N/A</v>
      </c>
      <c r="E7" s="2" t="e">
        <f>'Standard Data'!$B$9*(1-_xlfn.XLOOKUP(A7,'Inputs-Results'!$A$9:$A$35,'Inputs-Results'!$AF$9:$AF$35))</f>
        <v>#N/A</v>
      </c>
      <c r="F7" s="2" t="e">
        <f>(_xlfn.XLOOKUP(A7,'Inputs-Results'!$A$9:$A$35,'Inputs-Results'!$M$9:$M$35)/(0.67*E7))^2/(2*32.2)</f>
        <v>#N/A</v>
      </c>
      <c r="G7" s="18" t="e">
        <f>(_xlfn.XLOOKUP(A7,'Inputs-Results'!$A$9:$A$35,'Inputs-Results'!$M$9:$M$35)/3/E7)^(1/1.5)</f>
        <v>#N/A</v>
      </c>
      <c r="H7" s="42" t="e">
        <f t="shared" si="6"/>
        <v>#N/A</v>
      </c>
      <c r="I7" s="2" t="e">
        <f t="shared" si="7"/>
        <v>#N/A</v>
      </c>
      <c r="J7" s="19" t="e">
        <f t="shared" si="8"/>
        <v>#N/A</v>
      </c>
      <c r="K7" s="19" t="e">
        <f>IF(C7&gt;=_xlfn.XLOOKUP(A7,'Inputs-Results'!$A$9:$A$35,'Inputs-Results'!$Z$9:$Z$35)-_xlfn.XLOOKUP(A7,'Inputs-Results'!$A$9:$A$35,'Inputs-Results'!$X$9:$X$35),(_xlfn.XLOOKUP(A7,'Inputs-Results'!$A$9:$A$35,'Inputs-Results'!$Y$9:$Y$35)-_xlfn.XLOOKUP(A7,'Inputs-Results'!$A$9:$A$35,'Inputs-Results'!$W$9:$W$35))+((_xlfn.XLOOKUP(A7,'Inputs-Results'!$A$9:$A$35,'Inputs-Results'!$AA$9:$AA$35)-_xlfn.XLOOKUP(A7,'Inputs-Results'!$A$9:$A$35,'Inputs-Results'!$Y$9:$Y$35))*(C7-(_xlfn.XLOOKUP(A7,'Inputs-Results'!$A$9:$A$35,'Inputs-Results'!$Z$9:$Z$35)-_xlfn.XLOOKUP(A7,'Inputs-Results'!$A$9:$A$35,'Inputs-Results'!$X$9:$X$35))))/(_xlfn.XLOOKUP(A7,'Inputs-Results'!$A$9:$A$35,'Inputs-Results'!$AB$9:$AB$35)-_xlfn.XLOOKUP(A7,'Inputs-Results'!$A$9:$A$35,'Inputs-Results'!$Z$9:$Z$35)),((_xlfn.XLOOKUP(A7,'Inputs-Results'!$A$9:$A$35,'Inputs-Results'!$Y$9:$Y$35)-_xlfn.XLOOKUP(A7,'Inputs-Results'!$A$9:$A$35,'Inputs-Results'!$W$9:$W$35))*C7)/(_xlfn.XLOOKUP(A7,'Inputs-Results'!$A$9:$A$35,'Inputs-Results'!$Z$9:$Z$35)-_xlfn.XLOOKUP(A7,'Inputs-Results'!$A$9:$A$35,'Inputs-Results'!$X$9:$X$35)))+IF(C7&gt;=_xlfn.XLOOKUP(A7,'Inputs-Results'!$A$9:$A$35,'Inputs-Results'!$V$9:$V$35)-_xlfn.XLOOKUP(A7,'Inputs-Results'!$A$9:$A$35,'Inputs-Results'!$X$9:$X$35),ABS(_xlfn.XLOOKUP(A7,'Inputs-Results'!$A$9:$A$35,'Inputs-Results'!$W$9:$W$35)-_xlfn.XLOOKUP(A7,'Inputs-Results'!$A$9:$A$35,'Inputs-Results'!$U$9:$U$35))+ABS((_xlfn.XLOOKUP(A7,'Inputs-Results'!$A$9:$A$35,'Inputs-Results'!$U$9:$U$35)-_xlfn.XLOOKUP(A7,'Inputs-Results'!$A$9:$A$35,'Inputs-Results'!$S$9:$S$35))*(C7-(_xlfn.XLOOKUP(A7,'Inputs-Results'!$A$9:$A$35,'Inputs-Results'!$V$9:$V$35)-_xlfn.XLOOKUP(A7,'Inputs-Results'!$A$9:$A$35,'Inputs-Results'!$X$9:$X$35))))/(_xlfn.XLOOKUP(A7,'Inputs-Results'!$A$9:$A$35,'Inputs-Results'!$T$9:$T$35)-_xlfn.XLOOKUP(A7,'Inputs-Results'!$A$9:$A$35,'Inputs-Results'!$V$9:$V$35)),ABS((_xlfn.XLOOKUP(A7,'Inputs-Results'!$A$9:$A$35,'Inputs-Results'!$W$9:$W$35)-_xlfn.XLOOKUP(A7,'Inputs-Results'!$A$9:$A$35,'Inputs-Results'!$U$9:$U$35))*C7)/(_xlfn.XLOOKUP(A7,'Inputs-Results'!$A$9:$A$35,'Inputs-Results'!$V$9:$V$35)-_xlfn.XLOOKUP(A7,'Inputs-Results'!$A$9:$A$35,'Inputs-Results'!$X$9:$X$35)))</f>
        <v>#N/A</v>
      </c>
      <c r="L7" s="2" t="e">
        <f>IF(_xlfn.XLOOKUP(A7,'Inputs-Results'!A13:A39,'Inputs-Results'!Q13:Q39)&gt;0,_xlfn.XLOOKUP(A7,'Inputs-Results'!A13:A39,'Inputs-Results'!Q13:Q39),3)</f>
        <v>#N/A</v>
      </c>
      <c r="M7" s="2">
        <v>0.2</v>
      </c>
      <c r="N7" s="2" t="e" cm="1">
        <f t="array" ref="N7">INDEX('Standard Data'!$Q$23:$AB$40,_xlfn.XMATCH(M7,'Standard Data'!$Q$23:$Q$40,0),_xlfn.XMATCH($L7,'Standard Data'!$Q$23:$AB$23,0))</f>
        <v>#N/A</v>
      </c>
      <c r="O7" s="19" t="e">
        <f t="shared" si="0"/>
        <v>#N/A</v>
      </c>
      <c r="P7" s="2" t="e">
        <f t="shared" si="9"/>
        <v>#N/A</v>
      </c>
      <c r="Q7" s="2">
        <v>0.4</v>
      </c>
      <c r="R7" s="2" t="e" cm="1">
        <f t="array" ref="R7">INDEX('Standard Data'!$Q$23:$AB$40,_xlfn.XMATCH(Q7,'Standard Data'!$Q$23:$Q$40,0),_xlfn.XMATCH($L7,'Standard Data'!$Q$23:$AB$23,0))</f>
        <v>#N/A</v>
      </c>
      <c r="S7" s="19" t="e">
        <f t="shared" si="1"/>
        <v>#N/A</v>
      </c>
      <c r="T7" s="2" t="e">
        <f t="shared" si="13"/>
        <v>#N/A</v>
      </c>
      <c r="U7" s="2">
        <v>0.6</v>
      </c>
      <c r="V7" s="2" t="e" cm="1">
        <f t="array" ref="V7">INDEX('Standard Data'!$Q$23:$AB$40,_xlfn.XMATCH(U7,'Standard Data'!$Q$23:$Q$40,0),_xlfn.XMATCH($L7,'Standard Data'!$Q$23:$AB$23,0))</f>
        <v>#N/A</v>
      </c>
      <c r="W7" s="19" t="e">
        <f t="shared" si="2"/>
        <v>#N/A</v>
      </c>
      <c r="X7" s="2" t="e">
        <f t="shared" si="10"/>
        <v>#N/A</v>
      </c>
      <c r="Y7" s="2">
        <v>0.8</v>
      </c>
      <c r="Z7" s="2" t="e" cm="1">
        <f t="array" ref="Z7">INDEX('Standard Data'!$Q$23:$AB$40,_xlfn.XMATCH(Y7,'Standard Data'!$Q$23:$Q$40,0),_xlfn.XMATCH($L7,'Standard Data'!$Q$23:$AB$23,0))</f>
        <v>#N/A</v>
      </c>
      <c r="AA7" s="19" t="e">
        <f t="shared" si="3"/>
        <v>#N/A</v>
      </c>
      <c r="AB7" s="2" t="e">
        <f t="shared" si="11"/>
        <v>#N/A</v>
      </c>
      <c r="AC7" s="2">
        <v>1</v>
      </c>
      <c r="AD7" s="2" t="e" cm="1">
        <f t="array" ref="AD7">INDEX('Standard Data'!$Q$23:$AB$40,_xlfn.XMATCH(AC7,'Standard Data'!$Q$23:$Q$40,0),_xlfn.XMATCH($L7,'Standard Data'!$Q$23:$AB$23,0))</f>
        <v>#N/A</v>
      </c>
      <c r="AE7" s="19" t="e">
        <f t="shared" si="4"/>
        <v>#N/A</v>
      </c>
      <c r="AF7" s="2" t="e">
        <f t="shared" si="12"/>
        <v>#N/A</v>
      </c>
      <c r="AG7" s="19" t="e">
        <f>_xlfn.XLOOKUP(A7,'Inputs-Results'!$A$9:$A$35,'Inputs-Results'!$M$9:$M$35)</f>
        <v>#N/A</v>
      </c>
      <c r="AH7" s="107" t="e">
        <f t="shared" si="5"/>
        <v>#N/A</v>
      </c>
      <c r="AI7" s="107" t="e">
        <f>IF(OR(I7=0,I7="no berm"),0,(IF(I7="has bypass",IF(AG7&lt;=P7,(AH7-0)*(M7-0)/(O7-0)+0,IF(AND(AG7&gt;P7,AG7&lt;=T7),(AH7-O7)*(Q7-M7)/(S7-O7)+M7,IF(AND(AG7&gt;T7,AG7&lt;=X7),(AH7-S7)*(U7-Q7)/(W7-S7)+Q7,IF(AND(AG7&gt;X7,AG7&lt;=AB7),(AH7-W7)*(Y7-U7)/(AA7-W7)+U7,IF(AND(AG7&gt;AB7,AG7&lt;=AF7),(AH7-AA7)*(AC7-X7)/(AE7-AA7)+Y7,"more than a foot deep"))))))))</f>
        <v>#N/A</v>
      </c>
    </row>
    <row r="8" spans="1:35" x14ac:dyDescent="0.25">
      <c r="A8" s="2">
        <f>'Inputs-Results'!A14</f>
        <v>0</v>
      </c>
      <c r="B8" s="18" t="e">
        <f>_xlfn.XLOOKUP(A8,'Ditch Calculations'!$A$34:$A$114,'Ditch Calculations'!$C$34:$C$114)</f>
        <v>#N/A</v>
      </c>
      <c r="C8" s="2" t="e">
        <f>IF(_xlfn.XLOOKUP(A8,'Inputs-Results'!$A$9:$A$35,'Inputs-Results'!$P$9:$P$35)-_xlfn.XLOOKUP(A8,'Inputs-Results'!$A$9:$A$35,'Inputs-Results'!$X$9:$X$35)&gt;0,_xlfn.XLOOKUP(A8,'Inputs-Results'!$A$9:$A$35,'Inputs-Results'!$P$9:$P$35)-_xlfn.XLOOKUP(A8,'Inputs-Results'!$A$9:$A$35,'Inputs-Results'!$X$9:$X$35),0)</f>
        <v>#N/A</v>
      </c>
      <c r="D8" s="2" t="e">
        <f>'Standard Data'!$D$9*(1-_xlfn.XLOOKUP(A8,'Inputs-Results'!$A$9:$A$35,'Inputs-Results'!$AF$9:$AF$35))</f>
        <v>#N/A</v>
      </c>
      <c r="E8" s="2" t="e">
        <f>'Standard Data'!$B$9*(1-_xlfn.XLOOKUP(A8,'Inputs-Results'!$A$9:$A$35,'Inputs-Results'!$AF$9:$AF$35))</f>
        <v>#N/A</v>
      </c>
      <c r="F8" s="2" t="e">
        <f>(_xlfn.XLOOKUP(A8,'Inputs-Results'!$A$9:$A$35,'Inputs-Results'!$M$9:$M$35)/(0.67*E8))^2/(2*32.2)</f>
        <v>#N/A</v>
      </c>
      <c r="G8" s="18" t="e">
        <f>(_xlfn.XLOOKUP(A8,'Inputs-Results'!$A$9:$A$35,'Inputs-Results'!$M$9:$M$35)/3/E8)^(1/1.5)</f>
        <v>#N/A</v>
      </c>
      <c r="H8" s="42" t="e">
        <f t="shared" si="6"/>
        <v>#N/A</v>
      </c>
      <c r="I8" s="2" t="e">
        <f t="shared" si="7"/>
        <v>#N/A</v>
      </c>
      <c r="J8" s="19" t="e">
        <f t="shared" si="8"/>
        <v>#N/A</v>
      </c>
      <c r="K8" s="19" t="e">
        <f>IF(C8&gt;=_xlfn.XLOOKUP(A8,'Inputs-Results'!$A$9:$A$35,'Inputs-Results'!$Z$9:$Z$35)-_xlfn.XLOOKUP(A8,'Inputs-Results'!$A$9:$A$35,'Inputs-Results'!$X$9:$X$35),(_xlfn.XLOOKUP(A8,'Inputs-Results'!$A$9:$A$35,'Inputs-Results'!$Y$9:$Y$35)-_xlfn.XLOOKUP(A8,'Inputs-Results'!$A$9:$A$35,'Inputs-Results'!$W$9:$W$35))+((_xlfn.XLOOKUP(A8,'Inputs-Results'!$A$9:$A$35,'Inputs-Results'!$AA$9:$AA$35)-_xlfn.XLOOKUP(A8,'Inputs-Results'!$A$9:$A$35,'Inputs-Results'!$Y$9:$Y$35))*(C8-(_xlfn.XLOOKUP(A8,'Inputs-Results'!$A$9:$A$35,'Inputs-Results'!$Z$9:$Z$35)-_xlfn.XLOOKUP(A8,'Inputs-Results'!$A$9:$A$35,'Inputs-Results'!$X$9:$X$35))))/(_xlfn.XLOOKUP(A8,'Inputs-Results'!$A$9:$A$35,'Inputs-Results'!$AB$9:$AB$35)-_xlfn.XLOOKUP(A8,'Inputs-Results'!$A$9:$A$35,'Inputs-Results'!$Z$9:$Z$35)),((_xlfn.XLOOKUP(A8,'Inputs-Results'!$A$9:$A$35,'Inputs-Results'!$Y$9:$Y$35)-_xlfn.XLOOKUP(A8,'Inputs-Results'!$A$9:$A$35,'Inputs-Results'!$W$9:$W$35))*C8)/(_xlfn.XLOOKUP(A8,'Inputs-Results'!$A$9:$A$35,'Inputs-Results'!$Z$9:$Z$35)-_xlfn.XLOOKUP(A8,'Inputs-Results'!$A$9:$A$35,'Inputs-Results'!$X$9:$X$35)))+IF(C8&gt;=_xlfn.XLOOKUP(A8,'Inputs-Results'!$A$9:$A$35,'Inputs-Results'!$V$9:$V$35)-_xlfn.XLOOKUP(A8,'Inputs-Results'!$A$9:$A$35,'Inputs-Results'!$X$9:$X$35),ABS(_xlfn.XLOOKUP(A8,'Inputs-Results'!$A$9:$A$35,'Inputs-Results'!$W$9:$W$35)-_xlfn.XLOOKUP(A8,'Inputs-Results'!$A$9:$A$35,'Inputs-Results'!$U$9:$U$35))+ABS((_xlfn.XLOOKUP(A8,'Inputs-Results'!$A$9:$A$35,'Inputs-Results'!$U$9:$U$35)-_xlfn.XLOOKUP(A8,'Inputs-Results'!$A$9:$A$35,'Inputs-Results'!$S$9:$S$35))*(C8-(_xlfn.XLOOKUP(A8,'Inputs-Results'!$A$9:$A$35,'Inputs-Results'!$V$9:$V$35)-_xlfn.XLOOKUP(A8,'Inputs-Results'!$A$9:$A$35,'Inputs-Results'!$X$9:$X$35))))/(_xlfn.XLOOKUP(A8,'Inputs-Results'!$A$9:$A$35,'Inputs-Results'!$T$9:$T$35)-_xlfn.XLOOKUP(A8,'Inputs-Results'!$A$9:$A$35,'Inputs-Results'!$V$9:$V$35)),ABS((_xlfn.XLOOKUP(A8,'Inputs-Results'!$A$9:$A$35,'Inputs-Results'!$W$9:$W$35)-_xlfn.XLOOKUP(A8,'Inputs-Results'!$A$9:$A$35,'Inputs-Results'!$U$9:$U$35))*C8)/(_xlfn.XLOOKUP(A8,'Inputs-Results'!$A$9:$A$35,'Inputs-Results'!$V$9:$V$35)-_xlfn.XLOOKUP(A8,'Inputs-Results'!$A$9:$A$35,'Inputs-Results'!$X$9:$X$35)))</f>
        <v>#N/A</v>
      </c>
      <c r="L8" s="2" t="e">
        <f>IF(_xlfn.XLOOKUP(A8,'Inputs-Results'!A14:A40,'Inputs-Results'!Q14:Q40)&gt;0,_xlfn.XLOOKUP(A8,'Inputs-Results'!A14:A40,'Inputs-Results'!Q14:Q40),3)</f>
        <v>#N/A</v>
      </c>
      <c r="M8" s="2">
        <v>0.2</v>
      </c>
      <c r="N8" s="2" t="e" cm="1">
        <f t="array" ref="N8">INDEX('Standard Data'!$Q$23:$AB$40,_xlfn.XMATCH(M8,'Standard Data'!$Q$23:$Q$40,0),_xlfn.XMATCH($L8,'Standard Data'!$Q$23:$AB$23,0))</f>
        <v>#N/A</v>
      </c>
      <c r="O8" s="19" t="e">
        <f t="shared" si="0"/>
        <v>#N/A</v>
      </c>
      <c r="P8" s="2" t="e">
        <f t="shared" si="9"/>
        <v>#N/A</v>
      </c>
      <c r="Q8" s="2">
        <v>0.4</v>
      </c>
      <c r="R8" s="2" t="e" cm="1">
        <f t="array" ref="R8">INDEX('Standard Data'!$Q$23:$AB$40,_xlfn.XMATCH(Q8,'Standard Data'!$Q$23:$Q$40,0),_xlfn.XMATCH($L8,'Standard Data'!$Q$23:$AB$23,0))</f>
        <v>#N/A</v>
      </c>
      <c r="S8" s="19" t="e">
        <f t="shared" si="1"/>
        <v>#N/A</v>
      </c>
      <c r="T8" s="2" t="e">
        <f t="shared" si="13"/>
        <v>#N/A</v>
      </c>
      <c r="U8" s="2">
        <v>0.6</v>
      </c>
      <c r="V8" s="2" t="e" cm="1">
        <f t="array" ref="V8">INDEX('Standard Data'!$Q$23:$AB$40,_xlfn.XMATCH(U8,'Standard Data'!$Q$23:$Q$40,0),_xlfn.XMATCH($L8,'Standard Data'!$Q$23:$AB$23,0))</f>
        <v>#N/A</v>
      </c>
      <c r="W8" s="19" t="e">
        <f t="shared" si="2"/>
        <v>#N/A</v>
      </c>
      <c r="X8" s="2" t="e">
        <f t="shared" si="10"/>
        <v>#N/A</v>
      </c>
      <c r="Y8" s="2">
        <v>0.8</v>
      </c>
      <c r="Z8" s="2" t="e" cm="1">
        <f t="array" ref="Z8">INDEX('Standard Data'!$Q$23:$AB$40,_xlfn.XMATCH(Y8,'Standard Data'!$Q$23:$Q$40,0),_xlfn.XMATCH($L8,'Standard Data'!$Q$23:$AB$23,0))</f>
        <v>#N/A</v>
      </c>
      <c r="AA8" s="19" t="e">
        <f t="shared" si="3"/>
        <v>#N/A</v>
      </c>
      <c r="AB8" s="2" t="e">
        <f t="shared" si="11"/>
        <v>#N/A</v>
      </c>
      <c r="AC8" s="2">
        <v>1</v>
      </c>
      <c r="AD8" s="2" t="e" cm="1">
        <f t="array" ref="AD8">INDEX('Standard Data'!$Q$23:$AB$40,_xlfn.XMATCH(AC8,'Standard Data'!$Q$23:$Q$40,0),_xlfn.XMATCH($L8,'Standard Data'!$Q$23:$AB$23,0))</f>
        <v>#N/A</v>
      </c>
      <c r="AE8" s="19" t="e">
        <f t="shared" si="4"/>
        <v>#N/A</v>
      </c>
      <c r="AF8" s="2" t="e">
        <f t="shared" si="12"/>
        <v>#N/A</v>
      </c>
      <c r="AG8" s="19" t="e">
        <f>_xlfn.XLOOKUP(A8,'Inputs-Results'!$A$9:$A$35,'Inputs-Results'!$M$9:$M$35)</f>
        <v>#N/A</v>
      </c>
      <c r="AH8" s="107" t="e">
        <f t="shared" si="5"/>
        <v>#N/A</v>
      </c>
      <c r="AI8" s="107" t="e">
        <f t="shared" ref="AI8:AI29" si="14">IF(OR(I8=0,I8="no berm"),0,(IF(I8="has bypass",IF(AG8&lt;=P8,(AH8-0)*(M8-0)/(O8-0)+0,IF(AND(AG8&gt;P8,AG8&lt;=T8),(AH8-O8)*(Q8-M8)/(S8-O8)+M8,IF(AND(AG8&gt;T8,AG8&lt;=X8),(AH8-S8)*(U8-Q8)/(W8-S8)+Q8,IF(AND(AG8&gt;X8,AG8&lt;=AB8),(AH8-W8)*(Y8-U8)/(AA8-W8)+U8,IF(AND(AG8&gt;AB8,AG8&lt;=AF8),(AH8-AA8)*(AC8-X8)/(AE8-AA8)+Y8,"more than a foot deep"))))))))</f>
        <v>#N/A</v>
      </c>
    </row>
    <row r="9" spans="1:35" x14ac:dyDescent="0.25">
      <c r="A9" s="2">
        <f>'Inputs-Results'!A15</f>
        <v>0</v>
      </c>
      <c r="B9" s="18" t="e">
        <f>_xlfn.XLOOKUP(A9,'Ditch Calculations'!$A$34:$A$114,'Ditch Calculations'!$C$34:$C$114)</f>
        <v>#N/A</v>
      </c>
      <c r="C9" s="2" t="e">
        <f>IF(_xlfn.XLOOKUP(A9,'Inputs-Results'!$A$9:$A$35,'Inputs-Results'!$P$9:$P$35)-_xlfn.XLOOKUP(A9,'Inputs-Results'!$A$9:$A$35,'Inputs-Results'!$X$9:$X$35)&gt;0,_xlfn.XLOOKUP(A9,'Inputs-Results'!$A$9:$A$35,'Inputs-Results'!$P$9:$P$35)-_xlfn.XLOOKUP(A9,'Inputs-Results'!$A$9:$A$35,'Inputs-Results'!$X$9:$X$35),0)</f>
        <v>#N/A</v>
      </c>
      <c r="D9" s="2" t="e">
        <f>'Standard Data'!$D$9*(1-_xlfn.XLOOKUP(A9,'Inputs-Results'!$A$9:$A$35,'Inputs-Results'!$AF$9:$AF$35))</f>
        <v>#N/A</v>
      </c>
      <c r="E9" s="2" t="e">
        <f>'Standard Data'!$B$9*(1-_xlfn.XLOOKUP(A9,'Inputs-Results'!$A$9:$A$35,'Inputs-Results'!$AF$9:$AF$35))</f>
        <v>#N/A</v>
      </c>
      <c r="F9" s="2" t="e">
        <f>(_xlfn.XLOOKUP(A9,'Inputs-Results'!$A$9:$A$35,'Inputs-Results'!$M$9:$M$35)/(0.67*E9))^2/(2*32.2)</f>
        <v>#N/A</v>
      </c>
      <c r="G9" s="18" t="e">
        <f>(_xlfn.XLOOKUP(A9,'Inputs-Results'!$A$9:$A$35,'Inputs-Results'!$M$9:$M$35)/3/E9)^(1/1.5)</f>
        <v>#N/A</v>
      </c>
      <c r="H9" s="42" t="e">
        <f t="shared" si="6"/>
        <v>#N/A</v>
      </c>
      <c r="I9" s="2" t="e">
        <f t="shared" si="7"/>
        <v>#N/A</v>
      </c>
      <c r="J9" s="19" t="e">
        <f t="shared" si="8"/>
        <v>#N/A</v>
      </c>
      <c r="K9" s="19" t="e">
        <f>IF(C9&gt;=_xlfn.XLOOKUP(A9,'Inputs-Results'!$A$9:$A$35,'Inputs-Results'!$Z$9:$Z$35)-_xlfn.XLOOKUP(A9,'Inputs-Results'!$A$9:$A$35,'Inputs-Results'!$X$9:$X$35),(_xlfn.XLOOKUP(A9,'Inputs-Results'!$A$9:$A$35,'Inputs-Results'!$Y$9:$Y$35)-_xlfn.XLOOKUP(A9,'Inputs-Results'!$A$9:$A$35,'Inputs-Results'!$W$9:$W$35))+((_xlfn.XLOOKUP(A9,'Inputs-Results'!$A$9:$A$35,'Inputs-Results'!$AA$9:$AA$35)-_xlfn.XLOOKUP(A9,'Inputs-Results'!$A$9:$A$35,'Inputs-Results'!$Y$9:$Y$35))*(C9-(_xlfn.XLOOKUP(A9,'Inputs-Results'!$A$9:$A$35,'Inputs-Results'!$Z$9:$Z$35)-_xlfn.XLOOKUP(A9,'Inputs-Results'!$A$9:$A$35,'Inputs-Results'!$X$9:$X$35))))/(_xlfn.XLOOKUP(A9,'Inputs-Results'!$A$9:$A$35,'Inputs-Results'!$AB$9:$AB$35)-_xlfn.XLOOKUP(A9,'Inputs-Results'!$A$9:$A$35,'Inputs-Results'!$Z$9:$Z$35)),((_xlfn.XLOOKUP(A9,'Inputs-Results'!$A$9:$A$35,'Inputs-Results'!$Y$9:$Y$35)-_xlfn.XLOOKUP(A9,'Inputs-Results'!$A$9:$A$35,'Inputs-Results'!$W$9:$W$35))*C9)/(_xlfn.XLOOKUP(A9,'Inputs-Results'!$A$9:$A$35,'Inputs-Results'!$Z$9:$Z$35)-_xlfn.XLOOKUP(A9,'Inputs-Results'!$A$9:$A$35,'Inputs-Results'!$X$9:$X$35)))+IF(C9&gt;=_xlfn.XLOOKUP(A9,'Inputs-Results'!$A$9:$A$35,'Inputs-Results'!$V$9:$V$35)-_xlfn.XLOOKUP(A9,'Inputs-Results'!$A$9:$A$35,'Inputs-Results'!$X$9:$X$35),ABS(_xlfn.XLOOKUP(A9,'Inputs-Results'!$A$9:$A$35,'Inputs-Results'!$W$9:$W$35)-_xlfn.XLOOKUP(A9,'Inputs-Results'!$A$9:$A$35,'Inputs-Results'!$U$9:$U$35))+ABS((_xlfn.XLOOKUP(A9,'Inputs-Results'!$A$9:$A$35,'Inputs-Results'!$U$9:$U$35)-_xlfn.XLOOKUP(A9,'Inputs-Results'!$A$9:$A$35,'Inputs-Results'!$S$9:$S$35))*(C9-(_xlfn.XLOOKUP(A9,'Inputs-Results'!$A$9:$A$35,'Inputs-Results'!$V$9:$V$35)-_xlfn.XLOOKUP(A9,'Inputs-Results'!$A$9:$A$35,'Inputs-Results'!$X$9:$X$35))))/(_xlfn.XLOOKUP(A9,'Inputs-Results'!$A$9:$A$35,'Inputs-Results'!$T$9:$T$35)-_xlfn.XLOOKUP(A9,'Inputs-Results'!$A$9:$A$35,'Inputs-Results'!$V$9:$V$35)),ABS((_xlfn.XLOOKUP(A9,'Inputs-Results'!$A$9:$A$35,'Inputs-Results'!$W$9:$W$35)-_xlfn.XLOOKUP(A9,'Inputs-Results'!$A$9:$A$35,'Inputs-Results'!$U$9:$U$35))*C9)/(_xlfn.XLOOKUP(A9,'Inputs-Results'!$A$9:$A$35,'Inputs-Results'!$V$9:$V$35)-_xlfn.XLOOKUP(A9,'Inputs-Results'!$A$9:$A$35,'Inputs-Results'!$X$9:$X$35)))</f>
        <v>#N/A</v>
      </c>
      <c r="L9" s="2" t="e">
        <f>IF(_xlfn.XLOOKUP(A9,'Inputs-Results'!A15:A41,'Inputs-Results'!Q15:Q41)&gt;0,_xlfn.XLOOKUP(A9,'Inputs-Results'!A15:A41,'Inputs-Results'!Q15:Q41),3)</f>
        <v>#N/A</v>
      </c>
      <c r="M9" s="2">
        <v>0.2</v>
      </c>
      <c r="N9" s="2" t="e" cm="1">
        <f t="array" ref="N9">INDEX('Standard Data'!$Q$23:$AB$40,_xlfn.XMATCH(M9,'Standard Data'!$Q$23:$Q$40,0),_xlfn.XMATCH($L9,'Standard Data'!$Q$23:$AB$23,0))</f>
        <v>#N/A</v>
      </c>
      <c r="O9" s="19" t="e">
        <f t="shared" si="0"/>
        <v>#N/A</v>
      </c>
      <c r="P9" s="2" t="e">
        <f t="shared" si="9"/>
        <v>#N/A</v>
      </c>
      <c r="Q9" s="2">
        <v>0.4</v>
      </c>
      <c r="R9" s="2" t="e" cm="1">
        <f t="array" ref="R9">INDEX('Standard Data'!$Q$23:$AB$40,_xlfn.XMATCH(Q9,'Standard Data'!$Q$23:$Q$40,0),_xlfn.XMATCH($L9,'Standard Data'!$Q$23:$AB$23,0))</f>
        <v>#N/A</v>
      </c>
      <c r="S9" s="19" t="e">
        <f t="shared" si="1"/>
        <v>#N/A</v>
      </c>
      <c r="T9" s="2" t="e">
        <f t="shared" si="13"/>
        <v>#N/A</v>
      </c>
      <c r="U9" s="2">
        <v>0.6</v>
      </c>
      <c r="V9" s="2" t="e" cm="1">
        <f t="array" ref="V9">INDEX('Standard Data'!$Q$23:$AB$40,_xlfn.XMATCH(U9,'Standard Data'!$Q$23:$Q$40,0),_xlfn.XMATCH($L9,'Standard Data'!$Q$23:$AB$23,0))</f>
        <v>#N/A</v>
      </c>
      <c r="W9" s="19" t="e">
        <f t="shared" si="2"/>
        <v>#N/A</v>
      </c>
      <c r="X9" s="2" t="e">
        <f t="shared" si="10"/>
        <v>#N/A</v>
      </c>
      <c r="Y9" s="2">
        <v>0.8</v>
      </c>
      <c r="Z9" s="2" t="e" cm="1">
        <f t="array" ref="Z9">INDEX('Standard Data'!$Q$23:$AB$40,_xlfn.XMATCH(Y9,'Standard Data'!$Q$23:$Q$40,0),_xlfn.XMATCH($L9,'Standard Data'!$Q$23:$AB$23,0))</f>
        <v>#N/A</v>
      </c>
      <c r="AA9" s="19" t="e">
        <f t="shared" si="3"/>
        <v>#N/A</v>
      </c>
      <c r="AB9" s="2" t="e">
        <f t="shared" si="11"/>
        <v>#N/A</v>
      </c>
      <c r="AC9" s="2">
        <v>1</v>
      </c>
      <c r="AD9" s="2" t="e" cm="1">
        <f t="array" ref="AD9">INDEX('Standard Data'!$Q$23:$AB$40,_xlfn.XMATCH(AC9,'Standard Data'!$Q$23:$Q$40,0),_xlfn.XMATCH($L9,'Standard Data'!$Q$23:$AB$23,0))</f>
        <v>#N/A</v>
      </c>
      <c r="AE9" s="19" t="e">
        <f t="shared" si="4"/>
        <v>#N/A</v>
      </c>
      <c r="AF9" s="2" t="e">
        <f t="shared" si="12"/>
        <v>#N/A</v>
      </c>
      <c r="AG9" s="19" t="e">
        <f>_xlfn.XLOOKUP(A9,'Inputs-Results'!$A$9:$A$35,'Inputs-Results'!$M$9:$M$35)</f>
        <v>#N/A</v>
      </c>
      <c r="AH9" s="107" t="e">
        <f t="shared" si="5"/>
        <v>#N/A</v>
      </c>
      <c r="AI9" s="107" t="e">
        <f t="shared" si="14"/>
        <v>#N/A</v>
      </c>
    </row>
    <row r="10" spans="1:35" x14ac:dyDescent="0.25">
      <c r="A10" s="2">
        <f>'Inputs-Results'!A16</f>
        <v>0</v>
      </c>
      <c r="B10" s="18" t="e">
        <f>_xlfn.XLOOKUP(A10,'Ditch Calculations'!$A$34:$A$114,'Ditch Calculations'!$C$34:$C$114)</f>
        <v>#N/A</v>
      </c>
      <c r="C10" s="2" t="e">
        <f>IF(_xlfn.XLOOKUP(A10,'Inputs-Results'!$A$9:$A$35,'Inputs-Results'!$P$9:$P$35)-_xlfn.XLOOKUP(A10,'Inputs-Results'!$A$9:$A$35,'Inputs-Results'!$X$9:$X$35)&gt;0,_xlfn.XLOOKUP(A10,'Inputs-Results'!$A$9:$A$35,'Inputs-Results'!$P$9:$P$35)-_xlfn.XLOOKUP(A10,'Inputs-Results'!$A$9:$A$35,'Inputs-Results'!$X$9:$X$35),0)</f>
        <v>#N/A</v>
      </c>
      <c r="D10" s="2" t="e">
        <f>'Standard Data'!$D$9*(1-_xlfn.XLOOKUP(A10,'Inputs-Results'!$A$9:$A$35,'Inputs-Results'!$AF$9:$AF$35))</f>
        <v>#N/A</v>
      </c>
      <c r="E10" s="2" t="e">
        <f>'Standard Data'!$B$9*(1-_xlfn.XLOOKUP(A10,'Inputs-Results'!$A$9:$A$35,'Inputs-Results'!$AF$9:$AF$35))</f>
        <v>#N/A</v>
      </c>
      <c r="F10" s="2" t="e">
        <f>(_xlfn.XLOOKUP(A10,'Inputs-Results'!$A$9:$A$35,'Inputs-Results'!$M$9:$M$35)/(0.67*E10))^2/(2*32.2)</f>
        <v>#N/A</v>
      </c>
      <c r="G10" s="18" t="e">
        <f>(_xlfn.XLOOKUP(A10,'Inputs-Results'!$A$9:$A$35,'Inputs-Results'!$M$9:$M$35)/3/E10)^(1/1.5)</f>
        <v>#N/A</v>
      </c>
      <c r="H10" s="42" t="e">
        <f t="shared" si="6"/>
        <v>#N/A</v>
      </c>
      <c r="I10" s="2" t="e">
        <f t="shared" si="7"/>
        <v>#N/A</v>
      </c>
      <c r="J10" s="19" t="e">
        <f t="shared" si="8"/>
        <v>#N/A</v>
      </c>
      <c r="K10" s="19" t="e">
        <f>IF(C10&gt;=_xlfn.XLOOKUP(A10,'Inputs-Results'!$A$9:$A$35,'Inputs-Results'!$Z$9:$Z$35)-_xlfn.XLOOKUP(A10,'Inputs-Results'!$A$9:$A$35,'Inputs-Results'!$X$9:$X$35),(_xlfn.XLOOKUP(A10,'Inputs-Results'!$A$9:$A$35,'Inputs-Results'!$Y$9:$Y$35)-_xlfn.XLOOKUP(A10,'Inputs-Results'!$A$9:$A$35,'Inputs-Results'!$W$9:$W$35))+((_xlfn.XLOOKUP(A10,'Inputs-Results'!$A$9:$A$35,'Inputs-Results'!$AA$9:$AA$35)-_xlfn.XLOOKUP(A10,'Inputs-Results'!$A$9:$A$35,'Inputs-Results'!$Y$9:$Y$35))*(C10-(_xlfn.XLOOKUP(A10,'Inputs-Results'!$A$9:$A$35,'Inputs-Results'!$Z$9:$Z$35)-_xlfn.XLOOKUP(A10,'Inputs-Results'!$A$9:$A$35,'Inputs-Results'!$X$9:$X$35))))/(_xlfn.XLOOKUP(A10,'Inputs-Results'!$A$9:$A$35,'Inputs-Results'!$AB$9:$AB$35)-_xlfn.XLOOKUP(A10,'Inputs-Results'!$A$9:$A$35,'Inputs-Results'!$Z$9:$Z$35)),((_xlfn.XLOOKUP(A10,'Inputs-Results'!$A$9:$A$35,'Inputs-Results'!$Y$9:$Y$35)-_xlfn.XLOOKUP(A10,'Inputs-Results'!$A$9:$A$35,'Inputs-Results'!$W$9:$W$35))*C10)/(_xlfn.XLOOKUP(A10,'Inputs-Results'!$A$9:$A$35,'Inputs-Results'!$Z$9:$Z$35)-_xlfn.XLOOKUP(A10,'Inputs-Results'!$A$9:$A$35,'Inputs-Results'!$X$9:$X$35)))+IF(C10&gt;=_xlfn.XLOOKUP(A10,'Inputs-Results'!$A$9:$A$35,'Inputs-Results'!$V$9:$V$35)-_xlfn.XLOOKUP(A10,'Inputs-Results'!$A$9:$A$35,'Inputs-Results'!$X$9:$X$35),ABS(_xlfn.XLOOKUP(A10,'Inputs-Results'!$A$9:$A$35,'Inputs-Results'!$W$9:$W$35)-_xlfn.XLOOKUP(A10,'Inputs-Results'!$A$9:$A$35,'Inputs-Results'!$U$9:$U$35))+ABS((_xlfn.XLOOKUP(A10,'Inputs-Results'!$A$9:$A$35,'Inputs-Results'!$U$9:$U$35)-_xlfn.XLOOKUP(A10,'Inputs-Results'!$A$9:$A$35,'Inputs-Results'!$S$9:$S$35))*(C10-(_xlfn.XLOOKUP(A10,'Inputs-Results'!$A$9:$A$35,'Inputs-Results'!$V$9:$V$35)-_xlfn.XLOOKUP(A10,'Inputs-Results'!$A$9:$A$35,'Inputs-Results'!$X$9:$X$35))))/(_xlfn.XLOOKUP(A10,'Inputs-Results'!$A$9:$A$35,'Inputs-Results'!$T$9:$T$35)-_xlfn.XLOOKUP(A10,'Inputs-Results'!$A$9:$A$35,'Inputs-Results'!$V$9:$V$35)),ABS((_xlfn.XLOOKUP(A10,'Inputs-Results'!$A$9:$A$35,'Inputs-Results'!$W$9:$W$35)-_xlfn.XLOOKUP(A10,'Inputs-Results'!$A$9:$A$35,'Inputs-Results'!$U$9:$U$35))*C10)/(_xlfn.XLOOKUP(A10,'Inputs-Results'!$A$9:$A$35,'Inputs-Results'!$V$9:$V$35)-_xlfn.XLOOKUP(A10,'Inputs-Results'!$A$9:$A$35,'Inputs-Results'!$X$9:$X$35)))</f>
        <v>#N/A</v>
      </c>
      <c r="L10" s="2" t="e">
        <f>IF(_xlfn.XLOOKUP(A10,'Inputs-Results'!A16:A42,'Inputs-Results'!Q16:Q42)&gt;0,_xlfn.XLOOKUP(A10,'Inputs-Results'!A16:A42,'Inputs-Results'!Q16:Q42),3)</f>
        <v>#N/A</v>
      </c>
      <c r="M10" s="2">
        <v>0.2</v>
      </c>
      <c r="N10" s="2" t="e" cm="1">
        <f t="array" ref="N10">INDEX('Standard Data'!$Q$23:$AB$40,_xlfn.XMATCH(M10,'Standard Data'!$Q$23:$Q$40,0),_xlfn.XMATCH($L10,'Standard Data'!$Q$23:$AB$23,0))</f>
        <v>#N/A</v>
      </c>
      <c r="O10" s="19" t="e">
        <f t="shared" si="0"/>
        <v>#N/A</v>
      </c>
      <c r="P10" s="2" t="e">
        <f t="shared" si="9"/>
        <v>#N/A</v>
      </c>
      <c r="Q10" s="2">
        <v>0.4</v>
      </c>
      <c r="R10" s="2" t="e" cm="1">
        <f t="array" ref="R10">INDEX('Standard Data'!$Q$23:$AB$40,_xlfn.XMATCH(Q10,'Standard Data'!$Q$23:$Q$40,0),_xlfn.XMATCH($L10,'Standard Data'!$Q$23:$AB$23,0))</f>
        <v>#N/A</v>
      </c>
      <c r="S10" s="19" t="e">
        <f t="shared" si="1"/>
        <v>#N/A</v>
      </c>
      <c r="T10" s="2" t="e">
        <f t="shared" si="13"/>
        <v>#N/A</v>
      </c>
      <c r="U10" s="2">
        <v>0.6</v>
      </c>
      <c r="V10" s="2" t="e" cm="1">
        <f t="array" ref="V10">INDEX('Standard Data'!$Q$23:$AB$40,_xlfn.XMATCH(U10,'Standard Data'!$Q$23:$Q$40,0),_xlfn.XMATCH($L10,'Standard Data'!$Q$23:$AB$23,0))</f>
        <v>#N/A</v>
      </c>
      <c r="W10" s="19" t="e">
        <f t="shared" si="2"/>
        <v>#N/A</v>
      </c>
      <c r="X10" s="2" t="e">
        <f t="shared" si="10"/>
        <v>#N/A</v>
      </c>
      <c r="Y10" s="2">
        <v>0.8</v>
      </c>
      <c r="Z10" s="2" t="e" cm="1">
        <f t="array" ref="Z10">INDEX('Standard Data'!$Q$23:$AB$40,_xlfn.XMATCH(Y10,'Standard Data'!$Q$23:$Q$40,0),_xlfn.XMATCH($L10,'Standard Data'!$Q$23:$AB$23,0))</f>
        <v>#N/A</v>
      </c>
      <c r="AA10" s="19" t="e">
        <f t="shared" si="3"/>
        <v>#N/A</v>
      </c>
      <c r="AB10" s="2" t="e">
        <f t="shared" si="11"/>
        <v>#N/A</v>
      </c>
      <c r="AC10" s="2">
        <v>1</v>
      </c>
      <c r="AD10" s="2" t="e" cm="1">
        <f t="array" ref="AD10">INDEX('Standard Data'!$Q$23:$AB$40,_xlfn.XMATCH(AC10,'Standard Data'!$Q$23:$Q$40,0),_xlfn.XMATCH($L10,'Standard Data'!$Q$23:$AB$23,0))</f>
        <v>#N/A</v>
      </c>
      <c r="AE10" s="19" t="e">
        <f t="shared" si="4"/>
        <v>#N/A</v>
      </c>
      <c r="AF10" s="2" t="e">
        <f t="shared" si="12"/>
        <v>#N/A</v>
      </c>
      <c r="AG10" s="19" t="e">
        <f>_xlfn.XLOOKUP(A10,'Inputs-Results'!$A$9:$A$35,'Inputs-Results'!$M$9:$M$35)</f>
        <v>#N/A</v>
      </c>
      <c r="AH10" s="107" t="e">
        <f t="shared" ref="AH10:AH29" si="15">IF(OR(I10=0,I10="no berm"),0,(IF(I10="has bypass",IF(AG10&lt;=P10,(AG10-J10)*(O10-0)/(P10-J10),IF(AND(AG10&gt;P10,AG10&lt;=T10),(AG10-P10)*(S10-O10)/(T10-P10)+O10,IF(AND(AG10&gt;T10,AG10&lt;=X10),(AG10-T10)*(W10-S10)/(X10-T10)+S10,IF(AND(AG10&gt;X10,AG10&lt;=AB10),(AG10-X10)*(AA10-W10)/(AB10-X10)+W10,IF(AND(AG10&gt;AB10,AG10&lt;=AF10),(AG10-AB10)*(AE10-AA10)/(AF10-AB10)+AA10,"that's a lot of flow"))))))))</f>
        <v>#N/A</v>
      </c>
      <c r="AI10" s="107" t="e">
        <f t="shared" si="14"/>
        <v>#N/A</v>
      </c>
    </row>
    <row r="11" spans="1:35" x14ac:dyDescent="0.25">
      <c r="A11" s="2">
        <f>'Inputs-Results'!A17</f>
        <v>0</v>
      </c>
      <c r="B11" s="18" t="e">
        <f>_xlfn.XLOOKUP(A11,'Ditch Calculations'!$A$34:$A$114,'Ditch Calculations'!$C$34:$C$114)</f>
        <v>#N/A</v>
      </c>
      <c r="C11" s="2" t="e">
        <f>IF(_xlfn.XLOOKUP(A11,'Inputs-Results'!$A$9:$A$35,'Inputs-Results'!$P$9:$P$35)-_xlfn.XLOOKUP(A11,'Inputs-Results'!$A$9:$A$35,'Inputs-Results'!$X$9:$X$35)&gt;0,_xlfn.XLOOKUP(A11,'Inputs-Results'!$A$9:$A$35,'Inputs-Results'!$P$9:$P$35)-_xlfn.XLOOKUP(A11,'Inputs-Results'!$A$9:$A$35,'Inputs-Results'!$X$9:$X$35),0)</f>
        <v>#N/A</v>
      </c>
      <c r="D11" s="2" t="e">
        <f>'Standard Data'!$D$9*(1-_xlfn.XLOOKUP(A11,'Inputs-Results'!$A$9:$A$35,'Inputs-Results'!$AF$9:$AF$35))</f>
        <v>#N/A</v>
      </c>
      <c r="E11" s="2" t="e">
        <f>'Standard Data'!$B$9*(1-_xlfn.XLOOKUP(A11,'Inputs-Results'!$A$9:$A$35,'Inputs-Results'!$AF$9:$AF$35))</f>
        <v>#N/A</v>
      </c>
      <c r="F11" s="2" t="e">
        <f>(_xlfn.XLOOKUP(A11,'Inputs-Results'!$A$9:$A$35,'Inputs-Results'!$M$9:$M$35)/(0.67*E11))^2/(2*32.2)</f>
        <v>#N/A</v>
      </c>
      <c r="G11" s="18" t="e">
        <f>(_xlfn.XLOOKUP(A11,'Inputs-Results'!$A$9:$A$35,'Inputs-Results'!$M$9:$M$35)/3/E11)^(1/1.5)</f>
        <v>#N/A</v>
      </c>
      <c r="H11" s="42" t="e">
        <f t="shared" si="6"/>
        <v>#N/A</v>
      </c>
      <c r="I11" s="2" t="e">
        <f t="shared" si="7"/>
        <v>#N/A</v>
      </c>
      <c r="J11" s="19" t="e">
        <f t="shared" si="8"/>
        <v>#N/A</v>
      </c>
      <c r="K11" s="19" t="e">
        <f>IF(C11&gt;=_xlfn.XLOOKUP(A11,'Inputs-Results'!$A$9:$A$35,'Inputs-Results'!$Z$9:$Z$35)-_xlfn.XLOOKUP(A11,'Inputs-Results'!$A$9:$A$35,'Inputs-Results'!$X$9:$X$35),(_xlfn.XLOOKUP(A11,'Inputs-Results'!$A$9:$A$35,'Inputs-Results'!$Y$9:$Y$35)-_xlfn.XLOOKUP(A11,'Inputs-Results'!$A$9:$A$35,'Inputs-Results'!$W$9:$W$35))+((_xlfn.XLOOKUP(A11,'Inputs-Results'!$A$9:$A$35,'Inputs-Results'!$AA$9:$AA$35)-_xlfn.XLOOKUP(A11,'Inputs-Results'!$A$9:$A$35,'Inputs-Results'!$Y$9:$Y$35))*(C11-(_xlfn.XLOOKUP(A11,'Inputs-Results'!$A$9:$A$35,'Inputs-Results'!$Z$9:$Z$35)-_xlfn.XLOOKUP(A11,'Inputs-Results'!$A$9:$A$35,'Inputs-Results'!$X$9:$X$35))))/(_xlfn.XLOOKUP(A11,'Inputs-Results'!$A$9:$A$35,'Inputs-Results'!$AB$9:$AB$35)-_xlfn.XLOOKUP(A11,'Inputs-Results'!$A$9:$A$35,'Inputs-Results'!$Z$9:$Z$35)),((_xlfn.XLOOKUP(A11,'Inputs-Results'!$A$9:$A$35,'Inputs-Results'!$Y$9:$Y$35)-_xlfn.XLOOKUP(A11,'Inputs-Results'!$A$9:$A$35,'Inputs-Results'!$W$9:$W$35))*C11)/(_xlfn.XLOOKUP(A11,'Inputs-Results'!$A$9:$A$35,'Inputs-Results'!$Z$9:$Z$35)-_xlfn.XLOOKUP(A11,'Inputs-Results'!$A$9:$A$35,'Inputs-Results'!$X$9:$X$35)))+IF(C11&gt;=_xlfn.XLOOKUP(A11,'Inputs-Results'!$A$9:$A$35,'Inputs-Results'!$V$9:$V$35)-_xlfn.XLOOKUP(A11,'Inputs-Results'!$A$9:$A$35,'Inputs-Results'!$X$9:$X$35),ABS(_xlfn.XLOOKUP(A11,'Inputs-Results'!$A$9:$A$35,'Inputs-Results'!$W$9:$W$35)-_xlfn.XLOOKUP(A11,'Inputs-Results'!$A$9:$A$35,'Inputs-Results'!$U$9:$U$35))+ABS((_xlfn.XLOOKUP(A11,'Inputs-Results'!$A$9:$A$35,'Inputs-Results'!$U$9:$U$35)-_xlfn.XLOOKUP(A11,'Inputs-Results'!$A$9:$A$35,'Inputs-Results'!$S$9:$S$35))*(C11-(_xlfn.XLOOKUP(A11,'Inputs-Results'!$A$9:$A$35,'Inputs-Results'!$V$9:$V$35)-_xlfn.XLOOKUP(A11,'Inputs-Results'!$A$9:$A$35,'Inputs-Results'!$X$9:$X$35))))/(_xlfn.XLOOKUP(A11,'Inputs-Results'!$A$9:$A$35,'Inputs-Results'!$T$9:$T$35)-_xlfn.XLOOKUP(A11,'Inputs-Results'!$A$9:$A$35,'Inputs-Results'!$V$9:$V$35)),ABS((_xlfn.XLOOKUP(A11,'Inputs-Results'!$A$9:$A$35,'Inputs-Results'!$W$9:$W$35)-_xlfn.XLOOKUP(A11,'Inputs-Results'!$A$9:$A$35,'Inputs-Results'!$U$9:$U$35))*C11)/(_xlfn.XLOOKUP(A11,'Inputs-Results'!$A$9:$A$35,'Inputs-Results'!$V$9:$V$35)-_xlfn.XLOOKUP(A11,'Inputs-Results'!$A$9:$A$35,'Inputs-Results'!$X$9:$X$35)))</f>
        <v>#N/A</v>
      </c>
      <c r="L11" s="2" t="e">
        <f>IF(_xlfn.XLOOKUP(A11,'Inputs-Results'!A17:A43,'Inputs-Results'!Q17:Q43)&gt;0,_xlfn.XLOOKUP(A11,'Inputs-Results'!A17:A43,'Inputs-Results'!Q17:Q43),3)</f>
        <v>#N/A</v>
      </c>
      <c r="M11" s="2">
        <v>0.2</v>
      </c>
      <c r="N11" s="2" t="e" cm="1">
        <f t="array" ref="N11">INDEX('Standard Data'!$Q$23:$AB$40,_xlfn.XMATCH(M11,'Standard Data'!$Q$23:$Q$40,0),_xlfn.XMATCH($L11,'Standard Data'!$Q$23:$AB$23,0))</f>
        <v>#N/A</v>
      </c>
      <c r="O11" s="19" t="e">
        <f t="shared" si="0"/>
        <v>#N/A</v>
      </c>
      <c r="P11" s="2" t="e">
        <f t="shared" si="9"/>
        <v>#N/A</v>
      </c>
      <c r="Q11" s="2">
        <v>0.4</v>
      </c>
      <c r="R11" s="2" t="e" cm="1">
        <f t="array" ref="R11">INDEX('Standard Data'!$Q$23:$AB$40,_xlfn.XMATCH(Q11,'Standard Data'!$Q$23:$Q$40,0),_xlfn.XMATCH($L11,'Standard Data'!$Q$23:$AB$23,0))</f>
        <v>#N/A</v>
      </c>
      <c r="S11" s="19" t="e">
        <f t="shared" si="1"/>
        <v>#N/A</v>
      </c>
      <c r="T11" s="2" t="e">
        <f t="shared" si="13"/>
        <v>#N/A</v>
      </c>
      <c r="U11" s="2">
        <v>0.6</v>
      </c>
      <c r="V11" s="2" t="e" cm="1">
        <f t="array" ref="V11">INDEX('Standard Data'!$Q$23:$AB$40,_xlfn.XMATCH(U11,'Standard Data'!$Q$23:$Q$40,0),_xlfn.XMATCH($L11,'Standard Data'!$Q$23:$AB$23,0))</f>
        <v>#N/A</v>
      </c>
      <c r="W11" s="19" t="e">
        <f t="shared" si="2"/>
        <v>#N/A</v>
      </c>
      <c r="X11" s="2" t="e">
        <f t="shared" si="10"/>
        <v>#N/A</v>
      </c>
      <c r="Y11" s="2">
        <v>0.8</v>
      </c>
      <c r="Z11" s="2" t="e" cm="1">
        <f t="array" ref="Z11">INDEX('Standard Data'!$Q$23:$AB$40,_xlfn.XMATCH(Y11,'Standard Data'!$Q$23:$Q$40,0),_xlfn.XMATCH($L11,'Standard Data'!$Q$23:$AB$23,0))</f>
        <v>#N/A</v>
      </c>
      <c r="AA11" s="19" t="e">
        <f t="shared" si="3"/>
        <v>#N/A</v>
      </c>
      <c r="AB11" s="2" t="e">
        <f t="shared" si="11"/>
        <v>#N/A</v>
      </c>
      <c r="AC11" s="2">
        <v>1</v>
      </c>
      <c r="AD11" s="2" t="e" cm="1">
        <f t="array" ref="AD11">INDEX('Standard Data'!$Q$23:$AB$40,_xlfn.XMATCH(AC11,'Standard Data'!$Q$23:$Q$40,0),_xlfn.XMATCH($L11,'Standard Data'!$Q$23:$AB$23,0))</f>
        <v>#N/A</v>
      </c>
      <c r="AE11" s="19" t="e">
        <f t="shared" si="4"/>
        <v>#N/A</v>
      </c>
      <c r="AF11" s="2" t="e">
        <f t="shared" si="12"/>
        <v>#N/A</v>
      </c>
      <c r="AG11" s="19" t="e">
        <f>_xlfn.XLOOKUP(A11,'Inputs-Results'!$A$9:$A$35,'Inputs-Results'!$M$9:$M$35)</f>
        <v>#N/A</v>
      </c>
      <c r="AH11" s="107" t="e">
        <f t="shared" si="15"/>
        <v>#N/A</v>
      </c>
      <c r="AI11" s="107" t="e">
        <f t="shared" si="14"/>
        <v>#N/A</v>
      </c>
    </row>
    <row r="12" spans="1:35" x14ac:dyDescent="0.25">
      <c r="A12" s="2">
        <f>'Inputs-Results'!A18</f>
        <v>0</v>
      </c>
      <c r="B12" s="18" t="e">
        <f>_xlfn.XLOOKUP(A12,'Ditch Calculations'!$A$34:$A$114,'Ditch Calculations'!$C$34:$C$114)</f>
        <v>#N/A</v>
      </c>
      <c r="C12" s="2" t="e">
        <f>IF(_xlfn.XLOOKUP(A12,'Inputs-Results'!$A$9:$A$35,'Inputs-Results'!$P$9:$P$35)-_xlfn.XLOOKUP(A12,'Inputs-Results'!$A$9:$A$35,'Inputs-Results'!$X$9:$X$35)&gt;0,_xlfn.XLOOKUP(A12,'Inputs-Results'!$A$9:$A$35,'Inputs-Results'!$P$9:$P$35)-_xlfn.XLOOKUP(A12,'Inputs-Results'!$A$9:$A$35,'Inputs-Results'!$X$9:$X$35),0)</f>
        <v>#N/A</v>
      </c>
      <c r="D12" s="2" t="e">
        <f>'Standard Data'!$D$9*(1-_xlfn.XLOOKUP(A12,'Inputs-Results'!$A$9:$A$35,'Inputs-Results'!$AF$9:$AF$35))</f>
        <v>#N/A</v>
      </c>
      <c r="E12" s="2" t="e">
        <f>'Standard Data'!$B$9*(1-_xlfn.XLOOKUP(A12,'Inputs-Results'!$A$9:$A$35,'Inputs-Results'!$AF$9:$AF$35))</f>
        <v>#N/A</v>
      </c>
      <c r="F12" s="2" t="e">
        <f>(_xlfn.XLOOKUP(A12,'Inputs-Results'!$A$9:$A$35,'Inputs-Results'!$M$9:$M$35)/(0.67*E12))^2/(2*32.2)</f>
        <v>#N/A</v>
      </c>
      <c r="G12" s="18" t="e">
        <f>(_xlfn.XLOOKUP(A12,'Inputs-Results'!$A$9:$A$35,'Inputs-Results'!$M$9:$M$35)/3/E12)^(1/1.5)</f>
        <v>#N/A</v>
      </c>
      <c r="H12" s="42" t="e">
        <f t="shared" si="6"/>
        <v>#N/A</v>
      </c>
      <c r="I12" s="2" t="e">
        <f t="shared" si="7"/>
        <v>#N/A</v>
      </c>
      <c r="J12" s="19" t="e">
        <f t="shared" si="8"/>
        <v>#N/A</v>
      </c>
      <c r="K12" s="19" t="e">
        <f>IF(C12&gt;=_xlfn.XLOOKUP(A12,'Inputs-Results'!$A$9:$A$35,'Inputs-Results'!$Z$9:$Z$35)-_xlfn.XLOOKUP(A12,'Inputs-Results'!$A$9:$A$35,'Inputs-Results'!$X$9:$X$35),(_xlfn.XLOOKUP(A12,'Inputs-Results'!$A$9:$A$35,'Inputs-Results'!$Y$9:$Y$35)-_xlfn.XLOOKUP(A12,'Inputs-Results'!$A$9:$A$35,'Inputs-Results'!$W$9:$W$35))+((_xlfn.XLOOKUP(A12,'Inputs-Results'!$A$9:$A$35,'Inputs-Results'!$AA$9:$AA$35)-_xlfn.XLOOKUP(A12,'Inputs-Results'!$A$9:$A$35,'Inputs-Results'!$Y$9:$Y$35))*(C12-(_xlfn.XLOOKUP(A12,'Inputs-Results'!$A$9:$A$35,'Inputs-Results'!$Z$9:$Z$35)-_xlfn.XLOOKUP(A12,'Inputs-Results'!$A$9:$A$35,'Inputs-Results'!$X$9:$X$35))))/(_xlfn.XLOOKUP(A12,'Inputs-Results'!$A$9:$A$35,'Inputs-Results'!$AB$9:$AB$35)-_xlfn.XLOOKUP(A12,'Inputs-Results'!$A$9:$A$35,'Inputs-Results'!$Z$9:$Z$35)),((_xlfn.XLOOKUP(A12,'Inputs-Results'!$A$9:$A$35,'Inputs-Results'!$Y$9:$Y$35)-_xlfn.XLOOKUP(A12,'Inputs-Results'!$A$9:$A$35,'Inputs-Results'!$W$9:$W$35))*C12)/(_xlfn.XLOOKUP(A12,'Inputs-Results'!$A$9:$A$35,'Inputs-Results'!$Z$9:$Z$35)-_xlfn.XLOOKUP(A12,'Inputs-Results'!$A$9:$A$35,'Inputs-Results'!$X$9:$X$35)))+IF(C12&gt;=_xlfn.XLOOKUP(A12,'Inputs-Results'!$A$9:$A$35,'Inputs-Results'!$V$9:$V$35)-_xlfn.XLOOKUP(A12,'Inputs-Results'!$A$9:$A$35,'Inputs-Results'!$X$9:$X$35),ABS(_xlfn.XLOOKUP(A12,'Inputs-Results'!$A$9:$A$35,'Inputs-Results'!$W$9:$W$35)-_xlfn.XLOOKUP(A12,'Inputs-Results'!$A$9:$A$35,'Inputs-Results'!$U$9:$U$35))+ABS((_xlfn.XLOOKUP(A12,'Inputs-Results'!$A$9:$A$35,'Inputs-Results'!$U$9:$U$35)-_xlfn.XLOOKUP(A12,'Inputs-Results'!$A$9:$A$35,'Inputs-Results'!$S$9:$S$35))*(C12-(_xlfn.XLOOKUP(A12,'Inputs-Results'!$A$9:$A$35,'Inputs-Results'!$V$9:$V$35)-_xlfn.XLOOKUP(A12,'Inputs-Results'!$A$9:$A$35,'Inputs-Results'!$X$9:$X$35))))/(_xlfn.XLOOKUP(A12,'Inputs-Results'!$A$9:$A$35,'Inputs-Results'!$T$9:$T$35)-_xlfn.XLOOKUP(A12,'Inputs-Results'!$A$9:$A$35,'Inputs-Results'!$V$9:$V$35)),ABS((_xlfn.XLOOKUP(A12,'Inputs-Results'!$A$9:$A$35,'Inputs-Results'!$W$9:$W$35)-_xlfn.XLOOKUP(A12,'Inputs-Results'!$A$9:$A$35,'Inputs-Results'!$U$9:$U$35))*C12)/(_xlfn.XLOOKUP(A12,'Inputs-Results'!$A$9:$A$35,'Inputs-Results'!$V$9:$V$35)-_xlfn.XLOOKUP(A12,'Inputs-Results'!$A$9:$A$35,'Inputs-Results'!$X$9:$X$35)))</f>
        <v>#N/A</v>
      </c>
      <c r="L12" s="2" t="e">
        <f>IF(_xlfn.XLOOKUP(A12,'Inputs-Results'!A18:A44,'Inputs-Results'!Q18:Q44)&gt;0,_xlfn.XLOOKUP(A12,'Inputs-Results'!A18:A44,'Inputs-Results'!Q18:Q44),3)</f>
        <v>#N/A</v>
      </c>
      <c r="M12" s="2">
        <v>0.2</v>
      </c>
      <c r="N12" s="2" t="e" cm="1">
        <f t="array" ref="N12">INDEX('Standard Data'!$Q$23:$AB$40,_xlfn.XMATCH(M12,'Standard Data'!$Q$23:$Q$40,0),_xlfn.XMATCH($L12,'Standard Data'!$Q$23:$AB$23,0))</f>
        <v>#N/A</v>
      </c>
      <c r="O12" s="19" t="e">
        <f t="shared" si="0"/>
        <v>#N/A</v>
      </c>
      <c r="P12" s="2" t="e">
        <f t="shared" si="9"/>
        <v>#N/A</v>
      </c>
      <c r="Q12" s="2">
        <v>0.4</v>
      </c>
      <c r="R12" s="2" t="e" cm="1">
        <f t="array" ref="R12">INDEX('Standard Data'!$Q$23:$AB$40,_xlfn.XMATCH(Q12,'Standard Data'!$Q$23:$Q$40,0),_xlfn.XMATCH($L12,'Standard Data'!$Q$23:$AB$23,0))</f>
        <v>#N/A</v>
      </c>
      <c r="S12" s="19" t="e">
        <f t="shared" si="1"/>
        <v>#N/A</v>
      </c>
      <c r="T12" s="2" t="e">
        <f t="shared" si="13"/>
        <v>#N/A</v>
      </c>
      <c r="U12" s="2">
        <v>0.6</v>
      </c>
      <c r="V12" s="2" t="e" cm="1">
        <f t="array" ref="V12">INDEX('Standard Data'!$Q$23:$AB$40,_xlfn.XMATCH(U12,'Standard Data'!$Q$23:$Q$40,0),_xlfn.XMATCH($L12,'Standard Data'!$Q$23:$AB$23,0))</f>
        <v>#N/A</v>
      </c>
      <c r="W12" s="19" t="e">
        <f t="shared" si="2"/>
        <v>#N/A</v>
      </c>
      <c r="X12" s="2" t="e">
        <f t="shared" si="10"/>
        <v>#N/A</v>
      </c>
      <c r="Y12" s="2">
        <v>0.8</v>
      </c>
      <c r="Z12" s="2" t="e" cm="1">
        <f t="array" ref="Z12">INDEX('Standard Data'!$Q$23:$AB$40,_xlfn.XMATCH(Y12,'Standard Data'!$Q$23:$Q$40,0),_xlfn.XMATCH($L12,'Standard Data'!$Q$23:$AB$23,0))</f>
        <v>#N/A</v>
      </c>
      <c r="AA12" s="19" t="e">
        <f t="shared" si="3"/>
        <v>#N/A</v>
      </c>
      <c r="AB12" s="2" t="e">
        <f t="shared" si="11"/>
        <v>#N/A</v>
      </c>
      <c r="AC12" s="2">
        <v>1</v>
      </c>
      <c r="AD12" s="2" t="e" cm="1">
        <f t="array" ref="AD12">INDEX('Standard Data'!$Q$23:$AB$40,_xlfn.XMATCH(AC12,'Standard Data'!$Q$23:$Q$40,0),_xlfn.XMATCH($L12,'Standard Data'!$Q$23:$AB$23,0))</f>
        <v>#N/A</v>
      </c>
      <c r="AE12" s="19" t="e">
        <f t="shared" si="4"/>
        <v>#N/A</v>
      </c>
      <c r="AF12" s="2" t="e">
        <f t="shared" si="12"/>
        <v>#N/A</v>
      </c>
      <c r="AG12" s="19" t="e">
        <f>_xlfn.XLOOKUP(A12,'Inputs-Results'!$A$9:$A$35,'Inputs-Results'!$M$9:$M$35)</f>
        <v>#N/A</v>
      </c>
      <c r="AH12" s="107" t="e">
        <f t="shared" si="15"/>
        <v>#N/A</v>
      </c>
      <c r="AI12" s="107" t="e">
        <f t="shared" si="14"/>
        <v>#N/A</v>
      </c>
    </row>
    <row r="13" spans="1:35" x14ac:dyDescent="0.25">
      <c r="A13" s="2">
        <f>'Inputs-Results'!A19</f>
        <v>0</v>
      </c>
      <c r="B13" s="18" t="e">
        <f>_xlfn.XLOOKUP(A13,'Ditch Calculations'!$A$34:$A$114,'Ditch Calculations'!$C$34:$C$114)</f>
        <v>#N/A</v>
      </c>
      <c r="C13" s="2" t="e">
        <f>IF(_xlfn.XLOOKUP(A13,'Inputs-Results'!$A$9:$A$35,'Inputs-Results'!$P$9:$P$35)-_xlfn.XLOOKUP(A13,'Inputs-Results'!$A$9:$A$35,'Inputs-Results'!$X$9:$X$35)&gt;0,_xlfn.XLOOKUP(A13,'Inputs-Results'!$A$9:$A$35,'Inputs-Results'!$P$9:$P$35)-_xlfn.XLOOKUP(A13,'Inputs-Results'!$A$9:$A$35,'Inputs-Results'!$X$9:$X$35),0)</f>
        <v>#N/A</v>
      </c>
      <c r="D13" s="2" t="e">
        <f>'Standard Data'!$D$9*(1-_xlfn.XLOOKUP(A13,'Inputs-Results'!$A$9:$A$35,'Inputs-Results'!$AF$9:$AF$35))</f>
        <v>#N/A</v>
      </c>
      <c r="E13" s="2" t="e">
        <f>'Standard Data'!$B$9*(1-_xlfn.XLOOKUP(A13,'Inputs-Results'!$A$9:$A$35,'Inputs-Results'!$AF$9:$AF$35))</f>
        <v>#N/A</v>
      </c>
      <c r="F13" s="2" t="e">
        <f>(_xlfn.XLOOKUP(A13,'Inputs-Results'!$A$9:$A$35,'Inputs-Results'!$M$9:$M$35)/(0.67*E13))^2/(2*32.2)</f>
        <v>#N/A</v>
      </c>
      <c r="G13" s="18" t="e">
        <f>(_xlfn.XLOOKUP(A13,'Inputs-Results'!$A$9:$A$35,'Inputs-Results'!$M$9:$M$35)/3/E13)^(1/1.5)</f>
        <v>#N/A</v>
      </c>
      <c r="H13" s="42" t="e">
        <f t="shared" si="6"/>
        <v>#N/A</v>
      </c>
      <c r="I13" s="2" t="e">
        <f t="shared" si="7"/>
        <v>#N/A</v>
      </c>
      <c r="J13" s="19" t="e">
        <f t="shared" si="8"/>
        <v>#N/A</v>
      </c>
      <c r="K13" s="19" t="e">
        <f>IF(C13&gt;=_xlfn.XLOOKUP(A13,'Inputs-Results'!$A$9:$A$35,'Inputs-Results'!$Z$9:$Z$35)-_xlfn.XLOOKUP(A13,'Inputs-Results'!$A$9:$A$35,'Inputs-Results'!$X$9:$X$35),(_xlfn.XLOOKUP(A13,'Inputs-Results'!$A$9:$A$35,'Inputs-Results'!$Y$9:$Y$35)-_xlfn.XLOOKUP(A13,'Inputs-Results'!$A$9:$A$35,'Inputs-Results'!$W$9:$W$35))+((_xlfn.XLOOKUP(A13,'Inputs-Results'!$A$9:$A$35,'Inputs-Results'!$AA$9:$AA$35)-_xlfn.XLOOKUP(A13,'Inputs-Results'!$A$9:$A$35,'Inputs-Results'!$Y$9:$Y$35))*(C13-(_xlfn.XLOOKUP(A13,'Inputs-Results'!$A$9:$A$35,'Inputs-Results'!$Z$9:$Z$35)-_xlfn.XLOOKUP(A13,'Inputs-Results'!$A$9:$A$35,'Inputs-Results'!$X$9:$X$35))))/(_xlfn.XLOOKUP(A13,'Inputs-Results'!$A$9:$A$35,'Inputs-Results'!$AB$9:$AB$35)-_xlfn.XLOOKUP(A13,'Inputs-Results'!$A$9:$A$35,'Inputs-Results'!$Z$9:$Z$35)),((_xlfn.XLOOKUP(A13,'Inputs-Results'!$A$9:$A$35,'Inputs-Results'!$Y$9:$Y$35)-_xlfn.XLOOKUP(A13,'Inputs-Results'!$A$9:$A$35,'Inputs-Results'!$W$9:$W$35))*C13)/(_xlfn.XLOOKUP(A13,'Inputs-Results'!$A$9:$A$35,'Inputs-Results'!$Z$9:$Z$35)-_xlfn.XLOOKUP(A13,'Inputs-Results'!$A$9:$A$35,'Inputs-Results'!$X$9:$X$35)))+IF(C13&gt;=_xlfn.XLOOKUP(A13,'Inputs-Results'!$A$9:$A$35,'Inputs-Results'!$V$9:$V$35)-_xlfn.XLOOKUP(A13,'Inputs-Results'!$A$9:$A$35,'Inputs-Results'!$X$9:$X$35),ABS(_xlfn.XLOOKUP(A13,'Inputs-Results'!$A$9:$A$35,'Inputs-Results'!$W$9:$W$35)-_xlfn.XLOOKUP(A13,'Inputs-Results'!$A$9:$A$35,'Inputs-Results'!$U$9:$U$35))+ABS((_xlfn.XLOOKUP(A13,'Inputs-Results'!$A$9:$A$35,'Inputs-Results'!$U$9:$U$35)-_xlfn.XLOOKUP(A13,'Inputs-Results'!$A$9:$A$35,'Inputs-Results'!$S$9:$S$35))*(C13-(_xlfn.XLOOKUP(A13,'Inputs-Results'!$A$9:$A$35,'Inputs-Results'!$V$9:$V$35)-_xlfn.XLOOKUP(A13,'Inputs-Results'!$A$9:$A$35,'Inputs-Results'!$X$9:$X$35))))/(_xlfn.XLOOKUP(A13,'Inputs-Results'!$A$9:$A$35,'Inputs-Results'!$T$9:$T$35)-_xlfn.XLOOKUP(A13,'Inputs-Results'!$A$9:$A$35,'Inputs-Results'!$V$9:$V$35)),ABS((_xlfn.XLOOKUP(A13,'Inputs-Results'!$A$9:$A$35,'Inputs-Results'!$W$9:$W$35)-_xlfn.XLOOKUP(A13,'Inputs-Results'!$A$9:$A$35,'Inputs-Results'!$U$9:$U$35))*C13)/(_xlfn.XLOOKUP(A13,'Inputs-Results'!$A$9:$A$35,'Inputs-Results'!$V$9:$V$35)-_xlfn.XLOOKUP(A13,'Inputs-Results'!$A$9:$A$35,'Inputs-Results'!$X$9:$X$35)))</f>
        <v>#N/A</v>
      </c>
      <c r="L13" s="2" t="e">
        <f>IF(_xlfn.XLOOKUP(A13,'Inputs-Results'!A19:A45,'Inputs-Results'!Q19:Q45)&gt;0,_xlfn.XLOOKUP(A13,'Inputs-Results'!A19:A45,'Inputs-Results'!Q19:Q45),3)</f>
        <v>#N/A</v>
      </c>
      <c r="M13" s="2">
        <v>0.2</v>
      </c>
      <c r="N13" s="2" t="e" cm="1">
        <f t="array" ref="N13">INDEX('Standard Data'!$Q$23:$AB$40,_xlfn.XMATCH(M13,'Standard Data'!$Q$23:$Q$40,0),_xlfn.XMATCH($L13,'Standard Data'!$Q$23:$AB$23,0))</f>
        <v>#N/A</v>
      </c>
      <c r="O13" s="19" t="e">
        <f t="shared" si="0"/>
        <v>#N/A</v>
      </c>
      <c r="P13" s="2" t="e">
        <f t="shared" si="9"/>
        <v>#N/A</v>
      </c>
      <c r="Q13" s="2">
        <v>0.4</v>
      </c>
      <c r="R13" s="2" t="e" cm="1">
        <f t="array" ref="R13">INDEX('Standard Data'!$Q$23:$AB$40,_xlfn.XMATCH(Q13,'Standard Data'!$Q$23:$Q$40,0),_xlfn.XMATCH($L13,'Standard Data'!$Q$23:$AB$23,0))</f>
        <v>#N/A</v>
      </c>
      <c r="S13" s="19" t="e">
        <f t="shared" si="1"/>
        <v>#N/A</v>
      </c>
      <c r="T13" s="2" t="e">
        <f t="shared" si="13"/>
        <v>#N/A</v>
      </c>
      <c r="U13" s="2">
        <v>0.6</v>
      </c>
      <c r="V13" s="2" t="e" cm="1">
        <f t="array" ref="V13">INDEX('Standard Data'!$Q$23:$AB$40,_xlfn.XMATCH(U13,'Standard Data'!$Q$23:$Q$40,0),_xlfn.XMATCH($L13,'Standard Data'!$Q$23:$AB$23,0))</f>
        <v>#N/A</v>
      </c>
      <c r="W13" s="19" t="e">
        <f t="shared" si="2"/>
        <v>#N/A</v>
      </c>
      <c r="X13" s="2" t="e">
        <f t="shared" si="10"/>
        <v>#N/A</v>
      </c>
      <c r="Y13" s="2">
        <v>0.8</v>
      </c>
      <c r="Z13" s="2" t="e" cm="1">
        <f t="array" ref="Z13">INDEX('Standard Data'!$Q$23:$AB$40,_xlfn.XMATCH(Y13,'Standard Data'!$Q$23:$Q$40,0),_xlfn.XMATCH($L13,'Standard Data'!$Q$23:$AB$23,0))</f>
        <v>#N/A</v>
      </c>
      <c r="AA13" s="19" t="e">
        <f t="shared" si="3"/>
        <v>#N/A</v>
      </c>
      <c r="AB13" s="2" t="e">
        <f t="shared" si="11"/>
        <v>#N/A</v>
      </c>
      <c r="AC13" s="2">
        <v>1</v>
      </c>
      <c r="AD13" s="2" t="e" cm="1">
        <f t="array" ref="AD13">INDEX('Standard Data'!$Q$23:$AB$40,_xlfn.XMATCH(AC13,'Standard Data'!$Q$23:$Q$40,0),_xlfn.XMATCH($L13,'Standard Data'!$Q$23:$AB$23,0))</f>
        <v>#N/A</v>
      </c>
      <c r="AE13" s="19" t="e">
        <f t="shared" si="4"/>
        <v>#N/A</v>
      </c>
      <c r="AF13" s="2" t="e">
        <f t="shared" si="12"/>
        <v>#N/A</v>
      </c>
      <c r="AG13" s="19" t="e">
        <f>_xlfn.XLOOKUP(A13,'Inputs-Results'!$A$9:$A$35,'Inputs-Results'!$M$9:$M$35)</f>
        <v>#N/A</v>
      </c>
      <c r="AH13" s="107" t="e">
        <f t="shared" si="15"/>
        <v>#N/A</v>
      </c>
      <c r="AI13" s="107" t="e">
        <f t="shared" si="14"/>
        <v>#N/A</v>
      </c>
    </row>
    <row r="14" spans="1:35" x14ac:dyDescent="0.25">
      <c r="A14" s="2">
        <f>'Inputs-Results'!A20</f>
        <v>0</v>
      </c>
      <c r="B14" s="18" t="e">
        <f>_xlfn.XLOOKUP(A14,'Ditch Calculations'!$A$34:$A$114,'Ditch Calculations'!$C$34:$C$114)</f>
        <v>#N/A</v>
      </c>
      <c r="C14" s="2" t="e">
        <f>IF(_xlfn.XLOOKUP(A14,'Inputs-Results'!$A$9:$A$35,'Inputs-Results'!$P$9:$P$35)-_xlfn.XLOOKUP(A14,'Inputs-Results'!$A$9:$A$35,'Inputs-Results'!$X$9:$X$35)&gt;0,_xlfn.XLOOKUP(A14,'Inputs-Results'!$A$9:$A$35,'Inputs-Results'!$P$9:$P$35)-_xlfn.XLOOKUP(A14,'Inputs-Results'!$A$9:$A$35,'Inputs-Results'!$X$9:$X$35),0)</f>
        <v>#N/A</v>
      </c>
      <c r="D14" s="2" t="e">
        <f>'Standard Data'!$D$9*(1-_xlfn.XLOOKUP(A14,'Inputs-Results'!$A$9:$A$35,'Inputs-Results'!$AF$9:$AF$35))</f>
        <v>#N/A</v>
      </c>
      <c r="E14" s="2" t="e">
        <f>'Standard Data'!$B$9*(1-_xlfn.XLOOKUP(A14,'Inputs-Results'!$A$9:$A$35,'Inputs-Results'!$AF$9:$AF$35))</f>
        <v>#N/A</v>
      </c>
      <c r="F14" s="2" t="e">
        <f>(_xlfn.XLOOKUP(A14,'Inputs-Results'!$A$9:$A$35,'Inputs-Results'!$M$9:$M$35)/(0.67*E14))^2/(2*32.2)</f>
        <v>#N/A</v>
      </c>
      <c r="G14" s="18" t="e">
        <f>(_xlfn.XLOOKUP(A14,'Inputs-Results'!$A$9:$A$35,'Inputs-Results'!$M$9:$M$35)/3/E14)^(1/1.5)</f>
        <v>#N/A</v>
      </c>
      <c r="H14" s="42" t="e">
        <f t="shared" si="6"/>
        <v>#N/A</v>
      </c>
      <c r="I14" s="2" t="e">
        <f t="shared" si="7"/>
        <v>#N/A</v>
      </c>
      <c r="J14" s="19" t="e">
        <f t="shared" si="8"/>
        <v>#N/A</v>
      </c>
      <c r="K14" s="19" t="e">
        <f>IF(C14&gt;=_xlfn.XLOOKUP(A14,'Inputs-Results'!$A$9:$A$35,'Inputs-Results'!$Z$9:$Z$35)-_xlfn.XLOOKUP(A14,'Inputs-Results'!$A$9:$A$35,'Inputs-Results'!$X$9:$X$35),(_xlfn.XLOOKUP(A14,'Inputs-Results'!$A$9:$A$35,'Inputs-Results'!$Y$9:$Y$35)-_xlfn.XLOOKUP(A14,'Inputs-Results'!$A$9:$A$35,'Inputs-Results'!$W$9:$W$35))+((_xlfn.XLOOKUP(A14,'Inputs-Results'!$A$9:$A$35,'Inputs-Results'!$AA$9:$AA$35)-_xlfn.XLOOKUP(A14,'Inputs-Results'!$A$9:$A$35,'Inputs-Results'!$Y$9:$Y$35))*(C14-(_xlfn.XLOOKUP(A14,'Inputs-Results'!$A$9:$A$35,'Inputs-Results'!$Z$9:$Z$35)-_xlfn.XLOOKUP(A14,'Inputs-Results'!$A$9:$A$35,'Inputs-Results'!$X$9:$X$35))))/(_xlfn.XLOOKUP(A14,'Inputs-Results'!$A$9:$A$35,'Inputs-Results'!$AB$9:$AB$35)-_xlfn.XLOOKUP(A14,'Inputs-Results'!$A$9:$A$35,'Inputs-Results'!$Z$9:$Z$35)),((_xlfn.XLOOKUP(A14,'Inputs-Results'!$A$9:$A$35,'Inputs-Results'!$Y$9:$Y$35)-_xlfn.XLOOKUP(A14,'Inputs-Results'!$A$9:$A$35,'Inputs-Results'!$W$9:$W$35))*C14)/(_xlfn.XLOOKUP(A14,'Inputs-Results'!$A$9:$A$35,'Inputs-Results'!$Z$9:$Z$35)-_xlfn.XLOOKUP(A14,'Inputs-Results'!$A$9:$A$35,'Inputs-Results'!$X$9:$X$35)))+IF(C14&gt;=_xlfn.XLOOKUP(A14,'Inputs-Results'!$A$9:$A$35,'Inputs-Results'!$V$9:$V$35)-_xlfn.XLOOKUP(A14,'Inputs-Results'!$A$9:$A$35,'Inputs-Results'!$X$9:$X$35),ABS(_xlfn.XLOOKUP(A14,'Inputs-Results'!$A$9:$A$35,'Inputs-Results'!$W$9:$W$35)-_xlfn.XLOOKUP(A14,'Inputs-Results'!$A$9:$A$35,'Inputs-Results'!$U$9:$U$35))+ABS((_xlfn.XLOOKUP(A14,'Inputs-Results'!$A$9:$A$35,'Inputs-Results'!$U$9:$U$35)-_xlfn.XLOOKUP(A14,'Inputs-Results'!$A$9:$A$35,'Inputs-Results'!$S$9:$S$35))*(C14-(_xlfn.XLOOKUP(A14,'Inputs-Results'!$A$9:$A$35,'Inputs-Results'!$V$9:$V$35)-_xlfn.XLOOKUP(A14,'Inputs-Results'!$A$9:$A$35,'Inputs-Results'!$X$9:$X$35))))/(_xlfn.XLOOKUP(A14,'Inputs-Results'!$A$9:$A$35,'Inputs-Results'!$T$9:$T$35)-_xlfn.XLOOKUP(A14,'Inputs-Results'!$A$9:$A$35,'Inputs-Results'!$V$9:$V$35)),ABS((_xlfn.XLOOKUP(A14,'Inputs-Results'!$A$9:$A$35,'Inputs-Results'!$W$9:$W$35)-_xlfn.XLOOKUP(A14,'Inputs-Results'!$A$9:$A$35,'Inputs-Results'!$U$9:$U$35))*C14)/(_xlfn.XLOOKUP(A14,'Inputs-Results'!$A$9:$A$35,'Inputs-Results'!$V$9:$V$35)-_xlfn.XLOOKUP(A14,'Inputs-Results'!$A$9:$A$35,'Inputs-Results'!$X$9:$X$35)))</f>
        <v>#N/A</v>
      </c>
      <c r="L14" s="2" t="e">
        <f>IF(_xlfn.XLOOKUP(A14,'Inputs-Results'!A20:A46,'Inputs-Results'!Q20:Q46)&gt;0,_xlfn.XLOOKUP(A14,'Inputs-Results'!A20:A46,'Inputs-Results'!Q20:Q46),3)</f>
        <v>#N/A</v>
      </c>
      <c r="M14" s="2">
        <v>0.2</v>
      </c>
      <c r="N14" s="2" t="e" cm="1">
        <f t="array" ref="N14">INDEX('Standard Data'!$Q$23:$AB$40,_xlfn.XMATCH(M14,'Standard Data'!$Q$23:$Q$40,0),_xlfn.XMATCH($L14,'Standard Data'!$Q$23:$AB$23,0))</f>
        <v>#N/A</v>
      </c>
      <c r="O14" s="19" t="e">
        <f t="shared" si="0"/>
        <v>#N/A</v>
      </c>
      <c r="P14" s="2" t="e">
        <f t="shared" si="9"/>
        <v>#N/A</v>
      </c>
      <c r="Q14" s="2">
        <v>0.4</v>
      </c>
      <c r="R14" s="2" t="e" cm="1">
        <f t="array" ref="R14">INDEX('Standard Data'!$Q$23:$AB$40,_xlfn.XMATCH(Q14,'Standard Data'!$Q$23:$Q$40,0),_xlfn.XMATCH($L14,'Standard Data'!$Q$23:$AB$23,0))</f>
        <v>#N/A</v>
      </c>
      <c r="S14" s="19" t="e">
        <f t="shared" si="1"/>
        <v>#N/A</v>
      </c>
      <c r="T14" s="2" t="e">
        <f t="shared" si="13"/>
        <v>#N/A</v>
      </c>
      <c r="U14" s="2">
        <v>0.6</v>
      </c>
      <c r="V14" s="2" t="e" cm="1">
        <f t="array" ref="V14">INDEX('Standard Data'!$Q$23:$AB$40,_xlfn.XMATCH(U14,'Standard Data'!$Q$23:$Q$40,0),_xlfn.XMATCH($L14,'Standard Data'!$Q$23:$AB$23,0))</f>
        <v>#N/A</v>
      </c>
      <c r="W14" s="19" t="e">
        <f t="shared" si="2"/>
        <v>#N/A</v>
      </c>
      <c r="X14" s="2" t="e">
        <f t="shared" si="10"/>
        <v>#N/A</v>
      </c>
      <c r="Y14" s="2">
        <v>0.8</v>
      </c>
      <c r="Z14" s="2" t="e" cm="1">
        <f t="array" ref="Z14">INDEX('Standard Data'!$Q$23:$AB$40,_xlfn.XMATCH(Y14,'Standard Data'!$Q$23:$Q$40,0),_xlfn.XMATCH($L14,'Standard Data'!$Q$23:$AB$23,0))</f>
        <v>#N/A</v>
      </c>
      <c r="AA14" s="19" t="e">
        <f t="shared" si="3"/>
        <v>#N/A</v>
      </c>
      <c r="AB14" s="2" t="e">
        <f t="shared" si="11"/>
        <v>#N/A</v>
      </c>
      <c r="AC14" s="2">
        <v>1</v>
      </c>
      <c r="AD14" s="2" t="e" cm="1">
        <f t="array" ref="AD14">INDEX('Standard Data'!$Q$23:$AB$40,_xlfn.XMATCH(AC14,'Standard Data'!$Q$23:$Q$40,0),_xlfn.XMATCH($L14,'Standard Data'!$Q$23:$AB$23,0))</f>
        <v>#N/A</v>
      </c>
      <c r="AE14" s="19" t="e">
        <f t="shared" si="4"/>
        <v>#N/A</v>
      </c>
      <c r="AF14" s="2" t="e">
        <f t="shared" si="12"/>
        <v>#N/A</v>
      </c>
      <c r="AG14" s="19" t="e">
        <f>_xlfn.XLOOKUP(A14,'Inputs-Results'!$A$9:$A$35,'Inputs-Results'!$M$9:$M$35)</f>
        <v>#N/A</v>
      </c>
      <c r="AH14" s="107" t="e">
        <f t="shared" si="15"/>
        <v>#N/A</v>
      </c>
      <c r="AI14" s="107" t="e">
        <f t="shared" si="14"/>
        <v>#N/A</v>
      </c>
    </row>
    <row r="15" spans="1:35" x14ac:dyDescent="0.25">
      <c r="A15" s="2">
        <f>'Inputs-Results'!A21</f>
        <v>0</v>
      </c>
      <c r="B15" s="18" t="e">
        <f>_xlfn.XLOOKUP(A15,'Ditch Calculations'!$A$34:$A$114,'Ditch Calculations'!$C$34:$C$114)</f>
        <v>#N/A</v>
      </c>
      <c r="C15" s="2" t="e">
        <f>IF(_xlfn.XLOOKUP(A15,'Inputs-Results'!$A$9:$A$35,'Inputs-Results'!$P$9:$P$35)-_xlfn.XLOOKUP(A15,'Inputs-Results'!$A$9:$A$35,'Inputs-Results'!$X$9:$X$35)&gt;0,_xlfn.XLOOKUP(A15,'Inputs-Results'!$A$9:$A$35,'Inputs-Results'!$P$9:$P$35)-_xlfn.XLOOKUP(A15,'Inputs-Results'!$A$9:$A$35,'Inputs-Results'!$X$9:$X$35),0)</f>
        <v>#N/A</v>
      </c>
      <c r="D15" s="2" t="e">
        <f>'Standard Data'!$D$9*(1-_xlfn.XLOOKUP(A15,'Inputs-Results'!$A$9:$A$35,'Inputs-Results'!$AF$9:$AF$35))</f>
        <v>#N/A</v>
      </c>
      <c r="E15" s="2" t="e">
        <f>'Standard Data'!$B$9*(1-_xlfn.XLOOKUP(A15,'Inputs-Results'!$A$9:$A$35,'Inputs-Results'!$AF$9:$AF$35))</f>
        <v>#N/A</v>
      </c>
      <c r="F15" s="2" t="e">
        <f>(_xlfn.XLOOKUP(A15,'Inputs-Results'!$A$9:$A$35,'Inputs-Results'!$M$9:$M$35)/(0.67*E15))^2/(2*32.2)</f>
        <v>#N/A</v>
      </c>
      <c r="G15" s="18" t="e">
        <f>(_xlfn.XLOOKUP(A15,'Inputs-Results'!$A$9:$A$35,'Inputs-Results'!$M$9:$M$35)/3/E15)^(1/1.5)</f>
        <v>#N/A</v>
      </c>
      <c r="H15" s="42" t="e">
        <f t="shared" si="6"/>
        <v>#N/A</v>
      </c>
      <c r="I15" s="2" t="e">
        <f t="shared" si="7"/>
        <v>#N/A</v>
      </c>
      <c r="J15" s="19" t="e">
        <f t="shared" si="8"/>
        <v>#N/A</v>
      </c>
      <c r="K15" s="19" t="e">
        <f>IF(C15&gt;=_xlfn.XLOOKUP(A15,'Inputs-Results'!$A$9:$A$35,'Inputs-Results'!$Z$9:$Z$35)-_xlfn.XLOOKUP(A15,'Inputs-Results'!$A$9:$A$35,'Inputs-Results'!$X$9:$X$35),(_xlfn.XLOOKUP(A15,'Inputs-Results'!$A$9:$A$35,'Inputs-Results'!$Y$9:$Y$35)-_xlfn.XLOOKUP(A15,'Inputs-Results'!$A$9:$A$35,'Inputs-Results'!$W$9:$W$35))+((_xlfn.XLOOKUP(A15,'Inputs-Results'!$A$9:$A$35,'Inputs-Results'!$AA$9:$AA$35)-_xlfn.XLOOKUP(A15,'Inputs-Results'!$A$9:$A$35,'Inputs-Results'!$Y$9:$Y$35))*(C15-(_xlfn.XLOOKUP(A15,'Inputs-Results'!$A$9:$A$35,'Inputs-Results'!$Z$9:$Z$35)-_xlfn.XLOOKUP(A15,'Inputs-Results'!$A$9:$A$35,'Inputs-Results'!$X$9:$X$35))))/(_xlfn.XLOOKUP(A15,'Inputs-Results'!$A$9:$A$35,'Inputs-Results'!$AB$9:$AB$35)-_xlfn.XLOOKUP(A15,'Inputs-Results'!$A$9:$A$35,'Inputs-Results'!$Z$9:$Z$35)),((_xlfn.XLOOKUP(A15,'Inputs-Results'!$A$9:$A$35,'Inputs-Results'!$Y$9:$Y$35)-_xlfn.XLOOKUP(A15,'Inputs-Results'!$A$9:$A$35,'Inputs-Results'!$W$9:$W$35))*C15)/(_xlfn.XLOOKUP(A15,'Inputs-Results'!$A$9:$A$35,'Inputs-Results'!$Z$9:$Z$35)-_xlfn.XLOOKUP(A15,'Inputs-Results'!$A$9:$A$35,'Inputs-Results'!$X$9:$X$35)))+IF(C15&gt;=_xlfn.XLOOKUP(A15,'Inputs-Results'!$A$9:$A$35,'Inputs-Results'!$V$9:$V$35)-_xlfn.XLOOKUP(A15,'Inputs-Results'!$A$9:$A$35,'Inputs-Results'!$X$9:$X$35),ABS(_xlfn.XLOOKUP(A15,'Inputs-Results'!$A$9:$A$35,'Inputs-Results'!$W$9:$W$35)-_xlfn.XLOOKUP(A15,'Inputs-Results'!$A$9:$A$35,'Inputs-Results'!$U$9:$U$35))+ABS((_xlfn.XLOOKUP(A15,'Inputs-Results'!$A$9:$A$35,'Inputs-Results'!$U$9:$U$35)-_xlfn.XLOOKUP(A15,'Inputs-Results'!$A$9:$A$35,'Inputs-Results'!$S$9:$S$35))*(C15-(_xlfn.XLOOKUP(A15,'Inputs-Results'!$A$9:$A$35,'Inputs-Results'!$V$9:$V$35)-_xlfn.XLOOKUP(A15,'Inputs-Results'!$A$9:$A$35,'Inputs-Results'!$X$9:$X$35))))/(_xlfn.XLOOKUP(A15,'Inputs-Results'!$A$9:$A$35,'Inputs-Results'!$T$9:$T$35)-_xlfn.XLOOKUP(A15,'Inputs-Results'!$A$9:$A$35,'Inputs-Results'!$V$9:$V$35)),ABS((_xlfn.XLOOKUP(A15,'Inputs-Results'!$A$9:$A$35,'Inputs-Results'!$W$9:$W$35)-_xlfn.XLOOKUP(A15,'Inputs-Results'!$A$9:$A$35,'Inputs-Results'!$U$9:$U$35))*C15)/(_xlfn.XLOOKUP(A15,'Inputs-Results'!$A$9:$A$35,'Inputs-Results'!$V$9:$V$35)-_xlfn.XLOOKUP(A15,'Inputs-Results'!$A$9:$A$35,'Inputs-Results'!$X$9:$X$35)))</f>
        <v>#N/A</v>
      </c>
      <c r="L15" s="2" t="e">
        <f>IF(_xlfn.XLOOKUP(A15,'Inputs-Results'!A21:A47,'Inputs-Results'!Q21:Q47)&gt;0,_xlfn.XLOOKUP(A15,'Inputs-Results'!A21:A47,'Inputs-Results'!Q21:Q47),3)</f>
        <v>#N/A</v>
      </c>
      <c r="M15" s="2">
        <v>0.2</v>
      </c>
      <c r="N15" s="2" t="e" cm="1">
        <f t="array" ref="N15">INDEX('Standard Data'!$Q$23:$AB$40,_xlfn.XMATCH(M15,'Standard Data'!$Q$23:$Q$40,0),_xlfn.XMATCH($L15,'Standard Data'!$Q$23:$AB$23,0))</f>
        <v>#N/A</v>
      </c>
      <c r="O15" s="19" t="e">
        <f t="shared" si="0"/>
        <v>#N/A</v>
      </c>
      <c r="P15" s="2" t="e">
        <f t="shared" si="9"/>
        <v>#N/A</v>
      </c>
      <c r="Q15" s="2">
        <v>0.4</v>
      </c>
      <c r="R15" s="2" t="e" cm="1">
        <f t="array" ref="R15">INDEX('Standard Data'!$Q$23:$AB$40,_xlfn.XMATCH(Q15,'Standard Data'!$Q$23:$Q$40,0),_xlfn.XMATCH($L15,'Standard Data'!$Q$23:$AB$23,0))</f>
        <v>#N/A</v>
      </c>
      <c r="S15" s="19" t="e">
        <f t="shared" si="1"/>
        <v>#N/A</v>
      </c>
      <c r="T15" s="2" t="e">
        <f t="shared" si="13"/>
        <v>#N/A</v>
      </c>
      <c r="U15" s="2">
        <v>0.6</v>
      </c>
      <c r="V15" s="2" t="e" cm="1">
        <f t="array" ref="V15">INDEX('Standard Data'!$Q$23:$AB$40,_xlfn.XMATCH(U15,'Standard Data'!$Q$23:$Q$40,0),_xlfn.XMATCH($L15,'Standard Data'!$Q$23:$AB$23,0))</f>
        <v>#N/A</v>
      </c>
      <c r="W15" s="19" t="e">
        <f t="shared" si="2"/>
        <v>#N/A</v>
      </c>
      <c r="X15" s="2" t="e">
        <f t="shared" si="10"/>
        <v>#N/A</v>
      </c>
      <c r="Y15" s="2">
        <v>0.8</v>
      </c>
      <c r="Z15" s="2" t="e" cm="1">
        <f t="array" ref="Z15">INDEX('Standard Data'!$Q$23:$AB$40,_xlfn.XMATCH(Y15,'Standard Data'!$Q$23:$Q$40,0),_xlfn.XMATCH($L15,'Standard Data'!$Q$23:$AB$23,0))</f>
        <v>#N/A</v>
      </c>
      <c r="AA15" s="19" t="e">
        <f t="shared" si="3"/>
        <v>#N/A</v>
      </c>
      <c r="AB15" s="2" t="e">
        <f t="shared" si="11"/>
        <v>#N/A</v>
      </c>
      <c r="AC15" s="2">
        <v>1</v>
      </c>
      <c r="AD15" s="2" t="e" cm="1">
        <f t="array" ref="AD15">INDEX('Standard Data'!$Q$23:$AB$40,_xlfn.XMATCH(AC15,'Standard Data'!$Q$23:$Q$40,0),_xlfn.XMATCH($L15,'Standard Data'!$Q$23:$AB$23,0))</f>
        <v>#N/A</v>
      </c>
      <c r="AE15" s="19" t="e">
        <f t="shared" si="4"/>
        <v>#N/A</v>
      </c>
      <c r="AF15" s="2" t="e">
        <f t="shared" si="12"/>
        <v>#N/A</v>
      </c>
      <c r="AG15" s="19" t="e">
        <f>_xlfn.XLOOKUP(A15,'Inputs-Results'!$A$9:$A$35,'Inputs-Results'!$M$9:$M$35)</f>
        <v>#N/A</v>
      </c>
      <c r="AH15" s="107" t="e">
        <f t="shared" si="15"/>
        <v>#N/A</v>
      </c>
      <c r="AI15" s="107" t="e">
        <f t="shared" si="14"/>
        <v>#N/A</v>
      </c>
    </row>
    <row r="16" spans="1:35" x14ac:dyDescent="0.25">
      <c r="A16" s="2">
        <f>'Inputs-Results'!A22</f>
        <v>0</v>
      </c>
      <c r="B16" s="18" t="e">
        <f>_xlfn.XLOOKUP(A16,'Ditch Calculations'!$A$34:$A$114,'Ditch Calculations'!$C$34:$C$114)</f>
        <v>#N/A</v>
      </c>
      <c r="C16" s="2" t="e">
        <f>IF(_xlfn.XLOOKUP(A16,'Inputs-Results'!$A$9:$A$35,'Inputs-Results'!$P$9:$P$35)-_xlfn.XLOOKUP(A16,'Inputs-Results'!$A$9:$A$35,'Inputs-Results'!$X$9:$X$35)&gt;0,_xlfn.XLOOKUP(A16,'Inputs-Results'!$A$9:$A$35,'Inputs-Results'!$P$9:$P$35)-_xlfn.XLOOKUP(A16,'Inputs-Results'!$A$9:$A$35,'Inputs-Results'!$X$9:$X$35),0)</f>
        <v>#N/A</v>
      </c>
      <c r="D16" s="2" t="e">
        <f>'Standard Data'!$D$9*(1-_xlfn.XLOOKUP(A16,'Inputs-Results'!$A$9:$A$35,'Inputs-Results'!$AF$9:$AF$35))</f>
        <v>#N/A</v>
      </c>
      <c r="E16" s="2" t="e">
        <f>'Standard Data'!$B$9*(1-_xlfn.XLOOKUP(A16,'Inputs-Results'!$A$9:$A$35,'Inputs-Results'!$AF$9:$AF$35))</f>
        <v>#N/A</v>
      </c>
      <c r="F16" s="2" t="e">
        <f>(_xlfn.XLOOKUP(A16,'Inputs-Results'!$A$9:$A$35,'Inputs-Results'!$M$9:$M$35)/(0.67*E16))^2/(2*32.2)</f>
        <v>#N/A</v>
      </c>
      <c r="G16" s="18" t="e">
        <f>(_xlfn.XLOOKUP(A16,'Inputs-Results'!$A$9:$A$35,'Inputs-Results'!$M$9:$M$35)/3/E16)^(1/1.5)</f>
        <v>#N/A</v>
      </c>
      <c r="H16" s="42" t="e">
        <f t="shared" si="6"/>
        <v>#N/A</v>
      </c>
      <c r="I16" s="2" t="e">
        <f t="shared" si="7"/>
        <v>#N/A</v>
      </c>
      <c r="J16" s="19" t="e">
        <f t="shared" si="8"/>
        <v>#N/A</v>
      </c>
      <c r="K16" s="19" t="e">
        <f>IF(C16&gt;=_xlfn.XLOOKUP(A16,'Inputs-Results'!$A$9:$A$35,'Inputs-Results'!$Z$9:$Z$35)-_xlfn.XLOOKUP(A16,'Inputs-Results'!$A$9:$A$35,'Inputs-Results'!$X$9:$X$35),(_xlfn.XLOOKUP(A16,'Inputs-Results'!$A$9:$A$35,'Inputs-Results'!$Y$9:$Y$35)-_xlfn.XLOOKUP(A16,'Inputs-Results'!$A$9:$A$35,'Inputs-Results'!$W$9:$W$35))+((_xlfn.XLOOKUP(A16,'Inputs-Results'!$A$9:$A$35,'Inputs-Results'!$AA$9:$AA$35)-_xlfn.XLOOKUP(A16,'Inputs-Results'!$A$9:$A$35,'Inputs-Results'!$Y$9:$Y$35))*(C16-(_xlfn.XLOOKUP(A16,'Inputs-Results'!$A$9:$A$35,'Inputs-Results'!$Z$9:$Z$35)-_xlfn.XLOOKUP(A16,'Inputs-Results'!$A$9:$A$35,'Inputs-Results'!$X$9:$X$35))))/(_xlfn.XLOOKUP(A16,'Inputs-Results'!$A$9:$A$35,'Inputs-Results'!$AB$9:$AB$35)-_xlfn.XLOOKUP(A16,'Inputs-Results'!$A$9:$A$35,'Inputs-Results'!$Z$9:$Z$35)),((_xlfn.XLOOKUP(A16,'Inputs-Results'!$A$9:$A$35,'Inputs-Results'!$Y$9:$Y$35)-_xlfn.XLOOKUP(A16,'Inputs-Results'!$A$9:$A$35,'Inputs-Results'!$W$9:$W$35))*C16)/(_xlfn.XLOOKUP(A16,'Inputs-Results'!$A$9:$A$35,'Inputs-Results'!$Z$9:$Z$35)-_xlfn.XLOOKUP(A16,'Inputs-Results'!$A$9:$A$35,'Inputs-Results'!$X$9:$X$35)))+IF(C16&gt;=_xlfn.XLOOKUP(A16,'Inputs-Results'!$A$9:$A$35,'Inputs-Results'!$V$9:$V$35)-_xlfn.XLOOKUP(A16,'Inputs-Results'!$A$9:$A$35,'Inputs-Results'!$X$9:$X$35),ABS(_xlfn.XLOOKUP(A16,'Inputs-Results'!$A$9:$A$35,'Inputs-Results'!$W$9:$W$35)-_xlfn.XLOOKUP(A16,'Inputs-Results'!$A$9:$A$35,'Inputs-Results'!$U$9:$U$35))+ABS((_xlfn.XLOOKUP(A16,'Inputs-Results'!$A$9:$A$35,'Inputs-Results'!$U$9:$U$35)-_xlfn.XLOOKUP(A16,'Inputs-Results'!$A$9:$A$35,'Inputs-Results'!$S$9:$S$35))*(C16-(_xlfn.XLOOKUP(A16,'Inputs-Results'!$A$9:$A$35,'Inputs-Results'!$V$9:$V$35)-_xlfn.XLOOKUP(A16,'Inputs-Results'!$A$9:$A$35,'Inputs-Results'!$X$9:$X$35))))/(_xlfn.XLOOKUP(A16,'Inputs-Results'!$A$9:$A$35,'Inputs-Results'!$T$9:$T$35)-_xlfn.XLOOKUP(A16,'Inputs-Results'!$A$9:$A$35,'Inputs-Results'!$V$9:$V$35)),ABS((_xlfn.XLOOKUP(A16,'Inputs-Results'!$A$9:$A$35,'Inputs-Results'!$W$9:$W$35)-_xlfn.XLOOKUP(A16,'Inputs-Results'!$A$9:$A$35,'Inputs-Results'!$U$9:$U$35))*C16)/(_xlfn.XLOOKUP(A16,'Inputs-Results'!$A$9:$A$35,'Inputs-Results'!$V$9:$V$35)-_xlfn.XLOOKUP(A16,'Inputs-Results'!$A$9:$A$35,'Inputs-Results'!$X$9:$X$35)))</f>
        <v>#N/A</v>
      </c>
      <c r="L16" s="2" t="e">
        <f>IF(_xlfn.XLOOKUP(A16,'Inputs-Results'!A22:A48,'Inputs-Results'!Q22:Q48)&gt;0,_xlfn.XLOOKUP(A16,'Inputs-Results'!A22:A48,'Inputs-Results'!Q22:Q48),3)</f>
        <v>#N/A</v>
      </c>
      <c r="M16" s="2">
        <v>0.2</v>
      </c>
      <c r="N16" s="2" t="e" cm="1">
        <f t="array" ref="N16">INDEX('Standard Data'!$Q$23:$AB$40,_xlfn.XMATCH(M16,'Standard Data'!$Q$23:$Q$40,0),_xlfn.XMATCH($L16,'Standard Data'!$Q$23:$AB$23,0))</f>
        <v>#N/A</v>
      </c>
      <c r="O16" s="19" t="e">
        <f t="shared" si="0"/>
        <v>#N/A</v>
      </c>
      <c r="P16" s="2" t="e">
        <f t="shared" si="9"/>
        <v>#N/A</v>
      </c>
      <c r="Q16" s="2">
        <v>0.4</v>
      </c>
      <c r="R16" s="2" t="e" cm="1">
        <f t="array" ref="R16">INDEX('Standard Data'!$Q$23:$AB$40,_xlfn.XMATCH(Q16,'Standard Data'!$Q$23:$Q$40,0),_xlfn.XMATCH($L16,'Standard Data'!$Q$23:$AB$23,0))</f>
        <v>#N/A</v>
      </c>
      <c r="S16" s="19" t="e">
        <f t="shared" si="1"/>
        <v>#N/A</v>
      </c>
      <c r="T16" s="2" t="e">
        <f t="shared" si="13"/>
        <v>#N/A</v>
      </c>
      <c r="U16" s="2">
        <v>0.6</v>
      </c>
      <c r="V16" s="2" t="e" cm="1">
        <f t="array" ref="V16">INDEX('Standard Data'!$Q$23:$AB$40,_xlfn.XMATCH(U16,'Standard Data'!$Q$23:$Q$40,0),_xlfn.XMATCH($L16,'Standard Data'!$Q$23:$AB$23,0))</f>
        <v>#N/A</v>
      </c>
      <c r="W16" s="19" t="e">
        <f t="shared" si="2"/>
        <v>#N/A</v>
      </c>
      <c r="X16" s="2" t="e">
        <f t="shared" si="10"/>
        <v>#N/A</v>
      </c>
      <c r="Y16" s="2">
        <v>0.8</v>
      </c>
      <c r="Z16" s="2" t="e" cm="1">
        <f t="array" ref="Z16">INDEX('Standard Data'!$Q$23:$AB$40,_xlfn.XMATCH(Y16,'Standard Data'!$Q$23:$Q$40,0),_xlfn.XMATCH($L16,'Standard Data'!$Q$23:$AB$23,0))</f>
        <v>#N/A</v>
      </c>
      <c r="AA16" s="19" t="e">
        <f t="shared" si="3"/>
        <v>#N/A</v>
      </c>
      <c r="AB16" s="2" t="e">
        <f t="shared" si="11"/>
        <v>#N/A</v>
      </c>
      <c r="AC16" s="2">
        <v>1</v>
      </c>
      <c r="AD16" s="2" t="e" cm="1">
        <f t="array" ref="AD16">INDEX('Standard Data'!$Q$23:$AB$40,_xlfn.XMATCH(AC16,'Standard Data'!$Q$23:$Q$40,0),_xlfn.XMATCH($L16,'Standard Data'!$Q$23:$AB$23,0))</f>
        <v>#N/A</v>
      </c>
      <c r="AE16" s="19" t="e">
        <f t="shared" si="4"/>
        <v>#N/A</v>
      </c>
      <c r="AF16" s="2" t="e">
        <f t="shared" si="12"/>
        <v>#N/A</v>
      </c>
      <c r="AG16" s="19" t="e">
        <f>_xlfn.XLOOKUP(A16,'Inputs-Results'!$A$9:$A$35,'Inputs-Results'!$M$9:$M$35)</f>
        <v>#N/A</v>
      </c>
      <c r="AH16" s="107" t="e">
        <f t="shared" si="15"/>
        <v>#N/A</v>
      </c>
      <c r="AI16" s="107" t="e">
        <f t="shared" si="14"/>
        <v>#N/A</v>
      </c>
    </row>
    <row r="17" spans="1:101" x14ac:dyDescent="0.25">
      <c r="A17" s="2">
        <f>'Inputs-Results'!A23</f>
        <v>0</v>
      </c>
      <c r="B17" s="18" t="e">
        <f>_xlfn.XLOOKUP(A17,'Ditch Calculations'!$A$34:$A$114,'Ditch Calculations'!$C$34:$C$114)</f>
        <v>#N/A</v>
      </c>
      <c r="C17" s="2" t="e">
        <f>IF(_xlfn.XLOOKUP(A17,'Inputs-Results'!$A$9:$A$35,'Inputs-Results'!$P$9:$P$35)-_xlfn.XLOOKUP(A17,'Inputs-Results'!$A$9:$A$35,'Inputs-Results'!$X$9:$X$35)&gt;0,_xlfn.XLOOKUP(A17,'Inputs-Results'!$A$9:$A$35,'Inputs-Results'!$P$9:$P$35)-_xlfn.XLOOKUP(A17,'Inputs-Results'!$A$9:$A$35,'Inputs-Results'!$X$9:$X$35),0)</f>
        <v>#N/A</v>
      </c>
      <c r="D17" s="2" t="e">
        <f>'Standard Data'!$D$9*(1-_xlfn.XLOOKUP(A17,'Inputs-Results'!$A$9:$A$35,'Inputs-Results'!$AF$9:$AF$35))</f>
        <v>#N/A</v>
      </c>
      <c r="E17" s="2" t="e">
        <f>'Standard Data'!$B$9*(1-_xlfn.XLOOKUP(A17,'Inputs-Results'!$A$9:$A$35,'Inputs-Results'!$AF$9:$AF$35))</f>
        <v>#N/A</v>
      </c>
      <c r="F17" s="2" t="e">
        <f>(_xlfn.XLOOKUP(A17,'Inputs-Results'!$A$9:$A$35,'Inputs-Results'!$M$9:$M$35)/(0.67*E17))^2/(2*32.2)</f>
        <v>#N/A</v>
      </c>
      <c r="G17" s="18" t="e">
        <f>(_xlfn.XLOOKUP(A17,'Inputs-Results'!$A$9:$A$35,'Inputs-Results'!$M$9:$M$35)/3/E17)^(1/1.5)</f>
        <v>#N/A</v>
      </c>
      <c r="H17" s="42" t="e">
        <f t="shared" si="6"/>
        <v>#N/A</v>
      </c>
      <c r="I17" s="2" t="e">
        <f t="shared" si="7"/>
        <v>#N/A</v>
      </c>
      <c r="J17" s="19" t="e">
        <f t="shared" si="8"/>
        <v>#N/A</v>
      </c>
      <c r="K17" s="19" t="e">
        <f>IF(C17&gt;=_xlfn.XLOOKUP(A17,'Inputs-Results'!$A$9:$A$35,'Inputs-Results'!$Z$9:$Z$35)-_xlfn.XLOOKUP(A17,'Inputs-Results'!$A$9:$A$35,'Inputs-Results'!$X$9:$X$35),(_xlfn.XLOOKUP(A17,'Inputs-Results'!$A$9:$A$35,'Inputs-Results'!$Y$9:$Y$35)-_xlfn.XLOOKUP(A17,'Inputs-Results'!$A$9:$A$35,'Inputs-Results'!$W$9:$W$35))+((_xlfn.XLOOKUP(A17,'Inputs-Results'!$A$9:$A$35,'Inputs-Results'!$AA$9:$AA$35)-_xlfn.XLOOKUP(A17,'Inputs-Results'!$A$9:$A$35,'Inputs-Results'!$Y$9:$Y$35))*(C17-(_xlfn.XLOOKUP(A17,'Inputs-Results'!$A$9:$A$35,'Inputs-Results'!$Z$9:$Z$35)-_xlfn.XLOOKUP(A17,'Inputs-Results'!$A$9:$A$35,'Inputs-Results'!$X$9:$X$35))))/(_xlfn.XLOOKUP(A17,'Inputs-Results'!$A$9:$A$35,'Inputs-Results'!$AB$9:$AB$35)-_xlfn.XLOOKUP(A17,'Inputs-Results'!$A$9:$A$35,'Inputs-Results'!$Z$9:$Z$35)),((_xlfn.XLOOKUP(A17,'Inputs-Results'!$A$9:$A$35,'Inputs-Results'!$Y$9:$Y$35)-_xlfn.XLOOKUP(A17,'Inputs-Results'!$A$9:$A$35,'Inputs-Results'!$W$9:$W$35))*C17)/(_xlfn.XLOOKUP(A17,'Inputs-Results'!$A$9:$A$35,'Inputs-Results'!$Z$9:$Z$35)-_xlfn.XLOOKUP(A17,'Inputs-Results'!$A$9:$A$35,'Inputs-Results'!$X$9:$X$35)))+IF(C17&gt;=_xlfn.XLOOKUP(A17,'Inputs-Results'!$A$9:$A$35,'Inputs-Results'!$V$9:$V$35)-_xlfn.XLOOKUP(A17,'Inputs-Results'!$A$9:$A$35,'Inputs-Results'!$X$9:$X$35),ABS(_xlfn.XLOOKUP(A17,'Inputs-Results'!$A$9:$A$35,'Inputs-Results'!$W$9:$W$35)-_xlfn.XLOOKUP(A17,'Inputs-Results'!$A$9:$A$35,'Inputs-Results'!$U$9:$U$35))+ABS((_xlfn.XLOOKUP(A17,'Inputs-Results'!$A$9:$A$35,'Inputs-Results'!$U$9:$U$35)-_xlfn.XLOOKUP(A17,'Inputs-Results'!$A$9:$A$35,'Inputs-Results'!$S$9:$S$35))*(C17-(_xlfn.XLOOKUP(A17,'Inputs-Results'!$A$9:$A$35,'Inputs-Results'!$V$9:$V$35)-_xlfn.XLOOKUP(A17,'Inputs-Results'!$A$9:$A$35,'Inputs-Results'!$X$9:$X$35))))/(_xlfn.XLOOKUP(A17,'Inputs-Results'!$A$9:$A$35,'Inputs-Results'!$T$9:$T$35)-_xlfn.XLOOKUP(A17,'Inputs-Results'!$A$9:$A$35,'Inputs-Results'!$V$9:$V$35)),ABS((_xlfn.XLOOKUP(A17,'Inputs-Results'!$A$9:$A$35,'Inputs-Results'!$W$9:$W$35)-_xlfn.XLOOKUP(A17,'Inputs-Results'!$A$9:$A$35,'Inputs-Results'!$U$9:$U$35))*C17)/(_xlfn.XLOOKUP(A17,'Inputs-Results'!$A$9:$A$35,'Inputs-Results'!$V$9:$V$35)-_xlfn.XLOOKUP(A17,'Inputs-Results'!$A$9:$A$35,'Inputs-Results'!$X$9:$X$35)))</f>
        <v>#N/A</v>
      </c>
      <c r="L17" s="2" t="e">
        <f>IF(_xlfn.XLOOKUP(A17,'Inputs-Results'!A23:A49,'Inputs-Results'!Q23:Q49)&gt;0,_xlfn.XLOOKUP(A17,'Inputs-Results'!A23:A49,'Inputs-Results'!Q23:Q49),3)</f>
        <v>#N/A</v>
      </c>
      <c r="M17" s="2">
        <v>0.2</v>
      </c>
      <c r="N17" s="2" t="e" cm="1">
        <f t="array" ref="N17">INDEX('Standard Data'!$Q$23:$AB$40,_xlfn.XMATCH(M17,'Standard Data'!$Q$23:$Q$40,0),_xlfn.XMATCH($L17,'Standard Data'!$Q$23:$AB$23,0))</f>
        <v>#N/A</v>
      </c>
      <c r="O17" s="19" t="e">
        <f t="shared" si="0"/>
        <v>#N/A</v>
      </c>
      <c r="P17" s="2" t="e">
        <f t="shared" si="9"/>
        <v>#N/A</v>
      </c>
      <c r="Q17" s="2">
        <v>0.4</v>
      </c>
      <c r="R17" s="2" t="e" cm="1">
        <f t="array" ref="R17">INDEX('Standard Data'!$Q$23:$AB$40,_xlfn.XMATCH(Q17,'Standard Data'!$Q$23:$Q$40,0),_xlfn.XMATCH($L17,'Standard Data'!$Q$23:$AB$23,0))</f>
        <v>#N/A</v>
      </c>
      <c r="S17" s="19" t="e">
        <f t="shared" si="1"/>
        <v>#N/A</v>
      </c>
      <c r="T17" s="2" t="e">
        <f t="shared" si="13"/>
        <v>#N/A</v>
      </c>
      <c r="U17" s="2">
        <v>0.6</v>
      </c>
      <c r="V17" s="2" t="e" cm="1">
        <f t="array" ref="V17">INDEX('Standard Data'!$Q$23:$AB$40,_xlfn.XMATCH(U17,'Standard Data'!$Q$23:$Q$40,0),_xlfn.XMATCH($L17,'Standard Data'!$Q$23:$AB$23,0))</f>
        <v>#N/A</v>
      </c>
      <c r="W17" s="19" t="e">
        <f t="shared" si="2"/>
        <v>#N/A</v>
      </c>
      <c r="X17" s="2" t="e">
        <f t="shared" si="10"/>
        <v>#N/A</v>
      </c>
      <c r="Y17" s="2">
        <v>0.8</v>
      </c>
      <c r="Z17" s="2" t="e" cm="1">
        <f t="array" ref="Z17">INDEX('Standard Data'!$Q$23:$AB$40,_xlfn.XMATCH(Y17,'Standard Data'!$Q$23:$Q$40,0),_xlfn.XMATCH($L17,'Standard Data'!$Q$23:$AB$23,0))</f>
        <v>#N/A</v>
      </c>
      <c r="AA17" s="19" t="e">
        <f t="shared" si="3"/>
        <v>#N/A</v>
      </c>
      <c r="AB17" s="2" t="e">
        <f t="shared" si="11"/>
        <v>#N/A</v>
      </c>
      <c r="AC17" s="2">
        <v>1</v>
      </c>
      <c r="AD17" s="2" t="e" cm="1">
        <f t="array" ref="AD17">INDEX('Standard Data'!$Q$23:$AB$40,_xlfn.XMATCH(AC17,'Standard Data'!$Q$23:$Q$40,0),_xlfn.XMATCH($L17,'Standard Data'!$Q$23:$AB$23,0))</f>
        <v>#N/A</v>
      </c>
      <c r="AE17" s="19" t="e">
        <f t="shared" si="4"/>
        <v>#N/A</v>
      </c>
      <c r="AF17" s="2" t="e">
        <f t="shared" si="12"/>
        <v>#N/A</v>
      </c>
      <c r="AG17" s="19" t="e">
        <f>_xlfn.XLOOKUP(A17,'Inputs-Results'!$A$9:$A$35,'Inputs-Results'!$M$9:$M$35)</f>
        <v>#N/A</v>
      </c>
      <c r="AH17" s="107" t="e">
        <f t="shared" si="15"/>
        <v>#N/A</v>
      </c>
      <c r="AI17" s="107" t="e">
        <f t="shared" si="14"/>
        <v>#N/A</v>
      </c>
    </row>
    <row r="18" spans="1:101" x14ac:dyDescent="0.25">
      <c r="A18" s="2">
        <f>'Inputs-Results'!A24</f>
        <v>0</v>
      </c>
      <c r="B18" s="18" t="e">
        <f>_xlfn.XLOOKUP(A18,'Ditch Calculations'!$A$34:$A$114,'Ditch Calculations'!$C$34:$C$114)</f>
        <v>#N/A</v>
      </c>
      <c r="C18" s="2" t="e">
        <f>IF(_xlfn.XLOOKUP(A18,'Inputs-Results'!$A$9:$A$35,'Inputs-Results'!$P$9:$P$35)-_xlfn.XLOOKUP(A18,'Inputs-Results'!$A$9:$A$35,'Inputs-Results'!$X$9:$X$35)&gt;0,_xlfn.XLOOKUP(A18,'Inputs-Results'!$A$9:$A$35,'Inputs-Results'!$P$9:$P$35)-_xlfn.XLOOKUP(A18,'Inputs-Results'!$A$9:$A$35,'Inputs-Results'!$X$9:$X$35),0)</f>
        <v>#N/A</v>
      </c>
      <c r="D18" s="2" t="e">
        <f>'Standard Data'!$D$9*(1-_xlfn.XLOOKUP(A18,'Inputs-Results'!$A$9:$A$35,'Inputs-Results'!$AF$9:$AF$35))</f>
        <v>#N/A</v>
      </c>
      <c r="E18" s="2" t="e">
        <f>'Standard Data'!$B$9*(1-_xlfn.XLOOKUP(A18,'Inputs-Results'!$A$9:$A$35,'Inputs-Results'!$AF$9:$AF$35))</f>
        <v>#N/A</v>
      </c>
      <c r="F18" s="2" t="e">
        <f>(_xlfn.XLOOKUP(A18,'Inputs-Results'!$A$9:$A$35,'Inputs-Results'!$M$9:$M$35)/(0.67*E18))^2/(2*32.2)</f>
        <v>#N/A</v>
      </c>
      <c r="G18" s="18" t="e">
        <f>(_xlfn.XLOOKUP(A18,'Inputs-Results'!$A$9:$A$35,'Inputs-Results'!$M$9:$M$35)/3/E18)^(1/1.5)</f>
        <v>#N/A</v>
      </c>
      <c r="H18" s="42" t="e">
        <f t="shared" si="6"/>
        <v>#N/A</v>
      </c>
      <c r="I18" s="2" t="e">
        <f t="shared" si="7"/>
        <v>#N/A</v>
      </c>
      <c r="J18" s="19" t="e">
        <f t="shared" si="8"/>
        <v>#N/A</v>
      </c>
      <c r="K18" s="19" t="e">
        <f>IF(C18&gt;=_xlfn.XLOOKUP(A18,'Inputs-Results'!$A$9:$A$35,'Inputs-Results'!$Z$9:$Z$35)-_xlfn.XLOOKUP(A18,'Inputs-Results'!$A$9:$A$35,'Inputs-Results'!$X$9:$X$35),(_xlfn.XLOOKUP(A18,'Inputs-Results'!$A$9:$A$35,'Inputs-Results'!$Y$9:$Y$35)-_xlfn.XLOOKUP(A18,'Inputs-Results'!$A$9:$A$35,'Inputs-Results'!$W$9:$W$35))+((_xlfn.XLOOKUP(A18,'Inputs-Results'!$A$9:$A$35,'Inputs-Results'!$AA$9:$AA$35)-_xlfn.XLOOKUP(A18,'Inputs-Results'!$A$9:$A$35,'Inputs-Results'!$Y$9:$Y$35))*(C18-(_xlfn.XLOOKUP(A18,'Inputs-Results'!$A$9:$A$35,'Inputs-Results'!$Z$9:$Z$35)-_xlfn.XLOOKUP(A18,'Inputs-Results'!$A$9:$A$35,'Inputs-Results'!$X$9:$X$35))))/(_xlfn.XLOOKUP(A18,'Inputs-Results'!$A$9:$A$35,'Inputs-Results'!$AB$9:$AB$35)-_xlfn.XLOOKUP(A18,'Inputs-Results'!$A$9:$A$35,'Inputs-Results'!$Z$9:$Z$35)),((_xlfn.XLOOKUP(A18,'Inputs-Results'!$A$9:$A$35,'Inputs-Results'!$Y$9:$Y$35)-_xlfn.XLOOKUP(A18,'Inputs-Results'!$A$9:$A$35,'Inputs-Results'!$W$9:$W$35))*C18)/(_xlfn.XLOOKUP(A18,'Inputs-Results'!$A$9:$A$35,'Inputs-Results'!$Z$9:$Z$35)-_xlfn.XLOOKUP(A18,'Inputs-Results'!$A$9:$A$35,'Inputs-Results'!$X$9:$X$35)))+IF(C18&gt;=_xlfn.XLOOKUP(A18,'Inputs-Results'!$A$9:$A$35,'Inputs-Results'!$V$9:$V$35)-_xlfn.XLOOKUP(A18,'Inputs-Results'!$A$9:$A$35,'Inputs-Results'!$X$9:$X$35),ABS(_xlfn.XLOOKUP(A18,'Inputs-Results'!$A$9:$A$35,'Inputs-Results'!$W$9:$W$35)-_xlfn.XLOOKUP(A18,'Inputs-Results'!$A$9:$A$35,'Inputs-Results'!$U$9:$U$35))+ABS((_xlfn.XLOOKUP(A18,'Inputs-Results'!$A$9:$A$35,'Inputs-Results'!$U$9:$U$35)-_xlfn.XLOOKUP(A18,'Inputs-Results'!$A$9:$A$35,'Inputs-Results'!$S$9:$S$35))*(C18-(_xlfn.XLOOKUP(A18,'Inputs-Results'!$A$9:$A$35,'Inputs-Results'!$V$9:$V$35)-_xlfn.XLOOKUP(A18,'Inputs-Results'!$A$9:$A$35,'Inputs-Results'!$X$9:$X$35))))/(_xlfn.XLOOKUP(A18,'Inputs-Results'!$A$9:$A$35,'Inputs-Results'!$T$9:$T$35)-_xlfn.XLOOKUP(A18,'Inputs-Results'!$A$9:$A$35,'Inputs-Results'!$V$9:$V$35)),ABS((_xlfn.XLOOKUP(A18,'Inputs-Results'!$A$9:$A$35,'Inputs-Results'!$W$9:$W$35)-_xlfn.XLOOKUP(A18,'Inputs-Results'!$A$9:$A$35,'Inputs-Results'!$U$9:$U$35))*C18)/(_xlfn.XLOOKUP(A18,'Inputs-Results'!$A$9:$A$35,'Inputs-Results'!$V$9:$V$35)-_xlfn.XLOOKUP(A18,'Inputs-Results'!$A$9:$A$35,'Inputs-Results'!$X$9:$X$35)))</f>
        <v>#N/A</v>
      </c>
      <c r="L18" s="2" t="e">
        <f>IF(_xlfn.XLOOKUP(A18,'Inputs-Results'!A24:A50,'Inputs-Results'!Q24:Q50)&gt;0,_xlfn.XLOOKUP(A18,'Inputs-Results'!A24:A50,'Inputs-Results'!Q24:Q50),3)</f>
        <v>#N/A</v>
      </c>
      <c r="M18" s="2">
        <v>0.2</v>
      </c>
      <c r="N18" s="2" t="e" cm="1">
        <f t="array" ref="N18">INDEX('Standard Data'!$Q$23:$AB$40,_xlfn.XMATCH(M18,'Standard Data'!$Q$23:$Q$40,0),_xlfn.XMATCH($L18,'Standard Data'!$Q$23:$AB$23,0))</f>
        <v>#N/A</v>
      </c>
      <c r="O18" s="19" t="e">
        <f t="shared" si="0"/>
        <v>#N/A</v>
      </c>
      <c r="P18" s="2" t="e">
        <f t="shared" si="9"/>
        <v>#N/A</v>
      </c>
      <c r="Q18" s="2">
        <v>0.4</v>
      </c>
      <c r="R18" s="2" t="e" cm="1">
        <f t="array" ref="R18">INDEX('Standard Data'!$Q$23:$AB$40,_xlfn.XMATCH(Q18,'Standard Data'!$Q$23:$Q$40,0),_xlfn.XMATCH($L18,'Standard Data'!$Q$23:$AB$23,0))</f>
        <v>#N/A</v>
      </c>
      <c r="S18" s="19" t="e">
        <f t="shared" si="1"/>
        <v>#N/A</v>
      </c>
      <c r="T18" s="2" t="e">
        <f t="shared" si="13"/>
        <v>#N/A</v>
      </c>
      <c r="U18" s="2">
        <v>0.6</v>
      </c>
      <c r="V18" s="2" t="e" cm="1">
        <f t="array" ref="V18">INDEX('Standard Data'!$Q$23:$AB$40,_xlfn.XMATCH(U18,'Standard Data'!$Q$23:$Q$40,0),_xlfn.XMATCH($L18,'Standard Data'!$Q$23:$AB$23,0))</f>
        <v>#N/A</v>
      </c>
      <c r="W18" s="19" t="e">
        <f t="shared" si="2"/>
        <v>#N/A</v>
      </c>
      <c r="X18" s="2" t="e">
        <f t="shared" si="10"/>
        <v>#N/A</v>
      </c>
      <c r="Y18" s="2">
        <v>0.8</v>
      </c>
      <c r="Z18" s="2" t="e" cm="1">
        <f t="array" ref="Z18">INDEX('Standard Data'!$Q$23:$AB$40,_xlfn.XMATCH(Y18,'Standard Data'!$Q$23:$Q$40,0),_xlfn.XMATCH($L18,'Standard Data'!$Q$23:$AB$23,0))</f>
        <v>#N/A</v>
      </c>
      <c r="AA18" s="19" t="e">
        <f t="shared" si="3"/>
        <v>#N/A</v>
      </c>
      <c r="AB18" s="2" t="e">
        <f t="shared" si="11"/>
        <v>#N/A</v>
      </c>
      <c r="AC18" s="2">
        <v>1</v>
      </c>
      <c r="AD18" s="2" t="e" cm="1">
        <f t="array" ref="AD18">INDEX('Standard Data'!$Q$23:$AB$40,_xlfn.XMATCH(AC18,'Standard Data'!$Q$23:$Q$40,0),_xlfn.XMATCH($L18,'Standard Data'!$Q$23:$AB$23,0))</f>
        <v>#N/A</v>
      </c>
      <c r="AE18" s="19" t="e">
        <f t="shared" si="4"/>
        <v>#N/A</v>
      </c>
      <c r="AF18" s="2" t="e">
        <f t="shared" si="12"/>
        <v>#N/A</v>
      </c>
      <c r="AG18" s="19" t="e">
        <f>_xlfn.XLOOKUP(A18,'Inputs-Results'!$A$9:$A$35,'Inputs-Results'!$M$9:$M$35)</f>
        <v>#N/A</v>
      </c>
      <c r="AH18" s="107" t="e">
        <f t="shared" si="15"/>
        <v>#N/A</v>
      </c>
      <c r="AI18" s="107" t="e">
        <f t="shared" si="14"/>
        <v>#N/A</v>
      </c>
    </row>
    <row r="19" spans="1:101" x14ac:dyDescent="0.25">
      <c r="A19" s="2">
        <f>'Inputs-Results'!A25</f>
        <v>0</v>
      </c>
      <c r="B19" s="18" t="e">
        <f>_xlfn.XLOOKUP(A19,'Ditch Calculations'!$A$34:$A$114,'Ditch Calculations'!$C$34:$C$114)</f>
        <v>#N/A</v>
      </c>
      <c r="C19" s="2" t="e">
        <f>IF(_xlfn.XLOOKUP(A19,'Inputs-Results'!$A$9:$A$35,'Inputs-Results'!$P$9:$P$35)-_xlfn.XLOOKUP(A19,'Inputs-Results'!$A$9:$A$35,'Inputs-Results'!$X$9:$X$35)&gt;0,_xlfn.XLOOKUP(A19,'Inputs-Results'!$A$9:$A$35,'Inputs-Results'!$P$9:$P$35)-_xlfn.XLOOKUP(A19,'Inputs-Results'!$A$9:$A$35,'Inputs-Results'!$X$9:$X$35),0)</f>
        <v>#N/A</v>
      </c>
      <c r="D19" s="2" t="e">
        <f>'Standard Data'!$D$9*(1-_xlfn.XLOOKUP(A19,'Inputs-Results'!$A$9:$A$35,'Inputs-Results'!$AF$9:$AF$35))</f>
        <v>#N/A</v>
      </c>
      <c r="E19" s="2" t="e">
        <f>'Standard Data'!$B$9*(1-_xlfn.XLOOKUP(A19,'Inputs-Results'!$A$9:$A$35,'Inputs-Results'!$AF$9:$AF$35))</f>
        <v>#N/A</v>
      </c>
      <c r="F19" s="2" t="e">
        <f>(_xlfn.XLOOKUP(A19,'Inputs-Results'!$A$9:$A$35,'Inputs-Results'!$M$9:$M$35)/(0.67*E19))^2/(2*32.2)</f>
        <v>#N/A</v>
      </c>
      <c r="G19" s="18" t="e">
        <f>(_xlfn.XLOOKUP(A19,'Inputs-Results'!$A$9:$A$35,'Inputs-Results'!$M$9:$M$35)/3/E19)^(1/1.5)</f>
        <v>#N/A</v>
      </c>
      <c r="H19" s="42" t="e">
        <f t="shared" si="6"/>
        <v>#N/A</v>
      </c>
      <c r="I19" s="2" t="e">
        <f t="shared" si="7"/>
        <v>#N/A</v>
      </c>
      <c r="J19" s="19" t="e">
        <f t="shared" si="8"/>
        <v>#N/A</v>
      </c>
      <c r="K19" s="19" t="e">
        <f>IF(C19&gt;=_xlfn.XLOOKUP(A19,'Inputs-Results'!$A$9:$A$35,'Inputs-Results'!$Z$9:$Z$35)-_xlfn.XLOOKUP(A19,'Inputs-Results'!$A$9:$A$35,'Inputs-Results'!$X$9:$X$35),(_xlfn.XLOOKUP(A19,'Inputs-Results'!$A$9:$A$35,'Inputs-Results'!$Y$9:$Y$35)-_xlfn.XLOOKUP(A19,'Inputs-Results'!$A$9:$A$35,'Inputs-Results'!$W$9:$W$35))+((_xlfn.XLOOKUP(A19,'Inputs-Results'!$A$9:$A$35,'Inputs-Results'!$AA$9:$AA$35)-_xlfn.XLOOKUP(A19,'Inputs-Results'!$A$9:$A$35,'Inputs-Results'!$Y$9:$Y$35))*(C19-(_xlfn.XLOOKUP(A19,'Inputs-Results'!$A$9:$A$35,'Inputs-Results'!$Z$9:$Z$35)-_xlfn.XLOOKUP(A19,'Inputs-Results'!$A$9:$A$35,'Inputs-Results'!$X$9:$X$35))))/(_xlfn.XLOOKUP(A19,'Inputs-Results'!$A$9:$A$35,'Inputs-Results'!$AB$9:$AB$35)-_xlfn.XLOOKUP(A19,'Inputs-Results'!$A$9:$A$35,'Inputs-Results'!$Z$9:$Z$35)),((_xlfn.XLOOKUP(A19,'Inputs-Results'!$A$9:$A$35,'Inputs-Results'!$Y$9:$Y$35)-_xlfn.XLOOKUP(A19,'Inputs-Results'!$A$9:$A$35,'Inputs-Results'!$W$9:$W$35))*C19)/(_xlfn.XLOOKUP(A19,'Inputs-Results'!$A$9:$A$35,'Inputs-Results'!$Z$9:$Z$35)-_xlfn.XLOOKUP(A19,'Inputs-Results'!$A$9:$A$35,'Inputs-Results'!$X$9:$X$35)))+IF(C19&gt;=_xlfn.XLOOKUP(A19,'Inputs-Results'!$A$9:$A$35,'Inputs-Results'!$V$9:$V$35)-_xlfn.XLOOKUP(A19,'Inputs-Results'!$A$9:$A$35,'Inputs-Results'!$X$9:$X$35),ABS(_xlfn.XLOOKUP(A19,'Inputs-Results'!$A$9:$A$35,'Inputs-Results'!$W$9:$W$35)-_xlfn.XLOOKUP(A19,'Inputs-Results'!$A$9:$A$35,'Inputs-Results'!$U$9:$U$35))+ABS((_xlfn.XLOOKUP(A19,'Inputs-Results'!$A$9:$A$35,'Inputs-Results'!$U$9:$U$35)-_xlfn.XLOOKUP(A19,'Inputs-Results'!$A$9:$A$35,'Inputs-Results'!$S$9:$S$35))*(C19-(_xlfn.XLOOKUP(A19,'Inputs-Results'!$A$9:$A$35,'Inputs-Results'!$V$9:$V$35)-_xlfn.XLOOKUP(A19,'Inputs-Results'!$A$9:$A$35,'Inputs-Results'!$X$9:$X$35))))/(_xlfn.XLOOKUP(A19,'Inputs-Results'!$A$9:$A$35,'Inputs-Results'!$T$9:$T$35)-_xlfn.XLOOKUP(A19,'Inputs-Results'!$A$9:$A$35,'Inputs-Results'!$V$9:$V$35)),ABS((_xlfn.XLOOKUP(A19,'Inputs-Results'!$A$9:$A$35,'Inputs-Results'!$W$9:$W$35)-_xlfn.XLOOKUP(A19,'Inputs-Results'!$A$9:$A$35,'Inputs-Results'!$U$9:$U$35))*C19)/(_xlfn.XLOOKUP(A19,'Inputs-Results'!$A$9:$A$35,'Inputs-Results'!$V$9:$V$35)-_xlfn.XLOOKUP(A19,'Inputs-Results'!$A$9:$A$35,'Inputs-Results'!$X$9:$X$35)))</f>
        <v>#N/A</v>
      </c>
      <c r="L19" s="2" t="e">
        <f>IF(_xlfn.XLOOKUP(A19,'Inputs-Results'!A25:A51,'Inputs-Results'!Q25:Q51)&gt;0,_xlfn.XLOOKUP(A19,'Inputs-Results'!A25:A51,'Inputs-Results'!Q25:Q51),3)</f>
        <v>#N/A</v>
      </c>
      <c r="M19" s="2">
        <v>0.2</v>
      </c>
      <c r="N19" s="2" t="e" cm="1">
        <f t="array" ref="N19">INDEX('Standard Data'!$Q$23:$AB$40,_xlfn.XMATCH(M19,'Standard Data'!$Q$23:$Q$40,0),_xlfn.XMATCH($L19,'Standard Data'!$Q$23:$AB$23,0))</f>
        <v>#N/A</v>
      </c>
      <c r="O19" s="19" t="e">
        <f t="shared" si="0"/>
        <v>#N/A</v>
      </c>
      <c r="P19" s="2" t="e">
        <f t="shared" si="9"/>
        <v>#N/A</v>
      </c>
      <c r="Q19" s="2">
        <v>0.4</v>
      </c>
      <c r="R19" s="2" t="e" cm="1">
        <f t="array" ref="R19">INDEX('Standard Data'!$Q$23:$AB$40,_xlfn.XMATCH(Q19,'Standard Data'!$Q$23:$Q$40,0),_xlfn.XMATCH($L19,'Standard Data'!$Q$23:$AB$23,0))</f>
        <v>#N/A</v>
      </c>
      <c r="S19" s="19" t="e">
        <f t="shared" si="1"/>
        <v>#N/A</v>
      </c>
      <c r="T19" s="2" t="e">
        <f t="shared" si="13"/>
        <v>#N/A</v>
      </c>
      <c r="U19" s="2">
        <v>0.6</v>
      </c>
      <c r="V19" s="2" t="e" cm="1">
        <f t="array" ref="V19">INDEX('Standard Data'!$Q$23:$AB$40,_xlfn.XMATCH(U19,'Standard Data'!$Q$23:$Q$40,0),_xlfn.XMATCH($L19,'Standard Data'!$Q$23:$AB$23,0))</f>
        <v>#N/A</v>
      </c>
      <c r="W19" s="19" t="e">
        <f t="shared" si="2"/>
        <v>#N/A</v>
      </c>
      <c r="X19" s="2" t="e">
        <f t="shared" si="10"/>
        <v>#N/A</v>
      </c>
      <c r="Y19" s="2">
        <v>0.8</v>
      </c>
      <c r="Z19" s="2" t="e" cm="1">
        <f t="array" ref="Z19">INDEX('Standard Data'!$Q$23:$AB$40,_xlfn.XMATCH(Y19,'Standard Data'!$Q$23:$Q$40,0),_xlfn.XMATCH($L19,'Standard Data'!$Q$23:$AB$23,0))</f>
        <v>#N/A</v>
      </c>
      <c r="AA19" s="19" t="e">
        <f t="shared" si="3"/>
        <v>#N/A</v>
      </c>
      <c r="AB19" s="2" t="e">
        <f t="shared" si="11"/>
        <v>#N/A</v>
      </c>
      <c r="AC19" s="2">
        <v>1</v>
      </c>
      <c r="AD19" s="2" t="e" cm="1">
        <f t="array" ref="AD19">INDEX('Standard Data'!$Q$23:$AB$40,_xlfn.XMATCH(AC19,'Standard Data'!$Q$23:$Q$40,0),_xlfn.XMATCH($L19,'Standard Data'!$Q$23:$AB$23,0))</f>
        <v>#N/A</v>
      </c>
      <c r="AE19" s="19" t="e">
        <f t="shared" si="4"/>
        <v>#N/A</v>
      </c>
      <c r="AF19" s="2" t="e">
        <f t="shared" si="12"/>
        <v>#N/A</v>
      </c>
      <c r="AG19" s="19" t="e">
        <f>_xlfn.XLOOKUP(A19,'Inputs-Results'!$A$9:$A$35,'Inputs-Results'!$M$9:$M$35)</f>
        <v>#N/A</v>
      </c>
      <c r="AH19" s="107" t="e">
        <f t="shared" si="15"/>
        <v>#N/A</v>
      </c>
      <c r="AI19" s="107" t="e">
        <f t="shared" si="14"/>
        <v>#N/A</v>
      </c>
    </row>
    <row r="20" spans="1:101" x14ac:dyDescent="0.25">
      <c r="A20" s="2">
        <f>'Inputs-Results'!A26</f>
        <v>0</v>
      </c>
      <c r="B20" s="18" t="e">
        <f>_xlfn.XLOOKUP(A20,'Ditch Calculations'!$A$34:$A$114,'Ditch Calculations'!$C$34:$C$114)</f>
        <v>#N/A</v>
      </c>
      <c r="C20" s="2" t="e">
        <f>IF(_xlfn.XLOOKUP(A20,'Inputs-Results'!$A$9:$A$35,'Inputs-Results'!$P$9:$P$35)-_xlfn.XLOOKUP(A20,'Inputs-Results'!$A$9:$A$35,'Inputs-Results'!$X$9:$X$35)&gt;0,_xlfn.XLOOKUP(A20,'Inputs-Results'!$A$9:$A$35,'Inputs-Results'!$P$9:$P$35)-_xlfn.XLOOKUP(A20,'Inputs-Results'!$A$9:$A$35,'Inputs-Results'!$X$9:$X$35),0)</f>
        <v>#N/A</v>
      </c>
      <c r="D20" s="2" t="e">
        <f>'Standard Data'!$D$9*(1-_xlfn.XLOOKUP(A20,'Inputs-Results'!$A$9:$A$35,'Inputs-Results'!$AF$9:$AF$35))</f>
        <v>#N/A</v>
      </c>
      <c r="E20" s="2" t="e">
        <f>'Standard Data'!$B$9*(1-_xlfn.XLOOKUP(A20,'Inputs-Results'!$A$9:$A$35,'Inputs-Results'!$AF$9:$AF$35))</f>
        <v>#N/A</v>
      </c>
      <c r="F20" s="2" t="e">
        <f>(_xlfn.XLOOKUP(A20,'Inputs-Results'!$A$9:$A$35,'Inputs-Results'!$M$9:$M$35)/(0.67*E20))^2/(2*32.2)</f>
        <v>#N/A</v>
      </c>
      <c r="G20" s="18" t="e">
        <f>(_xlfn.XLOOKUP(A20,'Inputs-Results'!$A$9:$A$35,'Inputs-Results'!$M$9:$M$35)/3/E20)^(1/1.5)</f>
        <v>#N/A</v>
      </c>
      <c r="H20" s="42" t="e">
        <f t="shared" si="6"/>
        <v>#N/A</v>
      </c>
      <c r="I20" s="2" t="e">
        <f t="shared" si="7"/>
        <v>#N/A</v>
      </c>
      <c r="J20" s="19" t="e">
        <f t="shared" si="8"/>
        <v>#N/A</v>
      </c>
      <c r="K20" s="19" t="e">
        <f>IF(C20&gt;=_xlfn.XLOOKUP(A20,'Inputs-Results'!$A$9:$A$35,'Inputs-Results'!$Z$9:$Z$35)-_xlfn.XLOOKUP(A20,'Inputs-Results'!$A$9:$A$35,'Inputs-Results'!$X$9:$X$35),(_xlfn.XLOOKUP(A20,'Inputs-Results'!$A$9:$A$35,'Inputs-Results'!$Y$9:$Y$35)-_xlfn.XLOOKUP(A20,'Inputs-Results'!$A$9:$A$35,'Inputs-Results'!$W$9:$W$35))+((_xlfn.XLOOKUP(A20,'Inputs-Results'!$A$9:$A$35,'Inputs-Results'!$AA$9:$AA$35)-_xlfn.XLOOKUP(A20,'Inputs-Results'!$A$9:$A$35,'Inputs-Results'!$Y$9:$Y$35))*(C20-(_xlfn.XLOOKUP(A20,'Inputs-Results'!$A$9:$A$35,'Inputs-Results'!$Z$9:$Z$35)-_xlfn.XLOOKUP(A20,'Inputs-Results'!$A$9:$A$35,'Inputs-Results'!$X$9:$X$35))))/(_xlfn.XLOOKUP(A20,'Inputs-Results'!$A$9:$A$35,'Inputs-Results'!$AB$9:$AB$35)-_xlfn.XLOOKUP(A20,'Inputs-Results'!$A$9:$A$35,'Inputs-Results'!$Z$9:$Z$35)),((_xlfn.XLOOKUP(A20,'Inputs-Results'!$A$9:$A$35,'Inputs-Results'!$Y$9:$Y$35)-_xlfn.XLOOKUP(A20,'Inputs-Results'!$A$9:$A$35,'Inputs-Results'!$W$9:$W$35))*C20)/(_xlfn.XLOOKUP(A20,'Inputs-Results'!$A$9:$A$35,'Inputs-Results'!$Z$9:$Z$35)-_xlfn.XLOOKUP(A20,'Inputs-Results'!$A$9:$A$35,'Inputs-Results'!$X$9:$X$35)))+IF(C20&gt;=_xlfn.XLOOKUP(A20,'Inputs-Results'!$A$9:$A$35,'Inputs-Results'!$V$9:$V$35)-_xlfn.XLOOKUP(A20,'Inputs-Results'!$A$9:$A$35,'Inputs-Results'!$X$9:$X$35),ABS(_xlfn.XLOOKUP(A20,'Inputs-Results'!$A$9:$A$35,'Inputs-Results'!$W$9:$W$35)-_xlfn.XLOOKUP(A20,'Inputs-Results'!$A$9:$A$35,'Inputs-Results'!$U$9:$U$35))+ABS((_xlfn.XLOOKUP(A20,'Inputs-Results'!$A$9:$A$35,'Inputs-Results'!$U$9:$U$35)-_xlfn.XLOOKUP(A20,'Inputs-Results'!$A$9:$A$35,'Inputs-Results'!$S$9:$S$35))*(C20-(_xlfn.XLOOKUP(A20,'Inputs-Results'!$A$9:$A$35,'Inputs-Results'!$V$9:$V$35)-_xlfn.XLOOKUP(A20,'Inputs-Results'!$A$9:$A$35,'Inputs-Results'!$X$9:$X$35))))/(_xlfn.XLOOKUP(A20,'Inputs-Results'!$A$9:$A$35,'Inputs-Results'!$T$9:$T$35)-_xlfn.XLOOKUP(A20,'Inputs-Results'!$A$9:$A$35,'Inputs-Results'!$V$9:$V$35)),ABS((_xlfn.XLOOKUP(A20,'Inputs-Results'!$A$9:$A$35,'Inputs-Results'!$W$9:$W$35)-_xlfn.XLOOKUP(A20,'Inputs-Results'!$A$9:$A$35,'Inputs-Results'!$U$9:$U$35))*C20)/(_xlfn.XLOOKUP(A20,'Inputs-Results'!$A$9:$A$35,'Inputs-Results'!$V$9:$V$35)-_xlfn.XLOOKUP(A20,'Inputs-Results'!$A$9:$A$35,'Inputs-Results'!$X$9:$X$35)))</f>
        <v>#N/A</v>
      </c>
      <c r="L20" s="2" t="e">
        <f>IF(_xlfn.XLOOKUP(A20,'Inputs-Results'!A26:A52,'Inputs-Results'!Q26:Q52)&gt;0,_xlfn.XLOOKUP(A20,'Inputs-Results'!A26:A52,'Inputs-Results'!Q26:Q52),3)</f>
        <v>#N/A</v>
      </c>
      <c r="M20" s="2">
        <v>0.2</v>
      </c>
      <c r="N20" s="2" t="e" cm="1">
        <f t="array" ref="N20">INDEX('Standard Data'!$Q$23:$AB$40,_xlfn.XMATCH(M20,'Standard Data'!$Q$23:$Q$40,0),_xlfn.XMATCH($L20,'Standard Data'!$Q$23:$AB$23,0))</f>
        <v>#N/A</v>
      </c>
      <c r="O20" s="19" t="e">
        <f t="shared" si="0"/>
        <v>#N/A</v>
      </c>
      <c r="P20" s="2" t="e">
        <f t="shared" si="9"/>
        <v>#N/A</v>
      </c>
      <c r="Q20" s="2">
        <v>0.4</v>
      </c>
      <c r="R20" s="2" t="e" cm="1">
        <f t="array" ref="R20">INDEX('Standard Data'!$Q$23:$AB$40,_xlfn.XMATCH(Q20,'Standard Data'!$Q$23:$Q$40,0),_xlfn.XMATCH($L20,'Standard Data'!$Q$23:$AB$23,0))</f>
        <v>#N/A</v>
      </c>
      <c r="S20" s="19" t="e">
        <f t="shared" si="1"/>
        <v>#N/A</v>
      </c>
      <c r="T20" s="2" t="e">
        <f t="shared" si="13"/>
        <v>#N/A</v>
      </c>
      <c r="U20" s="2">
        <v>0.6</v>
      </c>
      <c r="V20" s="2" t="e" cm="1">
        <f t="array" ref="V20">INDEX('Standard Data'!$Q$23:$AB$40,_xlfn.XMATCH(U20,'Standard Data'!$Q$23:$Q$40,0),_xlfn.XMATCH($L20,'Standard Data'!$Q$23:$AB$23,0))</f>
        <v>#N/A</v>
      </c>
      <c r="W20" s="19" t="e">
        <f t="shared" si="2"/>
        <v>#N/A</v>
      </c>
      <c r="X20" s="2" t="e">
        <f t="shared" si="10"/>
        <v>#N/A</v>
      </c>
      <c r="Y20" s="2">
        <v>0.8</v>
      </c>
      <c r="Z20" s="2" t="e" cm="1">
        <f t="array" ref="Z20">INDEX('Standard Data'!$Q$23:$AB$40,_xlfn.XMATCH(Y20,'Standard Data'!$Q$23:$Q$40,0),_xlfn.XMATCH($L20,'Standard Data'!$Q$23:$AB$23,0))</f>
        <v>#N/A</v>
      </c>
      <c r="AA20" s="19" t="e">
        <f t="shared" si="3"/>
        <v>#N/A</v>
      </c>
      <c r="AB20" s="2" t="e">
        <f t="shared" si="11"/>
        <v>#N/A</v>
      </c>
      <c r="AC20" s="2">
        <v>1</v>
      </c>
      <c r="AD20" s="2" t="e" cm="1">
        <f t="array" ref="AD20">INDEX('Standard Data'!$Q$23:$AB$40,_xlfn.XMATCH(AC20,'Standard Data'!$Q$23:$Q$40,0),_xlfn.XMATCH($L20,'Standard Data'!$Q$23:$AB$23,0))</f>
        <v>#N/A</v>
      </c>
      <c r="AE20" s="19" t="e">
        <f t="shared" si="4"/>
        <v>#N/A</v>
      </c>
      <c r="AF20" s="2" t="e">
        <f t="shared" si="12"/>
        <v>#N/A</v>
      </c>
      <c r="AG20" s="19" t="e">
        <f>_xlfn.XLOOKUP(A20,'Inputs-Results'!$A$9:$A$35,'Inputs-Results'!$M$9:$M$35)</f>
        <v>#N/A</v>
      </c>
      <c r="AH20" s="107" t="e">
        <f t="shared" si="15"/>
        <v>#N/A</v>
      </c>
      <c r="AI20" s="107" t="e">
        <f t="shared" si="14"/>
        <v>#N/A</v>
      </c>
    </row>
    <row r="21" spans="1:101" x14ac:dyDescent="0.25">
      <c r="A21" s="2">
        <f>'Inputs-Results'!A27</f>
        <v>0</v>
      </c>
      <c r="B21" s="18" t="e">
        <f>_xlfn.XLOOKUP(A21,'Ditch Calculations'!$A$34:$A$114,'Ditch Calculations'!$C$34:$C$114)</f>
        <v>#N/A</v>
      </c>
      <c r="C21" s="2" t="e">
        <f>IF(_xlfn.XLOOKUP(A21,'Inputs-Results'!$A$9:$A$35,'Inputs-Results'!$P$9:$P$35)-_xlfn.XLOOKUP(A21,'Inputs-Results'!$A$9:$A$35,'Inputs-Results'!$X$9:$X$35)&gt;0,_xlfn.XLOOKUP(A21,'Inputs-Results'!$A$9:$A$35,'Inputs-Results'!$P$9:$P$35)-_xlfn.XLOOKUP(A21,'Inputs-Results'!$A$9:$A$35,'Inputs-Results'!$X$9:$X$35),0)</f>
        <v>#N/A</v>
      </c>
      <c r="D21" s="2" t="e">
        <f>'Standard Data'!$D$9*(1-_xlfn.XLOOKUP(A21,'Inputs-Results'!$A$9:$A$35,'Inputs-Results'!$AF$9:$AF$35))</f>
        <v>#N/A</v>
      </c>
      <c r="E21" s="2" t="e">
        <f>'Standard Data'!$B$9*(1-_xlfn.XLOOKUP(A21,'Inputs-Results'!$A$9:$A$35,'Inputs-Results'!$AF$9:$AF$35))</f>
        <v>#N/A</v>
      </c>
      <c r="F21" s="2" t="e">
        <f>(_xlfn.XLOOKUP(A21,'Inputs-Results'!$A$9:$A$35,'Inputs-Results'!$M$9:$M$35)/(0.67*E21))^2/(2*32.2)</f>
        <v>#N/A</v>
      </c>
      <c r="G21" s="18" t="e">
        <f>(_xlfn.XLOOKUP(A21,'Inputs-Results'!$A$9:$A$35,'Inputs-Results'!$M$9:$M$35)/3/E21)^(1/1.5)</f>
        <v>#N/A</v>
      </c>
      <c r="H21" s="42" t="e">
        <f t="shared" si="6"/>
        <v>#N/A</v>
      </c>
      <c r="I21" s="2" t="e">
        <f t="shared" si="7"/>
        <v>#N/A</v>
      </c>
      <c r="J21" s="19" t="e">
        <f t="shared" si="8"/>
        <v>#N/A</v>
      </c>
      <c r="K21" s="19" t="e">
        <f>IF(C21&gt;=_xlfn.XLOOKUP(A21,'Inputs-Results'!$A$9:$A$35,'Inputs-Results'!$Z$9:$Z$35)-_xlfn.XLOOKUP(A21,'Inputs-Results'!$A$9:$A$35,'Inputs-Results'!$X$9:$X$35),(_xlfn.XLOOKUP(A21,'Inputs-Results'!$A$9:$A$35,'Inputs-Results'!$Y$9:$Y$35)-_xlfn.XLOOKUP(A21,'Inputs-Results'!$A$9:$A$35,'Inputs-Results'!$W$9:$W$35))+((_xlfn.XLOOKUP(A21,'Inputs-Results'!$A$9:$A$35,'Inputs-Results'!$AA$9:$AA$35)-_xlfn.XLOOKUP(A21,'Inputs-Results'!$A$9:$A$35,'Inputs-Results'!$Y$9:$Y$35))*(C21-(_xlfn.XLOOKUP(A21,'Inputs-Results'!$A$9:$A$35,'Inputs-Results'!$Z$9:$Z$35)-_xlfn.XLOOKUP(A21,'Inputs-Results'!$A$9:$A$35,'Inputs-Results'!$X$9:$X$35))))/(_xlfn.XLOOKUP(A21,'Inputs-Results'!$A$9:$A$35,'Inputs-Results'!$AB$9:$AB$35)-_xlfn.XLOOKUP(A21,'Inputs-Results'!$A$9:$A$35,'Inputs-Results'!$Z$9:$Z$35)),((_xlfn.XLOOKUP(A21,'Inputs-Results'!$A$9:$A$35,'Inputs-Results'!$Y$9:$Y$35)-_xlfn.XLOOKUP(A21,'Inputs-Results'!$A$9:$A$35,'Inputs-Results'!$W$9:$W$35))*C21)/(_xlfn.XLOOKUP(A21,'Inputs-Results'!$A$9:$A$35,'Inputs-Results'!$Z$9:$Z$35)-_xlfn.XLOOKUP(A21,'Inputs-Results'!$A$9:$A$35,'Inputs-Results'!$X$9:$X$35)))+IF(C21&gt;=_xlfn.XLOOKUP(A21,'Inputs-Results'!$A$9:$A$35,'Inputs-Results'!$V$9:$V$35)-_xlfn.XLOOKUP(A21,'Inputs-Results'!$A$9:$A$35,'Inputs-Results'!$X$9:$X$35),ABS(_xlfn.XLOOKUP(A21,'Inputs-Results'!$A$9:$A$35,'Inputs-Results'!$W$9:$W$35)-_xlfn.XLOOKUP(A21,'Inputs-Results'!$A$9:$A$35,'Inputs-Results'!$U$9:$U$35))+ABS((_xlfn.XLOOKUP(A21,'Inputs-Results'!$A$9:$A$35,'Inputs-Results'!$U$9:$U$35)-_xlfn.XLOOKUP(A21,'Inputs-Results'!$A$9:$A$35,'Inputs-Results'!$S$9:$S$35))*(C21-(_xlfn.XLOOKUP(A21,'Inputs-Results'!$A$9:$A$35,'Inputs-Results'!$V$9:$V$35)-_xlfn.XLOOKUP(A21,'Inputs-Results'!$A$9:$A$35,'Inputs-Results'!$X$9:$X$35))))/(_xlfn.XLOOKUP(A21,'Inputs-Results'!$A$9:$A$35,'Inputs-Results'!$T$9:$T$35)-_xlfn.XLOOKUP(A21,'Inputs-Results'!$A$9:$A$35,'Inputs-Results'!$V$9:$V$35)),ABS((_xlfn.XLOOKUP(A21,'Inputs-Results'!$A$9:$A$35,'Inputs-Results'!$W$9:$W$35)-_xlfn.XLOOKUP(A21,'Inputs-Results'!$A$9:$A$35,'Inputs-Results'!$U$9:$U$35))*C21)/(_xlfn.XLOOKUP(A21,'Inputs-Results'!$A$9:$A$35,'Inputs-Results'!$V$9:$V$35)-_xlfn.XLOOKUP(A21,'Inputs-Results'!$A$9:$A$35,'Inputs-Results'!$X$9:$X$35)))</f>
        <v>#N/A</v>
      </c>
      <c r="L21" s="2" t="e">
        <f>IF(_xlfn.XLOOKUP(A21,'Inputs-Results'!A27:A53,'Inputs-Results'!Q27:Q53)&gt;0,_xlfn.XLOOKUP(A21,'Inputs-Results'!A27:A53,'Inputs-Results'!Q27:Q53),3)</f>
        <v>#N/A</v>
      </c>
      <c r="M21" s="2">
        <v>0.2</v>
      </c>
      <c r="N21" s="2" t="e" cm="1">
        <f t="array" ref="N21">INDEX('Standard Data'!$Q$23:$AB$40,_xlfn.XMATCH(M21,'Standard Data'!$Q$23:$Q$40,0),_xlfn.XMATCH($L21,'Standard Data'!$Q$23:$AB$23,0))</f>
        <v>#N/A</v>
      </c>
      <c r="O21" s="19" t="e">
        <f t="shared" si="0"/>
        <v>#N/A</v>
      </c>
      <c r="P21" s="2" t="e">
        <f t="shared" si="9"/>
        <v>#N/A</v>
      </c>
      <c r="Q21" s="2">
        <v>0.4</v>
      </c>
      <c r="R21" s="2" t="e" cm="1">
        <f t="array" ref="R21">INDEX('Standard Data'!$Q$23:$AB$40,_xlfn.XMATCH(Q21,'Standard Data'!$Q$23:$Q$40,0),_xlfn.XMATCH($L21,'Standard Data'!$Q$23:$AB$23,0))</f>
        <v>#N/A</v>
      </c>
      <c r="S21" s="19" t="e">
        <f t="shared" si="1"/>
        <v>#N/A</v>
      </c>
      <c r="T21" s="2" t="e">
        <f t="shared" si="13"/>
        <v>#N/A</v>
      </c>
      <c r="U21" s="2">
        <v>0.6</v>
      </c>
      <c r="V21" s="2" t="e" cm="1">
        <f t="array" ref="V21">INDEX('Standard Data'!$Q$23:$AB$40,_xlfn.XMATCH(U21,'Standard Data'!$Q$23:$Q$40,0),_xlfn.XMATCH($L21,'Standard Data'!$Q$23:$AB$23,0))</f>
        <v>#N/A</v>
      </c>
      <c r="W21" s="19" t="e">
        <f t="shared" si="2"/>
        <v>#N/A</v>
      </c>
      <c r="X21" s="2" t="e">
        <f t="shared" si="10"/>
        <v>#N/A</v>
      </c>
      <c r="Y21" s="2">
        <v>0.8</v>
      </c>
      <c r="Z21" s="2" t="e" cm="1">
        <f t="array" ref="Z21">INDEX('Standard Data'!$Q$23:$AB$40,_xlfn.XMATCH(Y21,'Standard Data'!$Q$23:$Q$40,0),_xlfn.XMATCH($L21,'Standard Data'!$Q$23:$AB$23,0))</f>
        <v>#N/A</v>
      </c>
      <c r="AA21" s="19" t="e">
        <f t="shared" si="3"/>
        <v>#N/A</v>
      </c>
      <c r="AB21" s="2" t="e">
        <f t="shared" si="11"/>
        <v>#N/A</v>
      </c>
      <c r="AC21" s="2">
        <v>1</v>
      </c>
      <c r="AD21" s="2" t="e" cm="1">
        <f t="array" ref="AD21">INDEX('Standard Data'!$Q$23:$AB$40,_xlfn.XMATCH(AC21,'Standard Data'!$Q$23:$Q$40,0),_xlfn.XMATCH($L21,'Standard Data'!$Q$23:$AB$23,0))</f>
        <v>#N/A</v>
      </c>
      <c r="AE21" s="19" t="e">
        <f t="shared" si="4"/>
        <v>#N/A</v>
      </c>
      <c r="AF21" s="2" t="e">
        <f t="shared" si="12"/>
        <v>#N/A</v>
      </c>
      <c r="AG21" s="19" t="e">
        <f>_xlfn.XLOOKUP(A21,'Inputs-Results'!$A$9:$A$35,'Inputs-Results'!$M$9:$M$35)</f>
        <v>#N/A</v>
      </c>
      <c r="AH21" s="107" t="e">
        <f t="shared" si="15"/>
        <v>#N/A</v>
      </c>
      <c r="AI21" s="107" t="e">
        <f t="shared" si="14"/>
        <v>#N/A</v>
      </c>
    </row>
    <row r="22" spans="1:101" x14ac:dyDescent="0.25">
      <c r="A22" s="2">
        <f>'Inputs-Results'!A28</f>
        <v>0</v>
      </c>
      <c r="B22" s="18" t="e">
        <f>_xlfn.XLOOKUP(A22,'Ditch Calculations'!$A$34:$A$114,'Ditch Calculations'!$C$34:$C$114)</f>
        <v>#N/A</v>
      </c>
      <c r="C22" s="2" t="e">
        <f>IF(_xlfn.XLOOKUP(A22,'Inputs-Results'!$A$9:$A$35,'Inputs-Results'!$P$9:$P$35)-_xlfn.XLOOKUP(A22,'Inputs-Results'!$A$9:$A$35,'Inputs-Results'!$X$9:$X$35)&gt;0,_xlfn.XLOOKUP(A22,'Inputs-Results'!$A$9:$A$35,'Inputs-Results'!$P$9:$P$35)-_xlfn.XLOOKUP(A22,'Inputs-Results'!$A$9:$A$35,'Inputs-Results'!$X$9:$X$35),0)</f>
        <v>#N/A</v>
      </c>
      <c r="D22" s="2" t="e">
        <f>'Standard Data'!$D$9*(1-_xlfn.XLOOKUP(A22,'Inputs-Results'!$A$9:$A$35,'Inputs-Results'!$AF$9:$AF$35))</f>
        <v>#N/A</v>
      </c>
      <c r="E22" s="2" t="e">
        <f>'Standard Data'!$B$9*(1-_xlfn.XLOOKUP(A22,'Inputs-Results'!$A$9:$A$35,'Inputs-Results'!$AF$9:$AF$35))</f>
        <v>#N/A</v>
      </c>
      <c r="F22" s="2" t="e">
        <f>(_xlfn.XLOOKUP(A22,'Inputs-Results'!$A$9:$A$35,'Inputs-Results'!$M$9:$M$35)/(0.67*E22))^2/(2*32.2)</f>
        <v>#N/A</v>
      </c>
      <c r="G22" s="18" t="e">
        <f>(_xlfn.XLOOKUP(A22,'Inputs-Results'!$A$9:$A$35,'Inputs-Results'!$M$9:$M$35)/3/E22)^(1/1.5)</f>
        <v>#N/A</v>
      </c>
      <c r="H22" s="42" t="e">
        <f t="shared" si="6"/>
        <v>#N/A</v>
      </c>
      <c r="I22" s="2" t="e">
        <f t="shared" si="7"/>
        <v>#N/A</v>
      </c>
      <c r="J22" s="19" t="e">
        <f t="shared" si="8"/>
        <v>#N/A</v>
      </c>
      <c r="K22" s="19" t="e">
        <f>IF(C22&gt;=_xlfn.XLOOKUP(A22,'Inputs-Results'!$A$9:$A$35,'Inputs-Results'!$Z$9:$Z$35)-_xlfn.XLOOKUP(A22,'Inputs-Results'!$A$9:$A$35,'Inputs-Results'!$X$9:$X$35),(_xlfn.XLOOKUP(A22,'Inputs-Results'!$A$9:$A$35,'Inputs-Results'!$Y$9:$Y$35)-_xlfn.XLOOKUP(A22,'Inputs-Results'!$A$9:$A$35,'Inputs-Results'!$W$9:$W$35))+((_xlfn.XLOOKUP(A22,'Inputs-Results'!$A$9:$A$35,'Inputs-Results'!$AA$9:$AA$35)-_xlfn.XLOOKUP(A22,'Inputs-Results'!$A$9:$A$35,'Inputs-Results'!$Y$9:$Y$35))*(C22-(_xlfn.XLOOKUP(A22,'Inputs-Results'!$A$9:$A$35,'Inputs-Results'!$Z$9:$Z$35)-_xlfn.XLOOKUP(A22,'Inputs-Results'!$A$9:$A$35,'Inputs-Results'!$X$9:$X$35))))/(_xlfn.XLOOKUP(A22,'Inputs-Results'!$A$9:$A$35,'Inputs-Results'!$AB$9:$AB$35)-_xlfn.XLOOKUP(A22,'Inputs-Results'!$A$9:$A$35,'Inputs-Results'!$Z$9:$Z$35)),((_xlfn.XLOOKUP(A22,'Inputs-Results'!$A$9:$A$35,'Inputs-Results'!$Y$9:$Y$35)-_xlfn.XLOOKUP(A22,'Inputs-Results'!$A$9:$A$35,'Inputs-Results'!$W$9:$W$35))*C22)/(_xlfn.XLOOKUP(A22,'Inputs-Results'!$A$9:$A$35,'Inputs-Results'!$Z$9:$Z$35)-_xlfn.XLOOKUP(A22,'Inputs-Results'!$A$9:$A$35,'Inputs-Results'!$X$9:$X$35)))+IF(C22&gt;=_xlfn.XLOOKUP(A22,'Inputs-Results'!$A$9:$A$35,'Inputs-Results'!$V$9:$V$35)-_xlfn.XLOOKUP(A22,'Inputs-Results'!$A$9:$A$35,'Inputs-Results'!$X$9:$X$35),ABS(_xlfn.XLOOKUP(A22,'Inputs-Results'!$A$9:$A$35,'Inputs-Results'!$W$9:$W$35)-_xlfn.XLOOKUP(A22,'Inputs-Results'!$A$9:$A$35,'Inputs-Results'!$U$9:$U$35))+ABS((_xlfn.XLOOKUP(A22,'Inputs-Results'!$A$9:$A$35,'Inputs-Results'!$U$9:$U$35)-_xlfn.XLOOKUP(A22,'Inputs-Results'!$A$9:$A$35,'Inputs-Results'!$S$9:$S$35))*(C22-(_xlfn.XLOOKUP(A22,'Inputs-Results'!$A$9:$A$35,'Inputs-Results'!$V$9:$V$35)-_xlfn.XLOOKUP(A22,'Inputs-Results'!$A$9:$A$35,'Inputs-Results'!$X$9:$X$35))))/(_xlfn.XLOOKUP(A22,'Inputs-Results'!$A$9:$A$35,'Inputs-Results'!$T$9:$T$35)-_xlfn.XLOOKUP(A22,'Inputs-Results'!$A$9:$A$35,'Inputs-Results'!$V$9:$V$35)),ABS((_xlfn.XLOOKUP(A22,'Inputs-Results'!$A$9:$A$35,'Inputs-Results'!$W$9:$W$35)-_xlfn.XLOOKUP(A22,'Inputs-Results'!$A$9:$A$35,'Inputs-Results'!$U$9:$U$35))*C22)/(_xlfn.XLOOKUP(A22,'Inputs-Results'!$A$9:$A$35,'Inputs-Results'!$V$9:$V$35)-_xlfn.XLOOKUP(A22,'Inputs-Results'!$A$9:$A$35,'Inputs-Results'!$X$9:$X$35)))</f>
        <v>#N/A</v>
      </c>
      <c r="L22" s="2" t="e">
        <f>IF(_xlfn.XLOOKUP(A22,'Inputs-Results'!A28:A54,'Inputs-Results'!Q28:Q54)&gt;0,_xlfn.XLOOKUP(A22,'Inputs-Results'!A28:A54,'Inputs-Results'!Q28:Q54),3)</f>
        <v>#N/A</v>
      </c>
      <c r="M22" s="2">
        <v>0.2</v>
      </c>
      <c r="N22" s="2" t="e" cm="1">
        <f t="array" ref="N22">INDEX('Standard Data'!$Q$23:$AB$40,_xlfn.XMATCH(M22,'Standard Data'!$Q$23:$Q$40,0),_xlfn.XMATCH($L22,'Standard Data'!$Q$23:$AB$23,0))</f>
        <v>#N/A</v>
      </c>
      <c r="O22" s="19" t="e">
        <f t="shared" si="0"/>
        <v>#N/A</v>
      </c>
      <c r="P22" s="2" t="e">
        <f t="shared" si="9"/>
        <v>#N/A</v>
      </c>
      <c r="Q22" s="2">
        <v>0.4</v>
      </c>
      <c r="R22" s="2" t="e" cm="1">
        <f t="array" ref="R22">INDEX('Standard Data'!$Q$23:$AB$40,_xlfn.XMATCH(Q22,'Standard Data'!$Q$23:$Q$40,0),_xlfn.XMATCH($L22,'Standard Data'!$Q$23:$AB$23,0))</f>
        <v>#N/A</v>
      </c>
      <c r="S22" s="19" t="e">
        <f t="shared" si="1"/>
        <v>#N/A</v>
      </c>
      <c r="T22" s="2" t="e">
        <f t="shared" si="13"/>
        <v>#N/A</v>
      </c>
      <c r="U22" s="2">
        <v>0.6</v>
      </c>
      <c r="V22" s="2" t="e" cm="1">
        <f t="array" ref="V22">INDEX('Standard Data'!$Q$23:$AB$40,_xlfn.XMATCH(U22,'Standard Data'!$Q$23:$Q$40,0),_xlfn.XMATCH($L22,'Standard Data'!$Q$23:$AB$23,0))</f>
        <v>#N/A</v>
      </c>
      <c r="W22" s="19" t="e">
        <f t="shared" si="2"/>
        <v>#N/A</v>
      </c>
      <c r="X22" s="2" t="e">
        <f t="shared" si="10"/>
        <v>#N/A</v>
      </c>
      <c r="Y22" s="2">
        <v>0.8</v>
      </c>
      <c r="Z22" s="2" t="e" cm="1">
        <f t="array" ref="Z22">INDEX('Standard Data'!$Q$23:$AB$40,_xlfn.XMATCH(Y22,'Standard Data'!$Q$23:$Q$40,0),_xlfn.XMATCH($L22,'Standard Data'!$Q$23:$AB$23,0))</f>
        <v>#N/A</v>
      </c>
      <c r="AA22" s="19" t="e">
        <f t="shared" si="3"/>
        <v>#N/A</v>
      </c>
      <c r="AB22" s="2" t="e">
        <f t="shared" si="11"/>
        <v>#N/A</v>
      </c>
      <c r="AC22" s="2">
        <v>1</v>
      </c>
      <c r="AD22" s="2" t="e" cm="1">
        <f t="array" ref="AD22">INDEX('Standard Data'!$Q$23:$AB$40,_xlfn.XMATCH(AC22,'Standard Data'!$Q$23:$Q$40,0),_xlfn.XMATCH($L22,'Standard Data'!$Q$23:$AB$23,0))</f>
        <v>#N/A</v>
      </c>
      <c r="AE22" s="19" t="e">
        <f t="shared" si="4"/>
        <v>#N/A</v>
      </c>
      <c r="AF22" s="2" t="e">
        <f t="shared" si="12"/>
        <v>#N/A</v>
      </c>
      <c r="AG22" s="19" t="e">
        <f>_xlfn.XLOOKUP(A22,'Inputs-Results'!$A$9:$A$35,'Inputs-Results'!$M$9:$M$35)</f>
        <v>#N/A</v>
      </c>
      <c r="AH22" s="107" t="e">
        <f t="shared" si="15"/>
        <v>#N/A</v>
      </c>
      <c r="AI22" s="107" t="e">
        <f t="shared" si="14"/>
        <v>#N/A</v>
      </c>
    </row>
    <row r="23" spans="1:101" x14ac:dyDescent="0.25">
      <c r="A23" s="2">
        <f>'Inputs-Results'!A29</f>
        <v>0</v>
      </c>
      <c r="B23" s="18" t="e">
        <f>_xlfn.XLOOKUP(A23,'Ditch Calculations'!$A$34:$A$114,'Ditch Calculations'!$C$34:$C$114)</f>
        <v>#N/A</v>
      </c>
      <c r="C23" s="2" t="e">
        <f>IF(_xlfn.XLOOKUP(A23,'Inputs-Results'!$A$9:$A$35,'Inputs-Results'!$P$9:$P$35)-_xlfn.XLOOKUP(A23,'Inputs-Results'!$A$9:$A$35,'Inputs-Results'!$X$9:$X$35)&gt;0,_xlfn.XLOOKUP(A23,'Inputs-Results'!$A$9:$A$35,'Inputs-Results'!$P$9:$P$35)-_xlfn.XLOOKUP(A23,'Inputs-Results'!$A$9:$A$35,'Inputs-Results'!$X$9:$X$35),0)</f>
        <v>#N/A</v>
      </c>
      <c r="D23" s="2" t="e">
        <f>'Standard Data'!$D$9*(1-_xlfn.XLOOKUP(A23,'Inputs-Results'!$A$9:$A$35,'Inputs-Results'!$AF$9:$AF$35))</f>
        <v>#N/A</v>
      </c>
      <c r="E23" s="2" t="e">
        <f>'Standard Data'!$B$9*(1-_xlfn.XLOOKUP(A23,'Inputs-Results'!$A$9:$A$35,'Inputs-Results'!$AF$9:$AF$35))</f>
        <v>#N/A</v>
      </c>
      <c r="F23" s="2" t="e">
        <f>(_xlfn.XLOOKUP(A23,'Inputs-Results'!$A$9:$A$35,'Inputs-Results'!$M$9:$M$35)/(0.67*E23))^2/(2*32.2)</f>
        <v>#N/A</v>
      </c>
      <c r="G23" s="18" t="e">
        <f>(_xlfn.XLOOKUP(A23,'Inputs-Results'!$A$9:$A$35,'Inputs-Results'!$M$9:$M$35)/3/E23)^(1/1.5)</f>
        <v>#N/A</v>
      </c>
      <c r="H23" s="42" t="e">
        <f t="shared" si="6"/>
        <v>#N/A</v>
      </c>
      <c r="I23" s="2" t="e">
        <f t="shared" si="7"/>
        <v>#N/A</v>
      </c>
      <c r="J23" s="19" t="e">
        <f t="shared" si="8"/>
        <v>#N/A</v>
      </c>
      <c r="K23" s="19" t="e">
        <f>IF(C23&gt;=_xlfn.XLOOKUP(A23,'Inputs-Results'!$A$9:$A$35,'Inputs-Results'!$Z$9:$Z$35)-_xlfn.XLOOKUP(A23,'Inputs-Results'!$A$9:$A$35,'Inputs-Results'!$X$9:$X$35),(_xlfn.XLOOKUP(A23,'Inputs-Results'!$A$9:$A$35,'Inputs-Results'!$Y$9:$Y$35)-_xlfn.XLOOKUP(A23,'Inputs-Results'!$A$9:$A$35,'Inputs-Results'!$W$9:$W$35))+((_xlfn.XLOOKUP(A23,'Inputs-Results'!$A$9:$A$35,'Inputs-Results'!$AA$9:$AA$35)-_xlfn.XLOOKUP(A23,'Inputs-Results'!$A$9:$A$35,'Inputs-Results'!$Y$9:$Y$35))*(C23-(_xlfn.XLOOKUP(A23,'Inputs-Results'!$A$9:$A$35,'Inputs-Results'!$Z$9:$Z$35)-_xlfn.XLOOKUP(A23,'Inputs-Results'!$A$9:$A$35,'Inputs-Results'!$X$9:$X$35))))/(_xlfn.XLOOKUP(A23,'Inputs-Results'!$A$9:$A$35,'Inputs-Results'!$AB$9:$AB$35)-_xlfn.XLOOKUP(A23,'Inputs-Results'!$A$9:$A$35,'Inputs-Results'!$Z$9:$Z$35)),((_xlfn.XLOOKUP(A23,'Inputs-Results'!$A$9:$A$35,'Inputs-Results'!$Y$9:$Y$35)-_xlfn.XLOOKUP(A23,'Inputs-Results'!$A$9:$A$35,'Inputs-Results'!$W$9:$W$35))*C23)/(_xlfn.XLOOKUP(A23,'Inputs-Results'!$A$9:$A$35,'Inputs-Results'!$Z$9:$Z$35)-_xlfn.XLOOKUP(A23,'Inputs-Results'!$A$9:$A$35,'Inputs-Results'!$X$9:$X$35)))+IF(C23&gt;=_xlfn.XLOOKUP(A23,'Inputs-Results'!$A$9:$A$35,'Inputs-Results'!$V$9:$V$35)-_xlfn.XLOOKUP(A23,'Inputs-Results'!$A$9:$A$35,'Inputs-Results'!$X$9:$X$35),ABS(_xlfn.XLOOKUP(A23,'Inputs-Results'!$A$9:$A$35,'Inputs-Results'!$W$9:$W$35)-_xlfn.XLOOKUP(A23,'Inputs-Results'!$A$9:$A$35,'Inputs-Results'!$U$9:$U$35))+ABS((_xlfn.XLOOKUP(A23,'Inputs-Results'!$A$9:$A$35,'Inputs-Results'!$U$9:$U$35)-_xlfn.XLOOKUP(A23,'Inputs-Results'!$A$9:$A$35,'Inputs-Results'!$S$9:$S$35))*(C23-(_xlfn.XLOOKUP(A23,'Inputs-Results'!$A$9:$A$35,'Inputs-Results'!$V$9:$V$35)-_xlfn.XLOOKUP(A23,'Inputs-Results'!$A$9:$A$35,'Inputs-Results'!$X$9:$X$35))))/(_xlfn.XLOOKUP(A23,'Inputs-Results'!$A$9:$A$35,'Inputs-Results'!$T$9:$T$35)-_xlfn.XLOOKUP(A23,'Inputs-Results'!$A$9:$A$35,'Inputs-Results'!$V$9:$V$35)),ABS((_xlfn.XLOOKUP(A23,'Inputs-Results'!$A$9:$A$35,'Inputs-Results'!$W$9:$W$35)-_xlfn.XLOOKUP(A23,'Inputs-Results'!$A$9:$A$35,'Inputs-Results'!$U$9:$U$35))*C23)/(_xlfn.XLOOKUP(A23,'Inputs-Results'!$A$9:$A$35,'Inputs-Results'!$V$9:$V$35)-_xlfn.XLOOKUP(A23,'Inputs-Results'!$A$9:$A$35,'Inputs-Results'!$X$9:$X$35)))</f>
        <v>#N/A</v>
      </c>
      <c r="L23" s="2" t="e">
        <f>IF(_xlfn.XLOOKUP(A23,'Inputs-Results'!A29:A55,'Inputs-Results'!Q29:Q55)&gt;0,_xlfn.XLOOKUP(A23,'Inputs-Results'!A29:A55,'Inputs-Results'!Q29:Q55),3)</f>
        <v>#N/A</v>
      </c>
      <c r="M23" s="2">
        <v>0.2</v>
      </c>
      <c r="N23" s="2" t="e" cm="1">
        <f t="array" ref="N23">INDEX('Standard Data'!$Q$23:$AB$40,_xlfn.XMATCH(M23,'Standard Data'!$Q$23:$Q$40,0),_xlfn.XMATCH($L23,'Standard Data'!$Q$23:$AB$23,0))</f>
        <v>#N/A</v>
      </c>
      <c r="O23" s="19" t="e">
        <f t="shared" si="0"/>
        <v>#N/A</v>
      </c>
      <c r="P23" s="2" t="e">
        <f t="shared" si="9"/>
        <v>#N/A</v>
      </c>
      <c r="Q23" s="2">
        <v>0.4</v>
      </c>
      <c r="R23" s="2" t="e" cm="1">
        <f t="array" ref="R23">INDEX('Standard Data'!$Q$23:$AB$40,_xlfn.XMATCH(Q23,'Standard Data'!$Q$23:$Q$40,0),_xlfn.XMATCH($L23,'Standard Data'!$Q$23:$AB$23,0))</f>
        <v>#N/A</v>
      </c>
      <c r="S23" s="19" t="e">
        <f t="shared" si="1"/>
        <v>#N/A</v>
      </c>
      <c r="T23" s="2" t="e">
        <f t="shared" si="13"/>
        <v>#N/A</v>
      </c>
      <c r="U23" s="2">
        <v>0.6</v>
      </c>
      <c r="V23" s="2" t="e" cm="1">
        <f t="array" ref="V23">INDEX('Standard Data'!$Q$23:$AB$40,_xlfn.XMATCH(U23,'Standard Data'!$Q$23:$Q$40,0),_xlfn.XMATCH($L23,'Standard Data'!$Q$23:$AB$23,0))</f>
        <v>#N/A</v>
      </c>
      <c r="W23" s="19" t="e">
        <f t="shared" si="2"/>
        <v>#N/A</v>
      </c>
      <c r="X23" s="2" t="e">
        <f t="shared" si="10"/>
        <v>#N/A</v>
      </c>
      <c r="Y23" s="2">
        <v>0.8</v>
      </c>
      <c r="Z23" s="2" t="e" cm="1">
        <f t="array" ref="Z23">INDEX('Standard Data'!$Q$23:$AB$40,_xlfn.XMATCH(Y23,'Standard Data'!$Q$23:$Q$40,0),_xlfn.XMATCH($L23,'Standard Data'!$Q$23:$AB$23,0))</f>
        <v>#N/A</v>
      </c>
      <c r="AA23" s="19" t="e">
        <f t="shared" si="3"/>
        <v>#N/A</v>
      </c>
      <c r="AB23" s="2" t="e">
        <f t="shared" si="11"/>
        <v>#N/A</v>
      </c>
      <c r="AC23" s="2">
        <v>1</v>
      </c>
      <c r="AD23" s="2" t="e" cm="1">
        <f t="array" ref="AD23">INDEX('Standard Data'!$Q$23:$AB$40,_xlfn.XMATCH(AC23,'Standard Data'!$Q$23:$Q$40,0),_xlfn.XMATCH($L23,'Standard Data'!$Q$23:$AB$23,0))</f>
        <v>#N/A</v>
      </c>
      <c r="AE23" s="19" t="e">
        <f t="shared" si="4"/>
        <v>#N/A</v>
      </c>
      <c r="AF23" s="2" t="e">
        <f t="shared" si="12"/>
        <v>#N/A</v>
      </c>
      <c r="AG23" s="19" t="e">
        <f>_xlfn.XLOOKUP(A23,'Inputs-Results'!$A$9:$A$35,'Inputs-Results'!$M$9:$M$35)</f>
        <v>#N/A</v>
      </c>
      <c r="AH23" s="107" t="e">
        <f t="shared" si="15"/>
        <v>#N/A</v>
      </c>
      <c r="AI23" s="107" t="e">
        <f t="shared" si="14"/>
        <v>#N/A</v>
      </c>
    </row>
    <row r="24" spans="1:101" x14ac:dyDescent="0.25">
      <c r="A24" s="2">
        <f>'Inputs-Results'!A30</f>
        <v>0</v>
      </c>
      <c r="B24" s="18" t="e">
        <f>_xlfn.XLOOKUP(A24,'Ditch Calculations'!$A$34:$A$114,'Ditch Calculations'!$C$34:$C$114)</f>
        <v>#N/A</v>
      </c>
      <c r="C24" s="2" t="e">
        <f>IF(_xlfn.XLOOKUP(A24,'Inputs-Results'!$A$9:$A$35,'Inputs-Results'!$P$9:$P$35)-_xlfn.XLOOKUP(A24,'Inputs-Results'!$A$9:$A$35,'Inputs-Results'!$X$9:$X$35)&gt;0,_xlfn.XLOOKUP(A24,'Inputs-Results'!$A$9:$A$35,'Inputs-Results'!$P$9:$P$35)-_xlfn.XLOOKUP(A24,'Inputs-Results'!$A$9:$A$35,'Inputs-Results'!$X$9:$X$35),0)</f>
        <v>#N/A</v>
      </c>
      <c r="D24" s="2" t="e">
        <f>'Standard Data'!$D$9*(1-_xlfn.XLOOKUP(A24,'Inputs-Results'!$A$9:$A$35,'Inputs-Results'!$AF$9:$AF$35))</f>
        <v>#N/A</v>
      </c>
      <c r="E24" s="2" t="e">
        <f>'Standard Data'!$B$9*(1-_xlfn.XLOOKUP(A24,'Inputs-Results'!$A$9:$A$35,'Inputs-Results'!$AF$9:$AF$35))</f>
        <v>#N/A</v>
      </c>
      <c r="F24" s="2" t="e">
        <f>(_xlfn.XLOOKUP(A24,'Inputs-Results'!$A$9:$A$35,'Inputs-Results'!$M$9:$M$35)/(0.67*E24))^2/(2*32.2)</f>
        <v>#N/A</v>
      </c>
      <c r="G24" s="18" t="e">
        <f>(_xlfn.XLOOKUP(A24,'Inputs-Results'!$A$9:$A$35,'Inputs-Results'!$M$9:$M$35)/3/E24)^(1/1.5)</f>
        <v>#N/A</v>
      </c>
      <c r="H24" s="42" t="e">
        <f t="shared" si="6"/>
        <v>#N/A</v>
      </c>
      <c r="I24" s="2" t="e">
        <f t="shared" si="7"/>
        <v>#N/A</v>
      </c>
      <c r="J24" s="19" t="e">
        <f t="shared" si="8"/>
        <v>#N/A</v>
      </c>
      <c r="K24" s="19" t="e">
        <f>IF(C24&gt;=_xlfn.XLOOKUP(A24,'Inputs-Results'!$A$9:$A$35,'Inputs-Results'!$Z$9:$Z$35)-_xlfn.XLOOKUP(A24,'Inputs-Results'!$A$9:$A$35,'Inputs-Results'!$X$9:$X$35),(_xlfn.XLOOKUP(A24,'Inputs-Results'!$A$9:$A$35,'Inputs-Results'!$Y$9:$Y$35)-_xlfn.XLOOKUP(A24,'Inputs-Results'!$A$9:$A$35,'Inputs-Results'!$W$9:$W$35))+((_xlfn.XLOOKUP(A24,'Inputs-Results'!$A$9:$A$35,'Inputs-Results'!$AA$9:$AA$35)-_xlfn.XLOOKUP(A24,'Inputs-Results'!$A$9:$A$35,'Inputs-Results'!$Y$9:$Y$35))*(C24-(_xlfn.XLOOKUP(A24,'Inputs-Results'!$A$9:$A$35,'Inputs-Results'!$Z$9:$Z$35)-_xlfn.XLOOKUP(A24,'Inputs-Results'!$A$9:$A$35,'Inputs-Results'!$X$9:$X$35))))/(_xlfn.XLOOKUP(A24,'Inputs-Results'!$A$9:$A$35,'Inputs-Results'!$AB$9:$AB$35)-_xlfn.XLOOKUP(A24,'Inputs-Results'!$A$9:$A$35,'Inputs-Results'!$Z$9:$Z$35)),((_xlfn.XLOOKUP(A24,'Inputs-Results'!$A$9:$A$35,'Inputs-Results'!$Y$9:$Y$35)-_xlfn.XLOOKUP(A24,'Inputs-Results'!$A$9:$A$35,'Inputs-Results'!$W$9:$W$35))*C24)/(_xlfn.XLOOKUP(A24,'Inputs-Results'!$A$9:$A$35,'Inputs-Results'!$Z$9:$Z$35)-_xlfn.XLOOKUP(A24,'Inputs-Results'!$A$9:$A$35,'Inputs-Results'!$X$9:$X$35)))+IF(C24&gt;=_xlfn.XLOOKUP(A24,'Inputs-Results'!$A$9:$A$35,'Inputs-Results'!$V$9:$V$35)-_xlfn.XLOOKUP(A24,'Inputs-Results'!$A$9:$A$35,'Inputs-Results'!$X$9:$X$35),ABS(_xlfn.XLOOKUP(A24,'Inputs-Results'!$A$9:$A$35,'Inputs-Results'!$W$9:$W$35)-_xlfn.XLOOKUP(A24,'Inputs-Results'!$A$9:$A$35,'Inputs-Results'!$U$9:$U$35))+ABS((_xlfn.XLOOKUP(A24,'Inputs-Results'!$A$9:$A$35,'Inputs-Results'!$U$9:$U$35)-_xlfn.XLOOKUP(A24,'Inputs-Results'!$A$9:$A$35,'Inputs-Results'!$S$9:$S$35))*(C24-(_xlfn.XLOOKUP(A24,'Inputs-Results'!$A$9:$A$35,'Inputs-Results'!$V$9:$V$35)-_xlfn.XLOOKUP(A24,'Inputs-Results'!$A$9:$A$35,'Inputs-Results'!$X$9:$X$35))))/(_xlfn.XLOOKUP(A24,'Inputs-Results'!$A$9:$A$35,'Inputs-Results'!$T$9:$T$35)-_xlfn.XLOOKUP(A24,'Inputs-Results'!$A$9:$A$35,'Inputs-Results'!$V$9:$V$35)),ABS((_xlfn.XLOOKUP(A24,'Inputs-Results'!$A$9:$A$35,'Inputs-Results'!$W$9:$W$35)-_xlfn.XLOOKUP(A24,'Inputs-Results'!$A$9:$A$35,'Inputs-Results'!$U$9:$U$35))*C24)/(_xlfn.XLOOKUP(A24,'Inputs-Results'!$A$9:$A$35,'Inputs-Results'!$V$9:$V$35)-_xlfn.XLOOKUP(A24,'Inputs-Results'!$A$9:$A$35,'Inputs-Results'!$X$9:$X$35)))</f>
        <v>#N/A</v>
      </c>
      <c r="L24" s="2" t="e">
        <f>IF(_xlfn.XLOOKUP(A24,'Inputs-Results'!A30:A56,'Inputs-Results'!Q30:Q56)&gt;0,_xlfn.XLOOKUP(A24,'Inputs-Results'!A30:A56,'Inputs-Results'!Q30:Q56),3)</f>
        <v>#N/A</v>
      </c>
      <c r="M24" s="2">
        <v>0.2</v>
      </c>
      <c r="N24" s="2" t="e" cm="1">
        <f t="array" ref="N24">INDEX('Standard Data'!$Q$23:$AB$40,_xlfn.XMATCH(M24,'Standard Data'!$Q$23:$Q$40,0),_xlfn.XMATCH($L24,'Standard Data'!$Q$23:$AB$23,0))</f>
        <v>#N/A</v>
      </c>
      <c r="O24" s="19" t="e">
        <f t="shared" si="0"/>
        <v>#N/A</v>
      </c>
      <c r="P24" s="2" t="e">
        <f t="shared" si="9"/>
        <v>#N/A</v>
      </c>
      <c r="Q24" s="2">
        <v>0.4</v>
      </c>
      <c r="R24" s="2" t="e" cm="1">
        <f t="array" ref="R24">INDEX('Standard Data'!$Q$23:$AB$40,_xlfn.XMATCH(Q24,'Standard Data'!$Q$23:$Q$40,0),_xlfn.XMATCH($L24,'Standard Data'!$Q$23:$AB$23,0))</f>
        <v>#N/A</v>
      </c>
      <c r="S24" s="19" t="e">
        <f t="shared" si="1"/>
        <v>#N/A</v>
      </c>
      <c r="T24" s="2" t="e">
        <f t="shared" si="13"/>
        <v>#N/A</v>
      </c>
      <c r="U24" s="2">
        <v>0.6</v>
      </c>
      <c r="V24" s="2" t="e" cm="1">
        <f t="array" ref="V24">INDEX('Standard Data'!$Q$23:$AB$40,_xlfn.XMATCH(U24,'Standard Data'!$Q$23:$Q$40,0),_xlfn.XMATCH($L24,'Standard Data'!$Q$23:$AB$23,0))</f>
        <v>#N/A</v>
      </c>
      <c r="W24" s="19" t="e">
        <f t="shared" si="2"/>
        <v>#N/A</v>
      </c>
      <c r="X24" s="2" t="e">
        <f t="shared" si="10"/>
        <v>#N/A</v>
      </c>
      <c r="Y24" s="2">
        <v>0.8</v>
      </c>
      <c r="Z24" s="2" t="e" cm="1">
        <f t="array" ref="Z24">INDEX('Standard Data'!$Q$23:$AB$40,_xlfn.XMATCH(Y24,'Standard Data'!$Q$23:$Q$40,0),_xlfn.XMATCH($L24,'Standard Data'!$Q$23:$AB$23,0))</f>
        <v>#N/A</v>
      </c>
      <c r="AA24" s="19" t="e">
        <f t="shared" si="3"/>
        <v>#N/A</v>
      </c>
      <c r="AB24" s="2" t="e">
        <f t="shared" si="11"/>
        <v>#N/A</v>
      </c>
      <c r="AC24" s="2">
        <v>1</v>
      </c>
      <c r="AD24" s="2" t="e" cm="1">
        <f t="array" ref="AD24">INDEX('Standard Data'!$Q$23:$AB$40,_xlfn.XMATCH(AC24,'Standard Data'!$Q$23:$Q$40,0),_xlfn.XMATCH($L24,'Standard Data'!$Q$23:$AB$23,0))</f>
        <v>#N/A</v>
      </c>
      <c r="AE24" s="19" t="e">
        <f t="shared" si="4"/>
        <v>#N/A</v>
      </c>
      <c r="AF24" s="2" t="e">
        <f t="shared" si="12"/>
        <v>#N/A</v>
      </c>
      <c r="AG24" s="19" t="e">
        <f>_xlfn.XLOOKUP(A24,'Inputs-Results'!$A$9:$A$35,'Inputs-Results'!$M$9:$M$35)</f>
        <v>#N/A</v>
      </c>
      <c r="AH24" s="107" t="e">
        <f t="shared" si="15"/>
        <v>#N/A</v>
      </c>
      <c r="AI24" s="107" t="e">
        <f t="shared" si="14"/>
        <v>#N/A</v>
      </c>
    </row>
    <row r="25" spans="1:101" x14ac:dyDescent="0.25">
      <c r="A25" s="2">
        <f>'Inputs-Results'!A31</f>
        <v>0</v>
      </c>
      <c r="B25" s="18" t="e">
        <f>_xlfn.XLOOKUP(A25,'Ditch Calculations'!$A$34:$A$114,'Ditch Calculations'!$C$34:$C$114)</f>
        <v>#N/A</v>
      </c>
      <c r="C25" s="2" t="e">
        <f>IF(_xlfn.XLOOKUP(A25,'Inputs-Results'!$A$9:$A$35,'Inputs-Results'!$P$9:$P$35)-_xlfn.XLOOKUP(A25,'Inputs-Results'!$A$9:$A$35,'Inputs-Results'!$X$9:$X$35)&gt;0,_xlfn.XLOOKUP(A25,'Inputs-Results'!$A$9:$A$35,'Inputs-Results'!$P$9:$P$35)-_xlfn.XLOOKUP(A25,'Inputs-Results'!$A$9:$A$35,'Inputs-Results'!$X$9:$X$35),0)</f>
        <v>#N/A</v>
      </c>
      <c r="D25" s="2" t="e">
        <f>'Standard Data'!$D$9*(1-_xlfn.XLOOKUP(A25,'Inputs-Results'!$A$9:$A$35,'Inputs-Results'!$AF$9:$AF$35))</f>
        <v>#N/A</v>
      </c>
      <c r="E25" s="2" t="e">
        <f>'Standard Data'!$B$9*(1-_xlfn.XLOOKUP(A25,'Inputs-Results'!$A$9:$A$35,'Inputs-Results'!$AF$9:$AF$35))</f>
        <v>#N/A</v>
      </c>
      <c r="F25" s="2" t="e">
        <f>(_xlfn.XLOOKUP(A25,'Inputs-Results'!$A$9:$A$35,'Inputs-Results'!$M$9:$M$35)/(0.67*E25))^2/(2*32.2)</f>
        <v>#N/A</v>
      </c>
      <c r="G25" s="18" t="e">
        <f>(_xlfn.XLOOKUP(A25,'Inputs-Results'!$A$9:$A$35,'Inputs-Results'!$M$9:$M$35)/3/E25)^(1/1.5)</f>
        <v>#N/A</v>
      </c>
      <c r="H25" s="42" t="e">
        <f t="shared" si="6"/>
        <v>#N/A</v>
      </c>
      <c r="I25" s="2" t="e">
        <f t="shared" si="7"/>
        <v>#N/A</v>
      </c>
      <c r="J25" s="19" t="e">
        <f t="shared" si="8"/>
        <v>#N/A</v>
      </c>
      <c r="K25" s="19" t="e">
        <f>IF(C25&gt;=_xlfn.XLOOKUP(A25,'Inputs-Results'!$A$9:$A$35,'Inputs-Results'!$Z$9:$Z$35)-_xlfn.XLOOKUP(A25,'Inputs-Results'!$A$9:$A$35,'Inputs-Results'!$X$9:$X$35),(_xlfn.XLOOKUP(A25,'Inputs-Results'!$A$9:$A$35,'Inputs-Results'!$Y$9:$Y$35)-_xlfn.XLOOKUP(A25,'Inputs-Results'!$A$9:$A$35,'Inputs-Results'!$W$9:$W$35))+((_xlfn.XLOOKUP(A25,'Inputs-Results'!$A$9:$A$35,'Inputs-Results'!$AA$9:$AA$35)-_xlfn.XLOOKUP(A25,'Inputs-Results'!$A$9:$A$35,'Inputs-Results'!$Y$9:$Y$35))*(C25-(_xlfn.XLOOKUP(A25,'Inputs-Results'!$A$9:$A$35,'Inputs-Results'!$Z$9:$Z$35)-_xlfn.XLOOKUP(A25,'Inputs-Results'!$A$9:$A$35,'Inputs-Results'!$X$9:$X$35))))/(_xlfn.XLOOKUP(A25,'Inputs-Results'!$A$9:$A$35,'Inputs-Results'!$AB$9:$AB$35)-_xlfn.XLOOKUP(A25,'Inputs-Results'!$A$9:$A$35,'Inputs-Results'!$Z$9:$Z$35)),((_xlfn.XLOOKUP(A25,'Inputs-Results'!$A$9:$A$35,'Inputs-Results'!$Y$9:$Y$35)-_xlfn.XLOOKUP(A25,'Inputs-Results'!$A$9:$A$35,'Inputs-Results'!$W$9:$W$35))*C25)/(_xlfn.XLOOKUP(A25,'Inputs-Results'!$A$9:$A$35,'Inputs-Results'!$Z$9:$Z$35)-_xlfn.XLOOKUP(A25,'Inputs-Results'!$A$9:$A$35,'Inputs-Results'!$X$9:$X$35)))+IF(C25&gt;=_xlfn.XLOOKUP(A25,'Inputs-Results'!$A$9:$A$35,'Inputs-Results'!$V$9:$V$35)-_xlfn.XLOOKUP(A25,'Inputs-Results'!$A$9:$A$35,'Inputs-Results'!$X$9:$X$35),ABS(_xlfn.XLOOKUP(A25,'Inputs-Results'!$A$9:$A$35,'Inputs-Results'!$W$9:$W$35)-_xlfn.XLOOKUP(A25,'Inputs-Results'!$A$9:$A$35,'Inputs-Results'!$U$9:$U$35))+ABS((_xlfn.XLOOKUP(A25,'Inputs-Results'!$A$9:$A$35,'Inputs-Results'!$U$9:$U$35)-_xlfn.XLOOKUP(A25,'Inputs-Results'!$A$9:$A$35,'Inputs-Results'!$S$9:$S$35))*(C25-(_xlfn.XLOOKUP(A25,'Inputs-Results'!$A$9:$A$35,'Inputs-Results'!$V$9:$V$35)-_xlfn.XLOOKUP(A25,'Inputs-Results'!$A$9:$A$35,'Inputs-Results'!$X$9:$X$35))))/(_xlfn.XLOOKUP(A25,'Inputs-Results'!$A$9:$A$35,'Inputs-Results'!$T$9:$T$35)-_xlfn.XLOOKUP(A25,'Inputs-Results'!$A$9:$A$35,'Inputs-Results'!$V$9:$V$35)),ABS((_xlfn.XLOOKUP(A25,'Inputs-Results'!$A$9:$A$35,'Inputs-Results'!$W$9:$W$35)-_xlfn.XLOOKUP(A25,'Inputs-Results'!$A$9:$A$35,'Inputs-Results'!$U$9:$U$35))*C25)/(_xlfn.XLOOKUP(A25,'Inputs-Results'!$A$9:$A$35,'Inputs-Results'!$V$9:$V$35)-_xlfn.XLOOKUP(A25,'Inputs-Results'!$A$9:$A$35,'Inputs-Results'!$X$9:$X$35)))</f>
        <v>#N/A</v>
      </c>
      <c r="L25" s="2" t="e">
        <f>IF(_xlfn.XLOOKUP(A25,'Inputs-Results'!A31:A57,'Inputs-Results'!Q31:Q57)&gt;0,_xlfn.XLOOKUP(A25,'Inputs-Results'!A31:A57,'Inputs-Results'!Q31:Q57),3)</f>
        <v>#N/A</v>
      </c>
      <c r="M25" s="2">
        <v>0.2</v>
      </c>
      <c r="N25" s="2" t="e" cm="1">
        <f t="array" ref="N25">INDEX('Standard Data'!$Q$23:$AB$40,_xlfn.XMATCH(M25,'Standard Data'!$Q$23:$Q$40,0),_xlfn.XMATCH($L25,'Standard Data'!$Q$23:$AB$23,0))</f>
        <v>#N/A</v>
      </c>
      <c r="O25" s="19" t="e">
        <f t="shared" si="0"/>
        <v>#N/A</v>
      </c>
      <c r="P25" s="2" t="e">
        <f t="shared" si="9"/>
        <v>#N/A</v>
      </c>
      <c r="Q25" s="2">
        <v>0.4</v>
      </c>
      <c r="R25" s="2" t="e" cm="1">
        <f t="array" ref="R25">INDEX('Standard Data'!$Q$23:$AB$40,_xlfn.XMATCH(Q25,'Standard Data'!$Q$23:$Q$40,0),_xlfn.XMATCH($L25,'Standard Data'!$Q$23:$AB$23,0))</f>
        <v>#N/A</v>
      </c>
      <c r="S25" s="19" t="e">
        <f t="shared" si="1"/>
        <v>#N/A</v>
      </c>
      <c r="T25" s="2" t="e">
        <f t="shared" si="13"/>
        <v>#N/A</v>
      </c>
      <c r="U25" s="2">
        <v>0.6</v>
      </c>
      <c r="V25" s="2" t="e" cm="1">
        <f t="array" ref="V25">INDEX('Standard Data'!$Q$23:$AB$40,_xlfn.XMATCH(U25,'Standard Data'!$Q$23:$Q$40,0),_xlfn.XMATCH($L25,'Standard Data'!$Q$23:$AB$23,0))</f>
        <v>#N/A</v>
      </c>
      <c r="W25" s="19" t="e">
        <f t="shared" si="2"/>
        <v>#N/A</v>
      </c>
      <c r="X25" s="2" t="e">
        <f t="shared" si="10"/>
        <v>#N/A</v>
      </c>
      <c r="Y25" s="2">
        <v>0.8</v>
      </c>
      <c r="Z25" s="2" t="e" cm="1">
        <f t="array" ref="Z25">INDEX('Standard Data'!$Q$23:$AB$40,_xlfn.XMATCH(Y25,'Standard Data'!$Q$23:$Q$40,0),_xlfn.XMATCH($L25,'Standard Data'!$Q$23:$AB$23,0))</f>
        <v>#N/A</v>
      </c>
      <c r="AA25" s="19" t="e">
        <f t="shared" si="3"/>
        <v>#N/A</v>
      </c>
      <c r="AB25" s="2" t="e">
        <f t="shared" si="11"/>
        <v>#N/A</v>
      </c>
      <c r="AC25" s="2">
        <v>1</v>
      </c>
      <c r="AD25" s="2" t="e" cm="1">
        <f t="array" ref="AD25">INDEX('Standard Data'!$Q$23:$AB$40,_xlfn.XMATCH(AC25,'Standard Data'!$Q$23:$Q$40,0),_xlfn.XMATCH($L25,'Standard Data'!$Q$23:$AB$23,0))</f>
        <v>#N/A</v>
      </c>
      <c r="AE25" s="19" t="e">
        <f t="shared" si="4"/>
        <v>#N/A</v>
      </c>
      <c r="AF25" s="2" t="e">
        <f t="shared" si="12"/>
        <v>#N/A</v>
      </c>
      <c r="AG25" s="19" t="e">
        <f>_xlfn.XLOOKUP(A25,'Inputs-Results'!$A$9:$A$35,'Inputs-Results'!$M$9:$M$35)</f>
        <v>#N/A</v>
      </c>
      <c r="AH25" s="107" t="e">
        <f t="shared" si="15"/>
        <v>#N/A</v>
      </c>
      <c r="AI25" s="107" t="e">
        <f t="shared" si="14"/>
        <v>#N/A</v>
      </c>
    </row>
    <row r="26" spans="1:101" x14ac:dyDescent="0.25">
      <c r="A26" s="2">
        <f>'Inputs-Results'!A32</f>
        <v>0</v>
      </c>
      <c r="B26" s="18" t="e">
        <f>_xlfn.XLOOKUP(A26,'Ditch Calculations'!$A$34:$A$114,'Ditch Calculations'!$C$34:$C$114)</f>
        <v>#N/A</v>
      </c>
      <c r="C26" s="2" t="e">
        <f>IF(_xlfn.XLOOKUP(A26,'Inputs-Results'!$A$9:$A$35,'Inputs-Results'!$P$9:$P$35)-_xlfn.XLOOKUP(A26,'Inputs-Results'!$A$9:$A$35,'Inputs-Results'!$X$9:$X$35)&gt;0,_xlfn.XLOOKUP(A26,'Inputs-Results'!$A$9:$A$35,'Inputs-Results'!$P$9:$P$35)-_xlfn.XLOOKUP(A26,'Inputs-Results'!$A$9:$A$35,'Inputs-Results'!$X$9:$X$35),0)</f>
        <v>#N/A</v>
      </c>
      <c r="D26" s="2" t="e">
        <f>'Standard Data'!$D$9*(1-_xlfn.XLOOKUP(A26,'Inputs-Results'!$A$9:$A$35,'Inputs-Results'!$AF$9:$AF$35))</f>
        <v>#N/A</v>
      </c>
      <c r="E26" s="2" t="e">
        <f>'Standard Data'!$B$9*(1-_xlfn.XLOOKUP(A26,'Inputs-Results'!$A$9:$A$35,'Inputs-Results'!$AF$9:$AF$35))</f>
        <v>#N/A</v>
      </c>
      <c r="F26" s="2" t="e">
        <f>(_xlfn.XLOOKUP(A26,'Inputs-Results'!$A$9:$A$35,'Inputs-Results'!$M$9:$M$35)/(0.67*E26))^2/(2*32.2)</f>
        <v>#N/A</v>
      </c>
      <c r="G26" s="18" t="e">
        <f>(_xlfn.XLOOKUP(A26,'Inputs-Results'!$A$9:$A$35,'Inputs-Results'!$M$9:$M$35)/3/E26)^(1/1.5)</f>
        <v>#N/A</v>
      </c>
      <c r="H26" s="42" t="e">
        <f t="shared" si="6"/>
        <v>#N/A</v>
      </c>
      <c r="I26" s="2" t="e">
        <f t="shared" si="7"/>
        <v>#N/A</v>
      </c>
      <c r="J26" s="19" t="e">
        <f t="shared" si="8"/>
        <v>#N/A</v>
      </c>
      <c r="K26" s="19" t="e">
        <f>IF(C26&gt;=_xlfn.XLOOKUP(A26,'Inputs-Results'!$A$9:$A$35,'Inputs-Results'!$Z$9:$Z$35)-_xlfn.XLOOKUP(A26,'Inputs-Results'!$A$9:$A$35,'Inputs-Results'!$X$9:$X$35),(_xlfn.XLOOKUP(A26,'Inputs-Results'!$A$9:$A$35,'Inputs-Results'!$Y$9:$Y$35)-_xlfn.XLOOKUP(A26,'Inputs-Results'!$A$9:$A$35,'Inputs-Results'!$W$9:$W$35))+((_xlfn.XLOOKUP(A26,'Inputs-Results'!$A$9:$A$35,'Inputs-Results'!$AA$9:$AA$35)-_xlfn.XLOOKUP(A26,'Inputs-Results'!$A$9:$A$35,'Inputs-Results'!$Y$9:$Y$35))*(C26-(_xlfn.XLOOKUP(A26,'Inputs-Results'!$A$9:$A$35,'Inputs-Results'!$Z$9:$Z$35)-_xlfn.XLOOKUP(A26,'Inputs-Results'!$A$9:$A$35,'Inputs-Results'!$X$9:$X$35))))/(_xlfn.XLOOKUP(A26,'Inputs-Results'!$A$9:$A$35,'Inputs-Results'!$AB$9:$AB$35)-_xlfn.XLOOKUP(A26,'Inputs-Results'!$A$9:$A$35,'Inputs-Results'!$Z$9:$Z$35)),((_xlfn.XLOOKUP(A26,'Inputs-Results'!$A$9:$A$35,'Inputs-Results'!$Y$9:$Y$35)-_xlfn.XLOOKUP(A26,'Inputs-Results'!$A$9:$A$35,'Inputs-Results'!$W$9:$W$35))*C26)/(_xlfn.XLOOKUP(A26,'Inputs-Results'!$A$9:$A$35,'Inputs-Results'!$Z$9:$Z$35)-_xlfn.XLOOKUP(A26,'Inputs-Results'!$A$9:$A$35,'Inputs-Results'!$X$9:$X$35)))+IF(C26&gt;=_xlfn.XLOOKUP(A26,'Inputs-Results'!$A$9:$A$35,'Inputs-Results'!$V$9:$V$35)-_xlfn.XLOOKUP(A26,'Inputs-Results'!$A$9:$A$35,'Inputs-Results'!$X$9:$X$35),ABS(_xlfn.XLOOKUP(A26,'Inputs-Results'!$A$9:$A$35,'Inputs-Results'!$W$9:$W$35)-_xlfn.XLOOKUP(A26,'Inputs-Results'!$A$9:$A$35,'Inputs-Results'!$U$9:$U$35))+ABS((_xlfn.XLOOKUP(A26,'Inputs-Results'!$A$9:$A$35,'Inputs-Results'!$U$9:$U$35)-_xlfn.XLOOKUP(A26,'Inputs-Results'!$A$9:$A$35,'Inputs-Results'!$S$9:$S$35))*(C26-(_xlfn.XLOOKUP(A26,'Inputs-Results'!$A$9:$A$35,'Inputs-Results'!$V$9:$V$35)-_xlfn.XLOOKUP(A26,'Inputs-Results'!$A$9:$A$35,'Inputs-Results'!$X$9:$X$35))))/(_xlfn.XLOOKUP(A26,'Inputs-Results'!$A$9:$A$35,'Inputs-Results'!$T$9:$T$35)-_xlfn.XLOOKUP(A26,'Inputs-Results'!$A$9:$A$35,'Inputs-Results'!$V$9:$V$35)),ABS((_xlfn.XLOOKUP(A26,'Inputs-Results'!$A$9:$A$35,'Inputs-Results'!$W$9:$W$35)-_xlfn.XLOOKUP(A26,'Inputs-Results'!$A$9:$A$35,'Inputs-Results'!$U$9:$U$35))*C26)/(_xlfn.XLOOKUP(A26,'Inputs-Results'!$A$9:$A$35,'Inputs-Results'!$V$9:$V$35)-_xlfn.XLOOKUP(A26,'Inputs-Results'!$A$9:$A$35,'Inputs-Results'!$X$9:$X$35)))</f>
        <v>#N/A</v>
      </c>
      <c r="L26" s="2" t="e">
        <f>IF(_xlfn.XLOOKUP(A26,'Inputs-Results'!A32:A58,'Inputs-Results'!Q32:Q58)&gt;0,_xlfn.XLOOKUP(A26,'Inputs-Results'!A32:A58,'Inputs-Results'!Q32:Q58),3)</f>
        <v>#N/A</v>
      </c>
      <c r="M26" s="2">
        <v>0.2</v>
      </c>
      <c r="N26" s="2" t="e" cm="1">
        <f t="array" ref="N26">INDEX('Standard Data'!$Q$23:$AB$40,_xlfn.XMATCH(M26,'Standard Data'!$Q$23:$Q$40,0),_xlfn.XMATCH($L26,'Standard Data'!$Q$23:$AB$23,0))</f>
        <v>#N/A</v>
      </c>
      <c r="O26" s="19" t="e">
        <f t="shared" si="0"/>
        <v>#N/A</v>
      </c>
      <c r="P26" s="2" t="e">
        <f t="shared" si="9"/>
        <v>#N/A</v>
      </c>
      <c r="Q26" s="2">
        <v>0.4</v>
      </c>
      <c r="R26" s="2" t="e" cm="1">
        <f t="array" ref="R26">INDEX('Standard Data'!$Q$23:$AB$40,_xlfn.XMATCH(Q26,'Standard Data'!$Q$23:$Q$40,0),_xlfn.XMATCH($L26,'Standard Data'!$Q$23:$AB$23,0))</f>
        <v>#N/A</v>
      </c>
      <c r="S26" s="19" t="e">
        <f t="shared" si="1"/>
        <v>#N/A</v>
      </c>
      <c r="T26" s="2" t="e">
        <f t="shared" si="13"/>
        <v>#N/A</v>
      </c>
      <c r="U26" s="2">
        <v>0.6</v>
      </c>
      <c r="V26" s="2" t="e" cm="1">
        <f t="array" ref="V26">INDEX('Standard Data'!$Q$23:$AB$40,_xlfn.XMATCH(U26,'Standard Data'!$Q$23:$Q$40,0),_xlfn.XMATCH($L26,'Standard Data'!$Q$23:$AB$23,0))</f>
        <v>#N/A</v>
      </c>
      <c r="W26" s="19" t="e">
        <f t="shared" si="2"/>
        <v>#N/A</v>
      </c>
      <c r="X26" s="2" t="e">
        <f t="shared" si="10"/>
        <v>#N/A</v>
      </c>
      <c r="Y26" s="2">
        <v>0.8</v>
      </c>
      <c r="Z26" s="2" t="e" cm="1">
        <f t="array" ref="Z26">INDEX('Standard Data'!$Q$23:$AB$40,_xlfn.XMATCH(Y26,'Standard Data'!$Q$23:$Q$40,0),_xlfn.XMATCH($L26,'Standard Data'!$Q$23:$AB$23,0))</f>
        <v>#N/A</v>
      </c>
      <c r="AA26" s="19" t="e">
        <f t="shared" si="3"/>
        <v>#N/A</v>
      </c>
      <c r="AB26" s="2" t="e">
        <f t="shared" si="11"/>
        <v>#N/A</v>
      </c>
      <c r="AC26" s="2">
        <v>1</v>
      </c>
      <c r="AD26" s="2" t="e" cm="1">
        <f t="array" ref="AD26">INDEX('Standard Data'!$Q$23:$AB$40,_xlfn.XMATCH(AC26,'Standard Data'!$Q$23:$Q$40,0),_xlfn.XMATCH($L26,'Standard Data'!$Q$23:$AB$23,0))</f>
        <v>#N/A</v>
      </c>
      <c r="AE26" s="19" t="e">
        <f t="shared" si="4"/>
        <v>#N/A</v>
      </c>
      <c r="AF26" s="2" t="e">
        <f t="shared" si="12"/>
        <v>#N/A</v>
      </c>
      <c r="AG26" s="19" t="e">
        <f>_xlfn.XLOOKUP(A26,'Inputs-Results'!$A$9:$A$35,'Inputs-Results'!$M$9:$M$35)</f>
        <v>#N/A</v>
      </c>
      <c r="AH26" s="107" t="e">
        <f t="shared" si="15"/>
        <v>#N/A</v>
      </c>
      <c r="AI26" s="107" t="e">
        <f t="shared" si="14"/>
        <v>#N/A</v>
      </c>
    </row>
    <row r="27" spans="1:101" x14ac:dyDescent="0.25">
      <c r="A27" s="2">
        <f>'Inputs-Results'!A33</f>
        <v>0</v>
      </c>
      <c r="B27" s="18" t="e">
        <f>_xlfn.XLOOKUP(A27,'Ditch Calculations'!$A$34:$A$114,'Ditch Calculations'!$C$34:$C$114)</f>
        <v>#N/A</v>
      </c>
      <c r="C27" s="2" t="e">
        <f>IF(_xlfn.XLOOKUP(A27,'Inputs-Results'!$A$9:$A$35,'Inputs-Results'!$P$9:$P$35)-_xlfn.XLOOKUP(A27,'Inputs-Results'!$A$9:$A$35,'Inputs-Results'!$X$9:$X$35)&gt;0,_xlfn.XLOOKUP(A27,'Inputs-Results'!$A$9:$A$35,'Inputs-Results'!$P$9:$P$35)-_xlfn.XLOOKUP(A27,'Inputs-Results'!$A$9:$A$35,'Inputs-Results'!$X$9:$X$35),0)</f>
        <v>#N/A</v>
      </c>
      <c r="D27" s="2" t="e">
        <f>'Standard Data'!$D$9*(1-_xlfn.XLOOKUP(A27,'Inputs-Results'!$A$9:$A$35,'Inputs-Results'!$AF$9:$AF$35))</f>
        <v>#N/A</v>
      </c>
      <c r="E27" s="2" t="e">
        <f>'Standard Data'!$B$9*(1-_xlfn.XLOOKUP(A27,'Inputs-Results'!$A$9:$A$35,'Inputs-Results'!$AF$9:$AF$35))</f>
        <v>#N/A</v>
      </c>
      <c r="F27" s="2" t="e">
        <f>(_xlfn.XLOOKUP(A27,'Inputs-Results'!$A$9:$A$35,'Inputs-Results'!$M$9:$M$35)/(0.67*E27))^2/(2*32.2)</f>
        <v>#N/A</v>
      </c>
      <c r="G27" s="18" t="e">
        <f>(_xlfn.XLOOKUP(A27,'Inputs-Results'!$A$9:$A$35,'Inputs-Results'!$M$9:$M$35)/3/E27)^(1/1.5)</f>
        <v>#N/A</v>
      </c>
      <c r="H27" s="42" t="e">
        <f t="shared" si="6"/>
        <v>#N/A</v>
      </c>
      <c r="I27" s="2" t="e">
        <f t="shared" si="7"/>
        <v>#N/A</v>
      </c>
      <c r="J27" s="19" t="e">
        <f t="shared" si="8"/>
        <v>#N/A</v>
      </c>
      <c r="K27" s="19" t="e">
        <f>IF(C27&gt;=_xlfn.XLOOKUP(A27,'Inputs-Results'!$A$9:$A$35,'Inputs-Results'!$Z$9:$Z$35)-_xlfn.XLOOKUP(A27,'Inputs-Results'!$A$9:$A$35,'Inputs-Results'!$X$9:$X$35),(_xlfn.XLOOKUP(A27,'Inputs-Results'!$A$9:$A$35,'Inputs-Results'!$Y$9:$Y$35)-_xlfn.XLOOKUP(A27,'Inputs-Results'!$A$9:$A$35,'Inputs-Results'!$W$9:$W$35))+((_xlfn.XLOOKUP(A27,'Inputs-Results'!$A$9:$A$35,'Inputs-Results'!$AA$9:$AA$35)-_xlfn.XLOOKUP(A27,'Inputs-Results'!$A$9:$A$35,'Inputs-Results'!$Y$9:$Y$35))*(C27-(_xlfn.XLOOKUP(A27,'Inputs-Results'!$A$9:$A$35,'Inputs-Results'!$Z$9:$Z$35)-_xlfn.XLOOKUP(A27,'Inputs-Results'!$A$9:$A$35,'Inputs-Results'!$X$9:$X$35))))/(_xlfn.XLOOKUP(A27,'Inputs-Results'!$A$9:$A$35,'Inputs-Results'!$AB$9:$AB$35)-_xlfn.XLOOKUP(A27,'Inputs-Results'!$A$9:$A$35,'Inputs-Results'!$Z$9:$Z$35)),((_xlfn.XLOOKUP(A27,'Inputs-Results'!$A$9:$A$35,'Inputs-Results'!$Y$9:$Y$35)-_xlfn.XLOOKUP(A27,'Inputs-Results'!$A$9:$A$35,'Inputs-Results'!$W$9:$W$35))*C27)/(_xlfn.XLOOKUP(A27,'Inputs-Results'!$A$9:$A$35,'Inputs-Results'!$Z$9:$Z$35)-_xlfn.XLOOKUP(A27,'Inputs-Results'!$A$9:$A$35,'Inputs-Results'!$X$9:$X$35)))+IF(C27&gt;=_xlfn.XLOOKUP(A27,'Inputs-Results'!$A$9:$A$35,'Inputs-Results'!$V$9:$V$35)-_xlfn.XLOOKUP(A27,'Inputs-Results'!$A$9:$A$35,'Inputs-Results'!$X$9:$X$35),ABS(_xlfn.XLOOKUP(A27,'Inputs-Results'!$A$9:$A$35,'Inputs-Results'!$W$9:$W$35)-_xlfn.XLOOKUP(A27,'Inputs-Results'!$A$9:$A$35,'Inputs-Results'!$U$9:$U$35))+ABS((_xlfn.XLOOKUP(A27,'Inputs-Results'!$A$9:$A$35,'Inputs-Results'!$U$9:$U$35)-_xlfn.XLOOKUP(A27,'Inputs-Results'!$A$9:$A$35,'Inputs-Results'!$S$9:$S$35))*(C27-(_xlfn.XLOOKUP(A27,'Inputs-Results'!$A$9:$A$35,'Inputs-Results'!$V$9:$V$35)-_xlfn.XLOOKUP(A27,'Inputs-Results'!$A$9:$A$35,'Inputs-Results'!$X$9:$X$35))))/(_xlfn.XLOOKUP(A27,'Inputs-Results'!$A$9:$A$35,'Inputs-Results'!$T$9:$T$35)-_xlfn.XLOOKUP(A27,'Inputs-Results'!$A$9:$A$35,'Inputs-Results'!$V$9:$V$35)),ABS((_xlfn.XLOOKUP(A27,'Inputs-Results'!$A$9:$A$35,'Inputs-Results'!$W$9:$W$35)-_xlfn.XLOOKUP(A27,'Inputs-Results'!$A$9:$A$35,'Inputs-Results'!$U$9:$U$35))*C27)/(_xlfn.XLOOKUP(A27,'Inputs-Results'!$A$9:$A$35,'Inputs-Results'!$V$9:$V$35)-_xlfn.XLOOKUP(A27,'Inputs-Results'!$A$9:$A$35,'Inputs-Results'!$X$9:$X$35)))</f>
        <v>#N/A</v>
      </c>
      <c r="L27" s="2" t="e">
        <f>IF(_xlfn.XLOOKUP(A27,'Inputs-Results'!A33:A59,'Inputs-Results'!Q33:Q59)&gt;0,_xlfn.XLOOKUP(A27,'Inputs-Results'!A33:A59,'Inputs-Results'!Q33:Q59),3)</f>
        <v>#N/A</v>
      </c>
      <c r="M27" s="2">
        <v>0.2</v>
      </c>
      <c r="N27" s="2" t="e" cm="1">
        <f t="array" ref="N27">INDEX('Standard Data'!$Q$23:$AB$40,_xlfn.XMATCH(M27,'Standard Data'!$Q$23:$Q$40,0),_xlfn.XMATCH($L27,'Standard Data'!$Q$23:$AB$23,0))</f>
        <v>#N/A</v>
      </c>
      <c r="O27" s="19" t="e">
        <f t="shared" si="0"/>
        <v>#N/A</v>
      </c>
      <c r="P27" s="2" t="e">
        <f t="shared" si="9"/>
        <v>#N/A</v>
      </c>
      <c r="Q27" s="2">
        <v>0.4</v>
      </c>
      <c r="R27" s="2" t="e" cm="1">
        <f t="array" ref="R27">INDEX('Standard Data'!$Q$23:$AB$40,_xlfn.XMATCH(Q27,'Standard Data'!$Q$23:$Q$40,0),_xlfn.XMATCH($L27,'Standard Data'!$Q$23:$AB$23,0))</f>
        <v>#N/A</v>
      </c>
      <c r="S27" s="19" t="e">
        <f t="shared" si="1"/>
        <v>#N/A</v>
      </c>
      <c r="T27" s="2" t="e">
        <f t="shared" si="13"/>
        <v>#N/A</v>
      </c>
      <c r="U27" s="2">
        <v>0.6</v>
      </c>
      <c r="V27" s="2" t="e" cm="1">
        <f t="array" ref="V27">INDEX('Standard Data'!$Q$23:$AB$40,_xlfn.XMATCH(U27,'Standard Data'!$Q$23:$Q$40,0),_xlfn.XMATCH($L27,'Standard Data'!$Q$23:$AB$23,0))</f>
        <v>#N/A</v>
      </c>
      <c r="W27" s="19" t="e">
        <f t="shared" si="2"/>
        <v>#N/A</v>
      </c>
      <c r="X27" s="2" t="e">
        <f t="shared" si="10"/>
        <v>#N/A</v>
      </c>
      <c r="Y27" s="2">
        <v>0.8</v>
      </c>
      <c r="Z27" s="2" t="e" cm="1">
        <f t="array" ref="Z27">INDEX('Standard Data'!$Q$23:$AB$40,_xlfn.XMATCH(Y27,'Standard Data'!$Q$23:$Q$40,0),_xlfn.XMATCH($L27,'Standard Data'!$Q$23:$AB$23,0))</f>
        <v>#N/A</v>
      </c>
      <c r="AA27" s="19" t="e">
        <f t="shared" si="3"/>
        <v>#N/A</v>
      </c>
      <c r="AB27" s="2" t="e">
        <f t="shared" si="11"/>
        <v>#N/A</v>
      </c>
      <c r="AC27" s="2">
        <v>1</v>
      </c>
      <c r="AD27" s="2" t="e" cm="1">
        <f t="array" ref="AD27">INDEX('Standard Data'!$Q$23:$AB$40,_xlfn.XMATCH(AC27,'Standard Data'!$Q$23:$Q$40,0),_xlfn.XMATCH($L27,'Standard Data'!$Q$23:$AB$23,0))</f>
        <v>#N/A</v>
      </c>
      <c r="AE27" s="19" t="e">
        <f t="shared" si="4"/>
        <v>#N/A</v>
      </c>
      <c r="AF27" s="2" t="e">
        <f t="shared" si="12"/>
        <v>#N/A</v>
      </c>
      <c r="AG27" s="19" t="e">
        <f>_xlfn.XLOOKUP(A27,'Inputs-Results'!$A$9:$A$35,'Inputs-Results'!$M$9:$M$35)</f>
        <v>#N/A</v>
      </c>
      <c r="AH27" s="107" t="e">
        <f t="shared" si="15"/>
        <v>#N/A</v>
      </c>
      <c r="AI27" s="107" t="e">
        <f t="shared" si="14"/>
        <v>#N/A</v>
      </c>
    </row>
    <row r="28" spans="1:101" x14ac:dyDescent="0.25">
      <c r="A28" s="2">
        <f>'Inputs-Results'!A34</f>
        <v>0</v>
      </c>
      <c r="B28" s="18" t="e">
        <f>_xlfn.XLOOKUP(A28,'Ditch Calculations'!$A$34:$A$114,'Ditch Calculations'!$C$34:$C$114)</f>
        <v>#N/A</v>
      </c>
      <c r="C28" s="2" t="e">
        <f>IF(_xlfn.XLOOKUP(A28,'Inputs-Results'!$A$9:$A$35,'Inputs-Results'!$P$9:$P$35)-_xlfn.XLOOKUP(A28,'Inputs-Results'!$A$9:$A$35,'Inputs-Results'!$X$9:$X$35)&gt;0,_xlfn.XLOOKUP(A28,'Inputs-Results'!$A$9:$A$35,'Inputs-Results'!$P$9:$P$35)-_xlfn.XLOOKUP(A28,'Inputs-Results'!$A$9:$A$35,'Inputs-Results'!$X$9:$X$35),0)</f>
        <v>#N/A</v>
      </c>
      <c r="D28" s="2" t="e">
        <f>'Standard Data'!$D$9*(1-_xlfn.XLOOKUP(A28,'Inputs-Results'!$A$9:$A$35,'Inputs-Results'!$AF$9:$AF$35))</f>
        <v>#N/A</v>
      </c>
      <c r="E28" s="2" t="e">
        <f>'Standard Data'!$B$9*(1-_xlfn.XLOOKUP(A28,'Inputs-Results'!$A$9:$A$35,'Inputs-Results'!$AF$9:$AF$35))</f>
        <v>#N/A</v>
      </c>
      <c r="F28" s="2" t="e">
        <f>(_xlfn.XLOOKUP(A28,'Inputs-Results'!$A$9:$A$35,'Inputs-Results'!$M$9:$M$35)/(0.67*E28))^2/(2*32.2)</f>
        <v>#N/A</v>
      </c>
      <c r="G28" s="18" t="e">
        <f>(_xlfn.XLOOKUP(A28,'Inputs-Results'!$A$9:$A$35,'Inputs-Results'!$M$9:$M$35)/3/E28)^(1/1.5)</f>
        <v>#N/A</v>
      </c>
      <c r="H28" s="42" t="e">
        <f t="shared" si="6"/>
        <v>#N/A</v>
      </c>
      <c r="I28" s="2" t="e">
        <f t="shared" si="7"/>
        <v>#N/A</v>
      </c>
      <c r="J28" s="19" t="e">
        <f t="shared" si="8"/>
        <v>#N/A</v>
      </c>
      <c r="K28" s="19" t="e">
        <f>IF(C28&gt;=_xlfn.XLOOKUP(A28,'Inputs-Results'!$A$9:$A$35,'Inputs-Results'!$Z$9:$Z$35)-_xlfn.XLOOKUP(A28,'Inputs-Results'!$A$9:$A$35,'Inputs-Results'!$X$9:$X$35),(_xlfn.XLOOKUP(A28,'Inputs-Results'!$A$9:$A$35,'Inputs-Results'!$Y$9:$Y$35)-_xlfn.XLOOKUP(A28,'Inputs-Results'!$A$9:$A$35,'Inputs-Results'!$W$9:$W$35))+((_xlfn.XLOOKUP(A28,'Inputs-Results'!$A$9:$A$35,'Inputs-Results'!$AA$9:$AA$35)-_xlfn.XLOOKUP(A28,'Inputs-Results'!$A$9:$A$35,'Inputs-Results'!$Y$9:$Y$35))*(C28-(_xlfn.XLOOKUP(A28,'Inputs-Results'!$A$9:$A$35,'Inputs-Results'!$Z$9:$Z$35)-_xlfn.XLOOKUP(A28,'Inputs-Results'!$A$9:$A$35,'Inputs-Results'!$X$9:$X$35))))/(_xlfn.XLOOKUP(A28,'Inputs-Results'!$A$9:$A$35,'Inputs-Results'!$AB$9:$AB$35)-_xlfn.XLOOKUP(A28,'Inputs-Results'!$A$9:$A$35,'Inputs-Results'!$Z$9:$Z$35)),((_xlfn.XLOOKUP(A28,'Inputs-Results'!$A$9:$A$35,'Inputs-Results'!$Y$9:$Y$35)-_xlfn.XLOOKUP(A28,'Inputs-Results'!$A$9:$A$35,'Inputs-Results'!$W$9:$W$35))*C28)/(_xlfn.XLOOKUP(A28,'Inputs-Results'!$A$9:$A$35,'Inputs-Results'!$Z$9:$Z$35)-_xlfn.XLOOKUP(A28,'Inputs-Results'!$A$9:$A$35,'Inputs-Results'!$X$9:$X$35)))+IF(C28&gt;=_xlfn.XLOOKUP(A28,'Inputs-Results'!$A$9:$A$35,'Inputs-Results'!$V$9:$V$35)-_xlfn.XLOOKUP(A28,'Inputs-Results'!$A$9:$A$35,'Inputs-Results'!$X$9:$X$35),ABS(_xlfn.XLOOKUP(A28,'Inputs-Results'!$A$9:$A$35,'Inputs-Results'!$W$9:$W$35)-_xlfn.XLOOKUP(A28,'Inputs-Results'!$A$9:$A$35,'Inputs-Results'!$U$9:$U$35))+ABS((_xlfn.XLOOKUP(A28,'Inputs-Results'!$A$9:$A$35,'Inputs-Results'!$U$9:$U$35)-_xlfn.XLOOKUP(A28,'Inputs-Results'!$A$9:$A$35,'Inputs-Results'!$S$9:$S$35))*(C28-(_xlfn.XLOOKUP(A28,'Inputs-Results'!$A$9:$A$35,'Inputs-Results'!$V$9:$V$35)-_xlfn.XLOOKUP(A28,'Inputs-Results'!$A$9:$A$35,'Inputs-Results'!$X$9:$X$35))))/(_xlfn.XLOOKUP(A28,'Inputs-Results'!$A$9:$A$35,'Inputs-Results'!$T$9:$T$35)-_xlfn.XLOOKUP(A28,'Inputs-Results'!$A$9:$A$35,'Inputs-Results'!$V$9:$V$35)),ABS((_xlfn.XLOOKUP(A28,'Inputs-Results'!$A$9:$A$35,'Inputs-Results'!$W$9:$W$35)-_xlfn.XLOOKUP(A28,'Inputs-Results'!$A$9:$A$35,'Inputs-Results'!$U$9:$U$35))*C28)/(_xlfn.XLOOKUP(A28,'Inputs-Results'!$A$9:$A$35,'Inputs-Results'!$V$9:$V$35)-_xlfn.XLOOKUP(A28,'Inputs-Results'!$A$9:$A$35,'Inputs-Results'!$X$9:$X$35)))</f>
        <v>#N/A</v>
      </c>
      <c r="L28" s="2" t="e">
        <f>IF(_xlfn.XLOOKUP(A28,'Inputs-Results'!A34:A60,'Inputs-Results'!Q34:Q60)&gt;0,_xlfn.XLOOKUP(A28,'Inputs-Results'!A34:A60,'Inputs-Results'!Q34:Q60),3)</f>
        <v>#N/A</v>
      </c>
      <c r="M28" s="2">
        <v>0.2</v>
      </c>
      <c r="N28" s="2" t="e" cm="1">
        <f t="array" ref="N28">INDEX('Standard Data'!$Q$23:$AB$40,_xlfn.XMATCH(M28,'Standard Data'!$Q$23:$Q$40,0),_xlfn.XMATCH($L28,'Standard Data'!$Q$23:$AB$23,0))</f>
        <v>#N/A</v>
      </c>
      <c r="O28" s="19" t="e">
        <f t="shared" si="0"/>
        <v>#N/A</v>
      </c>
      <c r="P28" s="2" t="e">
        <f t="shared" si="9"/>
        <v>#N/A</v>
      </c>
      <c r="Q28" s="2">
        <v>0.4</v>
      </c>
      <c r="R28" s="2" t="e" cm="1">
        <f t="array" ref="R28">INDEX('Standard Data'!$Q$23:$AB$40,_xlfn.XMATCH(Q28,'Standard Data'!$Q$23:$Q$40,0),_xlfn.XMATCH($L28,'Standard Data'!$Q$23:$AB$23,0))</f>
        <v>#N/A</v>
      </c>
      <c r="S28" s="19" t="e">
        <f t="shared" si="1"/>
        <v>#N/A</v>
      </c>
      <c r="T28" s="2" t="e">
        <f t="shared" si="13"/>
        <v>#N/A</v>
      </c>
      <c r="U28" s="2">
        <v>0.6</v>
      </c>
      <c r="V28" s="2" t="e" cm="1">
        <f t="array" ref="V28">INDEX('Standard Data'!$Q$23:$AB$40,_xlfn.XMATCH(U28,'Standard Data'!$Q$23:$Q$40,0),_xlfn.XMATCH($L28,'Standard Data'!$Q$23:$AB$23,0))</f>
        <v>#N/A</v>
      </c>
      <c r="W28" s="19" t="e">
        <f t="shared" si="2"/>
        <v>#N/A</v>
      </c>
      <c r="X28" s="2" t="e">
        <f t="shared" si="10"/>
        <v>#N/A</v>
      </c>
      <c r="Y28" s="2">
        <v>0.8</v>
      </c>
      <c r="Z28" s="2" t="e" cm="1">
        <f t="array" ref="Z28">INDEX('Standard Data'!$Q$23:$AB$40,_xlfn.XMATCH(Y28,'Standard Data'!$Q$23:$Q$40,0),_xlfn.XMATCH($L28,'Standard Data'!$Q$23:$AB$23,0))</f>
        <v>#N/A</v>
      </c>
      <c r="AA28" s="19" t="e">
        <f t="shared" si="3"/>
        <v>#N/A</v>
      </c>
      <c r="AB28" s="2" t="e">
        <f t="shared" si="11"/>
        <v>#N/A</v>
      </c>
      <c r="AC28" s="2">
        <v>1</v>
      </c>
      <c r="AD28" s="2" t="e" cm="1">
        <f t="array" ref="AD28">INDEX('Standard Data'!$Q$23:$AB$40,_xlfn.XMATCH(AC28,'Standard Data'!$Q$23:$Q$40,0),_xlfn.XMATCH($L28,'Standard Data'!$Q$23:$AB$23,0))</f>
        <v>#N/A</v>
      </c>
      <c r="AE28" s="19" t="e">
        <f t="shared" si="4"/>
        <v>#N/A</v>
      </c>
      <c r="AF28" s="2" t="e">
        <f t="shared" si="12"/>
        <v>#N/A</v>
      </c>
      <c r="AG28" s="19" t="e">
        <f>_xlfn.XLOOKUP(A28,'Inputs-Results'!$A$9:$A$35,'Inputs-Results'!$M$9:$M$35)</f>
        <v>#N/A</v>
      </c>
      <c r="AH28" s="107" t="e">
        <f t="shared" si="15"/>
        <v>#N/A</v>
      </c>
      <c r="AI28" s="107" t="e">
        <f t="shared" si="14"/>
        <v>#N/A</v>
      </c>
    </row>
    <row r="29" spans="1:101" x14ac:dyDescent="0.25">
      <c r="A29" s="2">
        <f>'Inputs-Results'!A35</f>
        <v>0</v>
      </c>
      <c r="B29" s="18" t="e">
        <f>_xlfn.XLOOKUP(A29,'Ditch Calculations'!$A$34:$A$114,'Ditch Calculations'!$C$34:$C$114)</f>
        <v>#N/A</v>
      </c>
      <c r="C29" s="2" t="e">
        <f>IF(_xlfn.XLOOKUP(A29,'Inputs-Results'!$A$9:$A$35,'Inputs-Results'!$P$9:$P$35)-_xlfn.XLOOKUP(A29,'Inputs-Results'!$A$9:$A$35,'Inputs-Results'!$X$9:$X$35)&gt;0,_xlfn.XLOOKUP(A29,'Inputs-Results'!$A$9:$A$35,'Inputs-Results'!$P$9:$P$35)-_xlfn.XLOOKUP(A29,'Inputs-Results'!$A$9:$A$35,'Inputs-Results'!$X$9:$X$35),0)</f>
        <v>#N/A</v>
      </c>
      <c r="D29" s="2" t="e">
        <f>'Standard Data'!$D$9*(1-_xlfn.XLOOKUP(A29,'Inputs-Results'!$A$9:$A$35,'Inputs-Results'!$AF$9:$AF$35))</f>
        <v>#N/A</v>
      </c>
      <c r="E29" s="2" t="e">
        <f>'Standard Data'!$B$9*(1-_xlfn.XLOOKUP(A29,'Inputs-Results'!$A$9:$A$35,'Inputs-Results'!$AF$9:$AF$35))</f>
        <v>#N/A</v>
      </c>
      <c r="F29" s="2" t="e">
        <f>(_xlfn.XLOOKUP(A29,'Inputs-Results'!$A$9:$A$35,'Inputs-Results'!$M$9:$M$35)/(0.67*E29))^2/(2*32.2)</f>
        <v>#N/A</v>
      </c>
      <c r="G29" s="18" t="e">
        <f>(_xlfn.XLOOKUP(A29,'Inputs-Results'!$A$9:$A$35,'Inputs-Results'!$M$9:$M$35)/3/E29)^(1/1.5)</f>
        <v>#N/A</v>
      </c>
      <c r="H29" s="42" t="e">
        <f t="shared" si="6"/>
        <v>#N/A</v>
      </c>
      <c r="I29" s="2" t="e">
        <f t="shared" si="7"/>
        <v>#N/A</v>
      </c>
      <c r="J29" s="19" t="e">
        <f t="shared" si="8"/>
        <v>#N/A</v>
      </c>
      <c r="K29" s="19" t="e">
        <f>IF(C29&gt;=_xlfn.XLOOKUP(A29,'Inputs-Results'!$A$9:$A$35,'Inputs-Results'!$Z$9:$Z$35)-_xlfn.XLOOKUP(A29,'Inputs-Results'!$A$9:$A$35,'Inputs-Results'!$X$9:$X$35),(_xlfn.XLOOKUP(A29,'Inputs-Results'!$A$9:$A$35,'Inputs-Results'!$Y$9:$Y$35)-_xlfn.XLOOKUP(A29,'Inputs-Results'!$A$9:$A$35,'Inputs-Results'!$W$9:$W$35))+((_xlfn.XLOOKUP(A29,'Inputs-Results'!$A$9:$A$35,'Inputs-Results'!$AA$9:$AA$35)-_xlfn.XLOOKUP(A29,'Inputs-Results'!$A$9:$A$35,'Inputs-Results'!$Y$9:$Y$35))*(C29-(_xlfn.XLOOKUP(A29,'Inputs-Results'!$A$9:$A$35,'Inputs-Results'!$Z$9:$Z$35)-_xlfn.XLOOKUP(A29,'Inputs-Results'!$A$9:$A$35,'Inputs-Results'!$X$9:$X$35))))/(_xlfn.XLOOKUP(A29,'Inputs-Results'!$A$9:$A$35,'Inputs-Results'!$AB$9:$AB$35)-_xlfn.XLOOKUP(A29,'Inputs-Results'!$A$9:$A$35,'Inputs-Results'!$Z$9:$Z$35)),((_xlfn.XLOOKUP(A29,'Inputs-Results'!$A$9:$A$35,'Inputs-Results'!$Y$9:$Y$35)-_xlfn.XLOOKUP(A29,'Inputs-Results'!$A$9:$A$35,'Inputs-Results'!$W$9:$W$35))*C29)/(_xlfn.XLOOKUP(A29,'Inputs-Results'!$A$9:$A$35,'Inputs-Results'!$Z$9:$Z$35)-_xlfn.XLOOKUP(A29,'Inputs-Results'!$A$9:$A$35,'Inputs-Results'!$X$9:$X$35)))+IF(C29&gt;=_xlfn.XLOOKUP(A29,'Inputs-Results'!$A$9:$A$35,'Inputs-Results'!$V$9:$V$35)-_xlfn.XLOOKUP(A29,'Inputs-Results'!$A$9:$A$35,'Inputs-Results'!$X$9:$X$35),ABS(_xlfn.XLOOKUP(A29,'Inputs-Results'!$A$9:$A$35,'Inputs-Results'!$W$9:$W$35)-_xlfn.XLOOKUP(A29,'Inputs-Results'!$A$9:$A$35,'Inputs-Results'!$U$9:$U$35))+ABS((_xlfn.XLOOKUP(A29,'Inputs-Results'!$A$9:$A$35,'Inputs-Results'!$U$9:$U$35)-_xlfn.XLOOKUP(A29,'Inputs-Results'!$A$9:$A$35,'Inputs-Results'!$S$9:$S$35))*(C29-(_xlfn.XLOOKUP(A29,'Inputs-Results'!$A$9:$A$35,'Inputs-Results'!$V$9:$V$35)-_xlfn.XLOOKUP(A29,'Inputs-Results'!$A$9:$A$35,'Inputs-Results'!$X$9:$X$35))))/(_xlfn.XLOOKUP(A29,'Inputs-Results'!$A$9:$A$35,'Inputs-Results'!$T$9:$T$35)-_xlfn.XLOOKUP(A29,'Inputs-Results'!$A$9:$A$35,'Inputs-Results'!$V$9:$V$35)),ABS((_xlfn.XLOOKUP(A29,'Inputs-Results'!$A$9:$A$35,'Inputs-Results'!$W$9:$W$35)-_xlfn.XLOOKUP(A29,'Inputs-Results'!$A$9:$A$35,'Inputs-Results'!$U$9:$U$35))*C29)/(_xlfn.XLOOKUP(A29,'Inputs-Results'!$A$9:$A$35,'Inputs-Results'!$V$9:$V$35)-_xlfn.XLOOKUP(A29,'Inputs-Results'!$A$9:$A$35,'Inputs-Results'!$X$9:$X$35)))</f>
        <v>#N/A</v>
      </c>
      <c r="L29" s="2" t="e">
        <f>IF(_xlfn.XLOOKUP(A29,'Inputs-Results'!A35:A61,'Inputs-Results'!Q35:Q61)&gt;0,_xlfn.XLOOKUP(A29,'Inputs-Results'!A35:A61,'Inputs-Results'!Q35:Q61),3)</f>
        <v>#N/A</v>
      </c>
      <c r="M29" s="2">
        <v>0.2</v>
      </c>
      <c r="N29" s="2" t="e" cm="1">
        <f t="array" ref="N29">INDEX('Standard Data'!$Q$23:$AB$40,_xlfn.XMATCH(M29,'Standard Data'!$Q$23:$Q$40,0),_xlfn.XMATCH($L29,'Standard Data'!$Q$23:$AB$23,0))</f>
        <v>#N/A</v>
      </c>
      <c r="O29" s="19" t="e">
        <f t="shared" si="0"/>
        <v>#N/A</v>
      </c>
      <c r="P29" s="2" t="e">
        <f t="shared" si="9"/>
        <v>#N/A</v>
      </c>
      <c r="Q29" s="2">
        <v>0.4</v>
      </c>
      <c r="R29" s="2" t="e" cm="1">
        <f t="array" ref="R29">INDEX('Standard Data'!$Q$23:$AB$40,_xlfn.XMATCH(Q29,'Standard Data'!$Q$23:$Q$40,0),_xlfn.XMATCH($L29,'Standard Data'!$Q$23:$AB$23,0))</f>
        <v>#N/A</v>
      </c>
      <c r="S29" s="19" t="e">
        <f t="shared" si="1"/>
        <v>#N/A</v>
      </c>
      <c r="T29" s="2" t="e">
        <f t="shared" si="13"/>
        <v>#N/A</v>
      </c>
      <c r="U29" s="2">
        <v>0.6</v>
      </c>
      <c r="V29" s="2" t="e" cm="1">
        <f t="array" ref="V29">INDEX('Standard Data'!$Q$23:$AB$40,_xlfn.XMATCH(U29,'Standard Data'!$Q$23:$Q$40,0),_xlfn.XMATCH($L29,'Standard Data'!$Q$23:$AB$23,0))</f>
        <v>#N/A</v>
      </c>
      <c r="W29" s="19" t="e">
        <f t="shared" si="2"/>
        <v>#N/A</v>
      </c>
      <c r="X29" s="2" t="e">
        <f t="shared" si="10"/>
        <v>#N/A</v>
      </c>
      <c r="Y29" s="2">
        <v>0.8</v>
      </c>
      <c r="Z29" s="2" t="e" cm="1">
        <f t="array" ref="Z29">INDEX('Standard Data'!$Q$23:$AB$40,_xlfn.XMATCH(Y29,'Standard Data'!$Q$23:$Q$40,0),_xlfn.XMATCH($L29,'Standard Data'!$Q$23:$AB$23,0))</f>
        <v>#N/A</v>
      </c>
      <c r="AA29" s="19" t="e">
        <f t="shared" si="3"/>
        <v>#N/A</v>
      </c>
      <c r="AB29" s="2" t="e">
        <f t="shared" si="11"/>
        <v>#N/A</v>
      </c>
      <c r="AC29" s="2">
        <v>1</v>
      </c>
      <c r="AD29" s="2" t="e" cm="1">
        <f t="array" ref="AD29">INDEX('Standard Data'!$Q$23:$AB$40,_xlfn.XMATCH(AC29,'Standard Data'!$Q$23:$Q$40,0),_xlfn.XMATCH($L29,'Standard Data'!$Q$23:$AB$23,0))</f>
        <v>#N/A</v>
      </c>
      <c r="AE29" s="19" t="e">
        <f t="shared" si="4"/>
        <v>#N/A</v>
      </c>
      <c r="AF29" s="2" t="e">
        <f t="shared" si="12"/>
        <v>#N/A</v>
      </c>
      <c r="AG29" s="19" t="e">
        <f>_xlfn.XLOOKUP(A29,'Inputs-Results'!$A$9:$A$35,'Inputs-Results'!$M$9:$M$35)</f>
        <v>#N/A</v>
      </c>
      <c r="AH29" s="107" t="e">
        <f t="shared" si="15"/>
        <v>#N/A</v>
      </c>
      <c r="AI29" s="107" t="e">
        <f t="shared" si="14"/>
        <v>#N/A</v>
      </c>
    </row>
    <row r="31" spans="1:101" ht="15.75" thickBot="1" x14ac:dyDescent="0.3"/>
    <row r="32" spans="1:101" x14ac:dyDescent="0.25">
      <c r="A32" t="s">
        <v>148</v>
      </c>
      <c r="S32" s="165" t="s">
        <v>206</v>
      </c>
      <c r="T32" s="166"/>
      <c r="U32" s="166"/>
      <c r="V32" s="166"/>
      <c r="W32" s="167"/>
      <c r="X32" s="165" t="s">
        <v>55</v>
      </c>
      <c r="Y32" s="166"/>
      <c r="Z32" s="166"/>
      <c r="AA32" s="166"/>
      <c r="AB32" s="167"/>
      <c r="AC32" s="171" t="s">
        <v>207</v>
      </c>
      <c r="AD32" s="172"/>
      <c r="AE32" s="172"/>
      <c r="AF32" s="172"/>
      <c r="AG32" s="173"/>
      <c r="AH32" s="171" t="s">
        <v>48</v>
      </c>
      <c r="AI32" s="172"/>
      <c r="AJ32" s="172"/>
      <c r="AK32" s="172"/>
      <c r="AL32" s="173"/>
      <c r="AM32" s="165" t="s">
        <v>46</v>
      </c>
      <c r="AN32" s="166"/>
      <c r="AO32" s="166"/>
      <c r="AP32" s="166"/>
      <c r="AQ32" s="167"/>
      <c r="AR32" s="174" t="s">
        <v>51</v>
      </c>
      <c r="AS32" s="175"/>
      <c r="AT32" s="175"/>
      <c r="AU32" s="175"/>
      <c r="AV32" s="175"/>
      <c r="AW32" s="165" t="s">
        <v>61</v>
      </c>
      <c r="AX32" s="166"/>
      <c r="AY32" s="166"/>
      <c r="AZ32" s="166"/>
      <c r="BA32" s="176"/>
      <c r="BB32" s="165" t="s">
        <v>49</v>
      </c>
      <c r="BC32" s="166"/>
      <c r="BD32" s="166"/>
      <c r="BE32" s="166"/>
      <c r="BF32" s="167"/>
      <c r="BG32" s="165" t="s">
        <v>46</v>
      </c>
      <c r="BH32" s="166"/>
      <c r="BI32" s="166"/>
      <c r="BJ32" s="166"/>
      <c r="BK32" s="167"/>
      <c r="BL32" s="162" t="s">
        <v>50</v>
      </c>
      <c r="BM32" s="163"/>
      <c r="BN32" s="163"/>
      <c r="BO32" s="163"/>
      <c r="BP32" s="164"/>
      <c r="BQ32" s="162" t="s">
        <v>47</v>
      </c>
      <c r="BR32" s="163"/>
      <c r="BS32" s="163"/>
      <c r="BT32" s="163"/>
      <c r="BU32" s="164"/>
      <c r="BV32" s="165" t="s">
        <v>208</v>
      </c>
      <c r="BW32" s="166"/>
      <c r="BX32" s="166"/>
      <c r="BY32" s="166"/>
      <c r="BZ32" s="167"/>
      <c r="CA32" s="174" t="s">
        <v>62</v>
      </c>
      <c r="CB32" s="175"/>
      <c r="CC32" s="175"/>
      <c r="CD32" s="175"/>
      <c r="CE32" s="178"/>
      <c r="CF32" s="162" t="s">
        <v>203</v>
      </c>
      <c r="CG32" s="163"/>
      <c r="CH32" s="163"/>
      <c r="CI32" s="163"/>
      <c r="CJ32" s="164"/>
      <c r="CK32" s="168" t="s">
        <v>204</v>
      </c>
      <c r="CL32" s="169"/>
      <c r="CM32" s="169"/>
      <c r="CN32" s="169"/>
      <c r="CO32" s="170"/>
      <c r="CP32" s="168" t="s">
        <v>205</v>
      </c>
      <c r="CQ32" s="169"/>
      <c r="CR32" s="169"/>
      <c r="CS32" s="169"/>
      <c r="CT32" s="170"/>
      <c r="CU32" s="137" t="s">
        <v>202</v>
      </c>
      <c r="CV32" s="177"/>
      <c r="CW32" s="177"/>
    </row>
    <row r="33" spans="1:101" ht="45" x14ac:dyDescent="0.25">
      <c r="A33" s="2" t="s">
        <v>81</v>
      </c>
      <c r="B33" s="5" t="s">
        <v>101</v>
      </c>
      <c r="C33" s="2" t="s">
        <v>170</v>
      </c>
      <c r="D33" s="2" t="s">
        <v>172</v>
      </c>
      <c r="E33" s="2" t="s">
        <v>54</v>
      </c>
      <c r="F33" s="5" t="s">
        <v>55</v>
      </c>
      <c r="G33" s="5" t="s">
        <v>53</v>
      </c>
      <c r="H33" s="2" t="s">
        <v>48</v>
      </c>
      <c r="I33" s="2" t="s">
        <v>46</v>
      </c>
      <c r="J33" s="2" t="s">
        <v>51</v>
      </c>
      <c r="K33" s="2" t="s">
        <v>61</v>
      </c>
      <c r="L33" s="2" t="s">
        <v>49</v>
      </c>
      <c r="M33" s="2" t="s">
        <v>46</v>
      </c>
      <c r="N33" s="2" t="s">
        <v>50</v>
      </c>
      <c r="O33" s="2" t="s">
        <v>47</v>
      </c>
      <c r="P33" s="5" t="s">
        <v>56</v>
      </c>
      <c r="Q33" s="2" t="s">
        <v>62</v>
      </c>
      <c r="R33" s="17" t="s">
        <v>171</v>
      </c>
      <c r="S33" s="26">
        <v>0.2</v>
      </c>
      <c r="T33" s="2">
        <v>0.4</v>
      </c>
      <c r="U33" s="2">
        <v>0.6</v>
      </c>
      <c r="V33" s="2">
        <v>0.8</v>
      </c>
      <c r="W33" s="31">
        <v>1</v>
      </c>
      <c r="X33" s="26" t="s">
        <v>189</v>
      </c>
      <c r="Y33" s="2" t="s">
        <v>190</v>
      </c>
      <c r="Z33" s="2" t="s">
        <v>191</v>
      </c>
      <c r="AA33" s="2" t="s">
        <v>192</v>
      </c>
      <c r="AB33" s="31" t="s">
        <v>193</v>
      </c>
      <c r="AC33" s="26" t="s">
        <v>189</v>
      </c>
      <c r="AD33" s="2" t="s">
        <v>190</v>
      </c>
      <c r="AE33" s="2" t="s">
        <v>191</v>
      </c>
      <c r="AF33" s="2" t="s">
        <v>192</v>
      </c>
      <c r="AG33" s="31" t="s">
        <v>193</v>
      </c>
      <c r="AH33" s="26" t="s">
        <v>189</v>
      </c>
      <c r="AI33" s="2" t="s">
        <v>190</v>
      </c>
      <c r="AJ33" s="2" t="s">
        <v>191</v>
      </c>
      <c r="AK33" s="2" t="s">
        <v>192</v>
      </c>
      <c r="AL33" s="31" t="s">
        <v>193</v>
      </c>
      <c r="AM33" s="26" t="s">
        <v>189</v>
      </c>
      <c r="AN33" s="2" t="s">
        <v>190</v>
      </c>
      <c r="AO33" s="2" t="s">
        <v>191</v>
      </c>
      <c r="AP33" s="2" t="s">
        <v>192</v>
      </c>
      <c r="AQ33" s="31" t="s">
        <v>193</v>
      </c>
      <c r="AR33" s="76" t="s">
        <v>189</v>
      </c>
      <c r="AS33" s="77" t="s">
        <v>190</v>
      </c>
      <c r="AT33" s="77" t="s">
        <v>191</v>
      </c>
      <c r="AU33" s="77" t="s">
        <v>192</v>
      </c>
      <c r="AV33" s="78" t="s">
        <v>193</v>
      </c>
      <c r="AW33" s="26" t="s">
        <v>189</v>
      </c>
      <c r="AX33" s="2" t="s">
        <v>190</v>
      </c>
      <c r="AY33" s="2" t="s">
        <v>191</v>
      </c>
      <c r="AZ33" s="2" t="s">
        <v>192</v>
      </c>
      <c r="BA33" s="17" t="s">
        <v>193</v>
      </c>
      <c r="BB33" s="26" t="s">
        <v>189</v>
      </c>
      <c r="BC33" s="2" t="s">
        <v>190</v>
      </c>
      <c r="BD33" s="2" t="s">
        <v>191</v>
      </c>
      <c r="BE33" s="2" t="s">
        <v>192</v>
      </c>
      <c r="BF33" s="31" t="s">
        <v>193</v>
      </c>
      <c r="BG33" s="26" t="s">
        <v>189</v>
      </c>
      <c r="BH33" s="2" t="s">
        <v>190</v>
      </c>
      <c r="BI33" s="2" t="s">
        <v>191</v>
      </c>
      <c r="BJ33" s="2" t="s">
        <v>192</v>
      </c>
      <c r="BK33" s="31" t="s">
        <v>193</v>
      </c>
      <c r="BL33" s="76" t="s">
        <v>189</v>
      </c>
      <c r="BM33" s="77" t="s">
        <v>190</v>
      </c>
      <c r="BN33" s="77" t="s">
        <v>191</v>
      </c>
      <c r="BO33" s="77" t="s">
        <v>192</v>
      </c>
      <c r="BP33" s="88" t="s">
        <v>193</v>
      </c>
      <c r="BQ33" s="76" t="s">
        <v>189</v>
      </c>
      <c r="BR33" s="77" t="s">
        <v>190</v>
      </c>
      <c r="BS33" s="77" t="s">
        <v>191</v>
      </c>
      <c r="BT33" s="77" t="s">
        <v>192</v>
      </c>
      <c r="BU33" s="88" t="s">
        <v>193</v>
      </c>
      <c r="BV33" s="26" t="s">
        <v>189</v>
      </c>
      <c r="BW33" s="2" t="s">
        <v>190</v>
      </c>
      <c r="BX33" s="2" t="s">
        <v>191</v>
      </c>
      <c r="BY33" s="2" t="s">
        <v>192</v>
      </c>
      <c r="BZ33" s="31" t="s">
        <v>193</v>
      </c>
      <c r="CA33" s="76" t="s">
        <v>189</v>
      </c>
      <c r="CB33" s="77" t="s">
        <v>190</v>
      </c>
      <c r="CC33" s="77" t="s">
        <v>191</v>
      </c>
      <c r="CD33" s="77" t="s">
        <v>192</v>
      </c>
      <c r="CE33" s="88" t="s">
        <v>193</v>
      </c>
      <c r="CF33" s="76" t="s">
        <v>189</v>
      </c>
      <c r="CG33" s="77" t="s">
        <v>190</v>
      </c>
      <c r="CH33" s="77" t="s">
        <v>191</v>
      </c>
      <c r="CI33" s="77" t="s">
        <v>192</v>
      </c>
      <c r="CJ33" s="88" t="s">
        <v>193</v>
      </c>
      <c r="CK33" s="99" t="s">
        <v>189</v>
      </c>
      <c r="CL33" s="94" t="s">
        <v>190</v>
      </c>
      <c r="CM33" s="94" t="s">
        <v>191</v>
      </c>
      <c r="CN33" s="94" t="s">
        <v>192</v>
      </c>
      <c r="CO33" s="100" t="s">
        <v>193</v>
      </c>
      <c r="CP33" s="99" t="s">
        <v>189</v>
      </c>
      <c r="CQ33" s="94" t="s">
        <v>190</v>
      </c>
      <c r="CR33" s="94" t="s">
        <v>191</v>
      </c>
      <c r="CS33" s="94" t="s">
        <v>192</v>
      </c>
      <c r="CT33" s="100" t="s">
        <v>193</v>
      </c>
      <c r="CU33" s="106" t="s">
        <v>194</v>
      </c>
      <c r="CV33" s="97" t="s">
        <v>195</v>
      </c>
      <c r="CW33" s="97" t="s">
        <v>200</v>
      </c>
    </row>
    <row r="34" spans="1:101" x14ac:dyDescent="0.25">
      <c r="A34" s="2">
        <f>'Inputs-Results'!A9</f>
        <v>0</v>
      </c>
      <c r="B34" s="18" t="e">
        <f>_xlfn.XLOOKUP(A34,'Ditch Calculations'!$A$34:$A$114,'Ditch Calculations'!$C$34:$C$114)</f>
        <v>#N/A</v>
      </c>
      <c r="C34" s="2" t="e">
        <f>IF(C3&gt;0,C3,0)</f>
        <v>#N/A</v>
      </c>
      <c r="D34" s="2" t="e">
        <f>_xlfn.XLOOKUP(A34,'Inputs-Results'!$A$9:$A$35,'Inputs-Results'!$B$9:$B$35)</f>
        <v>#N/A</v>
      </c>
      <c r="E34" s="2" t="e">
        <f>C34*_xlfn.XLOOKUP(A34,'Inputs-Results'!$A$9:$A$35,'Inputs-Results'!$C$9:$C$35)</f>
        <v>#N/A</v>
      </c>
      <c r="F34" s="11" t="e">
        <f>MIN(E34/IF(D34="P-12",'Standard Data'!$D$12,IF(D34="N-12",'Standard Data'!$D$13,0))*COS(ATAN(1/_xlfn.XLOOKUP(A34,'Inputs-Results'!$A$9:$A$35,'Inputs-Results'!$C$9:$C$35))),1)</f>
        <v>#N/A</v>
      </c>
      <c r="G34" s="18" t="e">
        <f>(C34+MAX(C34-3.771/_xlfn.XLOOKUP(A34,'Inputs-Results'!A$9:A$35,'Inputs-Results'!$C$9:$C$35),0))/2</f>
        <v>#N/A</v>
      </c>
      <c r="H34" s="18" t="e">
        <f>C34/IF(D34="P-12",'Standard Data'!$C$12,IF(D34="N-12",'Standard Data'!$C$13,0))</f>
        <v>#N/A</v>
      </c>
      <c r="I34" s="19" t="e">
        <f>MIN(0.3176*H34^2+0.0739*H34+2.6375, 3.31)</f>
        <v>#N/A</v>
      </c>
      <c r="J34" s="20" t="e">
        <f>I34*IF(D34="P-12",'Standard Data'!$C$12,IF(D34="N-12",'Standard Data'!$C$13,0))*G34^1.5</f>
        <v>#N/A</v>
      </c>
      <c r="K34" s="19" t="e">
        <f>F34*2*IF(D34="P-12",'Standard Data'!$D$12,IF(D34="N-12",'Standard Data'!$D$13,0))</f>
        <v>#N/A</v>
      </c>
      <c r="L34" s="19" t="e">
        <f>G34/K34</f>
        <v>#N/A</v>
      </c>
      <c r="M34" s="19" t="e">
        <f>MIN(0.3176*L34^2+0.739*L34+2.6375,3.31)</f>
        <v>#N/A</v>
      </c>
      <c r="N34" s="20" t="e">
        <f>M34*K34*G34^1.5</f>
        <v>#N/A</v>
      </c>
      <c r="O34" s="20" t="e">
        <f>N34+J34</f>
        <v>#N/A</v>
      </c>
      <c r="P34" s="19" t="e">
        <f>IF(D34="P-12",'Standard Data'!$B$12,IF(D34="N-12",'Standard Data'!$B$13,0))*IF(D34="P-12",'Standard Data'!$E$12,IF(D34="N-12",'Standard Data'!$E$13,0))*F34</f>
        <v>#N/A</v>
      </c>
      <c r="Q34" s="20" t="e">
        <f>0.6*P34*(2*32.2*G34)^0.5</f>
        <v>#N/A</v>
      </c>
      <c r="R34" s="53" t="e">
        <f>IF(MIN(O34,Q34)&gt;CU34,0,IF(MIN(O34,Q34)&lt;=0,"no berm","has bypass"))</f>
        <v>#N/A</v>
      </c>
      <c r="S34" s="26" t="e">
        <f>($C34+S$33)*_xlfn.XLOOKUP($A34,'Inputs-Results'!$A$9:$A$35,'Inputs-Results'!$C$9:$C$35)</f>
        <v>#N/A</v>
      </c>
      <c r="T34" s="2" t="e">
        <f>($C34+T$33)*_xlfn.XLOOKUP($A34,'Inputs-Results'!$A$9:$A$35,'Inputs-Results'!$C$9:$C$35)</f>
        <v>#N/A</v>
      </c>
      <c r="U34" s="2" t="e">
        <f>($C34+U$33)*_xlfn.XLOOKUP($A34,'Inputs-Results'!$A$9:$A$35,'Inputs-Results'!$C$9:$C$35)</f>
        <v>#N/A</v>
      </c>
      <c r="V34" s="2" t="e">
        <f>($C34+V$33)*_xlfn.XLOOKUP($A34,'Inputs-Results'!$A$9:$A$35,'Inputs-Results'!$C$9:$C$35)</f>
        <v>#N/A</v>
      </c>
      <c r="W34" s="31" t="e">
        <f>($C34+W$33)*_xlfn.XLOOKUP($A34,'Inputs-Results'!$A$9:$A$35,'Inputs-Results'!$C$9:$C$35)</f>
        <v>#N/A</v>
      </c>
      <c r="X34" s="59" t="e">
        <f>MIN(S34/IF($D34="P-12",'Standard Data'!$D$12,IF($D34="N-12",'Standard Data'!$D$13,0))*COS(ATAN(1/_xlfn.XLOOKUP($A34,'Inputs-Results'!$A$9:$A$35,'Inputs-Results'!$C$9:$C$35))),1)</f>
        <v>#N/A</v>
      </c>
      <c r="Y34" s="11" t="e">
        <f>MIN(T34/IF($D34="P-12",'Standard Data'!$D$12,IF($D34="N-12",'Standard Data'!$D$13,0))*COS(ATAN(1/_xlfn.XLOOKUP($A34,'Inputs-Results'!$A$9:$A$35,'Inputs-Results'!$C$9:$C$35))),1)</f>
        <v>#N/A</v>
      </c>
      <c r="Z34" s="11" t="e">
        <f>MIN(U34/IF($D34="P-12",'Standard Data'!$D$12,IF($D34="N-12",'Standard Data'!$D$13,0))*COS(ATAN(1/_xlfn.XLOOKUP($A34,'Inputs-Results'!$A$9:$A$35,'Inputs-Results'!$C$9:$C$35))),1)</f>
        <v>#N/A</v>
      </c>
      <c r="AA34" s="11" t="e">
        <f>MIN(V34/IF($D34="P-12",'Standard Data'!$D$12,IF($D34="N-12",'Standard Data'!$D$13,0))*COS(ATAN(1/_xlfn.XLOOKUP($A34,'Inputs-Results'!$A$9:$A$35,'Inputs-Results'!$C$9:$C$35))),1)</f>
        <v>#N/A</v>
      </c>
      <c r="AB34" s="60" t="e">
        <f>MIN(W34/IF($D34="P-12",'Standard Data'!$D$12,IF($D34="N-12",'Standard Data'!$D$13,0))*COS(ATAN(1/_xlfn.XLOOKUP($A34,'Inputs-Results'!$A$9:$A$35,'Inputs-Results'!$C$9:$C$35))),1)</f>
        <v>#N/A</v>
      </c>
      <c r="AC34" s="64" t="e">
        <f>(($C34+S$33)+MAX(($C34+S$33)-3.771/_xlfn.XLOOKUP($A34,'Inputs-Results'!$A$9:$A$35,'Inputs-Results'!$C$9:$C$35),0))/2</f>
        <v>#N/A</v>
      </c>
      <c r="AD34" s="54" t="e">
        <f>(($C34+T$33)+MAX(($C34+T$33)-3.771/_xlfn.XLOOKUP($A34,'Inputs-Results'!$A$9:$A$35,'Inputs-Results'!$C$9:$C$35),0))/2</f>
        <v>#N/A</v>
      </c>
      <c r="AE34" s="54" t="e">
        <f>(($C34+U$33)+MAX(($C34+U$33)-3.771/_xlfn.XLOOKUP($A34,'Inputs-Results'!$A$9:$A$35,'Inputs-Results'!$C$9:$C$35),0))/2</f>
        <v>#N/A</v>
      </c>
      <c r="AF34" s="54" t="e">
        <f>(($C34+V$33)+MAX(($C34+V$33)-3.771/_xlfn.XLOOKUP($A34,'Inputs-Results'!$A$9:$A$35,'Inputs-Results'!$C$9:$C$35),0))/2</f>
        <v>#N/A</v>
      </c>
      <c r="AG34" s="65" t="e">
        <f>(($C34+W$33)+MAX(($C34+W$33)-3.771/_xlfn.XLOOKUP($A34,'Inputs-Results'!$A$9:$A$35,'Inputs-Results'!$C$9:$C$35),0))/2</f>
        <v>#N/A</v>
      </c>
      <c r="AH34" s="69" t="e">
        <f>($C34+S$33)/IF($D34="P-12",'Standard Data'!$C$12,IF($D34="N-12",'Standard Data'!$C$13,0))</f>
        <v>#N/A</v>
      </c>
      <c r="AI34" s="55" t="e">
        <f>($C34+T$33)/IF($D34="P-12",'Standard Data'!$C$12,IF($D34="N-12",'Standard Data'!$C$13,0))</f>
        <v>#N/A</v>
      </c>
      <c r="AJ34" s="55" t="e">
        <f>($C34+U$33)/IF($D34="P-12",'Standard Data'!$C$12,IF($D34="N-12",'Standard Data'!$C$13,0))</f>
        <v>#N/A</v>
      </c>
      <c r="AK34" s="55" t="e">
        <f>($C34+V$33)/IF($D34="P-12",'Standard Data'!$C$12,IF($D34="N-12",'Standard Data'!$C$13,0))</f>
        <v>#N/A</v>
      </c>
      <c r="AL34" s="70" t="e">
        <f>($C34+W$33)/IF($D34="P-12",'Standard Data'!$C$12,IF($D34="N-12",'Standard Data'!$C$13,0))</f>
        <v>#N/A</v>
      </c>
      <c r="AM34" s="69" t="e">
        <f>MIN(0.3176*AH34^2+0.0739*AH34+2.6375, 3.31)</f>
        <v>#N/A</v>
      </c>
      <c r="AN34" s="55" t="e">
        <f>MIN(0.3176*AI34^2+0.0739*AI34+2.6375, 3.31)</f>
        <v>#N/A</v>
      </c>
      <c r="AO34" s="55" t="e">
        <f>MIN(0.3176*AJ34^2+0.0739*AJ34+2.6375, 3.31)</f>
        <v>#N/A</v>
      </c>
      <c r="AP34" s="55" t="e">
        <f>MIN(0.3176*AK34^2+0.0739*AK34+2.6375, 3.31)</f>
        <v>#N/A</v>
      </c>
      <c r="AQ34" s="70" t="e">
        <f>MIN(0.3176*AL34^2+0.0739*AL34+2.6375, 3.31)</f>
        <v>#N/A</v>
      </c>
      <c r="AR34" s="79" t="e">
        <f>AM34*IF($D34="P-12",'Standard Data'!$C$12,IF($D34="N-12",'Standard Data'!$C$13,0))*AC34^1.5</f>
        <v>#N/A</v>
      </c>
      <c r="AS34" s="80" t="e">
        <f>AN34*IF($D34="P-12",'Standard Data'!$C$12,IF($D34="N-12",'Standard Data'!$C$13,0))*AD34^1.5</f>
        <v>#N/A</v>
      </c>
      <c r="AT34" s="80" t="e">
        <f>AO34*IF($D34="P-12",'Standard Data'!$C$12,IF($D34="N-12",'Standard Data'!$C$13,0))*AE34^1.5</f>
        <v>#N/A</v>
      </c>
      <c r="AU34" s="80" t="e">
        <f>AP34*IF($D34="P-12",'Standard Data'!$C$12,IF($D34="N-12",'Standard Data'!$C$13,0))*AF34^1.5</f>
        <v>#N/A</v>
      </c>
      <c r="AV34" s="81" t="e">
        <f>AQ34*IF($D34="P-12",'Standard Data'!$C$12,IF($D34="N-12",'Standard Data'!$C$13,0))*AG34^1.5</f>
        <v>#N/A</v>
      </c>
      <c r="AW34" s="69" t="e">
        <f>X34*2*IF($D34="P-12",'Standard Data'!$D$12,IF($D34="N-12",'Standard Data'!$D$13,0))</f>
        <v>#N/A</v>
      </c>
      <c r="AX34" s="55" t="e">
        <f>Y34*2*IF($D34="P-12",'Standard Data'!$D$12,IF($D34="N-12",'Standard Data'!$D$13,0))</f>
        <v>#N/A</v>
      </c>
      <c r="AY34" s="55" t="e">
        <f>Z34*2*IF($D34="P-12",'Standard Data'!$D$12,IF($D34="N-12",'Standard Data'!$D$13,0))</f>
        <v>#N/A</v>
      </c>
      <c r="AZ34" s="55" t="e">
        <f>AA34*2*IF($D34="P-12",'Standard Data'!$D$12,IF($D34="N-12",'Standard Data'!$D$13,0))</f>
        <v>#N/A</v>
      </c>
      <c r="BA34" s="74" t="e">
        <f>AB34*2*IF($D34="P-12",'Standard Data'!$D$12,IF($D34="N-12",'Standard Data'!$D$13,0))</f>
        <v>#N/A</v>
      </c>
      <c r="BB34" s="69" t="e">
        <f>AC34/AW34</f>
        <v>#N/A</v>
      </c>
      <c r="BC34" s="55" t="e">
        <f>AD34/AX34</f>
        <v>#N/A</v>
      </c>
      <c r="BD34" s="55" t="e">
        <f>AE34/AY34</f>
        <v>#N/A</v>
      </c>
      <c r="BE34" s="55" t="e">
        <f>AF34/AZ34</f>
        <v>#N/A</v>
      </c>
      <c r="BF34" s="70" t="e">
        <f>AG34/BA34</f>
        <v>#N/A</v>
      </c>
      <c r="BG34" s="85" t="e">
        <f>MIN(0.3176*BB34^2+0.739*BB34+2.6375,3.31)</f>
        <v>#N/A</v>
      </c>
      <c r="BH34" s="19" t="e">
        <f>MIN(0.3176*BC34^2+0.739*BC34+2.6375,3.31)</f>
        <v>#N/A</v>
      </c>
      <c r="BI34" s="19" t="e">
        <f>MIN(0.3176*BD34^2+0.739*BD34+2.6375,3.31)</f>
        <v>#N/A</v>
      </c>
      <c r="BJ34" s="19" t="e">
        <f>MIN(0.3176*BE34^2+0.739*BE34+2.6375,3.31)</f>
        <v>#N/A</v>
      </c>
      <c r="BK34" s="27" t="e">
        <f>MIN(0.3176*BF34^2+0.739*BF34+2.6375,3.31)</f>
        <v>#N/A</v>
      </c>
      <c r="BL34" s="89" t="e">
        <f>BG34*AW34*AC34^1.5</f>
        <v>#N/A</v>
      </c>
      <c r="BM34" s="87" t="e">
        <f>BH34*AX34*AD34^1.5</f>
        <v>#N/A</v>
      </c>
      <c r="BN34" s="87" t="e">
        <f>BI34*AY34*AE34^1.5</f>
        <v>#N/A</v>
      </c>
      <c r="BO34" s="87" t="e">
        <f>BJ34*AZ34*AF34^1.5</f>
        <v>#N/A</v>
      </c>
      <c r="BP34" s="90" t="e">
        <f>BK34*BA34*AG34^1.5</f>
        <v>#N/A</v>
      </c>
      <c r="BQ34" s="89" t="e">
        <f>AR34+BL34</f>
        <v>#N/A</v>
      </c>
      <c r="BR34" s="87" t="e">
        <f>AS34+BM34</f>
        <v>#N/A</v>
      </c>
      <c r="BS34" s="87" t="e">
        <f>AT34+BN34</f>
        <v>#N/A</v>
      </c>
      <c r="BT34" s="87" t="e">
        <f>AU34+BO34</f>
        <v>#N/A</v>
      </c>
      <c r="BU34" s="90" t="e">
        <f>AV34+BP34</f>
        <v>#N/A</v>
      </c>
      <c r="BV34" s="85" t="e">
        <f>IF($D34="P-12",'Standard Data'!$B$12,IF($D34="N-12",'Standard Data'!$B$13,0))*IF($D34="P-12",'Standard Data'!$E$12,IF($D34="N-12",'Standard Data'!$E$13,0))*X34</f>
        <v>#N/A</v>
      </c>
      <c r="BW34" s="19" t="e">
        <f>IF($D34="P-12",'Standard Data'!$B$12,IF($D34="N-12",'Standard Data'!$B$13,0))*IF($D34="P-12",'Standard Data'!$E$12,IF($D34="N-12",'Standard Data'!$E$13,0))*Y34</f>
        <v>#N/A</v>
      </c>
      <c r="BX34" s="19" t="e">
        <f>IF($D34="P-12",'Standard Data'!$B$12,IF($D34="N-12",'Standard Data'!$B$13,0))*IF($D34="P-12",'Standard Data'!$E$12,IF($D34="N-12",'Standard Data'!$E$13,0))*Z34</f>
        <v>#N/A</v>
      </c>
      <c r="BY34" s="19" t="e">
        <f>IF($D34="P-12",'Standard Data'!$B$12,IF($D34="N-12",'Standard Data'!$B$13,0))*IF($D34="P-12",'Standard Data'!$E$12,IF($D34="N-12",'Standard Data'!$E$13,0))*AA34</f>
        <v>#N/A</v>
      </c>
      <c r="BZ34" s="27" t="e">
        <f>IF($D34="P-12",'Standard Data'!$B$12,IF($D34="N-12",'Standard Data'!$B$13,0))*IF($D34="P-12",'Standard Data'!$E$12,IF($D34="N-12",'Standard Data'!$E$13,0))*AB34</f>
        <v>#N/A</v>
      </c>
      <c r="CA34" s="89" t="e">
        <f>0.9*BV34*(2*32.2*AC34)^0.5</f>
        <v>#N/A</v>
      </c>
      <c r="CB34" s="87" t="e">
        <f>0.9*BW34*(2*32.2*AD34)^0.5</f>
        <v>#N/A</v>
      </c>
      <c r="CC34" s="87" t="e">
        <f>0.9*BX34*(2*32.2*AE34)^0.5</f>
        <v>#N/A</v>
      </c>
      <c r="CD34" s="87" t="e">
        <f>0.9*BY34*(2*32.2*AF34)^0.5</f>
        <v>#N/A</v>
      </c>
      <c r="CE34" s="90" t="e">
        <f>0.9*BZ34*(2*32.2*AG34)^0.5</f>
        <v>#N/A</v>
      </c>
      <c r="CF34" s="89" t="e">
        <f>MIN(BQ34,CA34)</f>
        <v>#N/A</v>
      </c>
      <c r="CG34" s="87" t="e">
        <f>MIN(BR34,CB34)</f>
        <v>#N/A</v>
      </c>
      <c r="CH34" s="87" t="e">
        <f>MIN(BS34,CC34)</f>
        <v>#N/A</v>
      </c>
      <c r="CI34" s="87" t="e">
        <f>MIN(BT34,CD34)</f>
        <v>#N/A</v>
      </c>
      <c r="CJ34" s="90" t="e">
        <f>MIN(BU34,CE34)</f>
        <v>#N/A</v>
      </c>
      <c r="CK34" s="101" t="e">
        <f t="shared" ref="CK34:CK60" si="16">O3</f>
        <v>#N/A</v>
      </c>
      <c r="CL34" s="95" t="e">
        <f t="shared" ref="CL34:CL60" si="17">S3</f>
        <v>#N/A</v>
      </c>
      <c r="CM34" s="95" t="e">
        <f t="shared" ref="CM34:CM60" si="18">W3</f>
        <v>#N/A</v>
      </c>
      <c r="CN34" s="95" t="e">
        <f t="shared" ref="CN34:CN60" si="19">AA3</f>
        <v>#N/A</v>
      </c>
      <c r="CO34" s="102" t="e">
        <f t="shared" ref="CO34:CO60" si="20">AE3</f>
        <v>#N/A</v>
      </c>
      <c r="CP34" s="101" t="e">
        <f>CF34+CK34</f>
        <v>#N/A</v>
      </c>
      <c r="CQ34" s="95" t="e">
        <f t="shared" ref="CQ34:CT49" si="21">CG34+CL34</f>
        <v>#N/A</v>
      </c>
      <c r="CR34" s="95" t="e">
        <f t="shared" si="21"/>
        <v>#N/A</v>
      </c>
      <c r="CS34" s="95" t="e">
        <f t="shared" si="21"/>
        <v>#N/A</v>
      </c>
      <c r="CT34" s="102" t="e">
        <f>CJ34+CO34</f>
        <v>#N/A</v>
      </c>
      <c r="CU34" s="98" t="e">
        <f t="shared" ref="CU34:CU60" si="22">AG3</f>
        <v>#N/A</v>
      </c>
      <c r="CV34" s="98" t="e">
        <f t="shared" ref="CV34:CV60" si="23">IF(R34="has bypass",IF(CU34&lt;=CP34,(CU34-MIN(O34,Q34))*(CK34-0)/(CP34-MIN(O34,Q34)),IF(AND(CU34&gt;CP34,CU34&lt;=CQ34),(CU34-CP34)*(CL34-CK34)/(CQ34-CP34)+CK34,IF(AND(CU34&gt;CQ34,CU34&lt;=CR34),(CU34-CQ34)*(CM34-CL34)/(CR34-CQ34)+CL34,IF(AND(CU34&gt;CR34,CU34&lt;=CS34),(CU34-CR34)*(CN34-CM34)/(CS34-CR34)+CM34,IF(AND(CU34&gt;CS34,CU34&lt;=CT34),(CU34-CS34)*(CO34-CN34)/(CT34-CS34)+CN34,"that's a lot of flow"))))),0)</f>
        <v>#N/A</v>
      </c>
      <c r="CW34" s="98" t="e">
        <f>IF(OR(R34=0,R34="no berm"),0,(IF(R34="has bypass",IF(CU34&lt;=CP34,(CV34-0)*($S$33-0)/(CK34-0)+0,IF(AND(CU34&gt;CP34,CU34&lt;=CQ34),(CV34-CK34)*($T$33-$S$33)/(CL34-CK34)+$S$33,IF(AND(CU34&gt;CQ34,CU34&lt;=CR34),(CV34-CL34)*($U$33-$T$33)/(CM34-CL34)+$T$33,IF(AND(CU34&gt;CR34,CU34&lt;=CS34),(CV34-CM34)*($V$33-$U$33)/(CN34-CM34)+$U$33,IF(AND(CU34&gt;CS34,CU34&lt;=CT34),(CV34-CN34)*($W$33-CR34)/(CO34-CN34)+$V$33,"more than a foot deep"))))))))</f>
        <v>#N/A</v>
      </c>
    </row>
    <row r="35" spans="1:101" x14ac:dyDescent="0.25">
      <c r="A35" s="2">
        <f>'Inputs-Results'!A10</f>
        <v>0</v>
      </c>
      <c r="B35" s="18" t="e">
        <f>_xlfn.XLOOKUP(A35,'Ditch Calculations'!$A$34:$A$114,'Ditch Calculations'!$C$34:$C$114)</f>
        <v>#N/A</v>
      </c>
      <c r="C35" s="2" t="e">
        <f t="shared" ref="C35:C60" si="24">IF(C4&gt;0,C4,0)</f>
        <v>#N/A</v>
      </c>
      <c r="D35" s="2" t="e">
        <f>_xlfn.XLOOKUP(A35,'Inputs-Results'!$A$9:$A$35,'Inputs-Results'!$B$9:$B$35)</f>
        <v>#N/A</v>
      </c>
      <c r="E35" s="2" t="e">
        <f>C35*_xlfn.XLOOKUP(A35,'Inputs-Results'!$A$9:$A$35,'Inputs-Results'!$C$9:$C$35)</f>
        <v>#N/A</v>
      </c>
      <c r="F35" s="11" t="e">
        <f>MIN(E35/IF(D35="P-12",'Standard Data'!$D$12,IF(D35="N-12",'Standard Data'!$D$13,0))*COS(ATAN(1/_xlfn.XLOOKUP(A35,'Inputs-Results'!$A$9:$A$35,'Inputs-Results'!$C$9:$C$35))),1)</f>
        <v>#N/A</v>
      </c>
      <c r="G35" s="18" t="e">
        <f>(C35+MAX(C35-3.771/_xlfn.XLOOKUP(A35,'Inputs-Results'!A$9:A$35,'Inputs-Results'!$C$9:$C$35),0))/2</f>
        <v>#N/A</v>
      </c>
      <c r="H35" s="18" t="e">
        <f>C35/IF(D35="P-12",'Standard Data'!$C$12,IF(D35="N-12",'Standard Data'!$C$13,0))</f>
        <v>#N/A</v>
      </c>
      <c r="I35" s="19" t="e">
        <f t="shared" ref="I35:I60" si="25">MIN(0.3176*H35^2+0.0739*H35+2.6375, 3.31)</f>
        <v>#N/A</v>
      </c>
      <c r="J35" s="20" t="e">
        <f>I35*IF(D35="P-12",'Standard Data'!$C$12,IF(D35="N-12",'Standard Data'!$C$13,0))*G35^1.5</f>
        <v>#N/A</v>
      </c>
      <c r="K35" s="19" t="e">
        <f>F35*2*IF(D35="P-12",'Standard Data'!$D$12,IF(D35="N-12",'Standard Data'!$D$13,0))</f>
        <v>#N/A</v>
      </c>
      <c r="L35" s="19" t="e">
        <f t="shared" ref="L35:L60" si="26">G35/K35</f>
        <v>#N/A</v>
      </c>
      <c r="M35" s="19" t="e">
        <f t="shared" ref="M35:M60" si="27">MIN(0.3176*L35^2+0.739*L35+2.6375,3.31)</f>
        <v>#N/A</v>
      </c>
      <c r="N35" s="20" t="e">
        <f t="shared" ref="N35:N60" si="28">M35*K35*G35^1.5</f>
        <v>#N/A</v>
      </c>
      <c r="O35" s="20" t="e">
        <f t="shared" ref="O35:O60" si="29">N35+J35</f>
        <v>#N/A</v>
      </c>
      <c r="P35" s="19" t="e">
        <f>IF(D35="P-12",'Standard Data'!$B$12,IF(D35="N-12",'Standard Data'!$B$13,0))*IF(D35="P-12",'Standard Data'!$E$12,IF(D35="N-12",'Standard Data'!$E$13,0))*F35</f>
        <v>#N/A</v>
      </c>
      <c r="Q35" s="20" t="e">
        <f t="shared" ref="Q35:Q60" si="30">0.6*P35*(2*32.2*G35)^0.5</f>
        <v>#N/A</v>
      </c>
      <c r="R35" s="53" t="e">
        <f t="shared" ref="R35:R60" si="31">IF(MIN(O35,Q35)&gt;CU35,0,IF(MIN(O35,Q35)&lt;=0,"no berm","has bypass"))</f>
        <v>#N/A</v>
      </c>
      <c r="S35" s="26" t="e">
        <f>($C35+S$33)*_xlfn.XLOOKUP($A35,'Inputs-Results'!$A$9:$A$35,'Inputs-Results'!$C$9:$C$35)</f>
        <v>#N/A</v>
      </c>
      <c r="T35" s="2" t="e">
        <f>($C35+T$33)*_xlfn.XLOOKUP($A35,'Inputs-Results'!$A$9:$A$35,'Inputs-Results'!$C$9:$C$35)</f>
        <v>#N/A</v>
      </c>
      <c r="U35" s="2" t="e">
        <f>($C35+U$33)*_xlfn.XLOOKUP($A35,'Inputs-Results'!$A$9:$A$35,'Inputs-Results'!$C$9:$C$35)</f>
        <v>#N/A</v>
      </c>
      <c r="V35" s="2" t="e">
        <f>($C35+V$33)*_xlfn.XLOOKUP($A35,'Inputs-Results'!$A$9:$A$35,'Inputs-Results'!$C$9:$C$35)</f>
        <v>#N/A</v>
      </c>
      <c r="W35" s="31" t="e">
        <f>($C35+W$33)*_xlfn.XLOOKUP($A35,'Inputs-Results'!$A$9:$A$35,'Inputs-Results'!$C$9:$C$35)</f>
        <v>#N/A</v>
      </c>
      <c r="X35" s="59" t="e">
        <f>MIN(S35/IF($D35="P-12",'Standard Data'!$D$12,IF($D35="N-12",'Standard Data'!$D$13,0))*COS(ATAN(1/_xlfn.XLOOKUP($A35,'Inputs-Results'!$A$9:$A$35,'Inputs-Results'!$C$9:$C$35))),1)</f>
        <v>#N/A</v>
      </c>
      <c r="Y35" s="11" t="e">
        <f>MIN(T35/IF($D35="P-12",'Standard Data'!$D$12,IF($D35="N-12",'Standard Data'!$D$13,0))*COS(ATAN(1/_xlfn.XLOOKUP($A35,'Inputs-Results'!$A$9:$A$35,'Inputs-Results'!$C$9:$C$35))),1)</f>
        <v>#N/A</v>
      </c>
      <c r="Z35" s="11" t="e">
        <f>MIN(U35/IF($D35="P-12",'Standard Data'!$D$12,IF($D35="N-12",'Standard Data'!$D$13,0))*COS(ATAN(1/_xlfn.XLOOKUP($A35,'Inputs-Results'!$A$9:$A$35,'Inputs-Results'!$C$9:$C$35))),1)</f>
        <v>#N/A</v>
      </c>
      <c r="AA35" s="11" t="e">
        <f>MIN(V35/IF($D35="P-12",'Standard Data'!$D$12,IF($D35="N-12",'Standard Data'!$D$13,0))*COS(ATAN(1/_xlfn.XLOOKUP($A35,'Inputs-Results'!$A$9:$A$35,'Inputs-Results'!$C$9:$C$35))),1)</f>
        <v>#N/A</v>
      </c>
      <c r="AB35" s="60" t="e">
        <f>MIN(W35/IF($D35="P-12",'Standard Data'!$D$12,IF($D35="N-12",'Standard Data'!$D$13,0))*COS(ATAN(1/_xlfn.XLOOKUP($A35,'Inputs-Results'!$A$9:$A$35,'Inputs-Results'!$C$9:$C$35))),1)</f>
        <v>#N/A</v>
      </c>
      <c r="AC35" s="64" t="e">
        <f>(($C35+S$33)+MAX(($C35+S$33)-3.771/_xlfn.XLOOKUP($A35,'Inputs-Results'!$A$9:$A$35,'Inputs-Results'!$C$9:$C$35),0))/2</f>
        <v>#N/A</v>
      </c>
      <c r="AD35" s="54" t="e">
        <f>(($C35+T$33)+MAX(($C35+T$33)-3.771/_xlfn.XLOOKUP($A35,'Inputs-Results'!$A$9:$A$35,'Inputs-Results'!$C$9:$C$35),0))/2</f>
        <v>#N/A</v>
      </c>
      <c r="AE35" s="54" t="e">
        <f>(($C35+U$33)+MAX(($C35+U$33)-3.771/_xlfn.XLOOKUP($A35,'Inputs-Results'!$A$9:$A$35,'Inputs-Results'!$C$9:$C$35),0))/2</f>
        <v>#N/A</v>
      </c>
      <c r="AF35" s="54" t="e">
        <f>(($C35+V$33)+MAX(($C35+V$33)-3.771/_xlfn.XLOOKUP($A35,'Inputs-Results'!$A$9:$A$35,'Inputs-Results'!$C$9:$C$35),0))/2</f>
        <v>#N/A</v>
      </c>
      <c r="AG35" s="65" t="e">
        <f>(($C35+W$33)+MAX(($C35+W$33)-3.771/_xlfn.XLOOKUP($A35,'Inputs-Results'!$A$9:$A$35,'Inputs-Results'!$C$9:$C$35),0))/2</f>
        <v>#N/A</v>
      </c>
      <c r="AH35" s="69" t="e">
        <f>($C35+S$33)/IF($D35="P-12",'Standard Data'!$C$12,IF($D35="N-12",'Standard Data'!$C$13,0))</f>
        <v>#N/A</v>
      </c>
      <c r="AI35" s="55" t="e">
        <f>($C35+T$33)/IF($D35="P-12",'Standard Data'!$C$12,IF($D35="N-12",'Standard Data'!$C$13,0))</f>
        <v>#N/A</v>
      </c>
      <c r="AJ35" s="55" t="e">
        <f>($C35+U$33)/IF($D35="P-12",'Standard Data'!$C$12,IF($D35="N-12",'Standard Data'!$C$13,0))</f>
        <v>#N/A</v>
      </c>
      <c r="AK35" s="55" t="e">
        <f>($C35+V$33)/IF($D35="P-12",'Standard Data'!$C$12,IF($D35="N-12",'Standard Data'!$C$13,0))</f>
        <v>#N/A</v>
      </c>
      <c r="AL35" s="70" t="e">
        <f>($C35+W$33)/IF($D35="P-12",'Standard Data'!$C$12,IF($D35="N-12",'Standard Data'!$C$13,0))</f>
        <v>#N/A</v>
      </c>
      <c r="AM35" s="69" t="e">
        <f t="shared" ref="AM35:AM60" si="32">MIN(0.3176*AH35^2+0.0739*AH35+2.6375, 3.31)</f>
        <v>#N/A</v>
      </c>
      <c r="AN35" s="55" t="e">
        <f t="shared" ref="AN35:AN60" si="33">MIN(0.3176*AI35^2+0.0739*AI35+2.6375, 3.31)</f>
        <v>#N/A</v>
      </c>
      <c r="AO35" s="55" t="e">
        <f t="shared" ref="AO35:AO60" si="34">MIN(0.3176*AJ35^2+0.0739*AJ35+2.6375, 3.31)</f>
        <v>#N/A</v>
      </c>
      <c r="AP35" s="55" t="e">
        <f t="shared" ref="AP35:AP60" si="35">MIN(0.3176*AK35^2+0.0739*AK35+2.6375, 3.31)</f>
        <v>#N/A</v>
      </c>
      <c r="AQ35" s="70" t="e">
        <f t="shared" ref="AQ35:AQ60" si="36">MIN(0.3176*AL35^2+0.0739*AL35+2.6375, 3.31)</f>
        <v>#N/A</v>
      </c>
      <c r="AR35" s="79" t="e">
        <f>AM35*IF($D35="P-12",'Standard Data'!$C$12,IF($D35="N-12",'Standard Data'!$C$13,0))*AC35^1.5</f>
        <v>#N/A</v>
      </c>
      <c r="AS35" s="80" t="e">
        <f>AN35*IF($D35="P-12",'Standard Data'!$C$12,IF($D35="N-12",'Standard Data'!$C$13,0))*AD35^1.5</f>
        <v>#N/A</v>
      </c>
      <c r="AT35" s="80" t="e">
        <f>AO35*IF($D35="P-12",'Standard Data'!$C$12,IF($D35="N-12",'Standard Data'!$C$13,0))*AE35^1.5</f>
        <v>#N/A</v>
      </c>
      <c r="AU35" s="80" t="e">
        <f>AP35*IF($D35="P-12",'Standard Data'!$C$12,IF($D35="N-12",'Standard Data'!$C$13,0))*AF35^1.5</f>
        <v>#N/A</v>
      </c>
      <c r="AV35" s="81" t="e">
        <f>AQ35*IF($D35="P-12",'Standard Data'!$C$12,IF($D35="N-12",'Standard Data'!$C$13,0))*AG35^1.5</f>
        <v>#N/A</v>
      </c>
      <c r="AW35" s="69" t="e">
        <f>X35*2*IF($D35="P-12",'Standard Data'!$D$12,IF($D35="N-12",'Standard Data'!$D$13,0))</f>
        <v>#N/A</v>
      </c>
      <c r="AX35" s="55" t="e">
        <f>Y35*2*IF($D35="P-12",'Standard Data'!$D$12,IF($D35="N-12",'Standard Data'!$D$13,0))</f>
        <v>#N/A</v>
      </c>
      <c r="AY35" s="55" t="e">
        <f>Z35*2*IF($D35="P-12",'Standard Data'!$D$12,IF($D35="N-12",'Standard Data'!$D$13,0))</f>
        <v>#N/A</v>
      </c>
      <c r="AZ35" s="55" t="e">
        <f>AA35*2*IF($D35="P-12",'Standard Data'!$D$12,IF($D35="N-12",'Standard Data'!$D$13,0))</f>
        <v>#N/A</v>
      </c>
      <c r="BA35" s="74" t="e">
        <f>AB35*2*IF($D35="P-12",'Standard Data'!$D$12,IF($D35="N-12",'Standard Data'!$D$13,0))</f>
        <v>#N/A</v>
      </c>
      <c r="BB35" s="69" t="e">
        <f t="shared" ref="BB35:BB60" si="37">AC35/AW35</f>
        <v>#N/A</v>
      </c>
      <c r="BC35" s="55" t="e">
        <f t="shared" ref="BC35:BC60" si="38">AD35/AX35</f>
        <v>#N/A</v>
      </c>
      <c r="BD35" s="55" t="e">
        <f t="shared" ref="BD35:BD60" si="39">AE35/AY35</f>
        <v>#N/A</v>
      </c>
      <c r="BE35" s="55" t="e">
        <f>AF35/AZ35</f>
        <v>#N/A</v>
      </c>
      <c r="BF35" s="70" t="e">
        <f t="shared" ref="BF35:BF60" si="40">AG35/BA35</f>
        <v>#N/A</v>
      </c>
      <c r="BG35" s="85" t="e">
        <f t="shared" ref="BG35:BG60" si="41">MIN(0.3176*BB35^2+0.739*BB35+2.6375,3.31)</f>
        <v>#N/A</v>
      </c>
      <c r="BH35" s="19" t="e">
        <f t="shared" ref="BH35:BH60" si="42">MIN(0.3176*BC35^2+0.739*BC35+2.6375,3.31)</f>
        <v>#N/A</v>
      </c>
      <c r="BI35" s="19" t="e">
        <f t="shared" ref="BI35:BI60" si="43">MIN(0.3176*BD35^2+0.739*BD35+2.6375,3.31)</f>
        <v>#N/A</v>
      </c>
      <c r="BJ35" s="19" t="e">
        <f t="shared" ref="BJ35:BJ60" si="44">MIN(0.3176*BE35^2+0.739*BE35+2.6375,3.31)</f>
        <v>#N/A</v>
      </c>
      <c r="BK35" s="27" t="e">
        <f t="shared" ref="BK35:BK60" si="45">MIN(0.3176*BF35^2+0.739*BF35+2.6375,3.31)</f>
        <v>#N/A</v>
      </c>
      <c r="BL35" s="89" t="e">
        <f t="shared" ref="BL35:BL60" si="46">BG35*AW35*AC35^1.5</f>
        <v>#N/A</v>
      </c>
      <c r="BM35" s="87" t="e">
        <f t="shared" ref="BM35:BM60" si="47">BH35*AX35*AD35^1.5</f>
        <v>#N/A</v>
      </c>
      <c r="BN35" s="87" t="e">
        <f t="shared" ref="BN35:BN60" si="48">BI35*AY35*AE35^1.5</f>
        <v>#N/A</v>
      </c>
      <c r="BO35" s="87" t="e">
        <f t="shared" ref="BO35:BO60" si="49">BJ35*AZ35*AF35^1.5</f>
        <v>#N/A</v>
      </c>
      <c r="BP35" s="90" t="e">
        <f t="shared" ref="BP35:BP60" si="50">BK35*BA35*AG35^1.5</f>
        <v>#N/A</v>
      </c>
      <c r="BQ35" s="89" t="e">
        <f t="shared" ref="BQ35:BQ60" si="51">AR35+BL35</f>
        <v>#N/A</v>
      </c>
      <c r="BR35" s="87" t="e">
        <f t="shared" ref="BR35:BR60" si="52">AS35+BM35</f>
        <v>#N/A</v>
      </c>
      <c r="BS35" s="87" t="e">
        <f t="shared" ref="BS35:BS60" si="53">AT35+BN35</f>
        <v>#N/A</v>
      </c>
      <c r="BT35" s="87" t="e">
        <f t="shared" ref="BT35:BT60" si="54">AU35+BO35</f>
        <v>#N/A</v>
      </c>
      <c r="BU35" s="90" t="e">
        <f t="shared" ref="BU35:BU60" si="55">AV35+BP35</f>
        <v>#N/A</v>
      </c>
      <c r="BV35" s="85" t="e">
        <f>IF($D35="P-12",'Standard Data'!$B$12,IF($D35="N-12",'Standard Data'!$B$13,0))*IF($D35="P-12",'Standard Data'!$E$12,IF($D35="N-12",'Standard Data'!$E$13,0))*X35</f>
        <v>#N/A</v>
      </c>
      <c r="BW35" s="19" t="e">
        <f>IF($D35="P-12",'Standard Data'!$B$12,IF($D35="N-12",'Standard Data'!$B$13,0))*IF($D35="P-12",'Standard Data'!$E$12,IF($D35="N-12",'Standard Data'!$E$13,0))*Y35</f>
        <v>#N/A</v>
      </c>
      <c r="BX35" s="19" t="e">
        <f>IF($D35="P-12",'Standard Data'!$B$12,IF($D35="N-12",'Standard Data'!$B$13,0))*IF($D35="P-12",'Standard Data'!$E$12,IF($D35="N-12",'Standard Data'!$E$13,0))*Z35</f>
        <v>#N/A</v>
      </c>
      <c r="BY35" s="19" t="e">
        <f>IF($D35="P-12",'Standard Data'!$B$12,IF($D35="N-12",'Standard Data'!$B$13,0))*IF($D35="P-12",'Standard Data'!$E$12,IF($D35="N-12",'Standard Data'!$E$13,0))*AA35</f>
        <v>#N/A</v>
      </c>
      <c r="BZ35" s="27" t="e">
        <f>IF($D35="P-12",'Standard Data'!$B$12,IF($D35="N-12",'Standard Data'!$B$13,0))*IF($D35="P-12",'Standard Data'!$E$12,IF($D35="N-12",'Standard Data'!$E$13,0))*AB35</f>
        <v>#N/A</v>
      </c>
      <c r="CA35" s="89" t="e">
        <f t="shared" ref="CA35:CA60" si="56">0.9*BV35*(2*32.2*AC35)^0.5</f>
        <v>#N/A</v>
      </c>
      <c r="CB35" s="87" t="e">
        <f t="shared" ref="CB35:CB60" si="57">0.9*BW35*(2*32.2*AD35)^0.5</f>
        <v>#N/A</v>
      </c>
      <c r="CC35" s="87" t="e">
        <f t="shared" ref="CC35:CC60" si="58">0.9*BX35*(2*32.2*AE35)^0.5</f>
        <v>#N/A</v>
      </c>
      <c r="CD35" s="87" t="e">
        <f t="shared" ref="CD35:CD60" si="59">0.9*BY35*(2*32.2*AF35)^0.5</f>
        <v>#N/A</v>
      </c>
      <c r="CE35" s="90" t="e">
        <f t="shared" ref="CE35:CE60" si="60">0.9*BZ35*(2*32.2*AG35)^0.5</f>
        <v>#N/A</v>
      </c>
      <c r="CF35" s="89" t="e">
        <f t="shared" ref="CF35:CF60" si="61">MIN(BQ35,CA35)</f>
        <v>#N/A</v>
      </c>
      <c r="CG35" s="87" t="e">
        <f t="shared" ref="CG35:CG60" si="62">MIN(BR35,CB35)</f>
        <v>#N/A</v>
      </c>
      <c r="CH35" s="87" t="e">
        <f t="shared" ref="CH35:CH60" si="63">MIN(BS35,CC35)</f>
        <v>#N/A</v>
      </c>
      <c r="CI35" s="87" t="e">
        <f t="shared" ref="CI35:CI60" si="64">MIN(BT35,CD35)</f>
        <v>#N/A</v>
      </c>
      <c r="CJ35" s="90" t="e">
        <f t="shared" ref="CJ35:CJ60" si="65">MIN(BU35,CE35)</f>
        <v>#N/A</v>
      </c>
      <c r="CK35" s="101" t="e">
        <f t="shared" si="16"/>
        <v>#N/A</v>
      </c>
      <c r="CL35" s="95" t="e">
        <f t="shared" si="17"/>
        <v>#N/A</v>
      </c>
      <c r="CM35" s="95" t="e">
        <f t="shared" si="18"/>
        <v>#N/A</v>
      </c>
      <c r="CN35" s="95" t="e">
        <f t="shared" si="19"/>
        <v>#N/A</v>
      </c>
      <c r="CO35" s="102" t="e">
        <f t="shared" si="20"/>
        <v>#N/A</v>
      </c>
      <c r="CP35" s="101" t="e">
        <f t="shared" ref="CP35:CP59" si="66">CF35+CK35</f>
        <v>#N/A</v>
      </c>
      <c r="CQ35" s="95" t="e">
        <f t="shared" si="21"/>
        <v>#N/A</v>
      </c>
      <c r="CR35" s="95" t="e">
        <f t="shared" si="21"/>
        <v>#N/A</v>
      </c>
      <c r="CS35" s="95" t="e">
        <f t="shared" si="21"/>
        <v>#N/A</v>
      </c>
      <c r="CT35" s="102" t="e">
        <f t="shared" si="21"/>
        <v>#N/A</v>
      </c>
      <c r="CU35" s="98" t="e">
        <f t="shared" si="22"/>
        <v>#N/A</v>
      </c>
      <c r="CV35" s="98" t="e">
        <f t="shared" si="23"/>
        <v>#N/A</v>
      </c>
      <c r="CW35" s="98" t="e">
        <f t="shared" ref="CW35:CW60" si="67">IF(OR(R35=0,R35="no berm"),0,(IF(R35="has bypass",IF(CU35&lt;=CP35,(CV35-0)*($S$33-0)/(CK35-0)+0,IF(AND(CU35&gt;CP35,CU35&lt;=CQ35),(CV35-CK35)*($T$33-$S$33)/(CL35-CK35)+$S$33,IF(AND(CU35&gt;CQ35,CU35&lt;=CR35),(CV35-CL35)*($U$33-$T$33)/(CM35-CL35)+$T$33,IF(AND(CU35&gt;CR35,CU35&lt;=CS35),(CV35-CM35)*($V$33-$U$33)/(CN35-CM35)+$U$33,IF(AND(CU35&gt;CS35,CU35&lt;=CT35),(CV35-CN35)*($W$33-CR35)/(CO35-CN35)+$V$33,"more than a foot deep"))))))))</f>
        <v>#N/A</v>
      </c>
    </row>
    <row r="36" spans="1:101" x14ac:dyDescent="0.25">
      <c r="A36" s="2">
        <f>'Inputs-Results'!A11</f>
        <v>0</v>
      </c>
      <c r="B36" s="18" t="e">
        <f>_xlfn.XLOOKUP(A36,'Ditch Calculations'!$A$34:$A$114,'Ditch Calculations'!$C$34:$C$114)</f>
        <v>#N/A</v>
      </c>
      <c r="C36" s="2" t="e">
        <f t="shared" si="24"/>
        <v>#N/A</v>
      </c>
      <c r="D36" s="2" t="e">
        <f>_xlfn.XLOOKUP(A36,'Inputs-Results'!$A$9:$A$35,'Inputs-Results'!$B$9:$B$35)</f>
        <v>#N/A</v>
      </c>
      <c r="E36" s="2" t="e">
        <f>C36*_xlfn.XLOOKUP(A36,'Inputs-Results'!$A$9:$A$35,'Inputs-Results'!$C$9:$C$35)</f>
        <v>#N/A</v>
      </c>
      <c r="F36" s="11" t="e">
        <f>MIN(E36/IF(D36="P-12",'Standard Data'!$D$12,IF(D36="N-12",'Standard Data'!$D$13,0))*COS(ATAN(1/_xlfn.XLOOKUP(A36,'Inputs-Results'!$A$9:$A$35,'Inputs-Results'!$C$9:$C$35))),1)</f>
        <v>#N/A</v>
      </c>
      <c r="G36" s="18" t="e">
        <f>(C36+MAX(C36-3.771/_xlfn.XLOOKUP(A36,'Inputs-Results'!A$9:A$35,'Inputs-Results'!$C$9:$C$35),0))/2</f>
        <v>#N/A</v>
      </c>
      <c r="H36" s="18" t="e">
        <f>C36/IF(D36="P-12",'Standard Data'!$C$12,IF(D36="N-12",'Standard Data'!$C$13,0))</f>
        <v>#N/A</v>
      </c>
      <c r="I36" s="19" t="e">
        <f t="shared" si="25"/>
        <v>#N/A</v>
      </c>
      <c r="J36" s="20" t="e">
        <f>I36*IF(D36="P-12",'Standard Data'!$C$12,IF(D36="N-12",'Standard Data'!$C$13,0))*G36^1.5</f>
        <v>#N/A</v>
      </c>
      <c r="K36" s="19" t="e">
        <f>F36*2*IF(D36="P-12",'Standard Data'!$D$12,IF(D36="N-12",'Standard Data'!$D$13,0))</f>
        <v>#N/A</v>
      </c>
      <c r="L36" s="19" t="e">
        <f t="shared" si="26"/>
        <v>#N/A</v>
      </c>
      <c r="M36" s="19" t="e">
        <f t="shared" si="27"/>
        <v>#N/A</v>
      </c>
      <c r="N36" s="20" t="e">
        <f t="shared" si="28"/>
        <v>#N/A</v>
      </c>
      <c r="O36" s="20" t="e">
        <f t="shared" si="29"/>
        <v>#N/A</v>
      </c>
      <c r="P36" s="19" t="e">
        <f>IF(D36="P-12",'Standard Data'!$B$12,IF(D36="N-12",'Standard Data'!$B$13,0))*IF(D36="P-12",'Standard Data'!$E$12,IF(D36="N-12",'Standard Data'!$E$13,0))*F36</f>
        <v>#N/A</v>
      </c>
      <c r="Q36" s="20" t="e">
        <f t="shared" si="30"/>
        <v>#N/A</v>
      </c>
      <c r="R36" s="53" t="e">
        <f t="shared" si="31"/>
        <v>#N/A</v>
      </c>
      <c r="S36" s="26" t="e">
        <f>($C36+S$33)*_xlfn.XLOOKUP($A36,'Inputs-Results'!$A$9:$A$35,'Inputs-Results'!$C$9:$C$35)</f>
        <v>#N/A</v>
      </c>
      <c r="T36" s="2" t="e">
        <f>($C36+T$33)*_xlfn.XLOOKUP($A36,'Inputs-Results'!$A$9:$A$35,'Inputs-Results'!$C$9:$C$35)</f>
        <v>#N/A</v>
      </c>
      <c r="U36" s="2" t="e">
        <f>($C36+U$33)*_xlfn.XLOOKUP($A36,'Inputs-Results'!$A$9:$A$35,'Inputs-Results'!$C$9:$C$35)</f>
        <v>#N/A</v>
      </c>
      <c r="V36" s="2" t="e">
        <f>($C36+V$33)*_xlfn.XLOOKUP($A36,'Inputs-Results'!$A$9:$A$35,'Inputs-Results'!$C$9:$C$35)</f>
        <v>#N/A</v>
      </c>
      <c r="W36" s="31" t="e">
        <f>($C36+W$33)*_xlfn.XLOOKUP($A36,'Inputs-Results'!$A$9:$A$35,'Inputs-Results'!$C$9:$C$35)</f>
        <v>#N/A</v>
      </c>
      <c r="X36" s="59" t="e">
        <f>MIN(S36/IF($D36="P-12",'Standard Data'!$D$12,IF($D36="N-12",'Standard Data'!$D$13,0))*COS(ATAN(1/_xlfn.XLOOKUP($A36,'Inputs-Results'!$A$9:$A$35,'Inputs-Results'!$C$9:$C$35))),1)</f>
        <v>#N/A</v>
      </c>
      <c r="Y36" s="11" t="e">
        <f>MIN(T36/IF($D36="P-12",'Standard Data'!$D$12,IF($D36="N-12",'Standard Data'!$D$13,0))*COS(ATAN(1/_xlfn.XLOOKUP($A36,'Inputs-Results'!$A$9:$A$35,'Inputs-Results'!$C$9:$C$35))),1)</f>
        <v>#N/A</v>
      </c>
      <c r="Z36" s="11" t="e">
        <f>MIN(U36/IF($D36="P-12",'Standard Data'!$D$12,IF($D36="N-12",'Standard Data'!$D$13,0))*COS(ATAN(1/_xlfn.XLOOKUP($A36,'Inputs-Results'!$A$9:$A$35,'Inputs-Results'!$C$9:$C$35))),1)</f>
        <v>#N/A</v>
      </c>
      <c r="AA36" s="11" t="e">
        <f>MIN(V36/IF($D36="P-12",'Standard Data'!$D$12,IF($D36="N-12",'Standard Data'!$D$13,0))*COS(ATAN(1/_xlfn.XLOOKUP($A36,'Inputs-Results'!$A$9:$A$35,'Inputs-Results'!$C$9:$C$35))),1)</f>
        <v>#N/A</v>
      </c>
      <c r="AB36" s="60" t="e">
        <f>MIN(W36/IF($D36="P-12",'Standard Data'!$D$12,IF($D36="N-12",'Standard Data'!$D$13,0))*COS(ATAN(1/_xlfn.XLOOKUP($A36,'Inputs-Results'!$A$9:$A$35,'Inputs-Results'!$C$9:$C$35))),1)</f>
        <v>#N/A</v>
      </c>
      <c r="AC36" s="64" t="e">
        <f>(($C36+S$33)+MAX(($C36+S$33)-3.771/_xlfn.XLOOKUP($A36,'Inputs-Results'!$A$9:$A$35,'Inputs-Results'!$C$9:$C$35),0))/2</f>
        <v>#N/A</v>
      </c>
      <c r="AD36" s="54" t="e">
        <f>(($C36+T$33)+MAX(($C36+T$33)-3.771/_xlfn.XLOOKUP($A36,'Inputs-Results'!$A$9:$A$35,'Inputs-Results'!$C$9:$C$35),0))/2</f>
        <v>#N/A</v>
      </c>
      <c r="AE36" s="54" t="e">
        <f>(($C36+U$33)+MAX(($C36+U$33)-3.771/_xlfn.XLOOKUP($A36,'Inputs-Results'!$A$9:$A$35,'Inputs-Results'!$C$9:$C$35),0))/2</f>
        <v>#N/A</v>
      </c>
      <c r="AF36" s="54" t="e">
        <f>(($C36+V$33)+MAX(($C36+V$33)-3.771/_xlfn.XLOOKUP($A36,'Inputs-Results'!$A$9:$A$35,'Inputs-Results'!$C$9:$C$35),0))/2</f>
        <v>#N/A</v>
      </c>
      <c r="AG36" s="65" t="e">
        <f>(($C36+W$33)+MAX(($C36+W$33)-3.771/_xlfn.XLOOKUP($A36,'Inputs-Results'!$A$9:$A$35,'Inputs-Results'!$C$9:$C$35),0))/2</f>
        <v>#N/A</v>
      </c>
      <c r="AH36" s="69" t="e">
        <f>($C36+S$33)/IF($D36="P-12",'Standard Data'!$C$12,IF($D36="N-12",'Standard Data'!$C$13,0))</f>
        <v>#N/A</v>
      </c>
      <c r="AI36" s="55" t="e">
        <f>($C36+T$33)/IF($D36="P-12",'Standard Data'!$C$12,IF($D36="N-12",'Standard Data'!$C$13,0))</f>
        <v>#N/A</v>
      </c>
      <c r="AJ36" s="55" t="e">
        <f>($C36+U$33)/IF($D36="P-12",'Standard Data'!$C$12,IF($D36="N-12",'Standard Data'!$C$13,0))</f>
        <v>#N/A</v>
      </c>
      <c r="AK36" s="55" t="e">
        <f>($C36+V$33)/IF($D36="P-12",'Standard Data'!$C$12,IF($D36="N-12",'Standard Data'!$C$13,0))</f>
        <v>#N/A</v>
      </c>
      <c r="AL36" s="70" t="e">
        <f>($C36+W$33)/IF($D36="P-12",'Standard Data'!$C$12,IF($D36="N-12",'Standard Data'!$C$13,0))</f>
        <v>#N/A</v>
      </c>
      <c r="AM36" s="69" t="e">
        <f t="shared" si="32"/>
        <v>#N/A</v>
      </c>
      <c r="AN36" s="55" t="e">
        <f t="shared" si="33"/>
        <v>#N/A</v>
      </c>
      <c r="AO36" s="55" t="e">
        <f t="shared" si="34"/>
        <v>#N/A</v>
      </c>
      <c r="AP36" s="55" t="e">
        <f t="shared" si="35"/>
        <v>#N/A</v>
      </c>
      <c r="AQ36" s="70" t="e">
        <f t="shared" si="36"/>
        <v>#N/A</v>
      </c>
      <c r="AR36" s="79" t="e">
        <f>AM36*IF($D36="P-12",'Standard Data'!$C$12,IF($D36="N-12",'Standard Data'!$C$13,0))*AC36^1.5</f>
        <v>#N/A</v>
      </c>
      <c r="AS36" s="80" t="e">
        <f>AN36*IF($D36="P-12",'Standard Data'!$C$12,IF($D36="N-12",'Standard Data'!$C$13,0))*AD36^1.5</f>
        <v>#N/A</v>
      </c>
      <c r="AT36" s="80" t="e">
        <f>AO36*IF($D36="P-12",'Standard Data'!$C$12,IF($D36="N-12",'Standard Data'!$C$13,0))*AE36^1.5</f>
        <v>#N/A</v>
      </c>
      <c r="AU36" s="80" t="e">
        <f>AP36*IF($D36="P-12",'Standard Data'!$C$12,IF($D36="N-12",'Standard Data'!$C$13,0))*AF36^1.5</f>
        <v>#N/A</v>
      </c>
      <c r="AV36" s="81" t="e">
        <f>AQ36*IF($D36="P-12",'Standard Data'!$C$12,IF($D36="N-12",'Standard Data'!$C$13,0))*AG36^1.5</f>
        <v>#N/A</v>
      </c>
      <c r="AW36" s="69" t="e">
        <f>X36*2*IF($D36="P-12",'Standard Data'!$D$12,IF($D36="N-12",'Standard Data'!$D$13,0))</f>
        <v>#N/A</v>
      </c>
      <c r="AX36" s="55" t="e">
        <f>Y36*2*IF($D36="P-12",'Standard Data'!$D$12,IF($D36="N-12",'Standard Data'!$D$13,0))</f>
        <v>#N/A</v>
      </c>
      <c r="AY36" s="55" t="e">
        <f>Z36*2*IF($D36="P-12",'Standard Data'!$D$12,IF($D36="N-12",'Standard Data'!$D$13,0))</f>
        <v>#N/A</v>
      </c>
      <c r="AZ36" s="55" t="e">
        <f>AA36*2*IF($D36="P-12",'Standard Data'!$D$12,IF($D36="N-12",'Standard Data'!$D$13,0))</f>
        <v>#N/A</v>
      </c>
      <c r="BA36" s="74" t="e">
        <f>AB36*2*IF($D36="P-12",'Standard Data'!$D$12,IF($D36="N-12",'Standard Data'!$D$13,0))</f>
        <v>#N/A</v>
      </c>
      <c r="BB36" s="69" t="e">
        <f t="shared" si="37"/>
        <v>#N/A</v>
      </c>
      <c r="BC36" s="55" t="e">
        <f t="shared" si="38"/>
        <v>#N/A</v>
      </c>
      <c r="BD36" s="55" t="e">
        <f t="shared" si="39"/>
        <v>#N/A</v>
      </c>
      <c r="BE36" s="55" t="e">
        <f t="shared" ref="BE36:BE60" si="68">AF36/AZ36</f>
        <v>#N/A</v>
      </c>
      <c r="BF36" s="70" t="e">
        <f t="shared" si="40"/>
        <v>#N/A</v>
      </c>
      <c r="BG36" s="85" t="e">
        <f t="shared" si="41"/>
        <v>#N/A</v>
      </c>
      <c r="BH36" s="19" t="e">
        <f t="shared" si="42"/>
        <v>#N/A</v>
      </c>
      <c r="BI36" s="19" t="e">
        <f t="shared" si="43"/>
        <v>#N/A</v>
      </c>
      <c r="BJ36" s="19" t="e">
        <f t="shared" si="44"/>
        <v>#N/A</v>
      </c>
      <c r="BK36" s="27" t="e">
        <f t="shared" si="45"/>
        <v>#N/A</v>
      </c>
      <c r="BL36" s="89" t="e">
        <f t="shared" si="46"/>
        <v>#N/A</v>
      </c>
      <c r="BM36" s="87" t="e">
        <f t="shared" si="47"/>
        <v>#N/A</v>
      </c>
      <c r="BN36" s="87" t="e">
        <f t="shared" si="48"/>
        <v>#N/A</v>
      </c>
      <c r="BO36" s="87" t="e">
        <f t="shared" si="49"/>
        <v>#N/A</v>
      </c>
      <c r="BP36" s="90" t="e">
        <f t="shared" si="50"/>
        <v>#N/A</v>
      </c>
      <c r="BQ36" s="89" t="e">
        <f t="shared" si="51"/>
        <v>#N/A</v>
      </c>
      <c r="BR36" s="87" t="e">
        <f t="shared" si="52"/>
        <v>#N/A</v>
      </c>
      <c r="BS36" s="87" t="e">
        <f t="shared" si="53"/>
        <v>#N/A</v>
      </c>
      <c r="BT36" s="87" t="e">
        <f t="shared" si="54"/>
        <v>#N/A</v>
      </c>
      <c r="BU36" s="90" t="e">
        <f t="shared" si="55"/>
        <v>#N/A</v>
      </c>
      <c r="BV36" s="85" t="e">
        <f>IF($D36="P-12",'Standard Data'!$B$12,IF($D36="N-12",'Standard Data'!$B$13,0))*IF($D36="P-12",'Standard Data'!$E$12,IF($D36="N-12",'Standard Data'!$E$13,0))*X36</f>
        <v>#N/A</v>
      </c>
      <c r="BW36" s="19" t="e">
        <f>IF($D36="P-12",'Standard Data'!$B$12,IF($D36="N-12",'Standard Data'!$B$13,0))*IF($D36="P-12",'Standard Data'!$E$12,IF($D36="N-12",'Standard Data'!$E$13,0))*Y36</f>
        <v>#N/A</v>
      </c>
      <c r="BX36" s="19" t="e">
        <f>IF($D36="P-12",'Standard Data'!$B$12,IF($D36="N-12",'Standard Data'!$B$13,0))*IF($D36="P-12",'Standard Data'!$E$12,IF($D36="N-12",'Standard Data'!$E$13,0))*Z36</f>
        <v>#N/A</v>
      </c>
      <c r="BY36" s="19" t="e">
        <f>IF($D36="P-12",'Standard Data'!$B$12,IF($D36="N-12",'Standard Data'!$B$13,0))*IF($D36="P-12",'Standard Data'!$E$12,IF($D36="N-12",'Standard Data'!$E$13,0))*AA36</f>
        <v>#N/A</v>
      </c>
      <c r="BZ36" s="27" t="e">
        <f>IF($D36="P-12",'Standard Data'!$B$12,IF($D36="N-12",'Standard Data'!$B$13,0))*IF($D36="P-12",'Standard Data'!$E$12,IF($D36="N-12",'Standard Data'!$E$13,0))*AB36</f>
        <v>#N/A</v>
      </c>
      <c r="CA36" s="89" t="e">
        <f t="shared" si="56"/>
        <v>#N/A</v>
      </c>
      <c r="CB36" s="87" t="e">
        <f t="shared" si="57"/>
        <v>#N/A</v>
      </c>
      <c r="CC36" s="87" t="e">
        <f t="shared" si="58"/>
        <v>#N/A</v>
      </c>
      <c r="CD36" s="87" t="e">
        <f t="shared" si="59"/>
        <v>#N/A</v>
      </c>
      <c r="CE36" s="90" t="e">
        <f t="shared" si="60"/>
        <v>#N/A</v>
      </c>
      <c r="CF36" s="89" t="e">
        <f t="shared" si="61"/>
        <v>#N/A</v>
      </c>
      <c r="CG36" s="87" t="e">
        <f t="shared" si="62"/>
        <v>#N/A</v>
      </c>
      <c r="CH36" s="87" t="e">
        <f t="shared" si="63"/>
        <v>#N/A</v>
      </c>
      <c r="CI36" s="87" t="e">
        <f t="shared" si="64"/>
        <v>#N/A</v>
      </c>
      <c r="CJ36" s="90" t="e">
        <f t="shared" si="65"/>
        <v>#N/A</v>
      </c>
      <c r="CK36" s="101" t="e">
        <f t="shared" si="16"/>
        <v>#N/A</v>
      </c>
      <c r="CL36" s="95" t="e">
        <f t="shared" si="17"/>
        <v>#N/A</v>
      </c>
      <c r="CM36" s="95" t="e">
        <f t="shared" si="18"/>
        <v>#N/A</v>
      </c>
      <c r="CN36" s="95" t="e">
        <f t="shared" si="19"/>
        <v>#N/A</v>
      </c>
      <c r="CO36" s="102" t="e">
        <f t="shared" si="20"/>
        <v>#N/A</v>
      </c>
      <c r="CP36" s="101" t="e">
        <f t="shared" si="66"/>
        <v>#N/A</v>
      </c>
      <c r="CQ36" s="95" t="e">
        <f t="shared" si="21"/>
        <v>#N/A</v>
      </c>
      <c r="CR36" s="95" t="e">
        <f t="shared" si="21"/>
        <v>#N/A</v>
      </c>
      <c r="CS36" s="95" t="e">
        <f t="shared" si="21"/>
        <v>#N/A</v>
      </c>
      <c r="CT36" s="102" t="e">
        <f t="shared" si="21"/>
        <v>#N/A</v>
      </c>
      <c r="CU36" s="98" t="e">
        <f t="shared" si="22"/>
        <v>#N/A</v>
      </c>
      <c r="CV36" s="98" t="e">
        <f t="shared" si="23"/>
        <v>#N/A</v>
      </c>
      <c r="CW36" s="98" t="e">
        <f t="shared" si="67"/>
        <v>#N/A</v>
      </c>
    </row>
    <row r="37" spans="1:101" x14ac:dyDescent="0.25">
      <c r="A37" s="2">
        <f>'Inputs-Results'!A12</f>
        <v>0</v>
      </c>
      <c r="B37" s="18" t="e">
        <f>_xlfn.XLOOKUP(A37,'Ditch Calculations'!$A$34:$A$114,'Ditch Calculations'!$C$34:$C$114)</f>
        <v>#N/A</v>
      </c>
      <c r="C37" s="2" t="e">
        <f t="shared" si="24"/>
        <v>#N/A</v>
      </c>
      <c r="D37" s="2" t="e">
        <f>_xlfn.XLOOKUP(A37,'Inputs-Results'!$A$9:$A$35,'Inputs-Results'!$B$9:$B$35)</f>
        <v>#N/A</v>
      </c>
      <c r="E37" s="2" t="e">
        <f>C37*_xlfn.XLOOKUP(A37,'Inputs-Results'!$A$9:$A$35,'Inputs-Results'!$C$9:$C$35)</f>
        <v>#N/A</v>
      </c>
      <c r="F37" s="11" t="e">
        <f>MIN(E37/IF(D37="P-12",'Standard Data'!$D$12,IF(D37="N-12",'Standard Data'!$D$13,0))*COS(ATAN(1/_xlfn.XLOOKUP(A37,'Inputs-Results'!$A$9:$A$35,'Inputs-Results'!$C$9:$C$35))),1)</f>
        <v>#N/A</v>
      </c>
      <c r="G37" s="18" t="e">
        <f>(C37+MAX(C37-3.771/_xlfn.XLOOKUP(A37,'Inputs-Results'!A$9:A$35,'Inputs-Results'!$C$9:$C$35),0))/2</f>
        <v>#N/A</v>
      </c>
      <c r="H37" s="18" t="e">
        <f>C37/IF(D37="P-12",'Standard Data'!$C$12,IF(D37="N-12",'Standard Data'!$C$13,0))</f>
        <v>#N/A</v>
      </c>
      <c r="I37" s="19" t="e">
        <f t="shared" si="25"/>
        <v>#N/A</v>
      </c>
      <c r="J37" s="20" t="e">
        <f>I37*IF(D37="P-12",'Standard Data'!$C$12,IF(D37="N-12",'Standard Data'!$C$13,0))*G37^1.5</f>
        <v>#N/A</v>
      </c>
      <c r="K37" s="19" t="e">
        <f>F37*2*IF(D37="P-12",'Standard Data'!$D$12,IF(D37="N-12",'Standard Data'!$D$13,0))</f>
        <v>#N/A</v>
      </c>
      <c r="L37" s="19" t="e">
        <f t="shared" si="26"/>
        <v>#N/A</v>
      </c>
      <c r="M37" s="19" t="e">
        <f t="shared" si="27"/>
        <v>#N/A</v>
      </c>
      <c r="N37" s="20" t="e">
        <f t="shared" si="28"/>
        <v>#N/A</v>
      </c>
      <c r="O37" s="20" t="e">
        <f t="shared" si="29"/>
        <v>#N/A</v>
      </c>
      <c r="P37" s="19" t="e">
        <f>IF(D37="P-12",'Standard Data'!$B$12,IF(D37="N-12",'Standard Data'!$B$13,0))*IF(D37="P-12",'Standard Data'!$E$12,IF(D37="N-12",'Standard Data'!$E$13,0))*F37</f>
        <v>#N/A</v>
      </c>
      <c r="Q37" s="20" t="e">
        <f t="shared" si="30"/>
        <v>#N/A</v>
      </c>
      <c r="R37" s="53" t="e">
        <f t="shared" si="31"/>
        <v>#N/A</v>
      </c>
      <c r="S37" s="26" t="e">
        <f>($C37+S$33)*_xlfn.XLOOKUP($A37,'Inputs-Results'!$A$9:$A$35,'Inputs-Results'!$C$9:$C$35)</f>
        <v>#N/A</v>
      </c>
      <c r="T37" s="2" t="e">
        <f>($C37+T$33)*_xlfn.XLOOKUP($A37,'Inputs-Results'!$A$9:$A$35,'Inputs-Results'!$C$9:$C$35)</f>
        <v>#N/A</v>
      </c>
      <c r="U37" s="2" t="e">
        <f>($C37+U$33)*_xlfn.XLOOKUP($A37,'Inputs-Results'!$A$9:$A$35,'Inputs-Results'!$C$9:$C$35)</f>
        <v>#N/A</v>
      </c>
      <c r="V37" s="2" t="e">
        <f>($C37+V$33)*_xlfn.XLOOKUP($A37,'Inputs-Results'!$A$9:$A$35,'Inputs-Results'!$C$9:$C$35)</f>
        <v>#N/A</v>
      </c>
      <c r="W37" s="31" t="e">
        <f>($C37+W$33)*_xlfn.XLOOKUP($A37,'Inputs-Results'!$A$9:$A$35,'Inputs-Results'!$C$9:$C$35)</f>
        <v>#N/A</v>
      </c>
      <c r="X37" s="59" t="e">
        <f>MIN(S37/IF($D37="P-12",'Standard Data'!$D$12,IF($D37="N-12",'Standard Data'!$D$13,0))*COS(ATAN(1/_xlfn.XLOOKUP($A37,'Inputs-Results'!$A$9:$A$35,'Inputs-Results'!$C$9:$C$35))),1)</f>
        <v>#N/A</v>
      </c>
      <c r="Y37" s="11" t="e">
        <f>MIN(T37/IF($D37="P-12",'Standard Data'!$D$12,IF($D37="N-12",'Standard Data'!$D$13,0))*COS(ATAN(1/_xlfn.XLOOKUP($A37,'Inputs-Results'!$A$9:$A$35,'Inputs-Results'!$C$9:$C$35))),1)</f>
        <v>#N/A</v>
      </c>
      <c r="Z37" s="11" t="e">
        <f>MIN(U37/IF($D37="P-12",'Standard Data'!$D$12,IF($D37="N-12",'Standard Data'!$D$13,0))*COS(ATAN(1/_xlfn.XLOOKUP($A37,'Inputs-Results'!$A$9:$A$35,'Inputs-Results'!$C$9:$C$35))),1)</f>
        <v>#N/A</v>
      </c>
      <c r="AA37" s="11" t="e">
        <f>MIN(V37/IF($D37="P-12",'Standard Data'!$D$12,IF($D37="N-12",'Standard Data'!$D$13,0))*COS(ATAN(1/_xlfn.XLOOKUP($A37,'Inputs-Results'!$A$9:$A$35,'Inputs-Results'!$C$9:$C$35))),1)</f>
        <v>#N/A</v>
      </c>
      <c r="AB37" s="60" t="e">
        <f>MIN(W37/IF($D37="P-12",'Standard Data'!$D$12,IF($D37="N-12",'Standard Data'!$D$13,0))*COS(ATAN(1/_xlfn.XLOOKUP($A37,'Inputs-Results'!$A$9:$A$35,'Inputs-Results'!$C$9:$C$35))),1)</f>
        <v>#N/A</v>
      </c>
      <c r="AC37" s="64" t="e">
        <f>(($C37+S$33)+MAX(($C37+S$33)-3.771/_xlfn.XLOOKUP($A37,'Inputs-Results'!$A$9:$A$35,'Inputs-Results'!$C$9:$C$35),0))/2</f>
        <v>#N/A</v>
      </c>
      <c r="AD37" s="54" t="e">
        <f>(($C37+T$33)+MAX(($C37+T$33)-3.771/_xlfn.XLOOKUP($A37,'Inputs-Results'!$A$9:$A$35,'Inputs-Results'!$C$9:$C$35),0))/2</f>
        <v>#N/A</v>
      </c>
      <c r="AE37" s="54" t="e">
        <f>(($C37+U$33)+MAX(($C37+U$33)-3.771/_xlfn.XLOOKUP($A37,'Inputs-Results'!$A$9:$A$35,'Inputs-Results'!$C$9:$C$35),0))/2</f>
        <v>#N/A</v>
      </c>
      <c r="AF37" s="54" t="e">
        <f>(($C37+V$33)+MAX(($C37+V$33)-3.771/_xlfn.XLOOKUP($A37,'Inputs-Results'!$A$9:$A$35,'Inputs-Results'!$C$9:$C$35),0))/2</f>
        <v>#N/A</v>
      </c>
      <c r="AG37" s="65" t="e">
        <f>(($C37+W$33)+MAX(($C37+W$33)-3.771/_xlfn.XLOOKUP($A37,'Inputs-Results'!$A$9:$A$35,'Inputs-Results'!$C$9:$C$35),0))/2</f>
        <v>#N/A</v>
      </c>
      <c r="AH37" s="69" t="e">
        <f>($C37+S$33)/IF($D37="P-12",'Standard Data'!$C$12,IF($D37="N-12",'Standard Data'!$C$13,0))</f>
        <v>#N/A</v>
      </c>
      <c r="AI37" s="55" t="e">
        <f>($C37+T$33)/IF($D37="P-12",'Standard Data'!$C$12,IF($D37="N-12",'Standard Data'!$C$13,0))</f>
        <v>#N/A</v>
      </c>
      <c r="AJ37" s="55" t="e">
        <f>($C37+U$33)/IF($D37="P-12",'Standard Data'!$C$12,IF($D37="N-12",'Standard Data'!$C$13,0))</f>
        <v>#N/A</v>
      </c>
      <c r="AK37" s="55" t="e">
        <f>($C37+V$33)/IF($D37="P-12",'Standard Data'!$C$12,IF($D37="N-12",'Standard Data'!$C$13,0))</f>
        <v>#N/A</v>
      </c>
      <c r="AL37" s="70" t="e">
        <f>($C37+W$33)/IF($D37="P-12",'Standard Data'!$C$12,IF($D37="N-12",'Standard Data'!$C$13,0))</f>
        <v>#N/A</v>
      </c>
      <c r="AM37" s="69" t="e">
        <f t="shared" si="32"/>
        <v>#N/A</v>
      </c>
      <c r="AN37" s="55" t="e">
        <f t="shared" si="33"/>
        <v>#N/A</v>
      </c>
      <c r="AO37" s="55" t="e">
        <f t="shared" si="34"/>
        <v>#N/A</v>
      </c>
      <c r="AP37" s="55" t="e">
        <f t="shared" si="35"/>
        <v>#N/A</v>
      </c>
      <c r="AQ37" s="70" t="e">
        <f t="shared" si="36"/>
        <v>#N/A</v>
      </c>
      <c r="AR37" s="79" t="e">
        <f>AM37*IF($D37="P-12",'Standard Data'!$C$12,IF($D37="N-12",'Standard Data'!$C$13,0))*AC37^1.5</f>
        <v>#N/A</v>
      </c>
      <c r="AS37" s="80" t="e">
        <f>AN37*IF($D37="P-12",'Standard Data'!$C$12,IF($D37="N-12",'Standard Data'!$C$13,0))*AD37^1.5</f>
        <v>#N/A</v>
      </c>
      <c r="AT37" s="80" t="e">
        <f>AO37*IF($D37="P-12",'Standard Data'!$C$12,IF($D37="N-12",'Standard Data'!$C$13,0))*AE37^1.5</f>
        <v>#N/A</v>
      </c>
      <c r="AU37" s="80" t="e">
        <f>AP37*IF($D37="P-12",'Standard Data'!$C$12,IF($D37="N-12",'Standard Data'!$C$13,0))*AF37^1.5</f>
        <v>#N/A</v>
      </c>
      <c r="AV37" s="81" t="e">
        <f>AQ37*IF($D37="P-12",'Standard Data'!$C$12,IF($D37="N-12",'Standard Data'!$C$13,0))*AG37^1.5</f>
        <v>#N/A</v>
      </c>
      <c r="AW37" s="69" t="e">
        <f>X37*2*IF($D37="P-12",'Standard Data'!$D$12,IF($D37="N-12",'Standard Data'!$D$13,0))</f>
        <v>#N/A</v>
      </c>
      <c r="AX37" s="55" t="e">
        <f>Y37*2*IF($D37="P-12",'Standard Data'!$D$12,IF($D37="N-12",'Standard Data'!$D$13,0))</f>
        <v>#N/A</v>
      </c>
      <c r="AY37" s="55" t="e">
        <f>Z37*2*IF($D37="P-12",'Standard Data'!$D$12,IF($D37="N-12",'Standard Data'!$D$13,0))</f>
        <v>#N/A</v>
      </c>
      <c r="AZ37" s="55" t="e">
        <f>AA37*2*IF($D37="P-12",'Standard Data'!$D$12,IF($D37="N-12",'Standard Data'!$D$13,0))</f>
        <v>#N/A</v>
      </c>
      <c r="BA37" s="74" t="e">
        <f>AB37*2*IF($D37="P-12",'Standard Data'!$D$12,IF($D37="N-12",'Standard Data'!$D$13,0))</f>
        <v>#N/A</v>
      </c>
      <c r="BB37" s="69" t="e">
        <f t="shared" si="37"/>
        <v>#N/A</v>
      </c>
      <c r="BC37" s="55" t="e">
        <f t="shared" si="38"/>
        <v>#N/A</v>
      </c>
      <c r="BD37" s="55" t="e">
        <f t="shared" si="39"/>
        <v>#N/A</v>
      </c>
      <c r="BE37" s="55" t="e">
        <f t="shared" si="68"/>
        <v>#N/A</v>
      </c>
      <c r="BF37" s="70" t="e">
        <f t="shared" si="40"/>
        <v>#N/A</v>
      </c>
      <c r="BG37" s="85" t="e">
        <f t="shared" si="41"/>
        <v>#N/A</v>
      </c>
      <c r="BH37" s="19" t="e">
        <f t="shared" si="42"/>
        <v>#N/A</v>
      </c>
      <c r="BI37" s="19" t="e">
        <f t="shared" si="43"/>
        <v>#N/A</v>
      </c>
      <c r="BJ37" s="19" t="e">
        <f t="shared" si="44"/>
        <v>#N/A</v>
      </c>
      <c r="BK37" s="27" t="e">
        <f t="shared" si="45"/>
        <v>#N/A</v>
      </c>
      <c r="BL37" s="89" t="e">
        <f t="shared" si="46"/>
        <v>#N/A</v>
      </c>
      <c r="BM37" s="87" t="e">
        <f>BH37*AX37*AD37^1.5</f>
        <v>#N/A</v>
      </c>
      <c r="BN37" s="87" t="e">
        <f t="shared" si="48"/>
        <v>#N/A</v>
      </c>
      <c r="BO37" s="87" t="e">
        <f t="shared" si="49"/>
        <v>#N/A</v>
      </c>
      <c r="BP37" s="90" t="e">
        <f t="shared" si="50"/>
        <v>#N/A</v>
      </c>
      <c r="BQ37" s="89" t="e">
        <f t="shared" si="51"/>
        <v>#N/A</v>
      </c>
      <c r="BR37" s="87" t="e">
        <f t="shared" si="52"/>
        <v>#N/A</v>
      </c>
      <c r="BS37" s="87" t="e">
        <f t="shared" si="53"/>
        <v>#N/A</v>
      </c>
      <c r="BT37" s="87" t="e">
        <f t="shared" si="54"/>
        <v>#N/A</v>
      </c>
      <c r="BU37" s="90" t="e">
        <f t="shared" si="55"/>
        <v>#N/A</v>
      </c>
      <c r="BV37" s="85" t="e">
        <f>IF($D37="P-12",'Standard Data'!$B$12,IF($D37="N-12",'Standard Data'!$B$13,0))*IF($D37="P-12",'Standard Data'!$E$12,IF($D37="N-12",'Standard Data'!$E$13,0))*X37</f>
        <v>#N/A</v>
      </c>
      <c r="BW37" s="19" t="e">
        <f>IF($D37="P-12",'Standard Data'!$B$12,IF($D37="N-12",'Standard Data'!$B$13,0))*IF($D37="P-12",'Standard Data'!$E$12,IF($D37="N-12",'Standard Data'!$E$13,0))*Y37</f>
        <v>#N/A</v>
      </c>
      <c r="BX37" s="19" t="e">
        <f>IF($D37="P-12",'Standard Data'!$B$12,IF($D37="N-12",'Standard Data'!$B$13,0))*IF($D37="P-12",'Standard Data'!$E$12,IF($D37="N-12",'Standard Data'!$E$13,0))*Z37</f>
        <v>#N/A</v>
      </c>
      <c r="BY37" s="19" t="e">
        <f>IF($D37="P-12",'Standard Data'!$B$12,IF($D37="N-12",'Standard Data'!$B$13,0))*IF($D37="P-12",'Standard Data'!$E$12,IF($D37="N-12",'Standard Data'!$E$13,0))*AA37</f>
        <v>#N/A</v>
      </c>
      <c r="BZ37" s="27" t="e">
        <f>IF($D37="P-12",'Standard Data'!$B$12,IF($D37="N-12",'Standard Data'!$B$13,0))*IF($D37="P-12",'Standard Data'!$E$12,IF($D37="N-12",'Standard Data'!$E$13,0))*AB37</f>
        <v>#N/A</v>
      </c>
      <c r="CA37" s="89" t="e">
        <f t="shared" si="56"/>
        <v>#N/A</v>
      </c>
      <c r="CB37" s="87" t="e">
        <f t="shared" si="57"/>
        <v>#N/A</v>
      </c>
      <c r="CC37" s="87" t="e">
        <f t="shared" si="58"/>
        <v>#N/A</v>
      </c>
      <c r="CD37" s="87" t="e">
        <f t="shared" si="59"/>
        <v>#N/A</v>
      </c>
      <c r="CE37" s="90" t="e">
        <f t="shared" si="60"/>
        <v>#N/A</v>
      </c>
      <c r="CF37" s="89" t="e">
        <f t="shared" si="61"/>
        <v>#N/A</v>
      </c>
      <c r="CG37" s="87" t="e">
        <f t="shared" si="62"/>
        <v>#N/A</v>
      </c>
      <c r="CH37" s="87" t="e">
        <f t="shared" si="63"/>
        <v>#N/A</v>
      </c>
      <c r="CI37" s="87" t="e">
        <f t="shared" si="64"/>
        <v>#N/A</v>
      </c>
      <c r="CJ37" s="90" t="e">
        <f t="shared" si="65"/>
        <v>#N/A</v>
      </c>
      <c r="CK37" s="101" t="e">
        <f t="shared" si="16"/>
        <v>#N/A</v>
      </c>
      <c r="CL37" s="95" t="e">
        <f t="shared" si="17"/>
        <v>#N/A</v>
      </c>
      <c r="CM37" s="95" t="e">
        <f t="shared" si="18"/>
        <v>#N/A</v>
      </c>
      <c r="CN37" s="95" t="e">
        <f t="shared" si="19"/>
        <v>#N/A</v>
      </c>
      <c r="CO37" s="102" t="e">
        <f t="shared" si="20"/>
        <v>#N/A</v>
      </c>
      <c r="CP37" s="101" t="e">
        <f t="shared" si="66"/>
        <v>#N/A</v>
      </c>
      <c r="CQ37" s="95" t="e">
        <f t="shared" si="21"/>
        <v>#N/A</v>
      </c>
      <c r="CR37" s="95" t="e">
        <f t="shared" si="21"/>
        <v>#N/A</v>
      </c>
      <c r="CS37" s="95" t="e">
        <f t="shared" si="21"/>
        <v>#N/A</v>
      </c>
      <c r="CT37" s="102" t="e">
        <f t="shared" si="21"/>
        <v>#N/A</v>
      </c>
      <c r="CU37" s="98" t="e">
        <f t="shared" si="22"/>
        <v>#N/A</v>
      </c>
      <c r="CV37" s="98" t="e">
        <f t="shared" si="23"/>
        <v>#N/A</v>
      </c>
      <c r="CW37" s="98" t="e">
        <f t="shared" si="67"/>
        <v>#N/A</v>
      </c>
    </row>
    <row r="38" spans="1:101" x14ac:dyDescent="0.25">
      <c r="A38" s="2">
        <f>'Inputs-Results'!A13</f>
        <v>0</v>
      </c>
      <c r="B38" s="18" t="e">
        <f>_xlfn.XLOOKUP(A38,'Ditch Calculations'!$A$34:$A$114,'Ditch Calculations'!$C$34:$C$114)</f>
        <v>#N/A</v>
      </c>
      <c r="C38" s="2" t="e">
        <f t="shared" si="24"/>
        <v>#N/A</v>
      </c>
      <c r="D38" s="2" t="e">
        <f>_xlfn.XLOOKUP(A38,'Inputs-Results'!$A$9:$A$35,'Inputs-Results'!$B$9:$B$35)</f>
        <v>#N/A</v>
      </c>
      <c r="E38" s="2" t="e">
        <f>C38*_xlfn.XLOOKUP(A38,'Inputs-Results'!$A$9:$A$35,'Inputs-Results'!$C$9:$C$35)</f>
        <v>#N/A</v>
      </c>
      <c r="F38" s="11" t="e">
        <f>MIN(E38/IF(D38="P-12",'Standard Data'!$D$12,IF(D38="N-12",'Standard Data'!$D$13,0))*COS(ATAN(1/_xlfn.XLOOKUP(A38,'Inputs-Results'!$A$9:$A$35,'Inputs-Results'!$C$9:$C$35))),1)</f>
        <v>#N/A</v>
      </c>
      <c r="G38" s="18" t="e">
        <f>(C38+MAX(C38-3.771/_xlfn.XLOOKUP(A38,'Inputs-Results'!A$9:A$35,'Inputs-Results'!$C$9:$C$35),0))/2</f>
        <v>#N/A</v>
      </c>
      <c r="H38" s="18" t="e">
        <f>C38/IF(D38="P-12",'Standard Data'!$C$12,IF(D38="N-12",'Standard Data'!$C$13,0))</f>
        <v>#N/A</v>
      </c>
      <c r="I38" s="19" t="e">
        <f t="shared" si="25"/>
        <v>#N/A</v>
      </c>
      <c r="J38" s="20" t="e">
        <f>I38*IF(D38="P-12",'Standard Data'!$C$12,IF(D38="N-12",'Standard Data'!$C$13,0))*G38^1.5</f>
        <v>#N/A</v>
      </c>
      <c r="K38" s="19" t="e">
        <f>F38*2*IF(D38="P-12",'Standard Data'!$D$12,IF(D38="N-12",'Standard Data'!$D$13,0))</f>
        <v>#N/A</v>
      </c>
      <c r="L38" s="19" t="e">
        <f t="shared" si="26"/>
        <v>#N/A</v>
      </c>
      <c r="M38" s="19" t="e">
        <f t="shared" si="27"/>
        <v>#N/A</v>
      </c>
      <c r="N38" s="20" t="e">
        <f t="shared" si="28"/>
        <v>#N/A</v>
      </c>
      <c r="O38" s="20" t="e">
        <f t="shared" si="29"/>
        <v>#N/A</v>
      </c>
      <c r="P38" s="19" t="e">
        <f>IF(D38="P-12",'Standard Data'!$B$12,IF(D38="N-12",'Standard Data'!$B$13,0))*IF(D38="P-12",'Standard Data'!$E$12,IF(D38="N-12",'Standard Data'!$E$13,0))*F38</f>
        <v>#N/A</v>
      </c>
      <c r="Q38" s="20" t="e">
        <f t="shared" si="30"/>
        <v>#N/A</v>
      </c>
      <c r="R38" s="53" t="e">
        <f t="shared" si="31"/>
        <v>#N/A</v>
      </c>
      <c r="S38" s="26" t="e">
        <f>($C38+S$33)*_xlfn.XLOOKUP($A38,'Inputs-Results'!$A$9:$A$35,'Inputs-Results'!$C$9:$C$35)</f>
        <v>#N/A</v>
      </c>
      <c r="T38" s="2" t="e">
        <f>($C38+T$33)*_xlfn.XLOOKUP($A38,'Inputs-Results'!$A$9:$A$35,'Inputs-Results'!$C$9:$C$35)</f>
        <v>#N/A</v>
      </c>
      <c r="U38" s="2" t="e">
        <f>($C38+U$33)*_xlfn.XLOOKUP($A38,'Inputs-Results'!$A$9:$A$35,'Inputs-Results'!$C$9:$C$35)</f>
        <v>#N/A</v>
      </c>
      <c r="V38" s="2" t="e">
        <f>($C38+V$33)*_xlfn.XLOOKUP($A38,'Inputs-Results'!$A$9:$A$35,'Inputs-Results'!$C$9:$C$35)</f>
        <v>#N/A</v>
      </c>
      <c r="W38" s="31" t="e">
        <f>($C38+W$33)*_xlfn.XLOOKUP($A38,'Inputs-Results'!$A$9:$A$35,'Inputs-Results'!$C$9:$C$35)</f>
        <v>#N/A</v>
      </c>
      <c r="X38" s="59" t="e">
        <f>MIN(S38/IF($D38="P-12",'Standard Data'!$D$12,IF($D38="N-12",'Standard Data'!$D$13,0))*COS(ATAN(1/_xlfn.XLOOKUP($A38,'Inputs-Results'!$A$9:$A$35,'Inputs-Results'!$C$9:$C$35))),1)</f>
        <v>#N/A</v>
      </c>
      <c r="Y38" s="11" t="e">
        <f>MIN(T38/IF($D38="P-12",'Standard Data'!$D$12,IF($D38="N-12",'Standard Data'!$D$13,0))*COS(ATAN(1/_xlfn.XLOOKUP($A38,'Inputs-Results'!$A$9:$A$35,'Inputs-Results'!$C$9:$C$35))),1)</f>
        <v>#N/A</v>
      </c>
      <c r="Z38" s="11" t="e">
        <f>MIN(U38/IF($D38="P-12",'Standard Data'!$D$12,IF($D38="N-12",'Standard Data'!$D$13,0))*COS(ATAN(1/_xlfn.XLOOKUP($A38,'Inputs-Results'!$A$9:$A$35,'Inputs-Results'!$C$9:$C$35))),1)</f>
        <v>#N/A</v>
      </c>
      <c r="AA38" s="11" t="e">
        <f>MIN(V38/IF($D38="P-12",'Standard Data'!$D$12,IF($D38="N-12",'Standard Data'!$D$13,0))*COS(ATAN(1/_xlfn.XLOOKUP($A38,'Inputs-Results'!$A$9:$A$35,'Inputs-Results'!$C$9:$C$35))),1)</f>
        <v>#N/A</v>
      </c>
      <c r="AB38" s="60" t="e">
        <f>MIN(W38/IF($D38="P-12",'Standard Data'!$D$12,IF($D38="N-12",'Standard Data'!$D$13,0))*COS(ATAN(1/_xlfn.XLOOKUP($A38,'Inputs-Results'!$A$9:$A$35,'Inputs-Results'!$C$9:$C$35))),1)</f>
        <v>#N/A</v>
      </c>
      <c r="AC38" s="64" t="e">
        <f>(($C38+S$33)+MAX(($C38+S$33)-3.771/_xlfn.XLOOKUP($A38,'Inputs-Results'!$A$9:$A$35,'Inputs-Results'!$C$9:$C$35),0))/2</f>
        <v>#N/A</v>
      </c>
      <c r="AD38" s="54" t="e">
        <f>(($C38+T$33)+MAX(($C38+T$33)-3.771/_xlfn.XLOOKUP($A38,'Inputs-Results'!$A$9:$A$35,'Inputs-Results'!$C$9:$C$35),0))/2</f>
        <v>#N/A</v>
      </c>
      <c r="AE38" s="54" t="e">
        <f>(($C38+U$33)+MAX(($C38+U$33)-3.771/_xlfn.XLOOKUP($A38,'Inputs-Results'!$A$9:$A$35,'Inputs-Results'!$C$9:$C$35),0))/2</f>
        <v>#N/A</v>
      </c>
      <c r="AF38" s="54" t="e">
        <f>(($C38+V$33)+MAX(($C38+V$33)-3.771/_xlfn.XLOOKUP($A38,'Inputs-Results'!$A$9:$A$35,'Inputs-Results'!$C$9:$C$35),0))/2</f>
        <v>#N/A</v>
      </c>
      <c r="AG38" s="65" t="e">
        <f>(($C38+W$33)+MAX(($C38+W$33)-3.771/_xlfn.XLOOKUP($A38,'Inputs-Results'!$A$9:$A$35,'Inputs-Results'!$C$9:$C$35),0))/2</f>
        <v>#N/A</v>
      </c>
      <c r="AH38" s="69" t="e">
        <f>($C38+S$33)/IF($D38="P-12",'Standard Data'!$C$12,IF($D38="N-12",'Standard Data'!$C$13,0))</f>
        <v>#N/A</v>
      </c>
      <c r="AI38" s="55" t="e">
        <f>($C38+T$33)/IF($D38="P-12",'Standard Data'!$C$12,IF($D38="N-12",'Standard Data'!$C$13,0))</f>
        <v>#N/A</v>
      </c>
      <c r="AJ38" s="55" t="e">
        <f>($C38+U$33)/IF($D38="P-12",'Standard Data'!$C$12,IF($D38="N-12",'Standard Data'!$C$13,0))</f>
        <v>#N/A</v>
      </c>
      <c r="AK38" s="55" t="e">
        <f>($C38+V$33)/IF($D38="P-12",'Standard Data'!$C$12,IF($D38="N-12",'Standard Data'!$C$13,0))</f>
        <v>#N/A</v>
      </c>
      <c r="AL38" s="70" t="e">
        <f>($C38+W$33)/IF($D38="P-12",'Standard Data'!$C$12,IF($D38="N-12",'Standard Data'!$C$13,0))</f>
        <v>#N/A</v>
      </c>
      <c r="AM38" s="69" t="e">
        <f t="shared" si="32"/>
        <v>#N/A</v>
      </c>
      <c r="AN38" s="55" t="e">
        <f t="shared" si="33"/>
        <v>#N/A</v>
      </c>
      <c r="AO38" s="55" t="e">
        <f t="shared" si="34"/>
        <v>#N/A</v>
      </c>
      <c r="AP38" s="55" t="e">
        <f t="shared" si="35"/>
        <v>#N/A</v>
      </c>
      <c r="AQ38" s="70" t="e">
        <f t="shared" si="36"/>
        <v>#N/A</v>
      </c>
      <c r="AR38" s="79" t="e">
        <f>AM38*IF($D38="P-12",'Standard Data'!$C$12,IF($D38="N-12",'Standard Data'!$C$13,0))*AC38^1.5</f>
        <v>#N/A</v>
      </c>
      <c r="AS38" s="80" t="e">
        <f>AN38*IF($D38="P-12",'Standard Data'!$C$12,IF($D38="N-12",'Standard Data'!$C$13,0))*AD38^1.5</f>
        <v>#N/A</v>
      </c>
      <c r="AT38" s="80" t="e">
        <f>AO38*IF($D38="P-12",'Standard Data'!$C$12,IF($D38="N-12",'Standard Data'!$C$13,0))*AE38^1.5</f>
        <v>#N/A</v>
      </c>
      <c r="AU38" s="80" t="e">
        <f>AP38*IF($D38="P-12",'Standard Data'!$C$12,IF($D38="N-12",'Standard Data'!$C$13,0))*AF38^1.5</f>
        <v>#N/A</v>
      </c>
      <c r="AV38" s="81" t="e">
        <f>AQ38*IF($D38="P-12",'Standard Data'!$C$12,IF($D38="N-12",'Standard Data'!$C$13,0))*AG38^1.5</f>
        <v>#N/A</v>
      </c>
      <c r="AW38" s="69" t="e">
        <f>X38*2*IF($D38="P-12",'Standard Data'!$D$12,IF($D38="N-12",'Standard Data'!$D$13,0))</f>
        <v>#N/A</v>
      </c>
      <c r="AX38" s="55" t="e">
        <f>Y38*2*IF($D38="P-12",'Standard Data'!$D$12,IF($D38="N-12",'Standard Data'!$D$13,0))</f>
        <v>#N/A</v>
      </c>
      <c r="AY38" s="55" t="e">
        <f>Z38*2*IF($D38="P-12",'Standard Data'!$D$12,IF($D38="N-12",'Standard Data'!$D$13,0))</f>
        <v>#N/A</v>
      </c>
      <c r="AZ38" s="55" t="e">
        <f>AA38*2*IF($D38="P-12",'Standard Data'!$D$12,IF($D38="N-12",'Standard Data'!$D$13,0))</f>
        <v>#N/A</v>
      </c>
      <c r="BA38" s="74" t="e">
        <f>AB38*2*IF($D38="P-12",'Standard Data'!$D$12,IF($D38="N-12",'Standard Data'!$D$13,0))</f>
        <v>#N/A</v>
      </c>
      <c r="BB38" s="69" t="e">
        <f t="shared" si="37"/>
        <v>#N/A</v>
      </c>
      <c r="BC38" s="55" t="e">
        <f t="shared" si="38"/>
        <v>#N/A</v>
      </c>
      <c r="BD38" s="55" t="e">
        <f t="shared" si="39"/>
        <v>#N/A</v>
      </c>
      <c r="BE38" s="55" t="e">
        <f t="shared" si="68"/>
        <v>#N/A</v>
      </c>
      <c r="BF38" s="70" t="e">
        <f t="shared" si="40"/>
        <v>#N/A</v>
      </c>
      <c r="BG38" s="85" t="e">
        <f t="shared" si="41"/>
        <v>#N/A</v>
      </c>
      <c r="BH38" s="19" t="e">
        <f t="shared" si="42"/>
        <v>#N/A</v>
      </c>
      <c r="BI38" s="19" t="e">
        <f t="shared" si="43"/>
        <v>#N/A</v>
      </c>
      <c r="BJ38" s="19" t="e">
        <f t="shared" si="44"/>
        <v>#N/A</v>
      </c>
      <c r="BK38" s="27" t="e">
        <f t="shared" si="45"/>
        <v>#N/A</v>
      </c>
      <c r="BL38" s="89" t="e">
        <f t="shared" si="46"/>
        <v>#N/A</v>
      </c>
      <c r="BM38" s="87" t="e">
        <f t="shared" si="47"/>
        <v>#N/A</v>
      </c>
      <c r="BN38" s="87" t="e">
        <f t="shared" si="48"/>
        <v>#N/A</v>
      </c>
      <c r="BO38" s="87" t="e">
        <f t="shared" si="49"/>
        <v>#N/A</v>
      </c>
      <c r="BP38" s="90" t="e">
        <f t="shared" si="50"/>
        <v>#N/A</v>
      </c>
      <c r="BQ38" s="89" t="e">
        <f t="shared" si="51"/>
        <v>#N/A</v>
      </c>
      <c r="BR38" s="87" t="e">
        <f t="shared" si="52"/>
        <v>#N/A</v>
      </c>
      <c r="BS38" s="87" t="e">
        <f t="shared" si="53"/>
        <v>#N/A</v>
      </c>
      <c r="BT38" s="87" t="e">
        <f t="shared" si="54"/>
        <v>#N/A</v>
      </c>
      <c r="BU38" s="90" t="e">
        <f t="shared" si="55"/>
        <v>#N/A</v>
      </c>
      <c r="BV38" s="85" t="e">
        <f>IF($D38="P-12",'Standard Data'!$B$12,IF($D38="N-12",'Standard Data'!$B$13,0))*IF($D38="P-12",'Standard Data'!$E$12,IF($D38="N-12",'Standard Data'!$E$13,0))*X38</f>
        <v>#N/A</v>
      </c>
      <c r="BW38" s="19" t="e">
        <f>IF($D38="P-12",'Standard Data'!$B$12,IF($D38="N-12",'Standard Data'!$B$13,0))*IF($D38="P-12",'Standard Data'!$E$12,IF($D38="N-12",'Standard Data'!$E$13,0))*Y38</f>
        <v>#N/A</v>
      </c>
      <c r="BX38" s="19" t="e">
        <f>IF($D38="P-12",'Standard Data'!$B$12,IF($D38="N-12",'Standard Data'!$B$13,0))*IF($D38="P-12",'Standard Data'!$E$12,IF($D38="N-12",'Standard Data'!$E$13,0))*Z38</f>
        <v>#N/A</v>
      </c>
      <c r="BY38" s="19" t="e">
        <f>IF($D38="P-12",'Standard Data'!$B$12,IF($D38="N-12",'Standard Data'!$B$13,0))*IF($D38="P-12",'Standard Data'!$E$12,IF($D38="N-12",'Standard Data'!$E$13,0))*AA38</f>
        <v>#N/A</v>
      </c>
      <c r="BZ38" s="27" t="e">
        <f>IF($D38="P-12",'Standard Data'!$B$12,IF($D38="N-12",'Standard Data'!$B$13,0))*IF($D38="P-12",'Standard Data'!$E$12,IF($D38="N-12",'Standard Data'!$E$13,0))*AB38</f>
        <v>#N/A</v>
      </c>
      <c r="CA38" s="89" t="e">
        <f t="shared" si="56"/>
        <v>#N/A</v>
      </c>
      <c r="CB38" s="87" t="e">
        <f t="shared" si="57"/>
        <v>#N/A</v>
      </c>
      <c r="CC38" s="87" t="e">
        <f t="shared" si="58"/>
        <v>#N/A</v>
      </c>
      <c r="CD38" s="87" t="e">
        <f t="shared" si="59"/>
        <v>#N/A</v>
      </c>
      <c r="CE38" s="90" t="e">
        <f t="shared" si="60"/>
        <v>#N/A</v>
      </c>
      <c r="CF38" s="89" t="e">
        <f t="shared" si="61"/>
        <v>#N/A</v>
      </c>
      <c r="CG38" s="87" t="e">
        <f t="shared" si="62"/>
        <v>#N/A</v>
      </c>
      <c r="CH38" s="87" t="e">
        <f t="shared" si="63"/>
        <v>#N/A</v>
      </c>
      <c r="CI38" s="87" t="e">
        <f t="shared" si="64"/>
        <v>#N/A</v>
      </c>
      <c r="CJ38" s="90" t="e">
        <f t="shared" si="65"/>
        <v>#N/A</v>
      </c>
      <c r="CK38" s="101" t="e">
        <f t="shared" si="16"/>
        <v>#N/A</v>
      </c>
      <c r="CL38" s="95" t="e">
        <f t="shared" si="17"/>
        <v>#N/A</v>
      </c>
      <c r="CM38" s="95" t="e">
        <f t="shared" si="18"/>
        <v>#N/A</v>
      </c>
      <c r="CN38" s="95" t="e">
        <f t="shared" si="19"/>
        <v>#N/A</v>
      </c>
      <c r="CO38" s="102" t="e">
        <f t="shared" si="20"/>
        <v>#N/A</v>
      </c>
      <c r="CP38" s="101" t="e">
        <f t="shared" si="66"/>
        <v>#N/A</v>
      </c>
      <c r="CQ38" s="95" t="e">
        <f t="shared" si="21"/>
        <v>#N/A</v>
      </c>
      <c r="CR38" s="95" t="e">
        <f t="shared" si="21"/>
        <v>#N/A</v>
      </c>
      <c r="CS38" s="95" t="e">
        <f t="shared" si="21"/>
        <v>#N/A</v>
      </c>
      <c r="CT38" s="102" t="e">
        <f t="shared" si="21"/>
        <v>#N/A</v>
      </c>
      <c r="CU38" s="98" t="e">
        <f t="shared" si="22"/>
        <v>#N/A</v>
      </c>
      <c r="CV38" s="98" t="e">
        <f t="shared" si="23"/>
        <v>#N/A</v>
      </c>
      <c r="CW38" s="98" t="e">
        <f>IF(OR(R38=0,R38="no berm"),0,(IF(R38="has bypass",IF(CU38&lt;=CP38,(CV38-0)*($S$33-0)/(CK38-0)+0,IF(AND(CU38&gt;CP38,CU38&lt;=CQ38),(CV38-CK38)*($T$33-$S$33)/(CL38-CK38)+$S$33,IF(AND(CU38&gt;CQ38,CU38&lt;=CR38),(CV38-CL38)*($U$33-$T$33)/(CM38-CL38)+$T$33,IF(AND(CU38&gt;CR38,CU38&lt;=CS38),(CV38-CM38)*($V$33-$U$33)/(CN38-CM38)+$U$33,IF(AND(CU38&gt;CS38,CU38&lt;=CT38),(CV38-CN38)*($W$33-CR38)/(CO38-CN38)+$V$33,"more than a foot deep"))))))))</f>
        <v>#N/A</v>
      </c>
    </row>
    <row r="39" spans="1:101" x14ac:dyDescent="0.25">
      <c r="A39" s="2">
        <f>'Inputs-Results'!A14</f>
        <v>0</v>
      </c>
      <c r="B39" s="18" t="e">
        <f>_xlfn.XLOOKUP(A39,'Ditch Calculations'!$A$34:$A$114,'Ditch Calculations'!$C$34:$C$114)</f>
        <v>#N/A</v>
      </c>
      <c r="C39" s="2" t="e">
        <f t="shared" si="24"/>
        <v>#N/A</v>
      </c>
      <c r="D39" s="2" t="e">
        <f>_xlfn.XLOOKUP(A39,'Inputs-Results'!$A$9:$A$35,'Inputs-Results'!$B$9:$B$35)</f>
        <v>#N/A</v>
      </c>
      <c r="E39" s="2" t="e">
        <f>C39*_xlfn.XLOOKUP(A39,'Inputs-Results'!$A$9:$A$35,'Inputs-Results'!$C$9:$C$35)</f>
        <v>#N/A</v>
      </c>
      <c r="F39" s="11" t="e">
        <f>MIN(E39/IF(D39="P-12",'Standard Data'!$D$12,IF(D39="N-12",'Standard Data'!$D$13,0))*COS(ATAN(1/_xlfn.XLOOKUP(A39,'Inputs-Results'!$A$9:$A$35,'Inputs-Results'!$C$9:$C$35))),1)</f>
        <v>#N/A</v>
      </c>
      <c r="G39" s="18" t="e">
        <f>(C39+MAX(C39-3.771/_xlfn.XLOOKUP(A39,'Inputs-Results'!A$9:A$35,'Inputs-Results'!$C$9:$C$35),0))/2</f>
        <v>#N/A</v>
      </c>
      <c r="H39" s="18" t="e">
        <f>C39/IF(D39="P-12",'Standard Data'!$C$12,IF(D39="N-12",'Standard Data'!$C$13,0))</f>
        <v>#N/A</v>
      </c>
      <c r="I39" s="19" t="e">
        <f t="shared" si="25"/>
        <v>#N/A</v>
      </c>
      <c r="J39" s="20" t="e">
        <f>I39*IF(D39="P-12",'Standard Data'!$C$12,IF(D39="N-12",'Standard Data'!$C$13,0))*G39^1.5</f>
        <v>#N/A</v>
      </c>
      <c r="K39" s="19" t="e">
        <f>F39*2*IF(D39="P-12",'Standard Data'!$D$12,IF(D39="N-12",'Standard Data'!$D$13,0))</f>
        <v>#N/A</v>
      </c>
      <c r="L39" s="19" t="e">
        <f t="shared" si="26"/>
        <v>#N/A</v>
      </c>
      <c r="M39" s="19" t="e">
        <f t="shared" si="27"/>
        <v>#N/A</v>
      </c>
      <c r="N39" s="20" t="e">
        <f t="shared" si="28"/>
        <v>#N/A</v>
      </c>
      <c r="O39" s="20" t="e">
        <f t="shared" si="29"/>
        <v>#N/A</v>
      </c>
      <c r="P39" s="19" t="e">
        <f>IF(D39="P-12",'Standard Data'!$B$12,IF(D39="N-12",'Standard Data'!$B$13,0))*IF(D39="P-12",'Standard Data'!$E$12,IF(D39="N-12",'Standard Data'!$E$13,0))*F39</f>
        <v>#N/A</v>
      </c>
      <c r="Q39" s="20" t="e">
        <f t="shared" si="30"/>
        <v>#N/A</v>
      </c>
      <c r="R39" s="53" t="e">
        <f t="shared" si="31"/>
        <v>#N/A</v>
      </c>
      <c r="S39" s="26" t="e">
        <f>($C39+S$33)*_xlfn.XLOOKUP($A39,'Inputs-Results'!$A$9:$A$35,'Inputs-Results'!$C$9:$C$35)</f>
        <v>#N/A</v>
      </c>
      <c r="T39" s="2" t="e">
        <f>($C39+T$33)*_xlfn.XLOOKUP($A39,'Inputs-Results'!$A$9:$A$35,'Inputs-Results'!$C$9:$C$35)</f>
        <v>#N/A</v>
      </c>
      <c r="U39" s="2" t="e">
        <f>($C39+U$33)*_xlfn.XLOOKUP($A39,'Inputs-Results'!$A$9:$A$35,'Inputs-Results'!$C$9:$C$35)</f>
        <v>#N/A</v>
      </c>
      <c r="V39" s="2" t="e">
        <f>($C39+V$33)*_xlfn.XLOOKUP($A39,'Inputs-Results'!$A$9:$A$35,'Inputs-Results'!$C$9:$C$35)</f>
        <v>#N/A</v>
      </c>
      <c r="W39" s="31" t="e">
        <f>($C39+W$33)*_xlfn.XLOOKUP($A39,'Inputs-Results'!$A$9:$A$35,'Inputs-Results'!$C$9:$C$35)</f>
        <v>#N/A</v>
      </c>
      <c r="X39" s="59" t="e">
        <f>MIN(S39/IF($D39="P-12",'Standard Data'!$D$12,IF($D39="N-12",'Standard Data'!$D$13,0))*COS(ATAN(1/_xlfn.XLOOKUP($A39,'Inputs-Results'!$A$9:$A$35,'Inputs-Results'!$C$9:$C$35))),1)</f>
        <v>#N/A</v>
      </c>
      <c r="Y39" s="11" t="e">
        <f>MIN(T39/IF($D39="P-12",'Standard Data'!$D$12,IF($D39="N-12",'Standard Data'!$D$13,0))*COS(ATAN(1/_xlfn.XLOOKUP($A39,'Inputs-Results'!$A$9:$A$35,'Inputs-Results'!$C$9:$C$35))),1)</f>
        <v>#N/A</v>
      </c>
      <c r="Z39" s="11" t="e">
        <f>MIN(U39/IF($D39="P-12",'Standard Data'!$D$12,IF($D39="N-12",'Standard Data'!$D$13,0))*COS(ATAN(1/_xlfn.XLOOKUP($A39,'Inputs-Results'!$A$9:$A$35,'Inputs-Results'!$C$9:$C$35))),1)</f>
        <v>#N/A</v>
      </c>
      <c r="AA39" s="11" t="e">
        <f>MIN(V39/IF($D39="P-12",'Standard Data'!$D$12,IF($D39="N-12",'Standard Data'!$D$13,0))*COS(ATAN(1/_xlfn.XLOOKUP($A39,'Inputs-Results'!$A$9:$A$35,'Inputs-Results'!$C$9:$C$35))),1)</f>
        <v>#N/A</v>
      </c>
      <c r="AB39" s="60" t="e">
        <f>MIN(W39/IF($D39="P-12",'Standard Data'!$D$12,IF($D39="N-12",'Standard Data'!$D$13,0))*COS(ATAN(1/_xlfn.XLOOKUP($A39,'Inputs-Results'!$A$9:$A$35,'Inputs-Results'!$C$9:$C$35))),1)</f>
        <v>#N/A</v>
      </c>
      <c r="AC39" s="64" t="e">
        <f>(($C39+S$33)+MAX(($C39+S$33)-3.771/_xlfn.XLOOKUP($A39,'Inputs-Results'!$A$9:$A$35,'Inputs-Results'!$C$9:$C$35),0))/2</f>
        <v>#N/A</v>
      </c>
      <c r="AD39" s="54" t="e">
        <f>(($C39+T$33)+MAX(($C39+T$33)-3.771/_xlfn.XLOOKUP($A39,'Inputs-Results'!$A$9:$A$35,'Inputs-Results'!$C$9:$C$35),0))/2</f>
        <v>#N/A</v>
      </c>
      <c r="AE39" s="54" t="e">
        <f>(($C39+U$33)+MAX(($C39+U$33)-3.771/_xlfn.XLOOKUP($A39,'Inputs-Results'!$A$9:$A$35,'Inputs-Results'!$C$9:$C$35),0))/2</f>
        <v>#N/A</v>
      </c>
      <c r="AF39" s="54" t="e">
        <f>(($C39+V$33)+MAX(($C39+V$33)-3.771/_xlfn.XLOOKUP($A39,'Inputs-Results'!$A$9:$A$35,'Inputs-Results'!$C$9:$C$35),0))/2</f>
        <v>#N/A</v>
      </c>
      <c r="AG39" s="65" t="e">
        <f>(($C39+W$33)+MAX(($C39+W$33)-3.771/_xlfn.XLOOKUP($A39,'Inputs-Results'!$A$9:$A$35,'Inputs-Results'!$C$9:$C$35),0))/2</f>
        <v>#N/A</v>
      </c>
      <c r="AH39" s="69" t="e">
        <f>($C39+S$33)/IF($D39="P-12",'Standard Data'!$C$12,IF($D39="N-12",'Standard Data'!$C$13,0))</f>
        <v>#N/A</v>
      </c>
      <c r="AI39" s="55" t="e">
        <f>($C39+T$33)/IF($D39="P-12",'Standard Data'!$C$12,IF($D39="N-12",'Standard Data'!$C$13,0))</f>
        <v>#N/A</v>
      </c>
      <c r="AJ39" s="55" t="e">
        <f>($C39+U$33)/IF($D39="P-12",'Standard Data'!$C$12,IF($D39="N-12",'Standard Data'!$C$13,0))</f>
        <v>#N/A</v>
      </c>
      <c r="AK39" s="55" t="e">
        <f>($C39+V$33)/IF($D39="P-12",'Standard Data'!$C$12,IF($D39="N-12",'Standard Data'!$C$13,0))</f>
        <v>#N/A</v>
      </c>
      <c r="AL39" s="70" t="e">
        <f>($C39+W$33)/IF($D39="P-12",'Standard Data'!$C$12,IF($D39="N-12",'Standard Data'!$C$13,0))</f>
        <v>#N/A</v>
      </c>
      <c r="AM39" s="69" t="e">
        <f t="shared" si="32"/>
        <v>#N/A</v>
      </c>
      <c r="AN39" s="55" t="e">
        <f t="shared" si="33"/>
        <v>#N/A</v>
      </c>
      <c r="AO39" s="55" t="e">
        <f t="shared" si="34"/>
        <v>#N/A</v>
      </c>
      <c r="AP39" s="55" t="e">
        <f t="shared" si="35"/>
        <v>#N/A</v>
      </c>
      <c r="AQ39" s="70" t="e">
        <f t="shared" si="36"/>
        <v>#N/A</v>
      </c>
      <c r="AR39" s="79" t="e">
        <f>AM39*IF($D39="P-12",'Standard Data'!$C$12,IF($D39="N-12",'Standard Data'!$C$13,0))*AC39^1.5</f>
        <v>#N/A</v>
      </c>
      <c r="AS39" s="80" t="e">
        <f>AN39*IF($D39="P-12",'Standard Data'!$C$12,IF($D39="N-12",'Standard Data'!$C$13,0))*AD39^1.5</f>
        <v>#N/A</v>
      </c>
      <c r="AT39" s="80" t="e">
        <f>AO39*IF($D39="P-12",'Standard Data'!$C$12,IF($D39="N-12",'Standard Data'!$C$13,0))*AE39^1.5</f>
        <v>#N/A</v>
      </c>
      <c r="AU39" s="80" t="e">
        <f>AP39*IF($D39="P-12",'Standard Data'!$C$12,IF($D39="N-12",'Standard Data'!$C$13,0))*AF39^1.5</f>
        <v>#N/A</v>
      </c>
      <c r="AV39" s="81" t="e">
        <f>AQ39*IF($D39="P-12",'Standard Data'!$C$12,IF($D39="N-12",'Standard Data'!$C$13,0))*AG39^1.5</f>
        <v>#N/A</v>
      </c>
      <c r="AW39" s="69" t="e">
        <f>X39*2*IF($D39="P-12",'Standard Data'!$D$12,IF($D39="N-12",'Standard Data'!$D$13,0))</f>
        <v>#N/A</v>
      </c>
      <c r="AX39" s="55" t="e">
        <f>Y39*2*IF($D39="P-12",'Standard Data'!$D$12,IF($D39="N-12",'Standard Data'!$D$13,0))</f>
        <v>#N/A</v>
      </c>
      <c r="AY39" s="55" t="e">
        <f>Z39*2*IF($D39="P-12",'Standard Data'!$D$12,IF($D39="N-12",'Standard Data'!$D$13,0))</f>
        <v>#N/A</v>
      </c>
      <c r="AZ39" s="55" t="e">
        <f>AA39*2*IF($D39="P-12",'Standard Data'!$D$12,IF($D39="N-12",'Standard Data'!$D$13,0))</f>
        <v>#N/A</v>
      </c>
      <c r="BA39" s="74" t="e">
        <f>AB39*2*IF($D39="P-12",'Standard Data'!$D$12,IF($D39="N-12",'Standard Data'!$D$13,0))</f>
        <v>#N/A</v>
      </c>
      <c r="BB39" s="69" t="e">
        <f t="shared" si="37"/>
        <v>#N/A</v>
      </c>
      <c r="BC39" s="55" t="e">
        <f t="shared" si="38"/>
        <v>#N/A</v>
      </c>
      <c r="BD39" s="55" t="e">
        <f t="shared" si="39"/>
        <v>#N/A</v>
      </c>
      <c r="BE39" s="55" t="e">
        <f t="shared" si="68"/>
        <v>#N/A</v>
      </c>
      <c r="BF39" s="70" t="e">
        <f t="shared" si="40"/>
        <v>#N/A</v>
      </c>
      <c r="BG39" s="85" t="e">
        <f t="shared" si="41"/>
        <v>#N/A</v>
      </c>
      <c r="BH39" s="19" t="e">
        <f t="shared" si="42"/>
        <v>#N/A</v>
      </c>
      <c r="BI39" s="19" t="e">
        <f t="shared" si="43"/>
        <v>#N/A</v>
      </c>
      <c r="BJ39" s="19" t="e">
        <f t="shared" si="44"/>
        <v>#N/A</v>
      </c>
      <c r="BK39" s="27" t="e">
        <f t="shared" si="45"/>
        <v>#N/A</v>
      </c>
      <c r="BL39" s="89" t="e">
        <f t="shared" si="46"/>
        <v>#N/A</v>
      </c>
      <c r="BM39" s="87" t="e">
        <f t="shared" si="47"/>
        <v>#N/A</v>
      </c>
      <c r="BN39" s="87" t="e">
        <f t="shared" si="48"/>
        <v>#N/A</v>
      </c>
      <c r="BO39" s="87" t="e">
        <f t="shared" si="49"/>
        <v>#N/A</v>
      </c>
      <c r="BP39" s="90" t="e">
        <f t="shared" si="50"/>
        <v>#N/A</v>
      </c>
      <c r="BQ39" s="89" t="e">
        <f t="shared" si="51"/>
        <v>#N/A</v>
      </c>
      <c r="BR39" s="87" t="e">
        <f t="shared" si="52"/>
        <v>#N/A</v>
      </c>
      <c r="BS39" s="87" t="e">
        <f t="shared" si="53"/>
        <v>#N/A</v>
      </c>
      <c r="BT39" s="87" t="e">
        <f t="shared" si="54"/>
        <v>#N/A</v>
      </c>
      <c r="BU39" s="90" t="e">
        <f t="shared" si="55"/>
        <v>#N/A</v>
      </c>
      <c r="BV39" s="85" t="e">
        <f>IF($D39="P-12",'Standard Data'!$B$12,IF($D39="N-12",'Standard Data'!$B$13,0))*IF($D39="P-12",'Standard Data'!$E$12,IF($D39="N-12",'Standard Data'!$E$13,0))*X39</f>
        <v>#N/A</v>
      </c>
      <c r="BW39" s="19" t="e">
        <f>IF($D39="P-12",'Standard Data'!$B$12,IF($D39="N-12",'Standard Data'!$B$13,0))*IF($D39="P-12",'Standard Data'!$E$12,IF($D39="N-12",'Standard Data'!$E$13,0))*Y39</f>
        <v>#N/A</v>
      </c>
      <c r="BX39" s="19" t="e">
        <f>IF($D39="P-12",'Standard Data'!$B$12,IF($D39="N-12",'Standard Data'!$B$13,0))*IF($D39="P-12",'Standard Data'!$E$12,IF($D39="N-12",'Standard Data'!$E$13,0))*Z39</f>
        <v>#N/A</v>
      </c>
      <c r="BY39" s="19" t="e">
        <f>IF($D39="P-12",'Standard Data'!$B$12,IF($D39="N-12",'Standard Data'!$B$13,0))*IF($D39="P-12",'Standard Data'!$E$12,IF($D39="N-12",'Standard Data'!$E$13,0))*AA39</f>
        <v>#N/A</v>
      </c>
      <c r="BZ39" s="27" t="e">
        <f>IF($D39="P-12",'Standard Data'!$B$12,IF($D39="N-12",'Standard Data'!$B$13,0))*IF($D39="P-12",'Standard Data'!$E$12,IF($D39="N-12",'Standard Data'!$E$13,0))*AB39</f>
        <v>#N/A</v>
      </c>
      <c r="CA39" s="89" t="e">
        <f t="shared" si="56"/>
        <v>#N/A</v>
      </c>
      <c r="CB39" s="87" t="e">
        <f t="shared" si="57"/>
        <v>#N/A</v>
      </c>
      <c r="CC39" s="87" t="e">
        <f t="shared" si="58"/>
        <v>#N/A</v>
      </c>
      <c r="CD39" s="87" t="e">
        <f t="shared" si="59"/>
        <v>#N/A</v>
      </c>
      <c r="CE39" s="90" t="e">
        <f t="shared" si="60"/>
        <v>#N/A</v>
      </c>
      <c r="CF39" s="89" t="e">
        <f t="shared" si="61"/>
        <v>#N/A</v>
      </c>
      <c r="CG39" s="87" t="e">
        <f t="shared" si="62"/>
        <v>#N/A</v>
      </c>
      <c r="CH39" s="87" t="e">
        <f t="shared" si="63"/>
        <v>#N/A</v>
      </c>
      <c r="CI39" s="87" t="e">
        <f t="shared" si="64"/>
        <v>#N/A</v>
      </c>
      <c r="CJ39" s="90" t="e">
        <f t="shared" si="65"/>
        <v>#N/A</v>
      </c>
      <c r="CK39" s="101" t="e">
        <f t="shared" si="16"/>
        <v>#N/A</v>
      </c>
      <c r="CL39" s="95" t="e">
        <f t="shared" si="17"/>
        <v>#N/A</v>
      </c>
      <c r="CM39" s="95" t="e">
        <f t="shared" si="18"/>
        <v>#N/A</v>
      </c>
      <c r="CN39" s="95" t="e">
        <f t="shared" si="19"/>
        <v>#N/A</v>
      </c>
      <c r="CO39" s="102" t="e">
        <f t="shared" si="20"/>
        <v>#N/A</v>
      </c>
      <c r="CP39" s="101" t="e">
        <f t="shared" si="66"/>
        <v>#N/A</v>
      </c>
      <c r="CQ39" s="95" t="e">
        <f t="shared" si="21"/>
        <v>#N/A</v>
      </c>
      <c r="CR39" s="95" t="e">
        <f t="shared" si="21"/>
        <v>#N/A</v>
      </c>
      <c r="CS39" s="95" t="e">
        <f t="shared" si="21"/>
        <v>#N/A</v>
      </c>
      <c r="CT39" s="102" t="e">
        <f t="shared" si="21"/>
        <v>#N/A</v>
      </c>
      <c r="CU39" s="98" t="e">
        <f t="shared" si="22"/>
        <v>#N/A</v>
      </c>
      <c r="CV39" s="98" t="e">
        <f t="shared" si="23"/>
        <v>#N/A</v>
      </c>
      <c r="CW39" s="98" t="e">
        <f t="shared" si="67"/>
        <v>#N/A</v>
      </c>
    </row>
    <row r="40" spans="1:101" x14ac:dyDescent="0.25">
      <c r="A40" s="2">
        <f>'Inputs-Results'!A15</f>
        <v>0</v>
      </c>
      <c r="B40" s="18" t="e">
        <f>_xlfn.XLOOKUP(A40,'Ditch Calculations'!$A$34:$A$114,'Ditch Calculations'!$C$34:$C$114)</f>
        <v>#N/A</v>
      </c>
      <c r="C40" s="2" t="e">
        <f t="shared" si="24"/>
        <v>#N/A</v>
      </c>
      <c r="D40" s="2" t="e">
        <f>_xlfn.XLOOKUP(A40,'Inputs-Results'!$A$9:$A$35,'Inputs-Results'!$B$9:$B$35)</f>
        <v>#N/A</v>
      </c>
      <c r="E40" s="2" t="e">
        <f>C40*_xlfn.XLOOKUP(A40,'Inputs-Results'!$A$9:$A$35,'Inputs-Results'!$C$9:$C$35)</f>
        <v>#N/A</v>
      </c>
      <c r="F40" s="11" t="e">
        <f>MIN(E40/IF(D40="P-12",'Standard Data'!$D$12,IF(D40="N-12",'Standard Data'!$D$13,0))*COS(ATAN(1/_xlfn.XLOOKUP(A40,'Inputs-Results'!$A$9:$A$35,'Inputs-Results'!$C$9:$C$35))),1)</f>
        <v>#N/A</v>
      </c>
      <c r="G40" s="18" t="e">
        <f>(C40+MAX(C40-3.771/_xlfn.XLOOKUP(A40,'Inputs-Results'!A$9:A$35,'Inputs-Results'!$C$9:$C$35),0))/2</f>
        <v>#N/A</v>
      </c>
      <c r="H40" s="18" t="e">
        <f>C40/IF(D40="P-12",'Standard Data'!$C$12,IF(D40="N-12",'Standard Data'!$C$13,0))</f>
        <v>#N/A</v>
      </c>
      <c r="I40" s="19" t="e">
        <f t="shared" si="25"/>
        <v>#N/A</v>
      </c>
      <c r="J40" s="20" t="e">
        <f>I40*IF(D40="P-12",'Standard Data'!$C$12,IF(D40="N-12",'Standard Data'!$C$13,0))*G40^1.5</f>
        <v>#N/A</v>
      </c>
      <c r="K40" s="19" t="e">
        <f>F40*2*IF(D40="P-12",'Standard Data'!$D$12,IF(D40="N-12",'Standard Data'!$D$13,0))</f>
        <v>#N/A</v>
      </c>
      <c r="L40" s="19" t="e">
        <f t="shared" si="26"/>
        <v>#N/A</v>
      </c>
      <c r="M40" s="19" t="e">
        <f t="shared" si="27"/>
        <v>#N/A</v>
      </c>
      <c r="N40" s="20" t="e">
        <f t="shared" si="28"/>
        <v>#N/A</v>
      </c>
      <c r="O40" s="20" t="e">
        <f t="shared" si="29"/>
        <v>#N/A</v>
      </c>
      <c r="P40" s="19" t="e">
        <f>IF(D40="P-12",'Standard Data'!$B$12,IF(D40="N-12",'Standard Data'!$B$13,0))*IF(D40="P-12",'Standard Data'!$E$12,IF(D40="N-12",'Standard Data'!$E$13,0))*F40</f>
        <v>#N/A</v>
      </c>
      <c r="Q40" s="20" t="e">
        <f t="shared" si="30"/>
        <v>#N/A</v>
      </c>
      <c r="R40" s="53" t="e">
        <f t="shared" si="31"/>
        <v>#N/A</v>
      </c>
      <c r="S40" s="26" t="e">
        <f>($C40+S$33)*_xlfn.XLOOKUP($A40,'Inputs-Results'!$A$9:$A$35,'Inputs-Results'!$C$9:$C$35)</f>
        <v>#N/A</v>
      </c>
      <c r="T40" s="2" t="e">
        <f>($C40+T$33)*_xlfn.XLOOKUP($A40,'Inputs-Results'!$A$9:$A$35,'Inputs-Results'!$C$9:$C$35)</f>
        <v>#N/A</v>
      </c>
      <c r="U40" s="2" t="e">
        <f>($C40+U$33)*_xlfn.XLOOKUP($A40,'Inputs-Results'!$A$9:$A$35,'Inputs-Results'!$C$9:$C$35)</f>
        <v>#N/A</v>
      </c>
      <c r="V40" s="2" t="e">
        <f>($C40+V$33)*_xlfn.XLOOKUP($A40,'Inputs-Results'!$A$9:$A$35,'Inputs-Results'!$C$9:$C$35)</f>
        <v>#N/A</v>
      </c>
      <c r="W40" s="31" t="e">
        <f>($C40+W$33)*_xlfn.XLOOKUP($A40,'Inputs-Results'!$A$9:$A$35,'Inputs-Results'!$C$9:$C$35)</f>
        <v>#N/A</v>
      </c>
      <c r="X40" s="59" t="e">
        <f>MIN(S40/IF($D40="P-12",'Standard Data'!$D$12,IF($D40="N-12",'Standard Data'!$D$13,0))*COS(ATAN(1/_xlfn.XLOOKUP($A40,'Inputs-Results'!$A$9:$A$35,'Inputs-Results'!$C$9:$C$35))),1)</f>
        <v>#N/A</v>
      </c>
      <c r="Y40" s="11" t="e">
        <f>MIN(T40/IF($D40="P-12",'Standard Data'!$D$12,IF($D40="N-12",'Standard Data'!$D$13,0))*COS(ATAN(1/_xlfn.XLOOKUP($A40,'Inputs-Results'!$A$9:$A$35,'Inputs-Results'!$C$9:$C$35))),1)</f>
        <v>#N/A</v>
      </c>
      <c r="Z40" s="11" t="e">
        <f>MIN(U40/IF($D40="P-12",'Standard Data'!$D$12,IF($D40="N-12",'Standard Data'!$D$13,0))*COS(ATAN(1/_xlfn.XLOOKUP($A40,'Inputs-Results'!$A$9:$A$35,'Inputs-Results'!$C$9:$C$35))),1)</f>
        <v>#N/A</v>
      </c>
      <c r="AA40" s="11" t="e">
        <f>MIN(V40/IF($D40="P-12",'Standard Data'!$D$12,IF($D40="N-12",'Standard Data'!$D$13,0))*COS(ATAN(1/_xlfn.XLOOKUP($A40,'Inputs-Results'!$A$9:$A$35,'Inputs-Results'!$C$9:$C$35))),1)</f>
        <v>#N/A</v>
      </c>
      <c r="AB40" s="60" t="e">
        <f>MIN(W40/IF($D40="P-12",'Standard Data'!$D$12,IF($D40="N-12",'Standard Data'!$D$13,0))*COS(ATAN(1/_xlfn.XLOOKUP($A40,'Inputs-Results'!$A$9:$A$35,'Inputs-Results'!$C$9:$C$35))),1)</f>
        <v>#N/A</v>
      </c>
      <c r="AC40" s="64" t="e">
        <f>(($C40+S$33)+MAX(($C40+S$33)-3.771/_xlfn.XLOOKUP($A40,'Inputs-Results'!$A$9:$A$35,'Inputs-Results'!$C$9:$C$35),0))/2</f>
        <v>#N/A</v>
      </c>
      <c r="AD40" s="54" t="e">
        <f>(($C40+T$33)+MAX(($C40+T$33)-3.771/_xlfn.XLOOKUP($A40,'Inputs-Results'!$A$9:$A$35,'Inputs-Results'!$C$9:$C$35),0))/2</f>
        <v>#N/A</v>
      </c>
      <c r="AE40" s="54" t="e">
        <f>(($C40+U$33)+MAX(($C40+U$33)-3.771/_xlfn.XLOOKUP($A40,'Inputs-Results'!$A$9:$A$35,'Inputs-Results'!$C$9:$C$35),0))/2</f>
        <v>#N/A</v>
      </c>
      <c r="AF40" s="54" t="e">
        <f>(($C40+V$33)+MAX(($C40+V$33)-3.771/_xlfn.XLOOKUP($A40,'Inputs-Results'!$A$9:$A$35,'Inputs-Results'!$C$9:$C$35),0))/2</f>
        <v>#N/A</v>
      </c>
      <c r="AG40" s="65" t="e">
        <f>(($C40+W$33)+MAX(($C40+W$33)-3.771/_xlfn.XLOOKUP($A40,'Inputs-Results'!$A$9:$A$35,'Inputs-Results'!$C$9:$C$35),0))/2</f>
        <v>#N/A</v>
      </c>
      <c r="AH40" s="69" t="e">
        <f>($C40+S$33)/IF($D40="P-12",'Standard Data'!$C$12,IF($D40="N-12",'Standard Data'!$C$13,0))</f>
        <v>#N/A</v>
      </c>
      <c r="AI40" s="55" t="e">
        <f>($C40+T$33)/IF($D40="P-12",'Standard Data'!$C$12,IF($D40="N-12",'Standard Data'!$C$13,0))</f>
        <v>#N/A</v>
      </c>
      <c r="AJ40" s="55" t="e">
        <f>($C40+U$33)/IF($D40="P-12",'Standard Data'!$C$12,IF($D40="N-12",'Standard Data'!$C$13,0))</f>
        <v>#N/A</v>
      </c>
      <c r="AK40" s="55" t="e">
        <f>($C40+V$33)/IF($D40="P-12",'Standard Data'!$C$12,IF($D40="N-12",'Standard Data'!$C$13,0))</f>
        <v>#N/A</v>
      </c>
      <c r="AL40" s="70" t="e">
        <f>($C40+W$33)/IF($D40="P-12",'Standard Data'!$C$12,IF($D40="N-12",'Standard Data'!$C$13,0))</f>
        <v>#N/A</v>
      </c>
      <c r="AM40" s="69" t="e">
        <f t="shared" si="32"/>
        <v>#N/A</v>
      </c>
      <c r="AN40" s="55" t="e">
        <f t="shared" si="33"/>
        <v>#N/A</v>
      </c>
      <c r="AO40" s="55" t="e">
        <f>MIN(0.3176*AJ40^2+0.0739*AJ40+2.6375, 3.31)</f>
        <v>#N/A</v>
      </c>
      <c r="AP40" s="55" t="e">
        <f t="shared" si="35"/>
        <v>#N/A</v>
      </c>
      <c r="AQ40" s="70" t="e">
        <f t="shared" si="36"/>
        <v>#N/A</v>
      </c>
      <c r="AR40" s="79" t="e">
        <f>AM40*IF($D40="P-12",'Standard Data'!$C$12,IF($D40="N-12",'Standard Data'!$C$13,0))*AC40^1.5</f>
        <v>#N/A</v>
      </c>
      <c r="AS40" s="80" t="e">
        <f>AN40*IF($D40="P-12",'Standard Data'!$C$12,IF($D40="N-12",'Standard Data'!$C$13,0))*AD40^1.5</f>
        <v>#N/A</v>
      </c>
      <c r="AT40" s="80" t="e">
        <f>AO40*IF($D40="P-12",'Standard Data'!$C$12,IF($D40="N-12",'Standard Data'!$C$13,0))*AE40^1.5</f>
        <v>#N/A</v>
      </c>
      <c r="AU40" s="80" t="e">
        <f>AP40*IF($D40="P-12",'Standard Data'!$C$12,IF($D40="N-12",'Standard Data'!$C$13,0))*AF40^1.5</f>
        <v>#N/A</v>
      </c>
      <c r="AV40" s="81" t="e">
        <f>AQ40*IF($D40="P-12",'Standard Data'!$C$12,IF($D40="N-12",'Standard Data'!$C$13,0))*AG40^1.5</f>
        <v>#N/A</v>
      </c>
      <c r="AW40" s="69" t="e">
        <f>X40*2*IF($D40="P-12",'Standard Data'!$D$12,IF($D40="N-12",'Standard Data'!$D$13,0))</f>
        <v>#N/A</v>
      </c>
      <c r="AX40" s="55" t="e">
        <f>Y40*2*IF($D40="P-12",'Standard Data'!$D$12,IF($D40="N-12",'Standard Data'!$D$13,0))</f>
        <v>#N/A</v>
      </c>
      <c r="AY40" s="55" t="e">
        <f>Z40*2*IF($D40="P-12",'Standard Data'!$D$12,IF($D40="N-12",'Standard Data'!$D$13,0))</f>
        <v>#N/A</v>
      </c>
      <c r="AZ40" s="55" t="e">
        <f>AA40*2*IF($D40="P-12",'Standard Data'!$D$12,IF($D40="N-12",'Standard Data'!$D$13,0))</f>
        <v>#N/A</v>
      </c>
      <c r="BA40" s="74" t="e">
        <f>AB40*2*IF($D40="P-12",'Standard Data'!$D$12,IF($D40="N-12",'Standard Data'!$D$13,0))</f>
        <v>#N/A</v>
      </c>
      <c r="BB40" s="69" t="e">
        <f t="shared" si="37"/>
        <v>#N/A</v>
      </c>
      <c r="BC40" s="55" t="e">
        <f t="shared" si="38"/>
        <v>#N/A</v>
      </c>
      <c r="BD40" s="55" t="e">
        <f t="shared" si="39"/>
        <v>#N/A</v>
      </c>
      <c r="BE40" s="55" t="e">
        <f t="shared" si="68"/>
        <v>#N/A</v>
      </c>
      <c r="BF40" s="70" t="e">
        <f t="shared" si="40"/>
        <v>#N/A</v>
      </c>
      <c r="BG40" s="85" t="e">
        <f t="shared" si="41"/>
        <v>#N/A</v>
      </c>
      <c r="BH40" s="19" t="e">
        <f t="shared" si="42"/>
        <v>#N/A</v>
      </c>
      <c r="BI40" s="19" t="e">
        <f t="shared" si="43"/>
        <v>#N/A</v>
      </c>
      <c r="BJ40" s="19" t="e">
        <f t="shared" si="44"/>
        <v>#N/A</v>
      </c>
      <c r="BK40" s="27" t="e">
        <f t="shared" si="45"/>
        <v>#N/A</v>
      </c>
      <c r="BL40" s="89" t="e">
        <f t="shared" si="46"/>
        <v>#N/A</v>
      </c>
      <c r="BM40" s="87" t="e">
        <f>BH40*AX40*AD40^1.5</f>
        <v>#N/A</v>
      </c>
      <c r="BN40" s="87" t="e">
        <f t="shared" si="48"/>
        <v>#N/A</v>
      </c>
      <c r="BO40" s="87" t="e">
        <f t="shared" si="49"/>
        <v>#N/A</v>
      </c>
      <c r="BP40" s="90" t="e">
        <f t="shared" si="50"/>
        <v>#N/A</v>
      </c>
      <c r="BQ40" s="89" t="e">
        <f t="shared" si="51"/>
        <v>#N/A</v>
      </c>
      <c r="BR40" s="87" t="e">
        <f t="shared" si="52"/>
        <v>#N/A</v>
      </c>
      <c r="BS40" s="87" t="e">
        <f t="shared" si="53"/>
        <v>#N/A</v>
      </c>
      <c r="BT40" s="87" t="e">
        <f t="shared" si="54"/>
        <v>#N/A</v>
      </c>
      <c r="BU40" s="90" t="e">
        <f t="shared" si="55"/>
        <v>#N/A</v>
      </c>
      <c r="BV40" s="85" t="e">
        <f>IF($D40="P-12",'Standard Data'!$B$12,IF($D40="N-12",'Standard Data'!$B$13,0))*IF($D40="P-12",'Standard Data'!$E$12,IF($D40="N-12",'Standard Data'!$E$13,0))*X40</f>
        <v>#N/A</v>
      </c>
      <c r="BW40" s="19" t="e">
        <f>IF($D40="P-12",'Standard Data'!$B$12,IF($D40="N-12",'Standard Data'!$B$13,0))*IF($D40="P-12",'Standard Data'!$E$12,IF($D40="N-12",'Standard Data'!$E$13,0))*Y40</f>
        <v>#N/A</v>
      </c>
      <c r="BX40" s="19" t="e">
        <f>IF($D40="P-12",'Standard Data'!$B$12,IF($D40="N-12",'Standard Data'!$B$13,0))*IF($D40="P-12",'Standard Data'!$E$12,IF($D40="N-12",'Standard Data'!$E$13,0))*Z40</f>
        <v>#N/A</v>
      </c>
      <c r="BY40" s="19" t="e">
        <f>IF($D40="P-12",'Standard Data'!$B$12,IF($D40="N-12",'Standard Data'!$B$13,0))*IF($D40="P-12",'Standard Data'!$E$12,IF($D40="N-12",'Standard Data'!$E$13,0))*AA40</f>
        <v>#N/A</v>
      </c>
      <c r="BZ40" s="27" t="e">
        <f>IF($D40="P-12",'Standard Data'!$B$12,IF($D40="N-12",'Standard Data'!$B$13,0))*IF($D40="P-12",'Standard Data'!$E$12,IF($D40="N-12",'Standard Data'!$E$13,0))*AB40</f>
        <v>#N/A</v>
      </c>
      <c r="CA40" s="89" t="e">
        <f t="shared" si="56"/>
        <v>#N/A</v>
      </c>
      <c r="CB40" s="87" t="e">
        <f t="shared" si="57"/>
        <v>#N/A</v>
      </c>
      <c r="CC40" s="87" t="e">
        <f t="shared" si="58"/>
        <v>#N/A</v>
      </c>
      <c r="CD40" s="87" t="e">
        <f t="shared" si="59"/>
        <v>#N/A</v>
      </c>
      <c r="CE40" s="90" t="e">
        <f t="shared" si="60"/>
        <v>#N/A</v>
      </c>
      <c r="CF40" s="89" t="e">
        <f t="shared" si="61"/>
        <v>#N/A</v>
      </c>
      <c r="CG40" s="87" t="e">
        <f t="shared" si="62"/>
        <v>#N/A</v>
      </c>
      <c r="CH40" s="87" t="e">
        <f t="shared" si="63"/>
        <v>#N/A</v>
      </c>
      <c r="CI40" s="87" t="e">
        <f t="shared" si="64"/>
        <v>#N/A</v>
      </c>
      <c r="CJ40" s="90" t="e">
        <f t="shared" si="65"/>
        <v>#N/A</v>
      </c>
      <c r="CK40" s="101" t="e">
        <f t="shared" si="16"/>
        <v>#N/A</v>
      </c>
      <c r="CL40" s="95" t="e">
        <f t="shared" si="17"/>
        <v>#N/A</v>
      </c>
      <c r="CM40" s="95" t="e">
        <f t="shared" si="18"/>
        <v>#N/A</v>
      </c>
      <c r="CN40" s="95" t="e">
        <f t="shared" si="19"/>
        <v>#N/A</v>
      </c>
      <c r="CO40" s="102" t="e">
        <f t="shared" si="20"/>
        <v>#N/A</v>
      </c>
      <c r="CP40" s="101" t="e">
        <f t="shared" si="66"/>
        <v>#N/A</v>
      </c>
      <c r="CQ40" s="95" t="e">
        <f t="shared" si="21"/>
        <v>#N/A</v>
      </c>
      <c r="CR40" s="95" t="e">
        <f t="shared" si="21"/>
        <v>#N/A</v>
      </c>
      <c r="CS40" s="95" t="e">
        <f t="shared" si="21"/>
        <v>#N/A</v>
      </c>
      <c r="CT40" s="102" t="e">
        <f t="shared" si="21"/>
        <v>#N/A</v>
      </c>
      <c r="CU40" s="98" t="e">
        <f t="shared" si="22"/>
        <v>#N/A</v>
      </c>
      <c r="CV40" s="98" t="e">
        <f>IF(R40="has bypass",IF(CU40&lt;=CP40,(CU40-MIN(O40,Q40))*(CK40-0)/(CP40-MIN(O40,Q40)),IF(AND(CU40&gt;CP40,CU40&lt;=CQ40),(CU40-CP40)*(CL40-CK40)/(CQ40-CP40)+CK40,IF(AND(CU40&gt;CQ40,CU40&lt;=CR40),(CU40-CQ40)*(CM40-CL40)/(CR40-CQ40)+CL40,IF(AND(CU40&gt;CR40,CU40&lt;=CS40),(CU40-CR40)*(CN40-CM40)/(CS40-CR40)+CM40,IF(AND(CU40&gt;CS40,CU40&lt;=CT40),(CU40-CS40)*(CO40-CN40)/(CT40-CS40)+CN40,"that's a lot of flow"))))),0)</f>
        <v>#N/A</v>
      </c>
      <c r="CW40" s="98" t="e">
        <f>IF(OR(R40=0,R40="no berm"),0,(IF(R40="has bypass",IF(CU40&lt;=CP40,(CV40-0)*($S$33-0)/(CK40-0)+0,IF(AND(CU40&gt;CP40,CU40&lt;=CQ40),(CV40-CK40)*($T$33-$S$33)/(CL40-CK40)+$S$33,IF(AND(CU40&gt;CQ40,CU40&lt;=CR40),(CV40-CL40)*($U$33-$T$33)/(CM40-CL40)+$T$33,IF(AND(CU40&gt;CR40,CU40&lt;=CS40),(CV40-CM40)*($V$33-$U$33)/(CN40-CM40)+$U$33,IF(AND(CU40&gt;CS40,CU40&lt;=CT40),(CV40-CN40)*($W$33-CR40)/(CO40-CN40)+$V$33,"more than a foot deep"))))))))</f>
        <v>#N/A</v>
      </c>
    </row>
    <row r="41" spans="1:101" x14ac:dyDescent="0.25">
      <c r="A41" s="2">
        <f>'Inputs-Results'!A16</f>
        <v>0</v>
      </c>
      <c r="B41" s="18" t="e">
        <f>_xlfn.XLOOKUP(A41,'Ditch Calculations'!$A$34:$A$114,'Ditch Calculations'!$C$34:$C$114)</f>
        <v>#N/A</v>
      </c>
      <c r="C41" s="2" t="e">
        <f t="shared" si="24"/>
        <v>#N/A</v>
      </c>
      <c r="D41" s="2" t="e">
        <f>_xlfn.XLOOKUP(A41,'Inputs-Results'!$A$9:$A$35,'Inputs-Results'!$B$9:$B$35)</f>
        <v>#N/A</v>
      </c>
      <c r="E41" s="2" t="e">
        <f>C41*_xlfn.XLOOKUP(A41,'Inputs-Results'!$A$9:$A$35,'Inputs-Results'!$C$9:$C$35)</f>
        <v>#N/A</v>
      </c>
      <c r="F41" s="11" t="e">
        <f>MIN(E41/IF(D41="P-12",'Standard Data'!$D$12,IF(D41="N-12",'Standard Data'!$D$13,0))*COS(ATAN(1/_xlfn.XLOOKUP(A41,'Inputs-Results'!$A$9:$A$35,'Inputs-Results'!$C$9:$C$35))),1)</f>
        <v>#N/A</v>
      </c>
      <c r="G41" s="18" t="e">
        <f>(C41+MAX(C41-3.771/_xlfn.XLOOKUP(A41,'Inputs-Results'!A$9:A$35,'Inputs-Results'!$C$9:$C$35),0))/2</f>
        <v>#N/A</v>
      </c>
      <c r="H41" s="18" t="e">
        <f>C41/IF(D41="P-12",'Standard Data'!$C$12,IF(D41="N-12",'Standard Data'!$C$13,0))</f>
        <v>#N/A</v>
      </c>
      <c r="I41" s="19" t="e">
        <f t="shared" si="25"/>
        <v>#N/A</v>
      </c>
      <c r="J41" s="20" t="e">
        <f>I41*IF(D41="P-12",'Standard Data'!$C$12,IF(D41="N-12",'Standard Data'!$C$13,0))*G41^1.5</f>
        <v>#N/A</v>
      </c>
      <c r="K41" s="19" t="e">
        <f>F41*2*IF(D41="P-12",'Standard Data'!$D$12,IF(D41="N-12",'Standard Data'!$D$13,0))</f>
        <v>#N/A</v>
      </c>
      <c r="L41" s="19" t="e">
        <f t="shared" si="26"/>
        <v>#N/A</v>
      </c>
      <c r="M41" s="19" t="e">
        <f t="shared" si="27"/>
        <v>#N/A</v>
      </c>
      <c r="N41" s="20" t="e">
        <f t="shared" si="28"/>
        <v>#N/A</v>
      </c>
      <c r="O41" s="20" t="e">
        <f>N41+J41</f>
        <v>#N/A</v>
      </c>
      <c r="P41" s="19" t="e">
        <f>IF(D41="P-12",'Standard Data'!$B$12,IF(D41="N-12",'Standard Data'!$B$13,0))*IF(D41="P-12",'Standard Data'!$E$12,IF(D41="N-12",'Standard Data'!$E$13,0))*F41</f>
        <v>#N/A</v>
      </c>
      <c r="Q41" s="20" t="e">
        <f t="shared" si="30"/>
        <v>#N/A</v>
      </c>
      <c r="R41" s="53" t="e">
        <f t="shared" si="31"/>
        <v>#N/A</v>
      </c>
      <c r="S41" s="26" t="e">
        <f>($C41+S$33)*_xlfn.XLOOKUP($A41,'Inputs-Results'!$A$9:$A$35,'Inputs-Results'!$C$9:$C$35)</f>
        <v>#N/A</v>
      </c>
      <c r="T41" s="2" t="e">
        <f>($C41+T$33)*_xlfn.XLOOKUP($A41,'Inputs-Results'!$A$9:$A$35,'Inputs-Results'!$C$9:$C$35)</f>
        <v>#N/A</v>
      </c>
      <c r="U41" s="2" t="e">
        <f>($C41+U$33)*_xlfn.XLOOKUP($A41,'Inputs-Results'!$A$9:$A$35,'Inputs-Results'!$C$9:$C$35)</f>
        <v>#N/A</v>
      </c>
      <c r="V41" s="2" t="e">
        <f>($C41+V$33)*_xlfn.XLOOKUP($A41,'Inputs-Results'!$A$9:$A$35,'Inputs-Results'!$C$9:$C$35)</f>
        <v>#N/A</v>
      </c>
      <c r="W41" s="31" t="e">
        <f>($C41+W$33)*_xlfn.XLOOKUP($A41,'Inputs-Results'!$A$9:$A$35,'Inputs-Results'!$C$9:$C$35)</f>
        <v>#N/A</v>
      </c>
      <c r="X41" s="59" t="e">
        <f>MIN(S41/IF($D41="P-12",'Standard Data'!$D$12,IF($D41="N-12",'Standard Data'!$D$13,0))*COS(ATAN(1/_xlfn.XLOOKUP($A41,'Inputs-Results'!$A$9:$A$35,'Inputs-Results'!$C$9:$C$35))),1)</f>
        <v>#N/A</v>
      </c>
      <c r="Y41" s="11" t="e">
        <f>MIN(T41/IF($D41="P-12",'Standard Data'!$D$12,IF($D41="N-12",'Standard Data'!$D$13,0))*COS(ATAN(1/_xlfn.XLOOKUP($A41,'Inputs-Results'!$A$9:$A$35,'Inputs-Results'!$C$9:$C$35))),1)</f>
        <v>#N/A</v>
      </c>
      <c r="Z41" s="11" t="e">
        <f>MIN(U41/IF($D41="P-12",'Standard Data'!$D$12,IF($D41="N-12",'Standard Data'!$D$13,0))*COS(ATAN(1/_xlfn.XLOOKUP($A41,'Inputs-Results'!$A$9:$A$35,'Inputs-Results'!$C$9:$C$35))),1)</f>
        <v>#N/A</v>
      </c>
      <c r="AA41" s="11" t="e">
        <f>MIN(V41/IF($D41="P-12",'Standard Data'!$D$12,IF($D41="N-12",'Standard Data'!$D$13,0))*COS(ATAN(1/_xlfn.XLOOKUP($A41,'Inputs-Results'!$A$9:$A$35,'Inputs-Results'!$C$9:$C$35))),1)</f>
        <v>#N/A</v>
      </c>
      <c r="AB41" s="60" t="e">
        <f>MIN(W41/IF($D41="P-12",'Standard Data'!$D$12,IF($D41="N-12",'Standard Data'!$D$13,0))*COS(ATAN(1/_xlfn.XLOOKUP($A41,'Inputs-Results'!$A$9:$A$35,'Inputs-Results'!$C$9:$C$35))),1)</f>
        <v>#N/A</v>
      </c>
      <c r="AC41" s="64" t="e">
        <f>(($C41+S$33)+MAX(($C41+S$33)-3.771/_xlfn.XLOOKUP($A41,'Inputs-Results'!$A$9:$A$35,'Inputs-Results'!$C$9:$C$35),0))/2</f>
        <v>#N/A</v>
      </c>
      <c r="AD41" s="54" t="e">
        <f>(($C41+T$33)+MAX(($C41+T$33)-3.771/_xlfn.XLOOKUP($A41,'Inputs-Results'!$A$9:$A$35,'Inputs-Results'!$C$9:$C$35),0))/2</f>
        <v>#N/A</v>
      </c>
      <c r="AE41" s="54" t="e">
        <f>(($C41+U$33)+MAX(($C41+U$33)-3.771/_xlfn.XLOOKUP($A41,'Inputs-Results'!$A$9:$A$35,'Inputs-Results'!$C$9:$C$35),0))/2</f>
        <v>#N/A</v>
      </c>
      <c r="AF41" s="54" t="e">
        <f>(($C41+V$33)+MAX(($C41+V$33)-3.771/_xlfn.XLOOKUP($A41,'Inputs-Results'!$A$9:$A$35,'Inputs-Results'!$C$9:$C$35),0))/2</f>
        <v>#N/A</v>
      </c>
      <c r="AG41" s="65" t="e">
        <f>(($C41+W$33)+MAX(($C41+W$33)-3.771/_xlfn.XLOOKUP($A41,'Inputs-Results'!$A$9:$A$35,'Inputs-Results'!$C$9:$C$35),0))/2</f>
        <v>#N/A</v>
      </c>
      <c r="AH41" s="69" t="e">
        <f>($C41+S$33)/IF($D41="P-12",'Standard Data'!$C$12,IF($D41="N-12",'Standard Data'!$C$13,0))</f>
        <v>#N/A</v>
      </c>
      <c r="AI41" s="55" t="e">
        <f>($C41+T$33)/IF($D41="P-12",'Standard Data'!$C$12,IF($D41="N-12",'Standard Data'!$C$13,0))</f>
        <v>#N/A</v>
      </c>
      <c r="AJ41" s="55" t="e">
        <f>($C41+U$33)/IF($D41="P-12",'Standard Data'!$C$12,IF($D41="N-12",'Standard Data'!$C$13,0))</f>
        <v>#N/A</v>
      </c>
      <c r="AK41" s="55" t="e">
        <f>($C41+V$33)/IF($D41="P-12",'Standard Data'!$C$12,IF($D41="N-12",'Standard Data'!$C$13,0))</f>
        <v>#N/A</v>
      </c>
      <c r="AL41" s="70" t="e">
        <f>($C41+W$33)/IF($D41="P-12",'Standard Data'!$C$12,IF($D41="N-12",'Standard Data'!$C$13,0))</f>
        <v>#N/A</v>
      </c>
      <c r="AM41" s="69" t="e">
        <f t="shared" si="32"/>
        <v>#N/A</v>
      </c>
      <c r="AN41" s="55" t="e">
        <f t="shared" si="33"/>
        <v>#N/A</v>
      </c>
      <c r="AO41" s="55" t="e">
        <f t="shared" si="34"/>
        <v>#N/A</v>
      </c>
      <c r="AP41" s="55" t="e">
        <f t="shared" si="35"/>
        <v>#N/A</v>
      </c>
      <c r="AQ41" s="70" t="e">
        <f t="shared" si="36"/>
        <v>#N/A</v>
      </c>
      <c r="AR41" s="79" t="e">
        <f>AM41*IF($D41="P-12",'Standard Data'!$C$12,IF($D41="N-12",'Standard Data'!$C$13,0))*AC41^1.5</f>
        <v>#N/A</v>
      </c>
      <c r="AS41" s="80" t="e">
        <f>AN41*IF($D41="P-12",'Standard Data'!$C$12,IF($D41="N-12",'Standard Data'!$C$13,0))*AD41^1.5</f>
        <v>#N/A</v>
      </c>
      <c r="AT41" s="80" t="e">
        <f>AO41*IF($D41="P-12",'Standard Data'!$C$12,IF($D41="N-12",'Standard Data'!$C$13,0))*AE41^1.5</f>
        <v>#N/A</v>
      </c>
      <c r="AU41" s="80" t="e">
        <f>AP41*IF($D41="P-12",'Standard Data'!$C$12,IF($D41="N-12",'Standard Data'!$C$13,0))*AF41^1.5</f>
        <v>#N/A</v>
      </c>
      <c r="AV41" s="81" t="e">
        <f>AQ41*IF($D41="P-12",'Standard Data'!$C$12,IF($D41="N-12",'Standard Data'!$C$13,0))*AG41^1.5</f>
        <v>#N/A</v>
      </c>
      <c r="AW41" s="69" t="e">
        <f>X41*2*IF($D41="P-12",'Standard Data'!$D$12,IF($D41="N-12",'Standard Data'!$D$13,0))</f>
        <v>#N/A</v>
      </c>
      <c r="AX41" s="55" t="e">
        <f>Y41*2*IF($D41="P-12",'Standard Data'!$D$12,IF($D41="N-12",'Standard Data'!$D$13,0))</f>
        <v>#N/A</v>
      </c>
      <c r="AY41" s="55" t="e">
        <f>Z41*2*IF($D41="P-12",'Standard Data'!$D$12,IF($D41="N-12",'Standard Data'!$D$13,0))</f>
        <v>#N/A</v>
      </c>
      <c r="AZ41" s="55" t="e">
        <f>AA41*2*IF($D41="P-12",'Standard Data'!$D$12,IF($D41="N-12",'Standard Data'!$D$13,0))</f>
        <v>#N/A</v>
      </c>
      <c r="BA41" s="74" t="e">
        <f>AB41*2*IF($D41="P-12",'Standard Data'!$D$12,IF($D41="N-12",'Standard Data'!$D$13,0))</f>
        <v>#N/A</v>
      </c>
      <c r="BB41" s="69" t="e">
        <f t="shared" si="37"/>
        <v>#N/A</v>
      </c>
      <c r="BC41" s="55" t="e">
        <f t="shared" si="38"/>
        <v>#N/A</v>
      </c>
      <c r="BD41" s="55" t="e">
        <f t="shared" si="39"/>
        <v>#N/A</v>
      </c>
      <c r="BE41" s="55" t="e">
        <f t="shared" si="68"/>
        <v>#N/A</v>
      </c>
      <c r="BF41" s="70" t="e">
        <f t="shared" si="40"/>
        <v>#N/A</v>
      </c>
      <c r="BG41" s="85" t="e">
        <f t="shared" si="41"/>
        <v>#N/A</v>
      </c>
      <c r="BH41" s="19" t="e">
        <f t="shared" si="42"/>
        <v>#N/A</v>
      </c>
      <c r="BI41" s="19" t="e">
        <f t="shared" si="43"/>
        <v>#N/A</v>
      </c>
      <c r="BJ41" s="19" t="e">
        <f t="shared" si="44"/>
        <v>#N/A</v>
      </c>
      <c r="BK41" s="27" t="e">
        <f t="shared" si="45"/>
        <v>#N/A</v>
      </c>
      <c r="BL41" s="89" t="e">
        <f t="shared" si="46"/>
        <v>#N/A</v>
      </c>
      <c r="BM41" s="87" t="e">
        <f t="shared" si="47"/>
        <v>#N/A</v>
      </c>
      <c r="BN41" s="87" t="e">
        <f t="shared" si="48"/>
        <v>#N/A</v>
      </c>
      <c r="BO41" s="87" t="e">
        <f t="shared" si="49"/>
        <v>#N/A</v>
      </c>
      <c r="BP41" s="90" t="e">
        <f t="shared" si="50"/>
        <v>#N/A</v>
      </c>
      <c r="BQ41" s="89" t="e">
        <f t="shared" si="51"/>
        <v>#N/A</v>
      </c>
      <c r="BR41" s="87" t="e">
        <f t="shared" si="52"/>
        <v>#N/A</v>
      </c>
      <c r="BS41" s="87" t="e">
        <f>AT41+BN41</f>
        <v>#N/A</v>
      </c>
      <c r="BT41" s="87" t="e">
        <f t="shared" si="54"/>
        <v>#N/A</v>
      </c>
      <c r="BU41" s="90" t="e">
        <f t="shared" si="55"/>
        <v>#N/A</v>
      </c>
      <c r="BV41" s="85" t="e">
        <f>IF($D41="P-12",'Standard Data'!$B$12,IF($D41="N-12",'Standard Data'!$B$13,0))*IF($D41="P-12",'Standard Data'!$E$12,IF($D41="N-12",'Standard Data'!$E$13,0))*X41</f>
        <v>#N/A</v>
      </c>
      <c r="BW41" s="19" t="e">
        <f>IF($D41="P-12",'Standard Data'!$B$12,IF($D41="N-12",'Standard Data'!$B$13,0))*IF($D41="P-12",'Standard Data'!$E$12,IF($D41="N-12",'Standard Data'!$E$13,0))*Y41</f>
        <v>#N/A</v>
      </c>
      <c r="BX41" s="19" t="e">
        <f>IF($D41="P-12",'Standard Data'!$B$12,IF($D41="N-12",'Standard Data'!$B$13,0))*IF($D41="P-12",'Standard Data'!$E$12,IF($D41="N-12",'Standard Data'!$E$13,0))*Z41</f>
        <v>#N/A</v>
      </c>
      <c r="BY41" s="19" t="e">
        <f>IF($D41="P-12",'Standard Data'!$B$12,IF($D41="N-12",'Standard Data'!$B$13,0))*IF($D41="P-12",'Standard Data'!$E$12,IF($D41="N-12",'Standard Data'!$E$13,0))*AA41</f>
        <v>#N/A</v>
      </c>
      <c r="BZ41" s="27" t="e">
        <f>IF($D41="P-12",'Standard Data'!$B$12,IF($D41="N-12",'Standard Data'!$B$13,0))*IF($D41="P-12",'Standard Data'!$E$12,IF($D41="N-12",'Standard Data'!$E$13,0))*AB41</f>
        <v>#N/A</v>
      </c>
      <c r="CA41" s="89" t="e">
        <f t="shared" si="56"/>
        <v>#N/A</v>
      </c>
      <c r="CB41" s="87" t="e">
        <f t="shared" si="57"/>
        <v>#N/A</v>
      </c>
      <c r="CC41" s="87" t="e">
        <f t="shared" si="58"/>
        <v>#N/A</v>
      </c>
      <c r="CD41" s="87" t="e">
        <f t="shared" si="59"/>
        <v>#N/A</v>
      </c>
      <c r="CE41" s="90" t="e">
        <f t="shared" si="60"/>
        <v>#N/A</v>
      </c>
      <c r="CF41" s="89" t="e">
        <f t="shared" si="61"/>
        <v>#N/A</v>
      </c>
      <c r="CG41" s="87" t="e">
        <f t="shared" si="62"/>
        <v>#N/A</v>
      </c>
      <c r="CH41" s="87" t="e">
        <f t="shared" si="63"/>
        <v>#N/A</v>
      </c>
      <c r="CI41" s="87" t="e">
        <f t="shared" si="64"/>
        <v>#N/A</v>
      </c>
      <c r="CJ41" s="90" t="e">
        <f t="shared" si="65"/>
        <v>#N/A</v>
      </c>
      <c r="CK41" s="101" t="e">
        <f t="shared" si="16"/>
        <v>#N/A</v>
      </c>
      <c r="CL41" s="95" t="e">
        <f t="shared" si="17"/>
        <v>#N/A</v>
      </c>
      <c r="CM41" s="95" t="e">
        <f t="shared" si="18"/>
        <v>#N/A</v>
      </c>
      <c r="CN41" s="95" t="e">
        <f t="shared" si="19"/>
        <v>#N/A</v>
      </c>
      <c r="CO41" s="102" t="e">
        <f t="shared" si="20"/>
        <v>#N/A</v>
      </c>
      <c r="CP41" s="101" t="e">
        <f t="shared" si="66"/>
        <v>#N/A</v>
      </c>
      <c r="CQ41" s="95" t="e">
        <f t="shared" si="21"/>
        <v>#N/A</v>
      </c>
      <c r="CR41" s="95" t="e">
        <f t="shared" si="21"/>
        <v>#N/A</v>
      </c>
      <c r="CS41" s="95" t="e">
        <f t="shared" si="21"/>
        <v>#N/A</v>
      </c>
      <c r="CT41" s="102" t="e">
        <f t="shared" si="21"/>
        <v>#N/A</v>
      </c>
      <c r="CU41" s="98" t="e">
        <f t="shared" si="22"/>
        <v>#N/A</v>
      </c>
      <c r="CV41" s="98" t="e">
        <f t="shared" si="23"/>
        <v>#N/A</v>
      </c>
      <c r="CW41" s="98" t="e">
        <f t="shared" si="67"/>
        <v>#N/A</v>
      </c>
    </row>
    <row r="42" spans="1:101" x14ac:dyDescent="0.25">
      <c r="A42" s="2">
        <f>'Inputs-Results'!A17</f>
        <v>0</v>
      </c>
      <c r="B42" s="18" t="e">
        <f>_xlfn.XLOOKUP(A42,'Ditch Calculations'!$A$34:$A$114,'Ditch Calculations'!$C$34:$C$114)</f>
        <v>#N/A</v>
      </c>
      <c r="C42" s="2" t="e">
        <f t="shared" si="24"/>
        <v>#N/A</v>
      </c>
      <c r="D42" s="2" t="e">
        <f>_xlfn.XLOOKUP(A42,'Inputs-Results'!$A$9:$A$35,'Inputs-Results'!$B$9:$B$35)</f>
        <v>#N/A</v>
      </c>
      <c r="E42" s="2" t="e">
        <f>C42*_xlfn.XLOOKUP(A42,'Inputs-Results'!$A$9:$A$35,'Inputs-Results'!$C$9:$C$35)</f>
        <v>#N/A</v>
      </c>
      <c r="F42" s="11" t="e">
        <f>MIN(E42/IF(D42="P-12",'Standard Data'!$D$12,IF(D42="N-12",'Standard Data'!$D$13,0))*COS(ATAN(1/_xlfn.XLOOKUP(A42,'Inputs-Results'!$A$9:$A$35,'Inputs-Results'!$C$9:$C$35))),1)</f>
        <v>#N/A</v>
      </c>
      <c r="G42" s="18" t="e">
        <f>(C42+MAX(C42-3.771/_xlfn.XLOOKUP(A42,'Inputs-Results'!A$9:A$35,'Inputs-Results'!$C$9:$C$35),0))/2</f>
        <v>#N/A</v>
      </c>
      <c r="H42" s="18" t="e">
        <f>C42/IF(D42="P-12",'Standard Data'!$C$12,IF(D42="N-12",'Standard Data'!$C$13,0))</f>
        <v>#N/A</v>
      </c>
      <c r="I42" s="19" t="e">
        <f t="shared" si="25"/>
        <v>#N/A</v>
      </c>
      <c r="J42" s="20" t="e">
        <f>I42*IF(D42="P-12",'Standard Data'!$C$12,IF(D42="N-12",'Standard Data'!$C$13,0))*G42^1.5</f>
        <v>#N/A</v>
      </c>
      <c r="K42" s="19" t="e">
        <f>F42*2*IF(D42="P-12",'Standard Data'!$D$12,IF(D42="N-12",'Standard Data'!$D$13,0))</f>
        <v>#N/A</v>
      </c>
      <c r="L42" s="19" t="e">
        <f t="shared" si="26"/>
        <v>#N/A</v>
      </c>
      <c r="M42" s="19" t="e">
        <f t="shared" si="27"/>
        <v>#N/A</v>
      </c>
      <c r="N42" s="20" t="e">
        <f t="shared" si="28"/>
        <v>#N/A</v>
      </c>
      <c r="O42" s="20" t="e">
        <f t="shared" si="29"/>
        <v>#N/A</v>
      </c>
      <c r="P42" s="19" t="e">
        <f>IF(D42="P-12",'Standard Data'!$B$12,IF(D42="N-12",'Standard Data'!$B$13,0))*IF(D42="P-12",'Standard Data'!$E$12,IF(D42="N-12",'Standard Data'!$E$13,0))*F42</f>
        <v>#N/A</v>
      </c>
      <c r="Q42" s="20" t="e">
        <f t="shared" si="30"/>
        <v>#N/A</v>
      </c>
      <c r="R42" s="53" t="e">
        <f t="shared" si="31"/>
        <v>#N/A</v>
      </c>
      <c r="S42" s="26" t="e">
        <f>($C42+S$33)*_xlfn.XLOOKUP($A42,'Inputs-Results'!$A$9:$A$35,'Inputs-Results'!$C$9:$C$35)</f>
        <v>#N/A</v>
      </c>
      <c r="T42" s="2" t="e">
        <f>($C42+T$33)*_xlfn.XLOOKUP($A42,'Inputs-Results'!$A$9:$A$35,'Inputs-Results'!$C$9:$C$35)</f>
        <v>#N/A</v>
      </c>
      <c r="U42" s="2" t="e">
        <f>($C42+U$33)*_xlfn.XLOOKUP($A42,'Inputs-Results'!$A$9:$A$35,'Inputs-Results'!$C$9:$C$35)</f>
        <v>#N/A</v>
      </c>
      <c r="V42" s="2" t="e">
        <f>($C42+V$33)*_xlfn.XLOOKUP($A42,'Inputs-Results'!$A$9:$A$35,'Inputs-Results'!$C$9:$C$35)</f>
        <v>#N/A</v>
      </c>
      <c r="W42" s="31" t="e">
        <f>($C42+W$33)*_xlfn.XLOOKUP($A42,'Inputs-Results'!$A$9:$A$35,'Inputs-Results'!$C$9:$C$35)</f>
        <v>#N/A</v>
      </c>
      <c r="X42" s="59" t="e">
        <f>MIN(S42/IF($D42="P-12",'Standard Data'!$D$12,IF($D42="N-12",'Standard Data'!$D$13,0))*COS(ATAN(1/_xlfn.XLOOKUP($A42,'Inputs-Results'!$A$9:$A$35,'Inputs-Results'!$C$9:$C$35))),1)</f>
        <v>#N/A</v>
      </c>
      <c r="Y42" s="11" t="e">
        <f>MIN(T42/IF($D42="P-12",'Standard Data'!$D$12,IF($D42="N-12",'Standard Data'!$D$13,0))*COS(ATAN(1/_xlfn.XLOOKUP($A42,'Inputs-Results'!$A$9:$A$35,'Inputs-Results'!$C$9:$C$35))),1)</f>
        <v>#N/A</v>
      </c>
      <c r="Z42" s="11" t="e">
        <f>MIN(U42/IF($D42="P-12",'Standard Data'!$D$12,IF($D42="N-12",'Standard Data'!$D$13,0))*COS(ATAN(1/_xlfn.XLOOKUP($A42,'Inputs-Results'!$A$9:$A$35,'Inputs-Results'!$C$9:$C$35))),1)</f>
        <v>#N/A</v>
      </c>
      <c r="AA42" s="11" t="e">
        <f>MIN(V42/IF($D42="P-12",'Standard Data'!$D$12,IF($D42="N-12",'Standard Data'!$D$13,0))*COS(ATAN(1/_xlfn.XLOOKUP($A42,'Inputs-Results'!$A$9:$A$35,'Inputs-Results'!$C$9:$C$35))),1)</f>
        <v>#N/A</v>
      </c>
      <c r="AB42" s="60" t="e">
        <f>MIN(W42/IF($D42="P-12",'Standard Data'!$D$12,IF($D42="N-12",'Standard Data'!$D$13,0))*COS(ATAN(1/_xlfn.XLOOKUP($A42,'Inputs-Results'!$A$9:$A$35,'Inputs-Results'!$C$9:$C$35))),1)</f>
        <v>#N/A</v>
      </c>
      <c r="AC42" s="64" t="e">
        <f>(($C42+S$33)+MAX(($C42+S$33)-3.771/_xlfn.XLOOKUP($A42,'Inputs-Results'!$A$9:$A$35,'Inputs-Results'!$C$9:$C$35),0))/2</f>
        <v>#N/A</v>
      </c>
      <c r="AD42" s="54" t="e">
        <f>(($C42+T$33)+MAX(($C42+T$33)-3.771/_xlfn.XLOOKUP($A42,'Inputs-Results'!$A$9:$A$35,'Inputs-Results'!$C$9:$C$35),0))/2</f>
        <v>#N/A</v>
      </c>
      <c r="AE42" s="54" t="e">
        <f>(($C42+U$33)+MAX(($C42+U$33)-3.771/_xlfn.XLOOKUP($A42,'Inputs-Results'!$A$9:$A$35,'Inputs-Results'!$C$9:$C$35),0))/2</f>
        <v>#N/A</v>
      </c>
      <c r="AF42" s="54" t="e">
        <f>(($C42+V$33)+MAX(($C42+V$33)-3.771/_xlfn.XLOOKUP($A42,'Inputs-Results'!$A$9:$A$35,'Inputs-Results'!$C$9:$C$35),0))/2</f>
        <v>#N/A</v>
      </c>
      <c r="AG42" s="65" t="e">
        <f>(($C42+W$33)+MAX(($C42+W$33)-3.771/_xlfn.XLOOKUP($A42,'Inputs-Results'!$A$9:$A$35,'Inputs-Results'!$C$9:$C$35),0))/2</f>
        <v>#N/A</v>
      </c>
      <c r="AH42" s="69" t="e">
        <f>($C42+S$33)/IF($D42="P-12",'Standard Data'!$C$12,IF($D42="N-12",'Standard Data'!$C$13,0))</f>
        <v>#N/A</v>
      </c>
      <c r="AI42" s="55" t="e">
        <f>($C42+T$33)/IF($D42="P-12",'Standard Data'!$C$12,IF($D42="N-12",'Standard Data'!$C$13,0))</f>
        <v>#N/A</v>
      </c>
      <c r="AJ42" s="55" t="e">
        <f>($C42+U$33)/IF($D42="P-12",'Standard Data'!$C$12,IF($D42="N-12",'Standard Data'!$C$13,0))</f>
        <v>#N/A</v>
      </c>
      <c r="AK42" s="55" t="e">
        <f>($C42+V$33)/IF($D42="P-12",'Standard Data'!$C$12,IF($D42="N-12",'Standard Data'!$C$13,0))</f>
        <v>#N/A</v>
      </c>
      <c r="AL42" s="70" t="e">
        <f>($C42+W$33)/IF($D42="P-12",'Standard Data'!$C$12,IF($D42="N-12",'Standard Data'!$C$13,0))</f>
        <v>#N/A</v>
      </c>
      <c r="AM42" s="69" t="e">
        <f t="shared" si="32"/>
        <v>#N/A</v>
      </c>
      <c r="AN42" s="55" t="e">
        <f t="shared" si="33"/>
        <v>#N/A</v>
      </c>
      <c r="AO42" s="55" t="e">
        <f t="shared" si="34"/>
        <v>#N/A</v>
      </c>
      <c r="AP42" s="55" t="e">
        <f t="shared" si="35"/>
        <v>#N/A</v>
      </c>
      <c r="AQ42" s="70" t="e">
        <f t="shared" si="36"/>
        <v>#N/A</v>
      </c>
      <c r="AR42" s="79" t="e">
        <f>AM42*IF($D42="P-12",'Standard Data'!$C$12,IF($D42="N-12",'Standard Data'!$C$13,0))*AC42^1.5</f>
        <v>#N/A</v>
      </c>
      <c r="AS42" s="80" t="e">
        <f>AN42*IF($D42="P-12",'Standard Data'!$C$12,IF($D42="N-12",'Standard Data'!$C$13,0))*AD42^1.5</f>
        <v>#N/A</v>
      </c>
      <c r="AT42" s="80" t="e">
        <f>AO42*IF($D42="P-12",'Standard Data'!$C$12,IF($D42="N-12",'Standard Data'!$C$13,0))*AE42^1.5</f>
        <v>#N/A</v>
      </c>
      <c r="AU42" s="80" t="e">
        <f>AP42*IF($D42="P-12",'Standard Data'!$C$12,IF($D42="N-12",'Standard Data'!$C$13,0))*AF42^1.5</f>
        <v>#N/A</v>
      </c>
      <c r="AV42" s="81" t="e">
        <f>AQ42*IF($D42="P-12",'Standard Data'!$C$12,IF($D42="N-12",'Standard Data'!$C$13,0))*AG42^1.5</f>
        <v>#N/A</v>
      </c>
      <c r="AW42" s="69" t="e">
        <f>X42*2*IF($D42="P-12",'Standard Data'!$D$12,IF($D42="N-12",'Standard Data'!$D$13,0))</f>
        <v>#N/A</v>
      </c>
      <c r="AX42" s="55" t="e">
        <f>Y42*2*IF($D42="P-12",'Standard Data'!$D$12,IF($D42="N-12",'Standard Data'!$D$13,0))</f>
        <v>#N/A</v>
      </c>
      <c r="AY42" s="55" t="e">
        <f>Z42*2*IF($D42="P-12",'Standard Data'!$D$12,IF($D42="N-12",'Standard Data'!$D$13,0))</f>
        <v>#N/A</v>
      </c>
      <c r="AZ42" s="55" t="e">
        <f>AA42*2*IF($D42="P-12",'Standard Data'!$D$12,IF($D42="N-12",'Standard Data'!$D$13,0))</f>
        <v>#N/A</v>
      </c>
      <c r="BA42" s="74" t="e">
        <f>AB42*2*IF($D42="P-12",'Standard Data'!$D$12,IF($D42="N-12",'Standard Data'!$D$13,0))</f>
        <v>#N/A</v>
      </c>
      <c r="BB42" s="69" t="e">
        <f t="shared" si="37"/>
        <v>#N/A</v>
      </c>
      <c r="BC42" s="55" t="e">
        <f t="shared" si="38"/>
        <v>#N/A</v>
      </c>
      <c r="BD42" s="55" t="e">
        <f t="shared" si="39"/>
        <v>#N/A</v>
      </c>
      <c r="BE42" s="55" t="e">
        <f t="shared" si="68"/>
        <v>#N/A</v>
      </c>
      <c r="BF42" s="70" t="e">
        <f t="shared" si="40"/>
        <v>#N/A</v>
      </c>
      <c r="BG42" s="85" t="e">
        <f t="shared" si="41"/>
        <v>#N/A</v>
      </c>
      <c r="BH42" s="19" t="e">
        <f t="shared" si="42"/>
        <v>#N/A</v>
      </c>
      <c r="BI42" s="19" t="e">
        <f t="shared" si="43"/>
        <v>#N/A</v>
      </c>
      <c r="BJ42" s="19" t="e">
        <f t="shared" si="44"/>
        <v>#N/A</v>
      </c>
      <c r="BK42" s="27" t="e">
        <f t="shared" si="45"/>
        <v>#N/A</v>
      </c>
      <c r="BL42" s="89" t="e">
        <f t="shared" si="46"/>
        <v>#N/A</v>
      </c>
      <c r="BM42" s="87" t="e">
        <f t="shared" si="47"/>
        <v>#N/A</v>
      </c>
      <c r="BN42" s="87" t="e">
        <f t="shared" si="48"/>
        <v>#N/A</v>
      </c>
      <c r="BO42" s="87" t="e">
        <f t="shared" si="49"/>
        <v>#N/A</v>
      </c>
      <c r="BP42" s="90" t="e">
        <f t="shared" si="50"/>
        <v>#N/A</v>
      </c>
      <c r="BQ42" s="89" t="e">
        <f t="shared" si="51"/>
        <v>#N/A</v>
      </c>
      <c r="BR42" s="87" t="e">
        <f t="shared" si="52"/>
        <v>#N/A</v>
      </c>
      <c r="BS42" s="87" t="e">
        <f t="shared" si="53"/>
        <v>#N/A</v>
      </c>
      <c r="BT42" s="87" t="e">
        <f t="shared" si="54"/>
        <v>#N/A</v>
      </c>
      <c r="BU42" s="90" t="e">
        <f t="shared" si="55"/>
        <v>#N/A</v>
      </c>
      <c r="BV42" s="85" t="e">
        <f>IF($D42="P-12",'Standard Data'!$B$12,IF($D42="N-12",'Standard Data'!$B$13,0))*IF($D42="P-12",'Standard Data'!$E$12,IF($D42="N-12",'Standard Data'!$E$13,0))*X42</f>
        <v>#N/A</v>
      </c>
      <c r="BW42" s="19" t="e">
        <f>IF($D42="P-12",'Standard Data'!$B$12,IF($D42="N-12",'Standard Data'!$B$13,0))*IF($D42="P-12",'Standard Data'!$E$12,IF($D42="N-12",'Standard Data'!$E$13,0))*Y42</f>
        <v>#N/A</v>
      </c>
      <c r="BX42" s="19" t="e">
        <f>IF($D42="P-12",'Standard Data'!$B$12,IF($D42="N-12",'Standard Data'!$B$13,0))*IF($D42="P-12",'Standard Data'!$E$12,IF($D42="N-12",'Standard Data'!$E$13,0))*Z42</f>
        <v>#N/A</v>
      </c>
      <c r="BY42" s="19" t="e">
        <f>IF($D42="P-12",'Standard Data'!$B$12,IF($D42="N-12",'Standard Data'!$B$13,0))*IF($D42="P-12",'Standard Data'!$E$12,IF($D42="N-12",'Standard Data'!$E$13,0))*AA42</f>
        <v>#N/A</v>
      </c>
      <c r="BZ42" s="27" t="e">
        <f>IF($D42="P-12",'Standard Data'!$B$12,IF($D42="N-12",'Standard Data'!$B$13,0))*IF($D42="P-12",'Standard Data'!$E$12,IF($D42="N-12",'Standard Data'!$E$13,0))*AB42</f>
        <v>#N/A</v>
      </c>
      <c r="CA42" s="89" t="e">
        <f t="shared" si="56"/>
        <v>#N/A</v>
      </c>
      <c r="CB42" s="87" t="e">
        <f t="shared" si="57"/>
        <v>#N/A</v>
      </c>
      <c r="CC42" s="87" t="e">
        <f t="shared" si="58"/>
        <v>#N/A</v>
      </c>
      <c r="CD42" s="87" t="e">
        <f t="shared" si="59"/>
        <v>#N/A</v>
      </c>
      <c r="CE42" s="90" t="e">
        <f t="shared" si="60"/>
        <v>#N/A</v>
      </c>
      <c r="CF42" s="89" t="e">
        <f t="shared" si="61"/>
        <v>#N/A</v>
      </c>
      <c r="CG42" s="87" t="e">
        <f t="shared" si="62"/>
        <v>#N/A</v>
      </c>
      <c r="CH42" s="87" t="e">
        <f t="shared" si="63"/>
        <v>#N/A</v>
      </c>
      <c r="CI42" s="87" t="e">
        <f t="shared" si="64"/>
        <v>#N/A</v>
      </c>
      <c r="CJ42" s="90" t="e">
        <f t="shared" si="65"/>
        <v>#N/A</v>
      </c>
      <c r="CK42" s="101" t="e">
        <f t="shared" si="16"/>
        <v>#N/A</v>
      </c>
      <c r="CL42" s="95" t="e">
        <f t="shared" si="17"/>
        <v>#N/A</v>
      </c>
      <c r="CM42" s="95" t="e">
        <f t="shared" si="18"/>
        <v>#N/A</v>
      </c>
      <c r="CN42" s="95" t="e">
        <f t="shared" si="19"/>
        <v>#N/A</v>
      </c>
      <c r="CO42" s="102" t="e">
        <f t="shared" si="20"/>
        <v>#N/A</v>
      </c>
      <c r="CP42" s="101" t="e">
        <f t="shared" si="66"/>
        <v>#N/A</v>
      </c>
      <c r="CQ42" s="95" t="e">
        <f t="shared" si="21"/>
        <v>#N/A</v>
      </c>
      <c r="CR42" s="95" t="e">
        <f t="shared" si="21"/>
        <v>#N/A</v>
      </c>
      <c r="CS42" s="95" t="e">
        <f t="shared" si="21"/>
        <v>#N/A</v>
      </c>
      <c r="CT42" s="102" t="e">
        <f t="shared" si="21"/>
        <v>#N/A</v>
      </c>
      <c r="CU42" s="98" t="e">
        <f t="shared" si="22"/>
        <v>#N/A</v>
      </c>
      <c r="CV42" s="98" t="e">
        <f t="shared" si="23"/>
        <v>#N/A</v>
      </c>
      <c r="CW42" s="98" t="e">
        <f t="shared" si="67"/>
        <v>#N/A</v>
      </c>
    </row>
    <row r="43" spans="1:101" x14ac:dyDescent="0.25">
      <c r="A43" s="2">
        <f>'Inputs-Results'!A18</f>
        <v>0</v>
      </c>
      <c r="B43" s="18" t="e">
        <f>_xlfn.XLOOKUP(A43,'Ditch Calculations'!$A$34:$A$114,'Ditch Calculations'!$C$34:$C$114)</f>
        <v>#N/A</v>
      </c>
      <c r="C43" s="2" t="e">
        <f t="shared" si="24"/>
        <v>#N/A</v>
      </c>
      <c r="D43" s="2" t="e">
        <f>_xlfn.XLOOKUP(A43,'Inputs-Results'!$A$9:$A$35,'Inputs-Results'!$B$9:$B$35)</f>
        <v>#N/A</v>
      </c>
      <c r="E43" s="2" t="e">
        <f>C43*_xlfn.XLOOKUP(A43,'Inputs-Results'!$A$9:$A$35,'Inputs-Results'!$C$9:$C$35)</f>
        <v>#N/A</v>
      </c>
      <c r="F43" s="11" t="e">
        <f>MIN(E43/IF(D43="P-12",'Standard Data'!$D$12,IF(D43="N-12",'Standard Data'!$D$13,0))*COS(ATAN(1/_xlfn.XLOOKUP(A43,'Inputs-Results'!$A$9:$A$35,'Inputs-Results'!$C$9:$C$35))),1)</f>
        <v>#N/A</v>
      </c>
      <c r="G43" s="18" t="e">
        <f>(C43+MAX(C43-3.771/_xlfn.XLOOKUP(A43,'Inputs-Results'!A$9:A$35,'Inputs-Results'!$C$9:$C$35),0))/2</f>
        <v>#N/A</v>
      </c>
      <c r="H43" s="18" t="e">
        <f>C43/IF(D43="P-12",'Standard Data'!$C$12,IF(D43="N-12",'Standard Data'!$C$13,0))</f>
        <v>#N/A</v>
      </c>
      <c r="I43" s="19" t="e">
        <f t="shared" si="25"/>
        <v>#N/A</v>
      </c>
      <c r="J43" s="20" t="e">
        <f>I43*IF(D43="P-12",'Standard Data'!$C$12,IF(D43="N-12",'Standard Data'!$C$13,0))*G43^1.5</f>
        <v>#N/A</v>
      </c>
      <c r="K43" s="19" t="e">
        <f>F43*2*IF(D43="P-12",'Standard Data'!$D$12,IF(D43="N-12",'Standard Data'!$D$13,0))</f>
        <v>#N/A</v>
      </c>
      <c r="L43" s="19" t="e">
        <f t="shared" si="26"/>
        <v>#N/A</v>
      </c>
      <c r="M43" s="19" t="e">
        <f t="shared" si="27"/>
        <v>#N/A</v>
      </c>
      <c r="N43" s="20" t="e">
        <f t="shared" si="28"/>
        <v>#N/A</v>
      </c>
      <c r="O43" s="20" t="e">
        <f t="shared" si="29"/>
        <v>#N/A</v>
      </c>
      <c r="P43" s="19" t="e">
        <f>IF(D43="P-12",'Standard Data'!$B$12,IF(D43="N-12",'Standard Data'!$B$13,0))*IF(D43="P-12",'Standard Data'!$E$12,IF(D43="N-12",'Standard Data'!$E$13,0))*F43</f>
        <v>#N/A</v>
      </c>
      <c r="Q43" s="20" t="e">
        <f t="shared" si="30"/>
        <v>#N/A</v>
      </c>
      <c r="R43" s="53" t="e">
        <f t="shared" si="31"/>
        <v>#N/A</v>
      </c>
      <c r="S43" s="26" t="e">
        <f>($C43+S$33)*_xlfn.XLOOKUP($A43,'Inputs-Results'!$A$9:$A$35,'Inputs-Results'!$C$9:$C$35)</f>
        <v>#N/A</v>
      </c>
      <c r="T43" s="2" t="e">
        <f>($C43+T$33)*_xlfn.XLOOKUP($A43,'Inputs-Results'!$A$9:$A$35,'Inputs-Results'!$C$9:$C$35)</f>
        <v>#N/A</v>
      </c>
      <c r="U43" s="2" t="e">
        <f>($C43+U$33)*_xlfn.XLOOKUP($A43,'Inputs-Results'!$A$9:$A$35,'Inputs-Results'!$C$9:$C$35)</f>
        <v>#N/A</v>
      </c>
      <c r="V43" s="2" t="e">
        <f>($C43+V$33)*_xlfn.XLOOKUP($A43,'Inputs-Results'!$A$9:$A$35,'Inputs-Results'!$C$9:$C$35)</f>
        <v>#N/A</v>
      </c>
      <c r="W43" s="31" t="e">
        <f>($C43+W$33)*_xlfn.XLOOKUP($A43,'Inputs-Results'!$A$9:$A$35,'Inputs-Results'!$C$9:$C$35)</f>
        <v>#N/A</v>
      </c>
      <c r="X43" s="59" t="e">
        <f>MIN(S43/IF($D43="P-12",'Standard Data'!$D$12,IF($D43="N-12",'Standard Data'!$D$13,0))*COS(ATAN(1/_xlfn.XLOOKUP($A43,'Inputs-Results'!$A$9:$A$35,'Inputs-Results'!$C$9:$C$35))),1)</f>
        <v>#N/A</v>
      </c>
      <c r="Y43" s="11" t="e">
        <f>MIN(T43/IF($D43="P-12",'Standard Data'!$D$12,IF($D43="N-12",'Standard Data'!$D$13,0))*COS(ATAN(1/_xlfn.XLOOKUP($A43,'Inputs-Results'!$A$9:$A$35,'Inputs-Results'!$C$9:$C$35))),1)</f>
        <v>#N/A</v>
      </c>
      <c r="Z43" s="11" t="e">
        <f>MIN(U43/IF($D43="P-12",'Standard Data'!$D$12,IF($D43="N-12",'Standard Data'!$D$13,0))*COS(ATAN(1/_xlfn.XLOOKUP($A43,'Inputs-Results'!$A$9:$A$35,'Inputs-Results'!$C$9:$C$35))),1)</f>
        <v>#N/A</v>
      </c>
      <c r="AA43" s="11" t="e">
        <f>MIN(V43/IF($D43="P-12",'Standard Data'!$D$12,IF($D43="N-12",'Standard Data'!$D$13,0))*COS(ATAN(1/_xlfn.XLOOKUP($A43,'Inputs-Results'!$A$9:$A$35,'Inputs-Results'!$C$9:$C$35))),1)</f>
        <v>#N/A</v>
      </c>
      <c r="AB43" s="60" t="e">
        <f>MIN(W43/IF($D43="P-12",'Standard Data'!$D$12,IF($D43="N-12",'Standard Data'!$D$13,0))*COS(ATAN(1/_xlfn.XLOOKUP($A43,'Inputs-Results'!$A$9:$A$35,'Inputs-Results'!$C$9:$C$35))),1)</f>
        <v>#N/A</v>
      </c>
      <c r="AC43" s="64" t="e">
        <f>(($C43+S$33)+MAX(($C43+S$33)-3.771/_xlfn.XLOOKUP($A43,'Inputs-Results'!$A$9:$A$35,'Inputs-Results'!$C$9:$C$35),0))/2</f>
        <v>#N/A</v>
      </c>
      <c r="AD43" s="54" t="e">
        <f>(($C43+T$33)+MAX(($C43+T$33)-3.771/_xlfn.XLOOKUP($A43,'Inputs-Results'!$A$9:$A$35,'Inputs-Results'!$C$9:$C$35),0))/2</f>
        <v>#N/A</v>
      </c>
      <c r="AE43" s="54" t="e">
        <f>(($C43+U$33)+MAX(($C43+U$33)-3.771/_xlfn.XLOOKUP($A43,'Inputs-Results'!$A$9:$A$35,'Inputs-Results'!$C$9:$C$35),0))/2</f>
        <v>#N/A</v>
      </c>
      <c r="AF43" s="54" t="e">
        <f>(($C43+V$33)+MAX(($C43+V$33)-3.771/_xlfn.XLOOKUP($A43,'Inputs-Results'!$A$9:$A$35,'Inputs-Results'!$C$9:$C$35),0))/2</f>
        <v>#N/A</v>
      </c>
      <c r="AG43" s="65" t="e">
        <f>(($C43+W$33)+MAX(($C43+W$33)-3.771/_xlfn.XLOOKUP($A43,'Inputs-Results'!$A$9:$A$35,'Inputs-Results'!$C$9:$C$35),0))/2</f>
        <v>#N/A</v>
      </c>
      <c r="AH43" s="69" t="e">
        <f>($C43+S$33)/IF($D43="P-12",'Standard Data'!$C$12,IF($D43="N-12",'Standard Data'!$C$13,0))</f>
        <v>#N/A</v>
      </c>
      <c r="AI43" s="55" t="e">
        <f>($C43+T$33)/IF($D43="P-12",'Standard Data'!$C$12,IF($D43="N-12",'Standard Data'!$C$13,0))</f>
        <v>#N/A</v>
      </c>
      <c r="AJ43" s="55" t="e">
        <f>($C43+U$33)/IF($D43="P-12",'Standard Data'!$C$12,IF($D43="N-12",'Standard Data'!$C$13,0))</f>
        <v>#N/A</v>
      </c>
      <c r="AK43" s="55" t="e">
        <f>($C43+V$33)/IF($D43="P-12",'Standard Data'!$C$12,IF($D43="N-12",'Standard Data'!$C$13,0))</f>
        <v>#N/A</v>
      </c>
      <c r="AL43" s="70" t="e">
        <f>($C43+W$33)/IF($D43="P-12",'Standard Data'!$C$12,IF($D43="N-12",'Standard Data'!$C$13,0))</f>
        <v>#N/A</v>
      </c>
      <c r="AM43" s="69" t="e">
        <f t="shared" si="32"/>
        <v>#N/A</v>
      </c>
      <c r="AN43" s="55" t="e">
        <f t="shared" si="33"/>
        <v>#N/A</v>
      </c>
      <c r="AO43" s="55" t="e">
        <f t="shared" si="34"/>
        <v>#N/A</v>
      </c>
      <c r="AP43" s="55" t="e">
        <f t="shared" si="35"/>
        <v>#N/A</v>
      </c>
      <c r="AQ43" s="70" t="e">
        <f t="shared" si="36"/>
        <v>#N/A</v>
      </c>
      <c r="AR43" s="79" t="e">
        <f>AM43*IF($D43="P-12",'Standard Data'!$C$12,IF($D43="N-12",'Standard Data'!$C$13,0))*AC43^1.5</f>
        <v>#N/A</v>
      </c>
      <c r="AS43" s="80" t="e">
        <f>AN43*IF($D43="P-12",'Standard Data'!$C$12,IF($D43="N-12",'Standard Data'!$C$13,0))*AD43^1.5</f>
        <v>#N/A</v>
      </c>
      <c r="AT43" s="80" t="e">
        <f>AO43*IF($D43="P-12",'Standard Data'!$C$12,IF($D43="N-12",'Standard Data'!$C$13,0))*AE43^1.5</f>
        <v>#N/A</v>
      </c>
      <c r="AU43" s="80" t="e">
        <f>AP43*IF($D43="P-12",'Standard Data'!$C$12,IF($D43="N-12",'Standard Data'!$C$13,0))*AF43^1.5</f>
        <v>#N/A</v>
      </c>
      <c r="AV43" s="81" t="e">
        <f>AQ43*IF($D43="P-12",'Standard Data'!$C$12,IF($D43="N-12",'Standard Data'!$C$13,0))*AG43^1.5</f>
        <v>#N/A</v>
      </c>
      <c r="AW43" s="69" t="e">
        <f>X43*2*IF($D43="P-12",'Standard Data'!$D$12,IF($D43="N-12",'Standard Data'!$D$13,0))</f>
        <v>#N/A</v>
      </c>
      <c r="AX43" s="55" t="e">
        <f>Y43*2*IF($D43="P-12",'Standard Data'!$D$12,IF($D43="N-12",'Standard Data'!$D$13,0))</f>
        <v>#N/A</v>
      </c>
      <c r="AY43" s="55" t="e">
        <f>Z43*2*IF($D43="P-12",'Standard Data'!$D$12,IF($D43="N-12",'Standard Data'!$D$13,0))</f>
        <v>#N/A</v>
      </c>
      <c r="AZ43" s="55" t="e">
        <f>AA43*2*IF($D43="P-12",'Standard Data'!$D$12,IF($D43="N-12",'Standard Data'!$D$13,0))</f>
        <v>#N/A</v>
      </c>
      <c r="BA43" s="74" t="e">
        <f>AB43*2*IF($D43="P-12",'Standard Data'!$D$12,IF($D43="N-12",'Standard Data'!$D$13,0))</f>
        <v>#N/A</v>
      </c>
      <c r="BB43" s="69" t="e">
        <f t="shared" si="37"/>
        <v>#N/A</v>
      </c>
      <c r="BC43" s="55" t="e">
        <f t="shared" si="38"/>
        <v>#N/A</v>
      </c>
      <c r="BD43" s="55" t="e">
        <f t="shared" si="39"/>
        <v>#N/A</v>
      </c>
      <c r="BE43" s="55" t="e">
        <f t="shared" si="68"/>
        <v>#N/A</v>
      </c>
      <c r="BF43" s="70" t="e">
        <f t="shared" si="40"/>
        <v>#N/A</v>
      </c>
      <c r="BG43" s="85" t="e">
        <f t="shared" si="41"/>
        <v>#N/A</v>
      </c>
      <c r="BH43" s="19" t="e">
        <f t="shared" si="42"/>
        <v>#N/A</v>
      </c>
      <c r="BI43" s="19" t="e">
        <f t="shared" si="43"/>
        <v>#N/A</v>
      </c>
      <c r="BJ43" s="19" t="e">
        <f t="shared" si="44"/>
        <v>#N/A</v>
      </c>
      <c r="BK43" s="27" t="e">
        <f t="shared" si="45"/>
        <v>#N/A</v>
      </c>
      <c r="BL43" s="89" t="e">
        <f t="shared" si="46"/>
        <v>#N/A</v>
      </c>
      <c r="BM43" s="87" t="e">
        <f t="shared" si="47"/>
        <v>#N/A</v>
      </c>
      <c r="BN43" s="87" t="e">
        <f t="shared" si="48"/>
        <v>#N/A</v>
      </c>
      <c r="BO43" s="87" t="e">
        <f t="shared" si="49"/>
        <v>#N/A</v>
      </c>
      <c r="BP43" s="90" t="e">
        <f t="shared" si="50"/>
        <v>#N/A</v>
      </c>
      <c r="BQ43" s="89" t="e">
        <f t="shared" si="51"/>
        <v>#N/A</v>
      </c>
      <c r="BR43" s="87" t="e">
        <f t="shared" si="52"/>
        <v>#N/A</v>
      </c>
      <c r="BS43" s="87" t="e">
        <f t="shared" si="53"/>
        <v>#N/A</v>
      </c>
      <c r="BT43" s="87" t="e">
        <f t="shared" si="54"/>
        <v>#N/A</v>
      </c>
      <c r="BU43" s="90" t="e">
        <f t="shared" si="55"/>
        <v>#N/A</v>
      </c>
      <c r="BV43" s="85" t="e">
        <f>IF($D43="P-12",'Standard Data'!$B$12,IF($D43="N-12",'Standard Data'!$B$13,0))*IF($D43="P-12",'Standard Data'!$E$12,IF($D43="N-12",'Standard Data'!$E$13,0))*X43</f>
        <v>#N/A</v>
      </c>
      <c r="BW43" s="19" t="e">
        <f>IF($D43="P-12",'Standard Data'!$B$12,IF($D43="N-12",'Standard Data'!$B$13,0))*IF($D43="P-12",'Standard Data'!$E$12,IF($D43="N-12",'Standard Data'!$E$13,0))*Y43</f>
        <v>#N/A</v>
      </c>
      <c r="BX43" s="19" t="e">
        <f>IF($D43="P-12",'Standard Data'!$B$12,IF($D43="N-12",'Standard Data'!$B$13,0))*IF($D43="P-12",'Standard Data'!$E$12,IF($D43="N-12",'Standard Data'!$E$13,0))*Z43</f>
        <v>#N/A</v>
      </c>
      <c r="BY43" s="19" t="e">
        <f>IF($D43="P-12",'Standard Data'!$B$12,IF($D43="N-12",'Standard Data'!$B$13,0))*IF($D43="P-12",'Standard Data'!$E$12,IF($D43="N-12",'Standard Data'!$E$13,0))*AA43</f>
        <v>#N/A</v>
      </c>
      <c r="BZ43" s="27" t="e">
        <f>IF($D43="P-12",'Standard Data'!$B$12,IF($D43="N-12",'Standard Data'!$B$13,0))*IF($D43="P-12",'Standard Data'!$E$12,IF($D43="N-12",'Standard Data'!$E$13,0))*AB43</f>
        <v>#N/A</v>
      </c>
      <c r="CA43" s="89" t="e">
        <f t="shared" si="56"/>
        <v>#N/A</v>
      </c>
      <c r="CB43" s="87" t="e">
        <f t="shared" si="57"/>
        <v>#N/A</v>
      </c>
      <c r="CC43" s="87" t="e">
        <f t="shared" si="58"/>
        <v>#N/A</v>
      </c>
      <c r="CD43" s="87" t="e">
        <f t="shared" si="59"/>
        <v>#N/A</v>
      </c>
      <c r="CE43" s="90" t="e">
        <f t="shared" si="60"/>
        <v>#N/A</v>
      </c>
      <c r="CF43" s="89" t="e">
        <f t="shared" si="61"/>
        <v>#N/A</v>
      </c>
      <c r="CG43" s="87" t="e">
        <f t="shared" si="62"/>
        <v>#N/A</v>
      </c>
      <c r="CH43" s="87" t="e">
        <f t="shared" si="63"/>
        <v>#N/A</v>
      </c>
      <c r="CI43" s="87" t="e">
        <f t="shared" si="64"/>
        <v>#N/A</v>
      </c>
      <c r="CJ43" s="90" t="e">
        <f t="shared" si="65"/>
        <v>#N/A</v>
      </c>
      <c r="CK43" s="101" t="e">
        <f t="shared" si="16"/>
        <v>#N/A</v>
      </c>
      <c r="CL43" s="95" t="e">
        <f t="shared" si="17"/>
        <v>#N/A</v>
      </c>
      <c r="CM43" s="95" t="e">
        <f t="shared" si="18"/>
        <v>#N/A</v>
      </c>
      <c r="CN43" s="95" t="e">
        <f t="shared" si="19"/>
        <v>#N/A</v>
      </c>
      <c r="CO43" s="102" t="e">
        <f t="shared" si="20"/>
        <v>#N/A</v>
      </c>
      <c r="CP43" s="101" t="e">
        <f t="shared" si="66"/>
        <v>#N/A</v>
      </c>
      <c r="CQ43" s="95" t="e">
        <f t="shared" si="21"/>
        <v>#N/A</v>
      </c>
      <c r="CR43" s="95" t="e">
        <f t="shared" si="21"/>
        <v>#N/A</v>
      </c>
      <c r="CS43" s="95" t="e">
        <f t="shared" si="21"/>
        <v>#N/A</v>
      </c>
      <c r="CT43" s="102" t="e">
        <f t="shared" si="21"/>
        <v>#N/A</v>
      </c>
      <c r="CU43" s="98" t="e">
        <f t="shared" si="22"/>
        <v>#N/A</v>
      </c>
      <c r="CV43" s="98" t="e">
        <f t="shared" si="23"/>
        <v>#N/A</v>
      </c>
      <c r="CW43" s="98" t="e">
        <f t="shared" si="67"/>
        <v>#N/A</v>
      </c>
    </row>
    <row r="44" spans="1:101" x14ac:dyDescent="0.25">
      <c r="A44" s="2">
        <f>'Inputs-Results'!A19</f>
        <v>0</v>
      </c>
      <c r="B44" s="18" t="e">
        <f>_xlfn.XLOOKUP(A44,'Ditch Calculations'!$A$34:$A$114,'Ditch Calculations'!$C$34:$C$114)</f>
        <v>#N/A</v>
      </c>
      <c r="C44" s="2" t="e">
        <f t="shared" si="24"/>
        <v>#N/A</v>
      </c>
      <c r="D44" s="2" t="e">
        <f>_xlfn.XLOOKUP(A44,'Inputs-Results'!$A$9:$A$35,'Inputs-Results'!$B$9:$B$35)</f>
        <v>#N/A</v>
      </c>
      <c r="E44" s="2" t="e">
        <f>C44*_xlfn.XLOOKUP(A44,'Inputs-Results'!$A$9:$A$35,'Inputs-Results'!$C$9:$C$35)</f>
        <v>#N/A</v>
      </c>
      <c r="F44" s="11" t="e">
        <f>MIN(E44/IF(D44="P-12",'Standard Data'!$D$12,IF(D44="N-12",'Standard Data'!$D$13,0))*COS(ATAN(1/_xlfn.XLOOKUP(A44,'Inputs-Results'!$A$9:$A$35,'Inputs-Results'!$C$9:$C$35))),1)</f>
        <v>#N/A</v>
      </c>
      <c r="G44" s="18" t="e">
        <f>(C44+MAX(C44-3.771/_xlfn.XLOOKUP(A44,'Inputs-Results'!A$9:A$35,'Inputs-Results'!$C$9:$C$35),0))/2</f>
        <v>#N/A</v>
      </c>
      <c r="H44" s="18" t="e">
        <f>C44/IF(D44="P-12",'Standard Data'!$C$12,IF(D44="N-12",'Standard Data'!$C$13,0))</f>
        <v>#N/A</v>
      </c>
      <c r="I44" s="19" t="e">
        <f t="shared" si="25"/>
        <v>#N/A</v>
      </c>
      <c r="J44" s="20" t="e">
        <f>I44*IF(D44="P-12",'Standard Data'!$C$12,IF(D44="N-12",'Standard Data'!$C$13,0))*G44^1.5</f>
        <v>#N/A</v>
      </c>
      <c r="K44" s="19" t="e">
        <f>F44*2*IF(D44="P-12",'Standard Data'!$D$12,IF(D44="N-12",'Standard Data'!$D$13,0))</f>
        <v>#N/A</v>
      </c>
      <c r="L44" s="19" t="e">
        <f t="shared" si="26"/>
        <v>#N/A</v>
      </c>
      <c r="M44" s="19" t="e">
        <f t="shared" si="27"/>
        <v>#N/A</v>
      </c>
      <c r="N44" s="20" t="e">
        <f t="shared" si="28"/>
        <v>#N/A</v>
      </c>
      <c r="O44" s="20" t="e">
        <f t="shared" si="29"/>
        <v>#N/A</v>
      </c>
      <c r="P44" s="19" t="e">
        <f>IF(D44="P-12",'Standard Data'!$B$12,IF(D44="N-12",'Standard Data'!$B$13,0))*IF(D44="P-12",'Standard Data'!$E$12,IF(D44="N-12",'Standard Data'!$E$13,0))*F44</f>
        <v>#N/A</v>
      </c>
      <c r="Q44" s="20" t="e">
        <f t="shared" si="30"/>
        <v>#N/A</v>
      </c>
      <c r="R44" s="53" t="e">
        <f t="shared" si="31"/>
        <v>#N/A</v>
      </c>
      <c r="S44" s="26" t="e">
        <f>($C44+S$33)*_xlfn.XLOOKUP($A44,'Inputs-Results'!$A$9:$A$35,'Inputs-Results'!$C$9:$C$35)</f>
        <v>#N/A</v>
      </c>
      <c r="T44" s="2" t="e">
        <f>($C44+T$33)*_xlfn.XLOOKUP($A44,'Inputs-Results'!$A$9:$A$35,'Inputs-Results'!$C$9:$C$35)</f>
        <v>#N/A</v>
      </c>
      <c r="U44" s="2" t="e">
        <f>($C44+U$33)*_xlfn.XLOOKUP($A44,'Inputs-Results'!$A$9:$A$35,'Inputs-Results'!$C$9:$C$35)</f>
        <v>#N/A</v>
      </c>
      <c r="V44" s="2" t="e">
        <f>($C44+V$33)*_xlfn.XLOOKUP($A44,'Inputs-Results'!$A$9:$A$35,'Inputs-Results'!$C$9:$C$35)</f>
        <v>#N/A</v>
      </c>
      <c r="W44" s="31" t="e">
        <f>($C44+W$33)*_xlfn.XLOOKUP($A44,'Inputs-Results'!$A$9:$A$35,'Inputs-Results'!$C$9:$C$35)</f>
        <v>#N/A</v>
      </c>
      <c r="X44" s="59" t="e">
        <f>MIN(S44/IF($D44="P-12",'Standard Data'!$D$12,IF($D44="N-12",'Standard Data'!$D$13,0))*COS(ATAN(1/_xlfn.XLOOKUP($A44,'Inputs-Results'!$A$9:$A$35,'Inputs-Results'!$C$9:$C$35))),1)</f>
        <v>#N/A</v>
      </c>
      <c r="Y44" s="11" t="e">
        <f>MIN(T44/IF($D44="P-12",'Standard Data'!$D$12,IF($D44="N-12",'Standard Data'!$D$13,0))*COS(ATAN(1/_xlfn.XLOOKUP($A44,'Inputs-Results'!$A$9:$A$35,'Inputs-Results'!$C$9:$C$35))),1)</f>
        <v>#N/A</v>
      </c>
      <c r="Z44" s="11" t="e">
        <f>MIN(U44/IF($D44="P-12",'Standard Data'!$D$12,IF($D44="N-12",'Standard Data'!$D$13,0))*COS(ATAN(1/_xlfn.XLOOKUP($A44,'Inputs-Results'!$A$9:$A$35,'Inputs-Results'!$C$9:$C$35))),1)</f>
        <v>#N/A</v>
      </c>
      <c r="AA44" s="11" t="e">
        <f>MIN(V44/IF($D44="P-12",'Standard Data'!$D$12,IF($D44="N-12",'Standard Data'!$D$13,0))*COS(ATAN(1/_xlfn.XLOOKUP($A44,'Inputs-Results'!$A$9:$A$35,'Inputs-Results'!$C$9:$C$35))),1)</f>
        <v>#N/A</v>
      </c>
      <c r="AB44" s="60" t="e">
        <f>MIN(W44/IF($D44="P-12",'Standard Data'!$D$12,IF($D44="N-12",'Standard Data'!$D$13,0))*COS(ATAN(1/_xlfn.XLOOKUP($A44,'Inputs-Results'!$A$9:$A$35,'Inputs-Results'!$C$9:$C$35))),1)</f>
        <v>#N/A</v>
      </c>
      <c r="AC44" s="64" t="e">
        <f>(($C44+S$33)+MAX(($C44+S$33)-3.771/_xlfn.XLOOKUP($A44,'Inputs-Results'!$A$9:$A$35,'Inputs-Results'!$C$9:$C$35),0))/2</f>
        <v>#N/A</v>
      </c>
      <c r="AD44" s="54" t="e">
        <f>(($C44+T$33)+MAX(($C44+T$33)-3.771/_xlfn.XLOOKUP($A44,'Inputs-Results'!$A$9:$A$35,'Inputs-Results'!$C$9:$C$35),0))/2</f>
        <v>#N/A</v>
      </c>
      <c r="AE44" s="54" t="e">
        <f>(($C44+U$33)+MAX(($C44+U$33)-3.771/_xlfn.XLOOKUP($A44,'Inputs-Results'!$A$9:$A$35,'Inputs-Results'!$C$9:$C$35),0))/2</f>
        <v>#N/A</v>
      </c>
      <c r="AF44" s="54" t="e">
        <f>(($C44+V$33)+MAX(($C44+V$33)-3.771/_xlfn.XLOOKUP($A44,'Inputs-Results'!$A$9:$A$35,'Inputs-Results'!$C$9:$C$35),0))/2</f>
        <v>#N/A</v>
      </c>
      <c r="AG44" s="65" t="e">
        <f>(($C44+W$33)+MAX(($C44+W$33)-3.771/_xlfn.XLOOKUP($A44,'Inputs-Results'!$A$9:$A$35,'Inputs-Results'!$C$9:$C$35),0))/2</f>
        <v>#N/A</v>
      </c>
      <c r="AH44" s="69" t="e">
        <f>($C44+S$33)/IF($D44="P-12",'Standard Data'!$C$12,IF($D44="N-12",'Standard Data'!$C$13,0))</f>
        <v>#N/A</v>
      </c>
      <c r="AI44" s="55" t="e">
        <f>($C44+T$33)/IF($D44="P-12",'Standard Data'!$C$12,IF($D44="N-12",'Standard Data'!$C$13,0))</f>
        <v>#N/A</v>
      </c>
      <c r="AJ44" s="55" t="e">
        <f>($C44+U$33)/IF($D44="P-12",'Standard Data'!$C$12,IF($D44="N-12",'Standard Data'!$C$13,0))</f>
        <v>#N/A</v>
      </c>
      <c r="AK44" s="55" t="e">
        <f>($C44+V$33)/IF($D44="P-12",'Standard Data'!$C$12,IF($D44="N-12",'Standard Data'!$C$13,0))</f>
        <v>#N/A</v>
      </c>
      <c r="AL44" s="70" t="e">
        <f>($C44+W$33)/IF($D44="P-12",'Standard Data'!$C$12,IF($D44="N-12",'Standard Data'!$C$13,0))</f>
        <v>#N/A</v>
      </c>
      <c r="AM44" s="69" t="e">
        <f t="shared" si="32"/>
        <v>#N/A</v>
      </c>
      <c r="AN44" s="55" t="e">
        <f t="shared" si="33"/>
        <v>#N/A</v>
      </c>
      <c r="AO44" s="55" t="e">
        <f t="shared" si="34"/>
        <v>#N/A</v>
      </c>
      <c r="AP44" s="55" t="e">
        <f t="shared" si="35"/>
        <v>#N/A</v>
      </c>
      <c r="AQ44" s="70" t="e">
        <f t="shared" si="36"/>
        <v>#N/A</v>
      </c>
      <c r="AR44" s="79" t="e">
        <f>AM44*IF($D44="P-12",'Standard Data'!$C$12,IF($D44="N-12",'Standard Data'!$C$13,0))*AC44^1.5</f>
        <v>#N/A</v>
      </c>
      <c r="AS44" s="80" t="e">
        <f>AN44*IF($D44="P-12",'Standard Data'!$C$12,IF($D44="N-12",'Standard Data'!$C$13,0))*AD44^1.5</f>
        <v>#N/A</v>
      </c>
      <c r="AT44" s="80" t="e">
        <f>AO44*IF($D44="P-12",'Standard Data'!$C$12,IF($D44="N-12",'Standard Data'!$C$13,0))*AE44^1.5</f>
        <v>#N/A</v>
      </c>
      <c r="AU44" s="80" t="e">
        <f>AP44*IF($D44="P-12",'Standard Data'!$C$12,IF($D44="N-12",'Standard Data'!$C$13,0))*AF44^1.5</f>
        <v>#N/A</v>
      </c>
      <c r="AV44" s="81" t="e">
        <f>AQ44*IF($D44="P-12",'Standard Data'!$C$12,IF($D44="N-12",'Standard Data'!$C$13,0))*AG44^1.5</f>
        <v>#N/A</v>
      </c>
      <c r="AW44" s="69" t="e">
        <f>X44*2*IF($D44="P-12",'Standard Data'!$D$12,IF($D44="N-12",'Standard Data'!$D$13,0))</f>
        <v>#N/A</v>
      </c>
      <c r="AX44" s="55" t="e">
        <f>Y44*2*IF($D44="P-12",'Standard Data'!$D$12,IF($D44="N-12",'Standard Data'!$D$13,0))</f>
        <v>#N/A</v>
      </c>
      <c r="AY44" s="55" t="e">
        <f>Z44*2*IF($D44="P-12",'Standard Data'!$D$12,IF($D44="N-12",'Standard Data'!$D$13,0))</f>
        <v>#N/A</v>
      </c>
      <c r="AZ44" s="55" t="e">
        <f>AA44*2*IF($D44="P-12",'Standard Data'!$D$12,IF($D44="N-12",'Standard Data'!$D$13,0))</f>
        <v>#N/A</v>
      </c>
      <c r="BA44" s="74" t="e">
        <f>AB44*2*IF($D44="P-12",'Standard Data'!$D$12,IF($D44="N-12",'Standard Data'!$D$13,0))</f>
        <v>#N/A</v>
      </c>
      <c r="BB44" s="69" t="e">
        <f t="shared" si="37"/>
        <v>#N/A</v>
      </c>
      <c r="BC44" s="55" t="e">
        <f t="shared" si="38"/>
        <v>#N/A</v>
      </c>
      <c r="BD44" s="55" t="e">
        <f t="shared" si="39"/>
        <v>#N/A</v>
      </c>
      <c r="BE44" s="55" t="e">
        <f t="shared" si="68"/>
        <v>#N/A</v>
      </c>
      <c r="BF44" s="70" t="e">
        <f t="shared" si="40"/>
        <v>#N/A</v>
      </c>
      <c r="BG44" s="85" t="e">
        <f t="shared" si="41"/>
        <v>#N/A</v>
      </c>
      <c r="BH44" s="19" t="e">
        <f t="shared" si="42"/>
        <v>#N/A</v>
      </c>
      <c r="BI44" s="19" t="e">
        <f t="shared" si="43"/>
        <v>#N/A</v>
      </c>
      <c r="BJ44" s="19" t="e">
        <f t="shared" si="44"/>
        <v>#N/A</v>
      </c>
      <c r="BK44" s="27" t="e">
        <f t="shared" si="45"/>
        <v>#N/A</v>
      </c>
      <c r="BL44" s="89" t="e">
        <f t="shared" si="46"/>
        <v>#N/A</v>
      </c>
      <c r="BM44" s="87" t="e">
        <f t="shared" si="47"/>
        <v>#N/A</v>
      </c>
      <c r="BN44" s="87" t="e">
        <f t="shared" si="48"/>
        <v>#N/A</v>
      </c>
      <c r="BO44" s="87" t="e">
        <f t="shared" si="49"/>
        <v>#N/A</v>
      </c>
      <c r="BP44" s="90" t="e">
        <f t="shared" si="50"/>
        <v>#N/A</v>
      </c>
      <c r="BQ44" s="89" t="e">
        <f t="shared" si="51"/>
        <v>#N/A</v>
      </c>
      <c r="BR44" s="87" t="e">
        <f t="shared" si="52"/>
        <v>#N/A</v>
      </c>
      <c r="BS44" s="87" t="e">
        <f t="shared" si="53"/>
        <v>#N/A</v>
      </c>
      <c r="BT44" s="87" t="e">
        <f t="shared" si="54"/>
        <v>#N/A</v>
      </c>
      <c r="BU44" s="90" t="e">
        <f t="shared" si="55"/>
        <v>#N/A</v>
      </c>
      <c r="BV44" s="85" t="e">
        <f>IF($D44="P-12",'Standard Data'!$B$12,IF($D44="N-12",'Standard Data'!$B$13,0))*IF($D44="P-12",'Standard Data'!$E$12,IF($D44="N-12",'Standard Data'!$E$13,0))*X44</f>
        <v>#N/A</v>
      </c>
      <c r="BW44" s="19" t="e">
        <f>IF($D44="P-12",'Standard Data'!$B$12,IF($D44="N-12",'Standard Data'!$B$13,0))*IF($D44="P-12",'Standard Data'!$E$12,IF($D44="N-12",'Standard Data'!$E$13,0))*Y44</f>
        <v>#N/A</v>
      </c>
      <c r="BX44" s="19" t="e">
        <f>IF($D44="P-12",'Standard Data'!$B$12,IF($D44="N-12",'Standard Data'!$B$13,0))*IF($D44="P-12",'Standard Data'!$E$12,IF($D44="N-12",'Standard Data'!$E$13,0))*Z44</f>
        <v>#N/A</v>
      </c>
      <c r="BY44" s="19" t="e">
        <f>IF($D44="P-12",'Standard Data'!$B$12,IF($D44="N-12",'Standard Data'!$B$13,0))*IF($D44="P-12",'Standard Data'!$E$12,IF($D44="N-12",'Standard Data'!$E$13,0))*AA44</f>
        <v>#N/A</v>
      </c>
      <c r="BZ44" s="27" t="e">
        <f>IF($D44="P-12",'Standard Data'!$B$12,IF($D44="N-12",'Standard Data'!$B$13,0))*IF($D44="P-12",'Standard Data'!$E$12,IF($D44="N-12",'Standard Data'!$E$13,0))*AB44</f>
        <v>#N/A</v>
      </c>
      <c r="CA44" s="89" t="e">
        <f t="shared" si="56"/>
        <v>#N/A</v>
      </c>
      <c r="CB44" s="87" t="e">
        <f t="shared" si="57"/>
        <v>#N/A</v>
      </c>
      <c r="CC44" s="87" t="e">
        <f t="shared" si="58"/>
        <v>#N/A</v>
      </c>
      <c r="CD44" s="87" t="e">
        <f t="shared" si="59"/>
        <v>#N/A</v>
      </c>
      <c r="CE44" s="90" t="e">
        <f t="shared" si="60"/>
        <v>#N/A</v>
      </c>
      <c r="CF44" s="89" t="e">
        <f t="shared" si="61"/>
        <v>#N/A</v>
      </c>
      <c r="CG44" s="87" t="e">
        <f t="shared" si="62"/>
        <v>#N/A</v>
      </c>
      <c r="CH44" s="87" t="e">
        <f t="shared" si="63"/>
        <v>#N/A</v>
      </c>
      <c r="CI44" s="87" t="e">
        <f t="shared" si="64"/>
        <v>#N/A</v>
      </c>
      <c r="CJ44" s="90" t="e">
        <f t="shared" si="65"/>
        <v>#N/A</v>
      </c>
      <c r="CK44" s="101" t="e">
        <f t="shared" si="16"/>
        <v>#N/A</v>
      </c>
      <c r="CL44" s="95" t="e">
        <f t="shared" si="17"/>
        <v>#N/A</v>
      </c>
      <c r="CM44" s="95" t="e">
        <f t="shared" si="18"/>
        <v>#N/A</v>
      </c>
      <c r="CN44" s="95" t="e">
        <f t="shared" si="19"/>
        <v>#N/A</v>
      </c>
      <c r="CO44" s="102" t="e">
        <f t="shared" si="20"/>
        <v>#N/A</v>
      </c>
      <c r="CP44" s="101" t="e">
        <f t="shared" si="66"/>
        <v>#N/A</v>
      </c>
      <c r="CQ44" s="95" t="e">
        <f t="shared" si="21"/>
        <v>#N/A</v>
      </c>
      <c r="CR44" s="95" t="e">
        <f t="shared" si="21"/>
        <v>#N/A</v>
      </c>
      <c r="CS44" s="95" t="e">
        <f t="shared" si="21"/>
        <v>#N/A</v>
      </c>
      <c r="CT44" s="102" t="e">
        <f t="shared" si="21"/>
        <v>#N/A</v>
      </c>
      <c r="CU44" s="98" t="e">
        <f t="shared" si="22"/>
        <v>#N/A</v>
      </c>
      <c r="CV44" s="98" t="e">
        <f t="shared" si="23"/>
        <v>#N/A</v>
      </c>
      <c r="CW44" s="98" t="e">
        <f t="shared" si="67"/>
        <v>#N/A</v>
      </c>
    </row>
    <row r="45" spans="1:101" x14ac:dyDescent="0.25">
      <c r="A45" s="2">
        <f>'Inputs-Results'!A20</f>
        <v>0</v>
      </c>
      <c r="B45" s="18" t="e">
        <f>_xlfn.XLOOKUP(A45,'Ditch Calculations'!$A$34:$A$114,'Ditch Calculations'!$C$34:$C$114)</f>
        <v>#N/A</v>
      </c>
      <c r="C45" s="2" t="e">
        <f t="shared" si="24"/>
        <v>#N/A</v>
      </c>
      <c r="D45" s="2" t="e">
        <f>_xlfn.XLOOKUP(A45,'Inputs-Results'!$A$9:$A$35,'Inputs-Results'!$B$9:$B$35)</f>
        <v>#N/A</v>
      </c>
      <c r="E45" s="2" t="e">
        <f>C45*_xlfn.XLOOKUP(A45,'Inputs-Results'!$A$9:$A$35,'Inputs-Results'!$C$9:$C$35)</f>
        <v>#N/A</v>
      </c>
      <c r="F45" s="11" t="e">
        <f>MIN(E45/IF(D45="P-12",'Standard Data'!$D$12,IF(D45="N-12",'Standard Data'!$D$13,0))*COS(ATAN(1/_xlfn.XLOOKUP(A45,'Inputs-Results'!$A$9:$A$35,'Inputs-Results'!$C$9:$C$35))),1)</f>
        <v>#N/A</v>
      </c>
      <c r="G45" s="18" t="e">
        <f>(C45+MAX(C45-3.771/_xlfn.XLOOKUP(A45,'Inputs-Results'!A$9:A$35,'Inputs-Results'!$C$9:$C$35),0))/2</f>
        <v>#N/A</v>
      </c>
      <c r="H45" s="18" t="e">
        <f>C45/IF(D45="P-12",'Standard Data'!$C$12,IF(D45="N-12",'Standard Data'!$C$13,0))</f>
        <v>#N/A</v>
      </c>
      <c r="I45" s="19" t="e">
        <f t="shared" si="25"/>
        <v>#N/A</v>
      </c>
      <c r="J45" s="20" t="e">
        <f>I45*IF(D45="P-12",'Standard Data'!$C$12,IF(D45="N-12",'Standard Data'!$C$13,0))*G45^1.5</f>
        <v>#N/A</v>
      </c>
      <c r="K45" s="19" t="e">
        <f>F45*2*IF(D45="P-12",'Standard Data'!$D$12,IF(D45="N-12",'Standard Data'!$D$13,0))</f>
        <v>#N/A</v>
      </c>
      <c r="L45" s="19" t="e">
        <f t="shared" si="26"/>
        <v>#N/A</v>
      </c>
      <c r="M45" s="19" t="e">
        <f t="shared" si="27"/>
        <v>#N/A</v>
      </c>
      <c r="N45" s="20" t="e">
        <f t="shared" si="28"/>
        <v>#N/A</v>
      </c>
      <c r="O45" s="20" t="e">
        <f t="shared" si="29"/>
        <v>#N/A</v>
      </c>
      <c r="P45" s="19" t="e">
        <f>IF(D45="P-12",'Standard Data'!$B$12,IF(D45="N-12",'Standard Data'!$B$13,0))*IF(D45="P-12",'Standard Data'!$E$12,IF(D45="N-12",'Standard Data'!$E$13,0))*F45</f>
        <v>#N/A</v>
      </c>
      <c r="Q45" s="20" t="e">
        <f t="shared" si="30"/>
        <v>#N/A</v>
      </c>
      <c r="R45" s="53" t="e">
        <f t="shared" si="31"/>
        <v>#N/A</v>
      </c>
      <c r="S45" s="26" t="e">
        <f>($C45+S$33)*_xlfn.XLOOKUP($A45,'Inputs-Results'!$A$9:$A$35,'Inputs-Results'!$C$9:$C$35)</f>
        <v>#N/A</v>
      </c>
      <c r="T45" s="2" t="e">
        <f>($C45+T$33)*_xlfn.XLOOKUP($A45,'Inputs-Results'!$A$9:$A$35,'Inputs-Results'!$C$9:$C$35)</f>
        <v>#N/A</v>
      </c>
      <c r="U45" s="2" t="e">
        <f>($C45+U$33)*_xlfn.XLOOKUP($A45,'Inputs-Results'!$A$9:$A$35,'Inputs-Results'!$C$9:$C$35)</f>
        <v>#N/A</v>
      </c>
      <c r="V45" s="2" t="e">
        <f>($C45+V$33)*_xlfn.XLOOKUP($A45,'Inputs-Results'!$A$9:$A$35,'Inputs-Results'!$C$9:$C$35)</f>
        <v>#N/A</v>
      </c>
      <c r="W45" s="31" t="e">
        <f>($C45+W$33)*_xlfn.XLOOKUP($A45,'Inputs-Results'!$A$9:$A$35,'Inputs-Results'!$C$9:$C$35)</f>
        <v>#N/A</v>
      </c>
      <c r="X45" s="59" t="e">
        <f>MIN(S45/IF($D45="P-12",'Standard Data'!$D$12,IF($D45="N-12",'Standard Data'!$D$13,0))*COS(ATAN(1/_xlfn.XLOOKUP($A45,'Inputs-Results'!$A$9:$A$35,'Inputs-Results'!$C$9:$C$35))),1)</f>
        <v>#N/A</v>
      </c>
      <c r="Y45" s="11" t="e">
        <f>MIN(T45/IF($D45="P-12",'Standard Data'!$D$12,IF($D45="N-12",'Standard Data'!$D$13,0))*COS(ATAN(1/_xlfn.XLOOKUP($A45,'Inputs-Results'!$A$9:$A$35,'Inputs-Results'!$C$9:$C$35))),1)</f>
        <v>#N/A</v>
      </c>
      <c r="Z45" s="11" t="e">
        <f>MIN(U45/IF($D45="P-12",'Standard Data'!$D$12,IF($D45="N-12",'Standard Data'!$D$13,0))*COS(ATAN(1/_xlfn.XLOOKUP($A45,'Inputs-Results'!$A$9:$A$35,'Inputs-Results'!$C$9:$C$35))),1)</f>
        <v>#N/A</v>
      </c>
      <c r="AA45" s="11" t="e">
        <f>MIN(V45/IF($D45="P-12",'Standard Data'!$D$12,IF($D45="N-12",'Standard Data'!$D$13,0))*COS(ATAN(1/_xlfn.XLOOKUP($A45,'Inputs-Results'!$A$9:$A$35,'Inputs-Results'!$C$9:$C$35))),1)</f>
        <v>#N/A</v>
      </c>
      <c r="AB45" s="60" t="e">
        <f>MIN(W45/IF($D45="P-12",'Standard Data'!$D$12,IF($D45="N-12",'Standard Data'!$D$13,0))*COS(ATAN(1/_xlfn.XLOOKUP($A45,'Inputs-Results'!$A$9:$A$35,'Inputs-Results'!$C$9:$C$35))),1)</f>
        <v>#N/A</v>
      </c>
      <c r="AC45" s="64" t="e">
        <f>(($C45+S$33)+MAX(($C45+S$33)-3.771/_xlfn.XLOOKUP($A45,'Inputs-Results'!$A$9:$A$35,'Inputs-Results'!$C$9:$C$35),0))/2</f>
        <v>#N/A</v>
      </c>
      <c r="AD45" s="54" t="e">
        <f>(($C45+T$33)+MAX(($C45+T$33)-3.771/_xlfn.XLOOKUP($A45,'Inputs-Results'!$A$9:$A$35,'Inputs-Results'!$C$9:$C$35),0))/2</f>
        <v>#N/A</v>
      </c>
      <c r="AE45" s="54" t="e">
        <f>(($C45+U$33)+MAX(($C45+U$33)-3.771/_xlfn.XLOOKUP($A45,'Inputs-Results'!$A$9:$A$35,'Inputs-Results'!$C$9:$C$35),0))/2</f>
        <v>#N/A</v>
      </c>
      <c r="AF45" s="54" t="e">
        <f>(($C45+V$33)+MAX(($C45+V$33)-3.771/_xlfn.XLOOKUP($A45,'Inputs-Results'!$A$9:$A$35,'Inputs-Results'!$C$9:$C$35),0))/2</f>
        <v>#N/A</v>
      </c>
      <c r="AG45" s="65" t="e">
        <f>(($C45+W$33)+MAX(($C45+W$33)-3.771/_xlfn.XLOOKUP($A45,'Inputs-Results'!$A$9:$A$35,'Inputs-Results'!$C$9:$C$35),0))/2</f>
        <v>#N/A</v>
      </c>
      <c r="AH45" s="69" t="e">
        <f>($C45+S$33)/IF($D45="P-12",'Standard Data'!$C$12,IF($D45="N-12",'Standard Data'!$C$13,0))</f>
        <v>#N/A</v>
      </c>
      <c r="AI45" s="55" t="e">
        <f>($C45+T$33)/IF($D45="P-12",'Standard Data'!$C$12,IF($D45="N-12",'Standard Data'!$C$13,0))</f>
        <v>#N/A</v>
      </c>
      <c r="AJ45" s="55" t="e">
        <f>($C45+U$33)/IF($D45="P-12",'Standard Data'!$C$12,IF($D45="N-12",'Standard Data'!$C$13,0))</f>
        <v>#N/A</v>
      </c>
      <c r="AK45" s="55" t="e">
        <f>($C45+V$33)/IF($D45="P-12",'Standard Data'!$C$12,IF($D45="N-12",'Standard Data'!$C$13,0))</f>
        <v>#N/A</v>
      </c>
      <c r="AL45" s="70" t="e">
        <f>($C45+W$33)/IF($D45="P-12",'Standard Data'!$C$12,IF($D45="N-12",'Standard Data'!$C$13,0))</f>
        <v>#N/A</v>
      </c>
      <c r="AM45" s="69" t="e">
        <f t="shared" si="32"/>
        <v>#N/A</v>
      </c>
      <c r="AN45" s="55" t="e">
        <f t="shared" si="33"/>
        <v>#N/A</v>
      </c>
      <c r="AO45" s="55" t="e">
        <f t="shared" si="34"/>
        <v>#N/A</v>
      </c>
      <c r="AP45" s="55" t="e">
        <f t="shared" si="35"/>
        <v>#N/A</v>
      </c>
      <c r="AQ45" s="70" t="e">
        <f t="shared" si="36"/>
        <v>#N/A</v>
      </c>
      <c r="AR45" s="79" t="e">
        <f>AM45*IF($D45="P-12",'Standard Data'!$C$12,IF($D45="N-12",'Standard Data'!$C$13,0))*AC45^1.5</f>
        <v>#N/A</v>
      </c>
      <c r="AS45" s="80" t="e">
        <f>AN45*IF($D45="P-12",'Standard Data'!$C$12,IF($D45="N-12",'Standard Data'!$C$13,0))*AD45^1.5</f>
        <v>#N/A</v>
      </c>
      <c r="AT45" s="80" t="e">
        <f>AO45*IF($D45="P-12",'Standard Data'!$C$12,IF($D45="N-12",'Standard Data'!$C$13,0))*AE45^1.5</f>
        <v>#N/A</v>
      </c>
      <c r="AU45" s="80" t="e">
        <f>AP45*IF($D45="P-12",'Standard Data'!$C$12,IF($D45="N-12",'Standard Data'!$C$13,0))*AF45^1.5</f>
        <v>#N/A</v>
      </c>
      <c r="AV45" s="81" t="e">
        <f>AQ45*IF($D45="P-12",'Standard Data'!$C$12,IF($D45="N-12",'Standard Data'!$C$13,0))*AG45^1.5</f>
        <v>#N/A</v>
      </c>
      <c r="AW45" s="69" t="e">
        <f>X45*2*IF($D45="P-12",'Standard Data'!$D$12,IF($D45="N-12",'Standard Data'!$D$13,0))</f>
        <v>#N/A</v>
      </c>
      <c r="AX45" s="55" t="e">
        <f>Y45*2*IF($D45="P-12",'Standard Data'!$D$12,IF($D45="N-12",'Standard Data'!$D$13,0))</f>
        <v>#N/A</v>
      </c>
      <c r="AY45" s="55" t="e">
        <f>Z45*2*IF($D45="P-12",'Standard Data'!$D$12,IF($D45="N-12",'Standard Data'!$D$13,0))</f>
        <v>#N/A</v>
      </c>
      <c r="AZ45" s="55" t="e">
        <f>AA45*2*IF($D45="P-12",'Standard Data'!$D$12,IF($D45="N-12",'Standard Data'!$D$13,0))</f>
        <v>#N/A</v>
      </c>
      <c r="BA45" s="74" t="e">
        <f>AB45*2*IF($D45="P-12",'Standard Data'!$D$12,IF($D45="N-12",'Standard Data'!$D$13,0))</f>
        <v>#N/A</v>
      </c>
      <c r="BB45" s="69" t="e">
        <f t="shared" si="37"/>
        <v>#N/A</v>
      </c>
      <c r="BC45" s="55" t="e">
        <f t="shared" si="38"/>
        <v>#N/A</v>
      </c>
      <c r="BD45" s="55" t="e">
        <f t="shared" si="39"/>
        <v>#N/A</v>
      </c>
      <c r="BE45" s="55" t="e">
        <f t="shared" si="68"/>
        <v>#N/A</v>
      </c>
      <c r="BF45" s="70" t="e">
        <f t="shared" si="40"/>
        <v>#N/A</v>
      </c>
      <c r="BG45" s="85" t="e">
        <f t="shared" si="41"/>
        <v>#N/A</v>
      </c>
      <c r="BH45" s="19" t="e">
        <f t="shared" si="42"/>
        <v>#N/A</v>
      </c>
      <c r="BI45" s="19" t="e">
        <f t="shared" si="43"/>
        <v>#N/A</v>
      </c>
      <c r="BJ45" s="19" t="e">
        <f t="shared" si="44"/>
        <v>#N/A</v>
      </c>
      <c r="BK45" s="27" t="e">
        <f t="shared" si="45"/>
        <v>#N/A</v>
      </c>
      <c r="BL45" s="89" t="e">
        <f t="shared" si="46"/>
        <v>#N/A</v>
      </c>
      <c r="BM45" s="87" t="e">
        <f t="shared" si="47"/>
        <v>#N/A</v>
      </c>
      <c r="BN45" s="87" t="e">
        <f t="shared" si="48"/>
        <v>#N/A</v>
      </c>
      <c r="BO45" s="87" t="e">
        <f t="shared" si="49"/>
        <v>#N/A</v>
      </c>
      <c r="BP45" s="90" t="e">
        <f t="shared" si="50"/>
        <v>#N/A</v>
      </c>
      <c r="BQ45" s="89" t="e">
        <f t="shared" si="51"/>
        <v>#N/A</v>
      </c>
      <c r="BR45" s="87" t="e">
        <f t="shared" si="52"/>
        <v>#N/A</v>
      </c>
      <c r="BS45" s="87" t="e">
        <f t="shared" si="53"/>
        <v>#N/A</v>
      </c>
      <c r="BT45" s="87" t="e">
        <f t="shared" si="54"/>
        <v>#N/A</v>
      </c>
      <c r="BU45" s="90" t="e">
        <f t="shared" si="55"/>
        <v>#N/A</v>
      </c>
      <c r="BV45" s="85" t="e">
        <f>IF($D45="P-12",'Standard Data'!$B$12,IF($D45="N-12",'Standard Data'!$B$13,0))*IF($D45="P-12",'Standard Data'!$E$12,IF($D45="N-12",'Standard Data'!$E$13,0))*X45</f>
        <v>#N/A</v>
      </c>
      <c r="BW45" s="19" t="e">
        <f>IF($D45="P-12",'Standard Data'!$B$12,IF($D45="N-12",'Standard Data'!$B$13,0))*IF($D45="P-12",'Standard Data'!$E$12,IF($D45="N-12",'Standard Data'!$E$13,0))*Y45</f>
        <v>#N/A</v>
      </c>
      <c r="BX45" s="19" t="e">
        <f>IF($D45="P-12",'Standard Data'!$B$12,IF($D45="N-12",'Standard Data'!$B$13,0))*IF($D45="P-12",'Standard Data'!$E$12,IF($D45="N-12",'Standard Data'!$E$13,0))*Z45</f>
        <v>#N/A</v>
      </c>
      <c r="BY45" s="19" t="e">
        <f>IF($D45="P-12",'Standard Data'!$B$12,IF($D45="N-12",'Standard Data'!$B$13,0))*IF($D45="P-12",'Standard Data'!$E$12,IF($D45="N-12",'Standard Data'!$E$13,0))*AA45</f>
        <v>#N/A</v>
      </c>
      <c r="BZ45" s="27" t="e">
        <f>IF($D45="P-12",'Standard Data'!$B$12,IF($D45="N-12",'Standard Data'!$B$13,0))*IF($D45="P-12",'Standard Data'!$E$12,IF($D45="N-12",'Standard Data'!$E$13,0))*AB45</f>
        <v>#N/A</v>
      </c>
      <c r="CA45" s="89" t="e">
        <f t="shared" si="56"/>
        <v>#N/A</v>
      </c>
      <c r="CB45" s="87" t="e">
        <f t="shared" si="57"/>
        <v>#N/A</v>
      </c>
      <c r="CC45" s="87" t="e">
        <f t="shared" si="58"/>
        <v>#N/A</v>
      </c>
      <c r="CD45" s="87" t="e">
        <f t="shared" si="59"/>
        <v>#N/A</v>
      </c>
      <c r="CE45" s="90" t="e">
        <f t="shared" si="60"/>
        <v>#N/A</v>
      </c>
      <c r="CF45" s="89" t="e">
        <f t="shared" si="61"/>
        <v>#N/A</v>
      </c>
      <c r="CG45" s="87" t="e">
        <f t="shared" si="62"/>
        <v>#N/A</v>
      </c>
      <c r="CH45" s="87" t="e">
        <f t="shared" si="63"/>
        <v>#N/A</v>
      </c>
      <c r="CI45" s="87" t="e">
        <f t="shared" si="64"/>
        <v>#N/A</v>
      </c>
      <c r="CJ45" s="90" t="e">
        <f t="shared" si="65"/>
        <v>#N/A</v>
      </c>
      <c r="CK45" s="101" t="e">
        <f t="shared" si="16"/>
        <v>#N/A</v>
      </c>
      <c r="CL45" s="95" t="e">
        <f t="shared" si="17"/>
        <v>#N/A</v>
      </c>
      <c r="CM45" s="95" t="e">
        <f t="shared" si="18"/>
        <v>#N/A</v>
      </c>
      <c r="CN45" s="95" t="e">
        <f t="shared" si="19"/>
        <v>#N/A</v>
      </c>
      <c r="CO45" s="102" t="e">
        <f t="shared" si="20"/>
        <v>#N/A</v>
      </c>
      <c r="CP45" s="101" t="e">
        <f t="shared" si="66"/>
        <v>#N/A</v>
      </c>
      <c r="CQ45" s="95" t="e">
        <f t="shared" si="21"/>
        <v>#N/A</v>
      </c>
      <c r="CR45" s="95" t="e">
        <f t="shared" si="21"/>
        <v>#N/A</v>
      </c>
      <c r="CS45" s="95" t="e">
        <f t="shared" si="21"/>
        <v>#N/A</v>
      </c>
      <c r="CT45" s="102" t="e">
        <f t="shared" si="21"/>
        <v>#N/A</v>
      </c>
      <c r="CU45" s="98" t="e">
        <f t="shared" si="22"/>
        <v>#N/A</v>
      </c>
      <c r="CV45" s="98" t="e">
        <f t="shared" si="23"/>
        <v>#N/A</v>
      </c>
      <c r="CW45" s="98" t="e">
        <f t="shared" si="67"/>
        <v>#N/A</v>
      </c>
    </row>
    <row r="46" spans="1:101" x14ac:dyDescent="0.25">
      <c r="A46" s="2">
        <f>'Inputs-Results'!A21</f>
        <v>0</v>
      </c>
      <c r="B46" s="18" t="e">
        <f>_xlfn.XLOOKUP(A46,'Ditch Calculations'!$A$34:$A$114,'Ditch Calculations'!$C$34:$C$114)</f>
        <v>#N/A</v>
      </c>
      <c r="C46" s="2" t="e">
        <f t="shared" si="24"/>
        <v>#N/A</v>
      </c>
      <c r="D46" s="2" t="e">
        <f>_xlfn.XLOOKUP(A46,'Inputs-Results'!$A$9:$A$35,'Inputs-Results'!$B$9:$B$35)</f>
        <v>#N/A</v>
      </c>
      <c r="E46" s="2" t="e">
        <f>C46*_xlfn.XLOOKUP(A46,'Inputs-Results'!$A$9:$A$35,'Inputs-Results'!$C$9:$C$35)</f>
        <v>#N/A</v>
      </c>
      <c r="F46" s="11" t="e">
        <f>MIN(E46/IF(D46="P-12",'Standard Data'!$D$12,IF(D46="N-12",'Standard Data'!$D$13,0))*COS(ATAN(1/_xlfn.XLOOKUP(A46,'Inputs-Results'!$A$9:$A$35,'Inputs-Results'!$C$9:$C$35))),1)</f>
        <v>#N/A</v>
      </c>
      <c r="G46" s="18" t="e">
        <f>(C46+MAX(C46-3.771/_xlfn.XLOOKUP(A46,'Inputs-Results'!A$9:A$35,'Inputs-Results'!$C$9:$C$35),0))/2</f>
        <v>#N/A</v>
      </c>
      <c r="H46" s="18" t="e">
        <f>C46/IF(D46="P-12",'Standard Data'!$C$12,IF(D46="N-12",'Standard Data'!$C$13,0))</f>
        <v>#N/A</v>
      </c>
      <c r="I46" s="19" t="e">
        <f t="shared" si="25"/>
        <v>#N/A</v>
      </c>
      <c r="J46" s="20" t="e">
        <f>I46*IF(D46="P-12",'Standard Data'!$C$12,IF(D46="N-12",'Standard Data'!$C$13,0))*G46^1.5</f>
        <v>#N/A</v>
      </c>
      <c r="K46" s="19" t="e">
        <f>F46*2*IF(D46="P-12",'Standard Data'!$D$12,IF(D46="N-12",'Standard Data'!$D$13,0))</f>
        <v>#N/A</v>
      </c>
      <c r="L46" s="19" t="e">
        <f t="shared" si="26"/>
        <v>#N/A</v>
      </c>
      <c r="M46" s="19" t="e">
        <f t="shared" si="27"/>
        <v>#N/A</v>
      </c>
      <c r="N46" s="20" t="e">
        <f t="shared" si="28"/>
        <v>#N/A</v>
      </c>
      <c r="O46" s="20" t="e">
        <f t="shared" si="29"/>
        <v>#N/A</v>
      </c>
      <c r="P46" s="19" t="e">
        <f>IF(D46="P-12",'Standard Data'!$B$12,IF(D46="N-12",'Standard Data'!$B$13,0))*IF(D46="P-12",'Standard Data'!$E$12,IF(D46="N-12",'Standard Data'!$E$13,0))*F46</f>
        <v>#N/A</v>
      </c>
      <c r="Q46" s="20" t="e">
        <f t="shared" si="30"/>
        <v>#N/A</v>
      </c>
      <c r="R46" s="53" t="e">
        <f t="shared" si="31"/>
        <v>#N/A</v>
      </c>
      <c r="S46" s="26" t="e">
        <f>($C46+S$33)*_xlfn.XLOOKUP($A46,'Inputs-Results'!$A$9:$A$35,'Inputs-Results'!$C$9:$C$35)</f>
        <v>#N/A</v>
      </c>
      <c r="T46" s="2" t="e">
        <f>($C46+T$33)*_xlfn.XLOOKUP($A46,'Inputs-Results'!$A$9:$A$35,'Inputs-Results'!$C$9:$C$35)</f>
        <v>#N/A</v>
      </c>
      <c r="U46" s="2" t="e">
        <f>($C46+U$33)*_xlfn.XLOOKUP($A46,'Inputs-Results'!$A$9:$A$35,'Inputs-Results'!$C$9:$C$35)</f>
        <v>#N/A</v>
      </c>
      <c r="V46" s="2" t="e">
        <f>($C46+V$33)*_xlfn.XLOOKUP($A46,'Inputs-Results'!$A$9:$A$35,'Inputs-Results'!$C$9:$C$35)</f>
        <v>#N/A</v>
      </c>
      <c r="W46" s="31" t="e">
        <f>($C46+W$33)*_xlfn.XLOOKUP($A46,'Inputs-Results'!$A$9:$A$35,'Inputs-Results'!$C$9:$C$35)</f>
        <v>#N/A</v>
      </c>
      <c r="X46" s="59" t="e">
        <f>MIN(S46/IF($D46="P-12",'Standard Data'!$D$12,IF($D46="N-12",'Standard Data'!$D$13,0))*COS(ATAN(1/_xlfn.XLOOKUP($A46,'Inputs-Results'!$A$9:$A$35,'Inputs-Results'!$C$9:$C$35))),1)</f>
        <v>#N/A</v>
      </c>
      <c r="Y46" s="11" t="e">
        <f>MIN(T46/IF($D46="P-12",'Standard Data'!$D$12,IF($D46="N-12",'Standard Data'!$D$13,0))*COS(ATAN(1/_xlfn.XLOOKUP($A46,'Inputs-Results'!$A$9:$A$35,'Inputs-Results'!$C$9:$C$35))),1)</f>
        <v>#N/A</v>
      </c>
      <c r="Z46" s="11" t="e">
        <f>MIN(U46/IF($D46="P-12",'Standard Data'!$D$12,IF($D46="N-12",'Standard Data'!$D$13,0))*COS(ATAN(1/_xlfn.XLOOKUP($A46,'Inputs-Results'!$A$9:$A$35,'Inputs-Results'!$C$9:$C$35))),1)</f>
        <v>#N/A</v>
      </c>
      <c r="AA46" s="11" t="e">
        <f>MIN(V46/IF($D46="P-12",'Standard Data'!$D$12,IF($D46="N-12",'Standard Data'!$D$13,0))*COS(ATAN(1/_xlfn.XLOOKUP($A46,'Inputs-Results'!$A$9:$A$35,'Inputs-Results'!$C$9:$C$35))),1)</f>
        <v>#N/A</v>
      </c>
      <c r="AB46" s="60" t="e">
        <f>MIN(W46/IF($D46="P-12",'Standard Data'!$D$12,IF($D46="N-12",'Standard Data'!$D$13,0))*COS(ATAN(1/_xlfn.XLOOKUP($A46,'Inputs-Results'!$A$9:$A$35,'Inputs-Results'!$C$9:$C$35))),1)</f>
        <v>#N/A</v>
      </c>
      <c r="AC46" s="64" t="e">
        <f>(($C46+S$33)+MAX(($C46+S$33)-3.771/_xlfn.XLOOKUP($A46,'Inputs-Results'!$A$9:$A$35,'Inputs-Results'!$C$9:$C$35),0))/2</f>
        <v>#N/A</v>
      </c>
      <c r="AD46" s="54" t="e">
        <f>(($C46+T$33)+MAX(($C46+T$33)-3.771/_xlfn.XLOOKUP($A46,'Inputs-Results'!$A$9:$A$35,'Inputs-Results'!$C$9:$C$35),0))/2</f>
        <v>#N/A</v>
      </c>
      <c r="AE46" s="54" t="e">
        <f>(($C46+U$33)+MAX(($C46+U$33)-3.771/_xlfn.XLOOKUP($A46,'Inputs-Results'!$A$9:$A$35,'Inputs-Results'!$C$9:$C$35),0))/2</f>
        <v>#N/A</v>
      </c>
      <c r="AF46" s="54" t="e">
        <f>(($C46+V$33)+MAX(($C46+V$33)-3.771/_xlfn.XLOOKUP($A46,'Inputs-Results'!$A$9:$A$35,'Inputs-Results'!$C$9:$C$35),0))/2</f>
        <v>#N/A</v>
      </c>
      <c r="AG46" s="65" t="e">
        <f>(($C46+W$33)+MAX(($C46+W$33)-3.771/_xlfn.XLOOKUP($A46,'Inputs-Results'!$A$9:$A$35,'Inputs-Results'!$C$9:$C$35),0))/2</f>
        <v>#N/A</v>
      </c>
      <c r="AH46" s="69" t="e">
        <f>($C46+S$33)/IF($D46="P-12",'Standard Data'!$C$12,IF($D46="N-12",'Standard Data'!$C$13,0))</f>
        <v>#N/A</v>
      </c>
      <c r="AI46" s="55" t="e">
        <f>($C46+T$33)/IF($D46="P-12",'Standard Data'!$C$12,IF($D46="N-12",'Standard Data'!$C$13,0))</f>
        <v>#N/A</v>
      </c>
      <c r="AJ46" s="55" t="e">
        <f>($C46+U$33)/IF($D46="P-12",'Standard Data'!$C$12,IF($D46="N-12",'Standard Data'!$C$13,0))</f>
        <v>#N/A</v>
      </c>
      <c r="AK46" s="55" t="e">
        <f>($C46+V$33)/IF($D46="P-12",'Standard Data'!$C$12,IF($D46="N-12",'Standard Data'!$C$13,0))</f>
        <v>#N/A</v>
      </c>
      <c r="AL46" s="70" t="e">
        <f>($C46+W$33)/IF($D46="P-12",'Standard Data'!$C$12,IF($D46="N-12",'Standard Data'!$C$13,0))</f>
        <v>#N/A</v>
      </c>
      <c r="AM46" s="69" t="e">
        <f t="shared" si="32"/>
        <v>#N/A</v>
      </c>
      <c r="AN46" s="55" t="e">
        <f t="shared" si="33"/>
        <v>#N/A</v>
      </c>
      <c r="AO46" s="55" t="e">
        <f t="shared" si="34"/>
        <v>#N/A</v>
      </c>
      <c r="AP46" s="55" t="e">
        <f t="shared" si="35"/>
        <v>#N/A</v>
      </c>
      <c r="AQ46" s="70" t="e">
        <f t="shared" si="36"/>
        <v>#N/A</v>
      </c>
      <c r="AR46" s="79" t="e">
        <f>AM46*IF($D46="P-12",'Standard Data'!$C$12,IF($D46="N-12",'Standard Data'!$C$13,0))*AC46^1.5</f>
        <v>#N/A</v>
      </c>
      <c r="AS46" s="80" t="e">
        <f>AN46*IF($D46="P-12",'Standard Data'!$C$12,IF($D46="N-12",'Standard Data'!$C$13,0))*AD46^1.5</f>
        <v>#N/A</v>
      </c>
      <c r="AT46" s="80" t="e">
        <f>AO46*IF($D46="P-12",'Standard Data'!$C$12,IF($D46="N-12",'Standard Data'!$C$13,0))*AE46^1.5</f>
        <v>#N/A</v>
      </c>
      <c r="AU46" s="80" t="e">
        <f>AP46*IF($D46="P-12",'Standard Data'!$C$12,IF($D46="N-12",'Standard Data'!$C$13,0))*AF46^1.5</f>
        <v>#N/A</v>
      </c>
      <c r="AV46" s="81" t="e">
        <f>AQ46*IF($D46="P-12",'Standard Data'!$C$12,IF($D46="N-12",'Standard Data'!$C$13,0))*AG46^1.5</f>
        <v>#N/A</v>
      </c>
      <c r="AW46" s="69" t="e">
        <f>X46*2*IF($D46="P-12",'Standard Data'!$D$12,IF($D46="N-12",'Standard Data'!$D$13,0))</f>
        <v>#N/A</v>
      </c>
      <c r="AX46" s="55" t="e">
        <f>Y46*2*IF($D46="P-12",'Standard Data'!$D$12,IF($D46="N-12",'Standard Data'!$D$13,0))</f>
        <v>#N/A</v>
      </c>
      <c r="AY46" s="55" t="e">
        <f>Z46*2*IF($D46="P-12",'Standard Data'!$D$12,IF($D46="N-12",'Standard Data'!$D$13,0))</f>
        <v>#N/A</v>
      </c>
      <c r="AZ46" s="55" t="e">
        <f>AA46*2*IF($D46="P-12",'Standard Data'!$D$12,IF($D46="N-12",'Standard Data'!$D$13,0))</f>
        <v>#N/A</v>
      </c>
      <c r="BA46" s="74" t="e">
        <f>AB46*2*IF($D46="P-12",'Standard Data'!$D$12,IF($D46="N-12",'Standard Data'!$D$13,0))</f>
        <v>#N/A</v>
      </c>
      <c r="BB46" s="69" t="e">
        <f t="shared" si="37"/>
        <v>#N/A</v>
      </c>
      <c r="BC46" s="55" t="e">
        <f t="shared" si="38"/>
        <v>#N/A</v>
      </c>
      <c r="BD46" s="55" t="e">
        <f t="shared" si="39"/>
        <v>#N/A</v>
      </c>
      <c r="BE46" s="55" t="e">
        <f t="shared" si="68"/>
        <v>#N/A</v>
      </c>
      <c r="BF46" s="70" t="e">
        <f t="shared" si="40"/>
        <v>#N/A</v>
      </c>
      <c r="BG46" s="85" t="e">
        <f t="shared" si="41"/>
        <v>#N/A</v>
      </c>
      <c r="BH46" s="19" t="e">
        <f t="shared" si="42"/>
        <v>#N/A</v>
      </c>
      <c r="BI46" s="19" t="e">
        <f t="shared" si="43"/>
        <v>#N/A</v>
      </c>
      <c r="BJ46" s="19" t="e">
        <f t="shared" si="44"/>
        <v>#N/A</v>
      </c>
      <c r="BK46" s="27" t="e">
        <f t="shared" si="45"/>
        <v>#N/A</v>
      </c>
      <c r="BL46" s="89" t="e">
        <f t="shared" si="46"/>
        <v>#N/A</v>
      </c>
      <c r="BM46" s="87" t="e">
        <f t="shared" si="47"/>
        <v>#N/A</v>
      </c>
      <c r="BN46" s="87" t="e">
        <f t="shared" si="48"/>
        <v>#N/A</v>
      </c>
      <c r="BO46" s="87" t="e">
        <f t="shared" si="49"/>
        <v>#N/A</v>
      </c>
      <c r="BP46" s="90" t="e">
        <f t="shared" si="50"/>
        <v>#N/A</v>
      </c>
      <c r="BQ46" s="89" t="e">
        <f t="shared" si="51"/>
        <v>#N/A</v>
      </c>
      <c r="BR46" s="87" t="e">
        <f t="shared" si="52"/>
        <v>#N/A</v>
      </c>
      <c r="BS46" s="87" t="e">
        <f t="shared" si="53"/>
        <v>#N/A</v>
      </c>
      <c r="BT46" s="87" t="e">
        <f t="shared" si="54"/>
        <v>#N/A</v>
      </c>
      <c r="BU46" s="90" t="e">
        <f t="shared" si="55"/>
        <v>#N/A</v>
      </c>
      <c r="BV46" s="85" t="e">
        <f>IF($D46="P-12",'Standard Data'!$B$12,IF($D46="N-12",'Standard Data'!$B$13,0))*IF($D46="P-12",'Standard Data'!$E$12,IF($D46="N-12",'Standard Data'!$E$13,0))*X46</f>
        <v>#N/A</v>
      </c>
      <c r="BW46" s="19" t="e">
        <f>IF($D46="P-12",'Standard Data'!$B$12,IF($D46="N-12",'Standard Data'!$B$13,0))*IF($D46="P-12",'Standard Data'!$E$12,IF($D46="N-12",'Standard Data'!$E$13,0))*Y46</f>
        <v>#N/A</v>
      </c>
      <c r="BX46" s="19" t="e">
        <f>IF($D46="P-12",'Standard Data'!$B$12,IF($D46="N-12",'Standard Data'!$B$13,0))*IF($D46="P-12",'Standard Data'!$E$12,IF($D46="N-12",'Standard Data'!$E$13,0))*Z46</f>
        <v>#N/A</v>
      </c>
      <c r="BY46" s="19" t="e">
        <f>IF($D46="P-12",'Standard Data'!$B$12,IF($D46="N-12",'Standard Data'!$B$13,0))*IF($D46="P-12",'Standard Data'!$E$12,IF($D46="N-12",'Standard Data'!$E$13,0))*AA46</f>
        <v>#N/A</v>
      </c>
      <c r="BZ46" s="27" t="e">
        <f>IF($D46="P-12",'Standard Data'!$B$12,IF($D46="N-12",'Standard Data'!$B$13,0))*IF($D46="P-12",'Standard Data'!$E$12,IF($D46="N-12",'Standard Data'!$E$13,0))*AB46</f>
        <v>#N/A</v>
      </c>
      <c r="CA46" s="89" t="e">
        <f t="shared" si="56"/>
        <v>#N/A</v>
      </c>
      <c r="CB46" s="87" t="e">
        <f t="shared" si="57"/>
        <v>#N/A</v>
      </c>
      <c r="CC46" s="87" t="e">
        <f t="shared" si="58"/>
        <v>#N/A</v>
      </c>
      <c r="CD46" s="87" t="e">
        <f t="shared" si="59"/>
        <v>#N/A</v>
      </c>
      <c r="CE46" s="90" t="e">
        <f t="shared" si="60"/>
        <v>#N/A</v>
      </c>
      <c r="CF46" s="89" t="e">
        <f t="shared" si="61"/>
        <v>#N/A</v>
      </c>
      <c r="CG46" s="87" t="e">
        <f t="shared" si="62"/>
        <v>#N/A</v>
      </c>
      <c r="CH46" s="87" t="e">
        <f t="shared" si="63"/>
        <v>#N/A</v>
      </c>
      <c r="CI46" s="87" t="e">
        <f t="shared" si="64"/>
        <v>#N/A</v>
      </c>
      <c r="CJ46" s="90" t="e">
        <f t="shared" si="65"/>
        <v>#N/A</v>
      </c>
      <c r="CK46" s="101" t="e">
        <f t="shared" si="16"/>
        <v>#N/A</v>
      </c>
      <c r="CL46" s="95" t="e">
        <f t="shared" si="17"/>
        <v>#N/A</v>
      </c>
      <c r="CM46" s="95" t="e">
        <f t="shared" si="18"/>
        <v>#N/A</v>
      </c>
      <c r="CN46" s="95" t="e">
        <f t="shared" si="19"/>
        <v>#N/A</v>
      </c>
      <c r="CO46" s="102" t="e">
        <f t="shared" si="20"/>
        <v>#N/A</v>
      </c>
      <c r="CP46" s="101" t="e">
        <f t="shared" si="66"/>
        <v>#N/A</v>
      </c>
      <c r="CQ46" s="95" t="e">
        <f t="shared" si="21"/>
        <v>#N/A</v>
      </c>
      <c r="CR46" s="95" t="e">
        <f t="shared" si="21"/>
        <v>#N/A</v>
      </c>
      <c r="CS46" s="95" t="e">
        <f t="shared" si="21"/>
        <v>#N/A</v>
      </c>
      <c r="CT46" s="102" t="e">
        <f t="shared" si="21"/>
        <v>#N/A</v>
      </c>
      <c r="CU46" s="98" t="e">
        <f t="shared" si="22"/>
        <v>#N/A</v>
      </c>
      <c r="CV46" s="98" t="e">
        <f t="shared" si="23"/>
        <v>#N/A</v>
      </c>
      <c r="CW46" s="98" t="e">
        <f t="shared" si="67"/>
        <v>#N/A</v>
      </c>
    </row>
    <row r="47" spans="1:101" x14ac:dyDescent="0.25">
      <c r="A47" s="2">
        <f>'Inputs-Results'!A22</f>
        <v>0</v>
      </c>
      <c r="B47" s="18" t="e">
        <f>_xlfn.XLOOKUP(A47,'Ditch Calculations'!$A$34:$A$114,'Ditch Calculations'!$C$34:$C$114)</f>
        <v>#N/A</v>
      </c>
      <c r="C47" s="2" t="e">
        <f t="shared" si="24"/>
        <v>#N/A</v>
      </c>
      <c r="D47" s="2" t="e">
        <f>_xlfn.XLOOKUP(A47,'Inputs-Results'!$A$9:$A$35,'Inputs-Results'!$B$9:$B$35)</f>
        <v>#N/A</v>
      </c>
      <c r="E47" s="2" t="e">
        <f>C47*_xlfn.XLOOKUP(A47,'Inputs-Results'!$A$9:$A$35,'Inputs-Results'!$C$9:$C$35)</f>
        <v>#N/A</v>
      </c>
      <c r="F47" s="11" t="e">
        <f>MIN(E47/IF(D47="P-12",'Standard Data'!$D$12,IF(D47="N-12",'Standard Data'!$D$13,0))*COS(ATAN(1/_xlfn.XLOOKUP(A47,'Inputs-Results'!$A$9:$A$35,'Inputs-Results'!$C$9:$C$35))),1)</f>
        <v>#N/A</v>
      </c>
      <c r="G47" s="18" t="e">
        <f>(C47+MAX(C47-3.771/_xlfn.XLOOKUP(A47,'Inputs-Results'!A$9:A$35,'Inputs-Results'!$C$9:$C$35),0))/2</f>
        <v>#N/A</v>
      </c>
      <c r="H47" s="18" t="e">
        <f>C47/IF(D47="P-12",'Standard Data'!$C$12,IF(D47="N-12",'Standard Data'!$C$13,0))</f>
        <v>#N/A</v>
      </c>
      <c r="I47" s="19" t="e">
        <f t="shared" si="25"/>
        <v>#N/A</v>
      </c>
      <c r="J47" s="20" t="e">
        <f>I47*IF(D47="P-12",'Standard Data'!$C$12,IF(D47="N-12",'Standard Data'!$C$13,0))*G47^1.5</f>
        <v>#N/A</v>
      </c>
      <c r="K47" s="19" t="e">
        <f>F47*2*IF(D47="P-12",'Standard Data'!$D$12,IF(D47="N-12",'Standard Data'!$D$13,0))</f>
        <v>#N/A</v>
      </c>
      <c r="L47" s="19" t="e">
        <f t="shared" si="26"/>
        <v>#N/A</v>
      </c>
      <c r="M47" s="19" t="e">
        <f t="shared" si="27"/>
        <v>#N/A</v>
      </c>
      <c r="N47" s="20" t="e">
        <f t="shared" si="28"/>
        <v>#N/A</v>
      </c>
      <c r="O47" s="20" t="e">
        <f t="shared" si="29"/>
        <v>#N/A</v>
      </c>
      <c r="P47" s="19" t="e">
        <f>IF(D47="P-12",'Standard Data'!$B$12,IF(D47="N-12",'Standard Data'!$B$13,0))*IF(D47="P-12",'Standard Data'!$E$12,IF(D47="N-12",'Standard Data'!$E$13,0))*F47</f>
        <v>#N/A</v>
      </c>
      <c r="Q47" s="20" t="e">
        <f t="shared" si="30"/>
        <v>#N/A</v>
      </c>
      <c r="R47" s="53" t="e">
        <f t="shared" si="31"/>
        <v>#N/A</v>
      </c>
      <c r="S47" s="26" t="e">
        <f>($C47+S$33)*_xlfn.XLOOKUP($A47,'Inputs-Results'!$A$9:$A$35,'Inputs-Results'!$C$9:$C$35)</f>
        <v>#N/A</v>
      </c>
      <c r="T47" s="2" t="e">
        <f>($C47+T$33)*_xlfn.XLOOKUP($A47,'Inputs-Results'!$A$9:$A$35,'Inputs-Results'!$C$9:$C$35)</f>
        <v>#N/A</v>
      </c>
      <c r="U47" s="2" t="e">
        <f>($C47+U$33)*_xlfn.XLOOKUP($A47,'Inputs-Results'!$A$9:$A$35,'Inputs-Results'!$C$9:$C$35)</f>
        <v>#N/A</v>
      </c>
      <c r="V47" s="2" t="e">
        <f>($C47+V$33)*_xlfn.XLOOKUP($A47,'Inputs-Results'!$A$9:$A$35,'Inputs-Results'!$C$9:$C$35)</f>
        <v>#N/A</v>
      </c>
      <c r="W47" s="31" t="e">
        <f>($C47+W$33)*_xlfn.XLOOKUP($A47,'Inputs-Results'!$A$9:$A$35,'Inputs-Results'!$C$9:$C$35)</f>
        <v>#N/A</v>
      </c>
      <c r="X47" s="59" t="e">
        <f>MIN(S47/IF($D47="P-12",'Standard Data'!$D$12,IF($D47="N-12",'Standard Data'!$D$13,0))*COS(ATAN(1/_xlfn.XLOOKUP($A47,'Inputs-Results'!$A$9:$A$35,'Inputs-Results'!$C$9:$C$35))),1)</f>
        <v>#N/A</v>
      </c>
      <c r="Y47" s="11" t="e">
        <f>MIN(T47/IF($D47="P-12",'Standard Data'!$D$12,IF($D47="N-12",'Standard Data'!$D$13,0))*COS(ATAN(1/_xlfn.XLOOKUP($A47,'Inputs-Results'!$A$9:$A$35,'Inputs-Results'!$C$9:$C$35))),1)</f>
        <v>#N/A</v>
      </c>
      <c r="Z47" s="11" t="e">
        <f>MIN(U47/IF($D47="P-12",'Standard Data'!$D$12,IF($D47="N-12",'Standard Data'!$D$13,0))*COS(ATAN(1/_xlfn.XLOOKUP($A47,'Inputs-Results'!$A$9:$A$35,'Inputs-Results'!$C$9:$C$35))),1)</f>
        <v>#N/A</v>
      </c>
      <c r="AA47" s="11" t="e">
        <f>MIN(V47/IF($D47="P-12",'Standard Data'!$D$12,IF($D47="N-12",'Standard Data'!$D$13,0))*COS(ATAN(1/_xlfn.XLOOKUP($A47,'Inputs-Results'!$A$9:$A$35,'Inputs-Results'!$C$9:$C$35))),1)</f>
        <v>#N/A</v>
      </c>
      <c r="AB47" s="60" t="e">
        <f>MIN(W47/IF($D47="P-12",'Standard Data'!$D$12,IF($D47="N-12",'Standard Data'!$D$13,0))*COS(ATAN(1/_xlfn.XLOOKUP($A47,'Inputs-Results'!$A$9:$A$35,'Inputs-Results'!$C$9:$C$35))),1)</f>
        <v>#N/A</v>
      </c>
      <c r="AC47" s="64" t="e">
        <f>(($C47+S$33)+MAX(($C47+S$33)-3.771/_xlfn.XLOOKUP($A47,'Inputs-Results'!$A$9:$A$35,'Inputs-Results'!$C$9:$C$35),0))/2</f>
        <v>#N/A</v>
      </c>
      <c r="AD47" s="54" t="e">
        <f>(($C47+T$33)+MAX(($C47+T$33)-3.771/_xlfn.XLOOKUP($A47,'Inputs-Results'!$A$9:$A$35,'Inputs-Results'!$C$9:$C$35),0))/2</f>
        <v>#N/A</v>
      </c>
      <c r="AE47" s="54" t="e">
        <f>(($C47+U$33)+MAX(($C47+U$33)-3.771/_xlfn.XLOOKUP($A47,'Inputs-Results'!$A$9:$A$35,'Inputs-Results'!$C$9:$C$35),0))/2</f>
        <v>#N/A</v>
      </c>
      <c r="AF47" s="54" t="e">
        <f>(($C47+V$33)+MAX(($C47+V$33)-3.771/_xlfn.XLOOKUP($A47,'Inputs-Results'!$A$9:$A$35,'Inputs-Results'!$C$9:$C$35),0))/2</f>
        <v>#N/A</v>
      </c>
      <c r="AG47" s="65" t="e">
        <f>(($C47+W$33)+MAX(($C47+W$33)-3.771/_xlfn.XLOOKUP($A47,'Inputs-Results'!$A$9:$A$35,'Inputs-Results'!$C$9:$C$35),0))/2</f>
        <v>#N/A</v>
      </c>
      <c r="AH47" s="69" t="e">
        <f>($C47+S$33)/IF($D47="P-12",'Standard Data'!$C$12,IF($D47="N-12",'Standard Data'!$C$13,0))</f>
        <v>#N/A</v>
      </c>
      <c r="AI47" s="55" t="e">
        <f>($C47+T$33)/IF($D47="P-12",'Standard Data'!$C$12,IF($D47="N-12",'Standard Data'!$C$13,0))</f>
        <v>#N/A</v>
      </c>
      <c r="AJ47" s="55" t="e">
        <f>($C47+U$33)/IF($D47="P-12",'Standard Data'!$C$12,IF($D47="N-12",'Standard Data'!$C$13,0))</f>
        <v>#N/A</v>
      </c>
      <c r="AK47" s="55" t="e">
        <f>($C47+V$33)/IF($D47="P-12",'Standard Data'!$C$12,IF($D47="N-12",'Standard Data'!$C$13,0))</f>
        <v>#N/A</v>
      </c>
      <c r="AL47" s="70" t="e">
        <f>($C47+W$33)/IF($D47="P-12",'Standard Data'!$C$12,IF($D47="N-12",'Standard Data'!$C$13,0))</f>
        <v>#N/A</v>
      </c>
      <c r="AM47" s="69" t="e">
        <f t="shared" si="32"/>
        <v>#N/A</v>
      </c>
      <c r="AN47" s="55" t="e">
        <f t="shared" si="33"/>
        <v>#N/A</v>
      </c>
      <c r="AO47" s="55" t="e">
        <f t="shared" si="34"/>
        <v>#N/A</v>
      </c>
      <c r="AP47" s="55" t="e">
        <f t="shared" si="35"/>
        <v>#N/A</v>
      </c>
      <c r="AQ47" s="70" t="e">
        <f t="shared" si="36"/>
        <v>#N/A</v>
      </c>
      <c r="AR47" s="79" t="e">
        <f>AM47*IF($D47="P-12",'Standard Data'!$C$12,IF($D47="N-12",'Standard Data'!$C$13,0))*AC47^1.5</f>
        <v>#N/A</v>
      </c>
      <c r="AS47" s="80" t="e">
        <f>AN47*IF($D47="P-12",'Standard Data'!$C$12,IF($D47="N-12",'Standard Data'!$C$13,0))*AD47^1.5</f>
        <v>#N/A</v>
      </c>
      <c r="AT47" s="80" t="e">
        <f>AO47*IF($D47="P-12",'Standard Data'!$C$12,IF($D47="N-12",'Standard Data'!$C$13,0))*AE47^1.5</f>
        <v>#N/A</v>
      </c>
      <c r="AU47" s="80" t="e">
        <f>AP47*IF($D47="P-12",'Standard Data'!$C$12,IF($D47="N-12",'Standard Data'!$C$13,0))*AF47^1.5</f>
        <v>#N/A</v>
      </c>
      <c r="AV47" s="81" t="e">
        <f>AQ47*IF($D47="P-12",'Standard Data'!$C$12,IF($D47="N-12",'Standard Data'!$C$13,0))*AG47^1.5</f>
        <v>#N/A</v>
      </c>
      <c r="AW47" s="69" t="e">
        <f>X47*2*IF($D47="P-12",'Standard Data'!$D$12,IF($D47="N-12",'Standard Data'!$D$13,0))</f>
        <v>#N/A</v>
      </c>
      <c r="AX47" s="55" t="e">
        <f>Y47*2*IF($D47="P-12",'Standard Data'!$D$12,IF($D47="N-12",'Standard Data'!$D$13,0))</f>
        <v>#N/A</v>
      </c>
      <c r="AY47" s="55" t="e">
        <f>Z47*2*IF($D47="P-12",'Standard Data'!$D$12,IF($D47="N-12",'Standard Data'!$D$13,0))</f>
        <v>#N/A</v>
      </c>
      <c r="AZ47" s="55" t="e">
        <f>AA47*2*IF($D47="P-12",'Standard Data'!$D$12,IF($D47="N-12",'Standard Data'!$D$13,0))</f>
        <v>#N/A</v>
      </c>
      <c r="BA47" s="74" t="e">
        <f>AB47*2*IF($D47="P-12",'Standard Data'!$D$12,IF($D47="N-12",'Standard Data'!$D$13,0))</f>
        <v>#N/A</v>
      </c>
      <c r="BB47" s="69" t="e">
        <f t="shared" si="37"/>
        <v>#N/A</v>
      </c>
      <c r="BC47" s="55" t="e">
        <f t="shared" si="38"/>
        <v>#N/A</v>
      </c>
      <c r="BD47" s="55" t="e">
        <f t="shared" si="39"/>
        <v>#N/A</v>
      </c>
      <c r="BE47" s="55" t="e">
        <f t="shared" si="68"/>
        <v>#N/A</v>
      </c>
      <c r="BF47" s="70" t="e">
        <f t="shared" si="40"/>
        <v>#N/A</v>
      </c>
      <c r="BG47" s="85" t="e">
        <f t="shared" si="41"/>
        <v>#N/A</v>
      </c>
      <c r="BH47" s="19" t="e">
        <f t="shared" si="42"/>
        <v>#N/A</v>
      </c>
      <c r="BI47" s="19" t="e">
        <f t="shared" si="43"/>
        <v>#N/A</v>
      </c>
      <c r="BJ47" s="19" t="e">
        <f t="shared" si="44"/>
        <v>#N/A</v>
      </c>
      <c r="BK47" s="27" t="e">
        <f t="shared" si="45"/>
        <v>#N/A</v>
      </c>
      <c r="BL47" s="89" t="e">
        <f t="shared" si="46"/>
        <v>#N/A</v>
      </c>
      <c r="BM47" s="87" t="e">
        <f t="shared" si="47"/>
        <v>#N/A</v>
      </c>
      <c r="BN47" s="87" t="e">
        <f t="shared" si="48"/>
        <v>#N/A</v>
      </c>
      <c r="BO47" s="87" t="e">
        <f t="shared" si="49"/>
        <v>#N/A</v>
      </c>
      <c r="BP47" s="90" t="e">
        <f t="shared" si="50"/>
        <v>#N/A</v>
      </c>
      <c r="BQ47" s="89" t="e">
        <f t="shared" si="51"/>
        <v>#N/A</v>
      </c>
      <c r="BR47" s="87" t="e">
        <f t="shared" si="52"/>
        <v>#N/A</v>
      </c>
      <c r="BS47" s="87" t="e">
        <f t="shared" si="53"/>
        <v>#N/A</v>
      </c>
      <c r="BT47" s="87" t="e">
        <f t="shared" si="54"/>
        <v>#N/A</v>
      </c>
      <c r="BU47" s="90" t="e">
        <f t="shared" si="55"/>
        <v>#N/A</v>
      </c>
      <c r="BV47" s="85" t="e">
        <f>IF($D47="P-12",'Standard Data'!$B$12,IF($D47="N-12",'Standard Data'!$B$13,0))*IF($D47="P-12",'Standard Data'!$E$12,IF($D47="N-12",'Standard Data'!$E$13,0))*X47</f>
        <v>#N/A</v>
      </c>
      <c r="BW47" s="19" t="e">
        <f>IF($D47="P-12",'Standard Data'!$B$12,IF($D47="N-12",'Standard Data'!$B$13,0))*IF($D47="P-12",'Standard Data'!$E$12,IF($D47="N-12",'Standard Data'!$E$13,0))*Y47</f>
        <v>#N/A</v>
      </c>
      <c r="BX47" s="19" t="e">
        <f>IF($D47="P-12",'Standard Data'!$B$12,IF($D47="N-12",'Standard Data'!$B$13,0))*IF($D47="P-12",'Standard Data'!$E$12,IF($D47="N-12",'Standard Data'!$E$13,0))*Z47</f>
        <v>#N/A</v>
      </c>
      <c r="BY47" s="19" t="e">
        <f>IF($D47="P-12",'Standard Data'!$B$12,IF($D47="N-12",'Standard Data'!$B$13,0))*IF($D47="P-12",'Standard Data'!$E$12,IF($D47="N-12",'Standard Data'!$E$13,0))*AA47</f>
        <v>#N/A</v>
      </c>
      <c r="BZ47" s="27" t="e">
        <f>IF($D47="P-12",'Standard Data'!$B$12,IF($D47="N-12",'Standard Data'!$B$13,0))*IF($D47="P-12",'Standard Data'!$E$12,IF($D47="N-12",'Standard Data'!$E$13,0))*AB47</f>
        <v>#N/A</v>
      </c>
      <c r="CA47" s="89" t="e">
        <f t="shared" si="56"/>
        <v>#N/A</v>
      </c>
      <c r="CB47" s="87" t="e">
        <f t="shared" si="57"/>
        <v>#N/A</v>
      </c>
      <c r="CC47" s="87" t="e">
        <f t="shared" si="58"/>
        <v>#N/A</v>
      </c>
      <c r="CD47" s="87" t="e">
        <f t="shared" si="59"/>
        <v>#N/A</v>
      </c>
      <c r="CE47" s="90" t="e">
        <f t="shared" si="60"/>
        <v>#N/A</v>
      </c>
      <c r="CF47" s="89" t="e">
        <f t="shared" si="61"/>
        <v>#N/A</v>
      </c>
      <c r="CG47" s="87" t="e">
        <f t="shared" si="62"/>
        <v>#N/A</v>
      </c>
      <c r="CH47" s="87" t="e">
        <f t="shared" si="63"/>
        <v>#N/A</v>
      </c>
      <c r="CI47" s="87" t="e">
        <f t="shared" si="64"/>
        <v>#N/A</v>
      </c>
      <c r="CJ47" s="90" t="e">
        <f t="shared" si="65"/>
        <v>#N/A</v>
      </c>
      <c r="CK47" s="101" t="e">
        <f t="shared" si="16"/>
        <v>#N/A</v>
      </c>
      <c r="CL47" s="95" t="e">
        <f t="shared" si="17"/>
        <v>#N/A</v>
      </c>
      <c r="CM47" s="95" t="e">
        <f t="shared" si="18"/>
        <v>#N/A</v>
      </c>
      <c r="CN47" s="95" t="e">
        <f t="shared" si="19"/>
        <v>#N/A</v>
      </c>
      <c r="CO47" s="102" t="e">
        <f t="shared" si="20"/>
        <v>#N/A</v>
      </c>
      <c r="CP47" s="101" t="e">
        <f t="shared" si="66"/>
        <v>#N/A</v>
      </c>
      <c r="CQ47" s="95" t="e">
        <f t="shared" si="21"/>
        <v>#N/A</v>
      </c>
      <c r="CR47" s="95" t="e">
        <f t="shared" si="21"/>
        <v>#N/A</v>
      </c>
      <c r="CS47" s="95" t="e">
        <f t="shared" si="21"/>
        <v>#N/A</v>
      </c>
      <c r="CT47" s="102" t="e">
        <f t="shared" si="21"/>
        <v>#N/A</v>
      </c>
      <c r="CU47" s="98" t="e">
        <f t="shared" si="22"/>
        <v>#N/A</v>
      </c>
      <c r="CV47" s="98" t="e">
        <f t="shared" si="23"/>
        <v>#N/A</v>
      </c>
      <c r="CW47" s="98" t="e">
        <f t="shared" si="67"/>
        <v>#N/A</v>
      </c>
    </row>
    <row r="48" spans="1:101" x14ac:dyDescent="0.25">
      <c r="A48" s="2">
        <f>'Inputs-Results'!A23</f>
        <v>0</v>
      </c>
      <c r="B48" s="18" t="e">
        <f>_xlfn.XLOOKUP(A48,'Ditch Calculations'!$A$34:$A$114,'Ditch Calculations'!$C$34:$C$114)</f>
        <v>#N/A</v>
      </c>
      <c r="C48" s="2" t="e">
        <f t="shared" si="24"/>
        <v>#N/A</v>
      </c>
      <c r="D48" s="2" t="e">
        <f>_xlfn.XLOOKUP(A48,'Inputs-Results'!$A$9:$A$35,'Inputs-Results'!$B$9:$B$35)</f>
        <v>#N/A</v>
      </c>
      <c r="E48" s="2" t="e">
        <f>C48*_xlfn.XLOOKUP(A48,'Inputs-Results'!$A$9:$A$35,'Inputs-Results'!$C$9:$C$35)</f>
        <v>#N/A</v>
      </c>
      <c r="F48" s="11" t="e">
        <f>MIN(E48/IF(D48="P-12",'Standard Data'!$D$12,IF(D48="N-12",'Standard Data'!$D$13,0))*COS(ATAN(1/_xlfn.XLOOKUP(A48,'Inputs-Results'!$A$9:$A$35,'Inputs-Results'!$C$9:$C$35))),1)</f>
        <v>#N/A</v>
      </c>
      <c r="G48" s="18" t="e">
        <f>(C48+MAX(C48-3.771/_xlfn.XLOOKUP(A48,'Inputs-Results'!A$9:A$35,'Inputs-Results'!$C$9:$C$35),0))/2</f>
        <v>#N/A</v>
      </c>
      <c r="H48" s="18" t="e">
        <f>C48/IF(D48="P-12",'Standard Data'!$C$12,IF(D48="N-12",'Standard Data'!$C$13,0))</f>
        <v>#N/A</v>
      </c>
      <c r="I48" s="19" t="e">
        <f t="shared" si="25"/>
        <v>#N/A</v>
      </c>
      <c r="J48" s="20" t="e">
        <f>I48*IF(D48="P-12",'Standard Data'!$C$12,IF(D48="N-12",'Standard Data'!$C$13,0))*G48^1.5</f>
        <v>#N/A</v>
      </c>
      <c r="K48" s="19" t="e">
        <f>F48*2*IF(D48="P-12",'Standard Data'!$D$12,IF(D48="N-12",'Standard Data'!$D$13,0))</f>
        <v>#N/A</v>
      </c>
      <c r="L48" s="19" t="e">
        <f t="shared" si="26"/>
        <v>#N/A</v>
      </c>
      <c r="M48" s="19" t="e">
        <f t="shared" si="27"/>
        <v>#N/A</v>
      </c>
      <c r="N48" s="20" t="e">
        <f t="shared" si="28"/>
        <v>#N/A</v>
      </c>
      <c r="O48" s="20" t="e">
        <f t="shared" si="29"/>
        <v>#N/A</v>
      </c>
      <c r="P48" s="19" t="e">
        <f>IF(D48="P-12",'Standard Data'!$B$12,IF(D48="N-12",'Standard Data'!$B$13,0))*IF(D48="P-12",'Standard Data'!$E$12,IF(D48="N-12",'Standard Data'!$E$13,0))*F48</f>
        <v>#N/A</v>
      </c>
      <c r="Q48" s="20" t="e">
        <f t="shared" si="30"/>
        <v>#N/A</v>
      </c>
      <c r="R48" s="53" t="e">
        <f t="shared" si="31"/>
        <v>#N/A</v>
      </c>
      <c r="S48" s="26" t="e">
        <f>($C48+S$33)*_xlfn.XLOOKUP($A48,'Inputs-Results'!$A$9:$A$35,'Inputs-Results'!$C$9:$C$35)</f>
        <v>#N/A</v>
      </c>
      <c r="T48" s="2" t="e">
        <f>($C48+T$33)*_xlfn.XLOOKUP($A48,'Inputs-Results'!$A$9:$A$35,'Inputs-Results'!$C$9:$C$35)</f>
        <v>#N/A</v>
      </c>
      <c r="U48" s="2" t="e">
        <f>($C48+U$33)*_xlfn.XLOOKUP($A48,'Inputs-Results'!$A$9:$A$35,'Inputs-Results'!$C$9:$C$35)</f>
        <v>#N/A</v>
      </c>
      <c r="V48" s="2" t="e">
        <f>($C48+V$33)*_xlfn.XLOOKUP($A48,'Inputs-Results'!$A$9:$A$35,'Inputs-Results'!$C$9:$C$35)</f>
        <v>#N/A</v>
      </c>
      <c r="W48" s="31" t="e">
        <f>($C48+W$33)*_xlfn.XLOOKUP($A48,'Inputs-Results'!$A$9:$A$35,'Inputs-Results'!$C$9:$C$35)</f>
        <v>#N/A</v>
      </c>
      <c r="X48" s="59" t="e">
        <f>MIN(S48/IF($D48="P-12",'Standard Data'!$D$12,IF($D48="N-12",'Standard Data'!$D$13,0))*COS(ATAN(1/_xlfn.XLOOKUP($A48,'Inputs-Results'!$A$9:$A$35,'Inputs-Results'!$C$9:$C$35))),1)</f>
        <v>#N/A</v>
      </c>
      <c r="Y48" s="11" t="e">
        <f>MIN(T48/IF($D48="P-12",'Standard Data'!$D$12,IF($D48="N-12",'Standard Data'!$D$13,0))*COS(ATAN(1/_xlfn.XLOOKUP($A48,'Inputs-Results'!$A$9:$A$35,'Inputs-Results'!$C$9:$C$35))),1)</f>
        <v>#N/A</v>
      </c>
      <c r="Z48" s="11" t="e">
        <f>MIN(U48/IF($D48="P-12",'Standard Data'!$D$12,IF($D48="N-12",'Standard Data'!$D$13,0))*COS(ATAN(1/_xlfn.XLOOKUP($A48,'Inputs-Results'!$A$9:$A$35,'Inputs-Results'!$C$9:$C$35))),1)</f>
        <v>#N/A</v>
      </c>
      <c r="AA48" s="11" t="e">
        <f>MIN(V48/IF($D48="P-12",'Standard Data'!$D$12,IF($D48="N-12",'Standard Data'!$D$13,0))*COS(ATAN(1/_xlfn.XLOOKUP($A48,'Inputs-Results'!$A$9:$A$35,'Inputs-Results'!$C$9:$C$35))),1)</f>
        <v>#N/A</v>
      </c>
      <c r="AB48" s="60" t="e">
        <f>MIN(W48/IF($D48="P-12",'Standard Data'!$D$12,IF($D48="N-12",'Standard Data'!$D$13,0))*COS(ATAN(1/_xlfn.XLOOKUP($A48,'Inputs-Results'!$A$9:$A$35,'Inputs-Results'!$C$9:$C$35))),1)</f>
        <v>#N/A</v>
      </c>
      <c r="AC48" s="64" t="e">
        <f>(($C48+S$33)+MAX(($C48+S$33)-3.771/_xlfn.XLOOKUP($A48,'Inputs-Results'!$A$9:$A$35,'Inputs-Results'!$C$9:$C$35),0))/2</f>
        <v>#N/A</v>
      </c>
      <c r="AD48" s="54" t="e">
        <f>(($C48+T$33)+MAX(($C48+T$33)-3.771/_xlfn.XLOOKUP($A48,'Inputs-Results'!$A$9:$A$35,'Inputs-Results'!$C$9:$C$35),0))/2</f>
        <v>#N/A</v>
      </c>
      <c r="AE48" s="54" t="e">
        <f>(($C48+U$33)+MAX(($C48+U$33)-3.771/_xlfn.XLOOKUP($A48,'Inputs-Results'!$A$9:$A$35,'Inputs-Results'!$C$9:$C$35),0))/2</f>
        <v>#N/A</v>
      </c>
      <c r="AF48" s="54" t="e">
        <f>(($C48+V$33)+MAX(($C48+V$33)-3.771/_xlfn.XLOOKUP($A48,'Inputs-Results'!$A$9:$A$35,'Inputs-Results'!$C$9:$C$35),0))/2</f>
        <v>#N/A</v>
      </c>
      <c r="AG48" s="65" t="e">
        <f>(($C48+W$33)+MAX(($C48+W$33)-3.771/_xlfn.XLOOKUP($A48,'Inputs-Results'!$A$9:$A$35,'Inputs-Results'!$C$9:$C$35),0))/2</f>
        <v>#N/A</v>
      </c>
      <c r="AH48" s="69" t="e">
        <f>($C48+S$33)/IF($D48="P-12",'Standard Data'!$C$12,IF($D48="N-12",'Standard Data'!$C$13,0))</f>
        <v>#N/A</v>
      </c>
      <c r="AI48" s="55" t="e">
        <f>($C48+T$33)/IF($D48="P-12",'Standard Data'!$C$12,IF($D48="N-12",'Standard Data'!$C$13,0))</f>
        <v>#N/A</v>
      </c>
      <c r="AJ48" s="55" t="e">
        <f>($C48+U$33)/IF($D48="P-12",'Standard Data'!$C$12,IF($D48="N-12",'Standard Data'!$C$13,0))</f>
        <v>#N/A</v>
      </c>
      <c r="AK48" s="55" t="e">
        <f>($C48+V$33)/IF($D48="P-12",'Standard Data'!$C$12,IF($D48="N-12",'Standard Data'!$C$13,0))</f>
        <v>#N/A</v>
      </c>
      <c r="AL48" s="70" t="e">
        <f>($C48+W$33)/IF($D48="P-12",'Standard Data'!$C$12,IF($D48="N-12",'Standard Data'!$C$13,0))</f>
        <v>#N/A</v>
      </c>
      <c r="AM48" s="69" t="e">
        <f t="shared" si="32"/>
        <v>#N/A</v>
      </c>
      <c r="AN48" s="55" t="e">
        <f t="shared" si="33"/>
        <v>#N/A</v>
      </c>
      <c r="AO48" s="55" t="e">
        <f t="shared" si="34"/>
        <v>#N/A</v>
      </c>
      <c r="AP48" s="55" t="e">
        <f t="shared" si="35"/>
        <v>#N/A</v>
      </c>
      <c r="AQ48" s="70" t="e">
        <f t="shared" si="36"/>
        <v>#N/A</v>
      </c>
      <c r="AR48" s="79" t="e">
        <f>AM48*IF($D48="P-12",'Standard Data'!$C$12,IF($D48="N-12",'Standard Data'!$C$13,0))*AC48^1.5</f>
        <v>#N/A</v>
      </c>
      <c r="AS48" s="80" t="e">
        <f>AN48*IF($D48="P-12",'Standard Data'!$C$12,IF($D48="N-12",'Standard Data'!$C$13,0))*AD48^1.5</f>
        <v>#N/A</v>
      </c>
      <c r="AT48" s="80" t="e">
        <f>AO48*IF($D48="P-12",'Standard Data'!$C$12,IF($D48="N-12",'Standard Data'!$C$13,0))*AE48^1.5</f>
        <v>#N/A</v>
      </c>
      <c r="AU48" s="80" t="e">
        <f>AP48*IF($D48="P-12",'Standard Data'!$C$12,IF($D48="N-12",'Standard Data'!$C$13,0))*AF48^1.5</f>
        <v>#N/A</v>
      </c>
      <c r="AV48" s="81" t="e">
        <f>AQ48*IF($D48="P-12",'Standard Data'!$C$12,IF($D48="N-12",'Standard Data'!$C$13,0))*AG48^1.5</f>
        <v>#N/A</v>
      </c>
      <c r="AW48" s="69" t="e">
        <f>X48*2*IF($D48="P-12",'Standard Data'!$D$12,IF($D48="N-12",'Standard Data'!$D$13,0))</f>
        <v>#N/A</v>
      </c>
      <c r="AX48" s="55" t="e">
        <f>Y48*2*IF($D48="P-12",'Standard Data'!$D$12,IF($D48="N-12",'Standard Data'!$D$13,0))</f>
        <v>#N/A</v>
      </c>
      <c r="AY48" s="55" t="e">
        <f>Z48*2*IF($D48="P-12",'Standard Data'!$D$12,IF($D48="N-12",'Standard Data'!$D$13,0))</f>
        <v>#N/A</v>
      </c>
      <c r="AZ48" s="55" t="e">
        <f>AA48*2*IF($D48="P-12",'Standard Data'!$D$12,IF($D48="N-12",'Standard Data'!$D$13,0))</f>
        <v>#N/A</v>
      </c>
      <c r="BA48" s="74" t="e">
        <f>AB48*2*IF($D48="P-12",'Standard Data'!$D$12,IF($D48="N-12",'Standard Data'!$D$13,0))</f>
        <v>#N/A</v>
      </c>
      <c r="BB48" s="69" t="e">
        <f t="shared" si="37"/>
        <v>#N/A</v>
      </c>
      <c r="BC48" s="55" t="e">
        <f t="shared" si="38"/>
        <v>#N/A</v>
      </c>
      <c r="BD48" s="55" t="e">
        <f t="shared" si="39"/>
        <v>#N/A</v>
      </c>
      <c r="BE48" s="55" t="e">
        <f t="shared" si="68"/>
        <v>#N/A</v>
      </c>
      <c r="BF48" s="70" t="e">
        <f t="shared" si="40"/>
        <v>#N/A</v>
      </c>
      <c r="BG48" s="85" t="e">
        <f t="shared" si="41"/>
        <v>#N/A</v>
      </c>
      <c r="BH48" s="19" t="e">
        <f t="shared" si="42"/>
        <v>#N/A</v>
      </c>
      <c r="BI48" s="19" t="e">
        <f t="shared" si="43"/>
        <v>#N/A</v>
      </c>
      <c r="BJ48" s="19" t="e">
        <f t="shared" si="44"/>
        <v>#N/A</v>
      </c>
      <c r="BK48" s="27" t="e">
        <f t="shared" si="45"/>
        <v>#N/A</v>
      </c>
      <c r="BL48" s="89" t="e">
        <f t="shared" si="46"/>
        <v>#N/A</v>
      </c>
      <c r="BM48" s="87" t="e">
        <f t="shared" si="47"/>
        <v>#N/A</v>
      </c>
      <c r="BN48" s="87" t="e">
        <f t="shared" si="48"/>
        <v>#N/A</v>
      </c>
      <c r="BO48" s="87" t="e">
        <f t="shared" si="49"/>
        <v>#N/A</v>
      </c>
      <c r="BP48" s="90" t="e">
        <f t="shared" si="50"/>
        <v>#N/A</v>
      </c>
      <c r="BQ48" s="89" t="e">
        <f t="shared" si="51"/>
        <v>#N/A</v>
      </c>
      <c r="BR48" s="87" t="e">
        <f t="shared" si="52"/>
        <v>#N/A</v>
      </c>
      <c r="BS48" s="87" t="e">
        <f t="shared" si="53"/>
        <v>#N/A</v>
      </c>
      <c r="BT48" s="87" t="e">
        <f t="shared" si="54"/>
        <v>#N/A</v>
      </c>
      <c r="BU48" s="90" t="e">
        <f t="shared" si="55"/>
        <v>#N/A</v>
      </c>
      <c r="BV48" s="85" t="e">
        <f>IF($D48="P-12",'Standard Data'!$B$12,IF($D48="N-12",'Standard Data'!$B$13,0))*IF($D48="P-12",'Standard Data'!$E$12,IF($D48="N-12",'Standard Data'!$E$13,0))*X48</f>
        <v>#N/A</v>
      </c>
      <c r="BW48" s="19" t="e">
        <f>IF($D48="P-12",'Standard Data'!$B$12,IF($D48="N-12",'Standard Data'!$B$13,0))*IF($D48="P-12",'Standard Data'!$E$12,IF($D48="N-12",'Standard Data'!$E$13,0))*Y48</f>
        <v>#N/A</v>
      </c>
      <c r="BX48" s="19" t="e">
        <f>IF($D48="P-12",'Standard Data'!$B$12,IF($D48="N-12",'Standard Data'!$B$13,0))*IF($D48="P-12",'Standard Data'!$E$12,IF($D48="N-12",'Standard Data'!$E$13,0))*Z48</f>
        <v>#N/A</v>
      </c>
      <c r="BY48" s="19" t="e">
        <f>IF($D48="P-12",'Standard Data'!$B$12,IF($D48="N-12",'Standard Data'!$B$13,0))*IF($D48="P-12",'Standard Data'!$E$12,IF($D48="N-12",'Standard Data'!$E$13,0))*AA48</f>
        <v>#N/A</v>
      </c>
      <c r="BZ48" s="27" t="e">
        <f>IF($D48="P-12",'Standard Data'!$B$12,IF($D48="N-12",'Standard Data'!$B$13,0))*IF($D48="P-12",'Standard Data'!$E$12,IF($D48="N-12",'Standard Data'!$E$13,0))*AB48</f>
        <v>#N/A</v>
      </c>
      <c r="CA48" s="89" t="e">
        <f t="shared" si="56"/>
        <v>#N/A</v>
      </c>
      <c r="CB48" s="87" t="e">
        <f t="shared" si="57"/>
        <v>#N/A</v>
      </c>
      <c r="CC48" s="87" t="e">
        <f t="shared" si="58"/>
        <v>#N/A</v>
      </c>
      <c r="CD48" s="87" t="e">
        <f t="shared" si="59"/>
        <v>#N/A</v>
      </c>
      <c r="CE48" s="90" t="e">
        <f t="shared" si="60"/>
        <v>#N/A</v>
      </c>
      <c r="CF48" s="89" t="e">
        <f t="shared" si="61"/>
        <v>#N/A</v>
      </c>
      <c r="CG48" s="87" t="e">
        <f t="shared" si="62"/>
        <v>#N/A</v>
      </c>
      <c r="CH48" s="87" t="e">
        <f t="shared" si="63"/>
        <v>#N/A</v>
      </c>
      <c r="CI48" s="87" t="e">
        <f t="shared" si="64"/>
        <v>#N/A</v>
      </c>
      <c r="CJ48" s="90" t="e">
        <f t="shared" si="65"/>
        <v>#N/A</v>
      </c>
      <c r="CK48" s="101" t="e">
        <f t="shared" si="16"/>
        <v>#N/A</v>
      </c>
      <c r="CL48" s="95" t="e">
        <f t="shared" si="17"/>
        <v>#N/A</v>
      </c>
      <c r="CM48" s="95" t="e">
        <f t="shared" si="18"/>
        <v>#N/A</v>
      </c>
      <c r="CN48" s="95" t="e">
        <f t="shared" si="19"/>
        <v>#N/A</v>
      </c>
      <c r="CO48" s="102" t="e">
        <f t="shared" si="20"/>
        <v>#N/A</v>
      </c>
      <c r="CP48" s="101" t="e">
        <f t="shared" si="66"/>
        <v>#N/A</v>
      </c>
      <c r="CQ48" s="95" t="e">
        <f t="shared" si="21"/>
        <v>#N/A</v>
      </c>
      <c r="CR48" s="95" t="e">
        <f t="shared" si="21"/>
        <v>#N/A</v>
      </c>
      <c r="CS48" s="95" t="e">
        <f t="shared" si="21"/>
        <v>#N/A</v>
      </c>
      <c r="CT48" s="102" t="e">
        <f t="shared" si="21"/>
        <v>#N/A</v>
      </c>
      <c r="CU48" s="98" t="e">
        <f t="shared" si="22"/>
        <v>#N/A</v>
      </c>
      <c r="CV48" s="98" t="e">
        <f t="shared" si="23"/>
        <v>#N/A</v>
      </c>
      <c r="CW48" s="98" t="e">
        <f t="shared" si="67"/>
        <v>#N/A</v>
      </c>
    </row>
    <row r="49" spans="1:101" x14ac:dyDescent="0.25">
      <c r="A49" s="2">
        <f>'Inputs-Results'!A24</f>
        <v>0</v>
      </c>
      <c r="B49" s="18" t="e">
        <f>_xlfn.XLOOKUP(A49,'Ditch Calculations'!$A$34:$A$114,'Ditch Calculations'!$C$34:$C$114)</f>
        <v>#N/A</v>
      </c>
      <c r="C49" s="2" t="e">
        <f t="shared" si="24"/>
        <v>#N/A</v>
      </c>
      <c r="D49" s="2" t="e">
        <f>_xlfn.XLOOKUP(A49,'Inputs-Results'!$A$9:$A$35,'Inputs-Results'!$B$9:$B$35)</f>
        <v>#N/A</v>
      </c>
      <c r="E49" s="2" t="e">
        <f>C49*_xlfn.XLOOKUP(A49,'Inputs-Results'!$A$9:$A$35,'Inputs-Results'!$C$9:$C$35)</f>
        <v>#N/A</v>
      </c>
      <c r="F49" s="11" t="e">
        <f>MIN(E49/IF(D49="P-12",'Standard Data'!$D$12,IF(D49="N-12",'Standard Data'!$D$13,0))*COS(ATAN(1/_xlfn.XLOOKUP(A49,'Inputs-Results'!$A$9:$A$35,'Inputs-Results'!$C$9:$C$35))),1)</f>
        <v>#N/A</v>
      </c>
      <c r="G49" s="18" t="e">
        <f>(C49+MAX(C49-3.771/_xlfn.XLOOKUP(A49,'Inputs-Results'!A$9:A$35,'Inputs-Results'!$C$9:$C$35),0))/2</f>
        <v>#N/A</v>
      </c>
      <c r="H49" s="18" t="e">
        <f>C49/IF(D49="P-12",'Standard Data'!$C$12,IF(D49="N-12",'Standard Data'!$C$13,0))</f>
        <v>#N/A</v>
      </c>
      <c r="I49" s="19" t="e">
        <f t="shared" si="25"/>
        <v>#N/A</v>
      </c>
      <c r="J49" s="20" t="e">
        <f>I49*IF(D49="P-12",'Standard Data'!$C$12,IF(D49="N-12",'Standard Data'!$C$13,0))*G49^1.5</f>
        <v>#N/A</v>
      </c>
      <c r="K49" s="19" t="e">
        <f>F49*2*IF(D49="P-12",'Standard Data'!$D$12,IF(D49="N-12",'Standard Data'!$D$13,0))</f>
        <v>#N/A</v>
      </c>
      <c r="L49" s="19" t="e">
        <f t="shared" si="26"/>
        <v>#N/A</v>
      </c>
      <c r="M49" s="19" t="e">
        <f t="shared" si="27"/>
        <v>#N/A</v>
      </c>
      <c r="N49" s="20" t="e">
        <f t="shared" si="28"/>
        <v>#N/A</v>
      </c>
      <c r="O49" s="20" t="e">
        <f t="shared" si="29"/>
        <v>#N/A</v>
      </c>
      <c r="P49" s="19" t="e">
        <f>IF(D49="P-12",'Standard Data'!$B$12,IF(D49="N-12",'Standard Data'!$B$13,0))*IF(D49="P-12",'Standard Data'!$E$12,IF(D49="N-12",'Standard Data'!$E$13,0))*F49</f>
        <v>#N/A</v>
      </c>
      <c r="Q49" s="20" t="e">
        <f t="shared" si="30"/>
        <v>#N/A</v>
      </c>
      <c r="R49" s="53" t="e">
        <f t="shared" si="31"/>
        <v>#N/A</v>
      </c>
      <c r="S49" s="26" t="e">
        <f>($C49+S$33)*_xlfn.XLOOKUP($A49,'Inputs-Results'!$A$9:$A$35,'Inputs-Results'!$C$9:$C$35)</f>
        <v>#N/A</v>
      </c>
      <c r="T49" s="2" t="e">
        <f>($C49+T$33)*_xlfn.XLOOKUP($A49,'Inputs-Results'!$A$9:$A$35,'Inputs-Results'!$C$9:$C$35)</f>
        <v>#N/A</v>
      </c>
      <c r="U49" s="2" t="e">
        <f>($C49+U$33)*_xlfn.XLOOKUP($A49,'Inputs-Results'!$A$9:$A$35,'Inputs-Results'!$C$9:$C$35)</f>
        <v>#N/A</v>
      </c>
      <c r="V49" s="2" t="e">
        <f>($C49+V$33)*_xlfn.XLOOKUP($A49,'Inputs-Results'!$A$9:$A$35,'Inputs-Results'!$C$9:$C$35)</f>
        <v>#N/A</v>
      </c>
      <c r="W49" s="31" t="e">
        <f>($C49+W$33)*_xlfn.XLOOKUP($A49,'Inputs-Results'!$A$9:$A$35,'Inputs-Results'!$C$9:$C$35)</f>
        <v>#N/A</v>
      </c>
      <c r="X49" s="59" t="e">
        <f>MIN(S49/IF($D49="P-12",'Standard Data'!$D$12,IF($D49="N-12",'Standard Data'!$D$13,0))*COS(ATAN(1/_xlfn.XLOOKUP($A49,'Inputs-Results'!$A$9:$A$35,'Inputs-Results'!$C$9:$C$35))),1)</f>
        <v>#N/A</v>
      </c>
      <c r="Y49" s="11" t="e">
        <f>MIN(T49/IF($D49="P-12",'Standard Data'!$D$12,IF($D49="N-12",'Standard Data'!$D$13,0))*COS(ATAN(1/_xlfn.XLOOKUP($A49,'Inputs-Results'!$A$9:$A$35,'Inputs-Results'!$C$9:$C$35))),1)</f>
        <v>#N/A</v>
      </c>
      <c r="Z49" s="11" t="e">
        <f>MIN(U49/IF($D49="P-12",'Standard Data'!$D$12,IF($D49="N-12",'Standard Data'!$D$13,0))*COS(ATAN(1/_xlfn.XLOOKUP($A49,'Inputs-Results'!$A$9:$A$35,'Inputs-Results'!$C$9:$C$35))),1)</f>
        <v>#N/A</v>
      </c>
      <c r="AA49" s="11" t="e">
        <f>MIN(V49/IF($D49="P-12",'Standard Data'!$D$12,IF($D49="N-12",'Standard Data'!$D$13,0))*COS(ATAN(1/_xlfn.XLOOKUP($A49,'Inputs-Results'!$A$9:$A$35,'Inputs-Results'!$C$9:$C$35))),1)</f>
        <v>#N/A</v>
      </c>
      <c r="AB49" s="60" t="e">
        <f>MIN(W49/IF($D49="P-12",'Standard Data'!$D$12,IF($D49="N-12",'Standard Data'!$D$13,0))*COS(ATAN(1/_xlfn.XLOOKUP($A49,'Inputs-Results'!$A$9:$A$35,'Inputs-Results'!$C$9:$C$35))),1)</f>
        <v>#N/A</v>
      </c>
      <c r="AC49" s="64" t="e">
        <f>(($C49+S$33)+MAX(($C49+S$33)-3.771/_xlfn.XLOOKUP($A49,'Inputs-Results'!$A$9:$A$35,'Inputs-Results'!$C$9:$C$35),0))/2</f>
        <v>#N/A</v>
      </c>
      <c r="AD49" s="54" t="e">
        <f>(($C49+T$33)+MAX(($C49+T$33)-3.771/_xlfn.XLOOKUP($A49,'Inputs-Results'!$A$9:$A$35,'Inputs-Results'!$C$9:$C$35),0))/2</f>
        <v>#N/A</v>
      </c>
      <c r="AE49" s="54" t="e">
        <f>(($C49+U$33)+MAX(($C49+U$33)-3.771/_xlfn.XLOOKUP($A49,'Inputs-Results'!$A$9:$A$35,'Inputs-Results'!$C$9:$C$35),0))/2</f>
        <v>#N/A</v>
      </c>
      <c r="AF49" s="54" t="e">
        <f>(($C49+V$33)+MAX(($C49+V$33)-3.771/_xlfn.XLOOKUP($A49,'Inputs-Results'!$A$9:$A$35,'Inputs-Results'!$C$9:$C$35),0))/2</f>
        <v>#N/A</v>
      </c>
      <c r="AG49" s="65" t="e">
        <f>(($C49+W$33)+MAX(($C49+W$33)-3.771/_xlfn.XLOOKUP($A49,'Inputs-Results'!$A$9:$A$35,'Inputs-Results'!$C$9:$C$35),0))/2</f>
        <v>#N/A</v>
      </c>
      <c r="AH49" s="69" t="e">
        <f>($C49+S$33)/IF($D49="P-12",'Standard Data'!$C$12,IF($D49="N-12",'Standard Data'!$C$13,0))</f>
        <v>#N/A</v>
      </c>
      <c r="AI49" s="55" t="e">
        <f>($C49+T$33)/IF($D49="P-12",'Standard Data'!$C$12,IF($D49="N-12",'Standard Data'!$C$13,0))</f>
        <v>#N/A</v>
      </c>
      <c r="AJ49" s="55" t="e">
        <f>($C49+U$33)/IF($D49="P-12",'Standard Data'!$C$12,IF($D49="N-12",'Standard Data'!$C$13,0))</f>
        <v>#N/A</v>
      </c>
      <c r="AK49" s="55" t="e">
        <f>($C49+V$33)/IF($D49="P-12",'Standard Data'!$C$12,IF($D49="N-12",'Standard Data'!$C$13,0))</f>
        <v>#N/A</v>
      </c>
      <c r="AL49" s="70" t="e">
        <f>($C49+W$33)/IF($D49="P-12",'Standard Data'!$C$12,IF($D49="N-12",'Standard Data'!$C$13,0))</f>
        <v>#N/A</v>
      </c>
      <c r="AM49" s="69" t="e">
        <f t="shared" si="32"/>
        <v>#N/A</v>
      </c>
      <c r="AN49" s="55" t="e">
        <f t="shared" si="33"/>
        <v>#N/A</v>
      </c>
      <c r="AO49" s="55" t="e">
        <f t="shared" si="34"/>
        <v>#N/A</v>
      </c>
      <c r="AP49" s="55" t="e">
        <f t="shared" si="35"/>
        <v>#N/A</v>
      </c>
      <c r="AQ49" s="70" t="e">
        <f t="shared" si="36"/>
        <v>#N/A</v>
      </c>
      <c r="AR49" s="79" t="e">
        <f>AM49*IF($D49="P-12",'Standard Data'!$C$12,IF($D49="N-12",'Standard Data'!$C$13,0))*AC49^1.5</f>
        <v>#N/A</v>
      </c>
      <c r="AS49" s="80" t="e">
        <f>AN49*IF($D49="P-12",'Standard Data'!$C$12,IF($D49="N-12",'Standard Data'!$C$13,0))*AD49^1.5</f>
        <v>#N/A</v>
      </c>
      <c r="AT49" s="80" t="e">
        <f>AO49*IF($D49="P-12",'Standard Data'!$C$12,IF($D49="N-12",'Standard Data'!$C$13,0))*AE49^1.5</f>
        <v>#N/A</v>
      </c>
      <c r="AU49" s="80" t="e">
        <f>AP49*IF($D49="P-12",'Standard Data'!$C$12,IF($D49="N-12",'Standard Data'!$C$13,0))*AF49^1.5</f>
        <v>#N/A</v>
      </c>
      <c r="AV49" s="81" t="e">
        <f>AQ49*IF($D49="P-12",'Standard Data'!$C$12,IF($D49="N-12",'Standard Data'!$C$13,0))*AG49^1.5</f>
        <v>#N/A</v>
      </c>
      <c r="AW49" s="69" t="e">
        <f>X49*2*IF($D49="P-12",'Standard Data'!$D$12,IF($D49="N-12",'Standard Data'!$D$13,0))</f>
        <v>#N/A</v>
      </c>
      <c r="AX49" s="55" t="e">
        <f>Y49*2*IF($D49="P-12",'Standard Data'!$D$12,IF($D49="N-12",'Standard Data'!$D$13,0))</f>
        <v>#N/A</v>
      </c>
      <c r="AY49" s="55" t="e">
        <f>Z49*2*IF($D49="P-12",'Standard Data'!$D$12,IF($D49="N-12",'Standard Data'!$D$13,0))</f>
        <v>#N/A</v>
      </c>
      <c r="AZ49" s="55" t="e">
        <f>AA49*2*IF($D49="P-12",'Standard Data'!$D$12,IF($D49="N-12",'Standard Data'!$D$13,0))</f>
        <v>#N/A</v>
      </c>
      <c r="BA49" s="74" t="e">
        <f>AB49*2*IF($D49="P-12",'Standard Data'!$D$12,IF($D49="N-12",'Standard Data'!$D$13,0))</f>
        <v>#N/A</v>
      </c>
      <c r="BB49" s="69" t="e">
        <f t="shared" si="37"/>
        <v>#N/A</v>
      </c>
      <c r="BC49" s="55" t="e">
        <f t="shared" si="38"/>
        <v>#N/A</v>
      </c>
      <c r="BD49" s="55" t="e">
        <f t="shared" si="39"/>
        <v>#N/A</v>
      </c>
      <c r="BE49" s="55" t="e">
        <f t="shared" si="68"/>
        <v>#N/A</v>
      </c>
      <c r="BF49" s="70" t="e">
        <f t="shared" si="40"/>
        <v>#N/A</v>
      </c>
      <c r="BG49" s="85" t="e">
        <f t="shared" si="41"/>
        <v>#N/A</v>
      </c>
      <c r="BH49" s="19" t="e">
        <f t="shared" si="42"/>
        <v>#N/A</v>
      </c>
      <c r="BI49" s="19" t="e">
        <f t="shared" si="43"/>
        <v>#N/A</v>
      </c>
      <c r="BJ49" s="19" t="e">
        <f t="shared" si="44"/>
        <v>#N/A</v>
      </c>
      <c r="BK49" s="27" t="e">
        <f t="shared" si="45"/>
        <v>#N/A</v>
      </c>
      <c r="BL49" s="89" t="e">
        <f t="shared" si="46"/>
        <v>#N/A</v>
      </c>
      <c r="BM49" s="87" t="e">
        <f t="shared" si="47"/>
        <v>#N/A</v>
      </c>
      <c r="BN49" s="87" t="e">
        <f t="shared" si="48"/>
        <v>#N/A</v>
      </c>
      <c r="BO49" s="87" t="e">
        <f t="shared" si="49"/>
        <v>#N/A</v>
      </c>
      <c r="BP49" s="90" t="e">
        <f t="shared" si="50"/>
        <v>#N/A</v>
      </c>
      <c r="BQ49" s="89" t="e">
        <f t="shared" si="51"/>
        <v>#N/A</v>
      </c>
      <c r="BR49" s="87" t="e">
        <f t="shared" si="52"/>
        <v>#N/A</v>
      </c>
      <c r="BS49" s="87" t="e">
        <f t="shared" si="53"/>
        <v>#N/A</v>
      </c>
      <c r="BT49" s="87" t="e">
        <f t="shared" si="54"/>
        <v>#N/A</v>
      </c>
      <c r="BU49" s="90" t="e">
        <f t="shared" si="55"/>
        <v>#N/A</v>
      </c>
      <c r="BV49" s="85" t="e">
        <f>IF($D49="P-12",'Standard Data'!$B$12,IF($D49="N-12",'Standard Data'!$B$13,0))*IF($D49="P-12",'Standard Data'!$E$12,IF($D49="N-12",'Standard Data'!$E$13,0))*X49</f>
        <v>#N/A</v>
      </c>
      <c r="BW49" s="19" t="e">
        <f>IF($D49="P-12",'Standard Data'!$B$12,IF($D49="N-12",'Standard Data'!$B$13,0))*IF($D49="P-12",'Standard Data'!$E$12,IF($D49="N-12",'Standard Data'!$E$13,0))*Y49</f>
        <v>#N/A</v>
      </c>
      <c r="BX49" s="19" t="e">
        <f>IF($D49="P-12",'Standard Data'!$B$12,IF($D49="N-12",'Standard Data'!$B$13,0))*IF($D49="P-12",'Standard Data'!$E$12,IF($D49="N-12",'Standard Data'!$E$13,0))*Z49</f>
        <v>#N/A</v>
      </c>
      <c r="BY49" s="19" t="e">
        <f>IF($D49="P-12",'Standard Data'!$B$12,IF($D49="N-12",'Standard Data'!$B$13,0))*IF($D49="P-12",'Standard Data'!$E$12,IF($D49="N-12",'Standard Data'!$E$13,0))*AA49</f>
        <v>#N/A</v>
      </c>
      <c r="BZ49" s="27" t="e">
        <f>IF($D49="P-12",'Standard Data'!$B$12,IF($D49="N-12",'Standard Data'!$B$13,0))*IF($D49="P-12",'Standard Data'!$E$12,IF($D49="N-12",'Standard Data'!$E$13,0))*AB49</f>
        <v>#N/A</v>
      </c>
      <c r="CA49" s="89" t="e">
        <f t="shared" si="56"/>
        <v>#N/A</v>
      </c>
      <c r="CB49" s="87" t="e">
        <f t="shared" si="57"/>
        <v>#N/A</v>
      </c>
      <c r="CC49" s="87" t="e">
        <f t="shared" si="58"/>
        <v>#N/A</v>
      </c>
      <c r="CD49" s="87" t="e">
        <f t="shared" si="59"/>
        <v>#N/A</v>
      </c>
      <c r="CE49" s="90" t="e">
        <f t="shared" si="60"/>
        <v>#N/A</v>
      </c>
      <c r="CF49" s="89" t="e">
        <f t="shared" si="61"/>
        <v>#N/A</v>
      </c>
      <c r="CG49" s="87" t="e">
        <f t="shared" si="62"/>
        <v>#N/A</v>
      </c>
      <c r="CH49" s="87" t="e">
        <f t="shared" si="63"/>
        <v>#N/A</v>
      </c>
      <c r="CI49" s="87" t="e">
        <f t="shared" si="64"/>
        <v>#N/A</v>
      </c>
      <c r="CJ49" s="90" t="e">
        <f t="shared" si="65"/>
        <v>#N/A</v>
      </c>
      <c r="CK49" s="101" t="e">
        <f t="shared" si="16"/>
        <v>#N/A</v>
      </c>
      <c r="CL49" s="95" t="e">
        <f t="shared" si="17"/>
        <v>#N/A</v>
      </c>
      <c r="CM49" s="95" t="e">
        <f t="shared" si="18"/>
        <v>#N/A</v>
      </c>
      <c r="CN49" s="95" t="e">
        <f t="shared" si="19"/>
        <v>#N/A</v>
      </c>
      <c r="CO49" s="102" t="e">
        <f t="shared" si="20"/>
        <v>#N/A</v>
      </c>
      <c r="CP49" s="101" t="e">
        <f t="shared" si="66"/>
        <v>#N/A</v>
      </c>
      <c r="CQ49" s="95" t="e">
        <f t="shared" si="21"/>
        <v>#N/A</v>
      </c>
      <c r="CR49" s="95" t="e">
        <f t="shared" si="21"/>
        <v>#N/A</v>
      </c>
      <c r="CS49" s="95" t="e">
        <f t="shared" si="21"/>
        <v>#N/A</v>
      </c>
      <c r="CT49" s="102" t="e">
        <f t="shared" si="21"/>
        <v>#N/A</v>
      </c>
      <c r="CU49" s="98" t="e">
        <f t="shared" si="22"/>
        <v>#N/A</v>
      </c>
      <c r="CV49" s="98" t="e">
        <f t="shared" si="23"/>
        <v>#N/A</v>
      </c>
      <c r="CW49" s="98" t="e">
        <f t="shared" si="67"/>
        <v>#N/A</v>
      </c>
    </row>
    <row r="50" spans="1:101" x14ac:dyDescent="0.25">
      <c r="A50" s="2">
        <f>'Inputs-Results'!A25</f>
        <v>0</v>
      </c>
      <c r="B50" s="18" t="e">
        <f>_xlfn.XLOOKUP(A50,'Ditch Calculations'!$A$34:$A$114,'Ditch Calculations'!$C$34:$C$114)</f>
        <v>#N/A</v>
      </c>
      <c r="C50" s="2" t="e">
        <f t="shared" si="24"/>
        <v>#N/A</v>
      </c>
      <c r="D50" s="2" t="e">
        <f>_xlfn.XLOOKUP(A50,'Inputs-Results'!$A$9:$A$35,'Inputs-Results'!$B$9:$B$35)</f>
        <v>#N/A</v>
      </c>
      <c r="E50" s="2" t="e">
        <f>C50*_xlfn.XLOOKUP(A50,'Inputs-Results'!$A$9:$A$35,'Inputs-Results'!$C$9:$C$35)</f>
        <v>#N/A</v>
      </c>
      <c r="F50" s="11" t="e">
        <f>MIN(E50/IF(D50="P-12",'Standard Data'!$D$12,IF(D50="N-12",'Standard Data'!$D$13,0))*COS(ATAN(1/_xlfn.XLOOKUP(A50,'Inputs-Results'!$A$9:$A$35,'Inputs-Results'!$C$9:$C$35))),1)</f>
        <v>#N/A</v>
      </c>
      <c r="G50" s="18" t="e">
        <f>(C50+MAX(C50-3.771/_xlfn.XLOOKUP(A50,'Inputs-Results'!A$9:A$35,'Inputs-Results'!$C$9:$C$35),0))/2</f>
        <v>#N/A</v>
      </c>
      <c r="H50" s="18" t="e">
        <f>C50/IF(D50="P-12",'Standard Data'!$C$12,IF(D50="N-12",'Standard Data'!$C$13,0))</f>
        <v>#N/A</v>
      </c>
      <c r="I50" s="19" t="e">
        <f t="shared" si="25"/>
        <v>#N/A</v>
      </c>
      <c r="J50" s="20" t="e">
        <f>I50*IF(D50="P-12",'Standard Data'!$C$12,IF(D50="N-12",'Standard Data'!$C$13,0))*G50^1.5</f>
        <v>#N/A</v>
      </c>
      <c r="K50" s="19" t="e">
        <f>F50*2*IF(D50="P-12",'Standard Data'!$D$12,IF(D50="N-12",'Standard Data'!$D$13,0))</f>
        <v>#N/A</v>
      </c>
      <c r="L50" s="19" t="e">
        <f t="shared" si="26"/>
        <v>#N/A</v>
      </c>
      <c r="M50" s="19" t="e">
        <f t="shared" si="27"/>
        <v>#N/A</v>
      </c>
      <c r="N50" s="20" t="e">
        <f t="shared" si="28"/>
        <v>#N/A</v>
      </c>
      <c r="O50" s="20" t="e">
        <f t="shared" si="29"/>
        <v>#N/A</v>
      </c>
      <c r="P50" s="19" t="e">
        <f>IF(D50="P-12",'Standard Data'!$B$12,IF(D50="N-12",'Standard Data'!$B$13,0))*IF(D50="P-12",'Standard Data'!$E$12,IF(D50="N-12",'Standard Data'!$E$13,0))*F50</f>
        <v>#N/A</v>
      </c>
      <c r="Q50" s="20" t="e">
        <f t="shared" si="30"/>
        <v>#N/A</v>
      </c>
      <c r="R50" s="53" t="e">
        <f t="shared" si="31"/>
        <v>#N/A</v>
      </c>
      <c r="S50" s="26" t="e">
        <f>($C50+S$33)*_xlfn.XLOOKUP($A50,'Inputs-Results'!$A$9:$A$35,'Inputs-Results'!$C$9:$C$35)</f>
        <v>#N/A</v>
      </c>
      <c r="T50" s="2" t="e">
        <f>($C50+T$33)*_xlfn.XLOOKUP($A50,'Inputs-Results'!$A$9:$A$35,'Inputs-Results'!$C$9:$C$35)</f>
        <v>#N/A</v>
      </c>
      <c r="U50" s="2" t="e">
        <f>($C50+U$33)*_xlfn.XLOOKUP($A50,'Inputs-Results'!$A$9:$A$35,'Inputs-Results'!$C$9:$C$35)</f>
        <v>#N/A</v>
      </c>
      <c r="V50" s="2" t="e">
        <f>($C50+V$33)*_xlfn.XLOOKUP($A50,'Inputs-Results'!$A$9:$A$35,'Inputs-Results'!$C$9:$C$35)</f>
        <v>#N/A</v>
      </c>
      <c r="W50" s="31" t="e">
        <f>($C50+W$33)*_xlfn.XLOOKUP($A50,'Inputs-Results'!$A$9:$A$35,'Inputs-Results'!$C$9:$C$35)</f>
        <v>#N/A</v>
      </c>
      <c r="X50" s="59" t="e">
        <f>MIN(S50/IF($D50="P-12",'Standard Data'!$D$12,IF($D50="N-12",'Standard Data'!$D$13,0))*COS(ATAN(1/_xlfn.XLOOKUP($A50,'Inputs-Results'!$A$9:$A$35,'Inputs-Results'!$C$9:$C$35))),1)</f>
        <v>#N/A</v>
      </c>
      <c r="Y50" s="11" t="e">
        <f>MIN(T50/IF($D50="P-12",'Standard Data'!$D$12,IF($D50="N-12",'Standard Data'!$D$13,0))*COS(ATAN(1/_xlfn.XLOOKUP($A50,'Inputs-Results'!$A$9:$A$35,'Inputs-Results'!$C$9:$C$35))),1)</f>
        <v>#N/A</v>
      </c>
      <c r="Z50" s="11" t="e">
        <f>MIN(U50/IF($D50="P-12",'Standard Data'!$D$12,IF($D50="N-12",'Standard Data'!$D$13,0))*COS(ATAN(1/_xlfn.XLOOKUP($A50,'Inputs-Results'!$A$9:$A$35,'Inputs-Results'!$C$9:$C$35))),1)</f>
        <v>#N/A</v>
      </c>
      <c r="AA50" s="11" t="e">
        <f>MIN(V50/IF($D50="P-12",'Standard Data'!$D$12,IF($D50="N-12",'Standard Data'!$D$13,0))*COS(ATAN(1/_xlfn.XLOOKUP($A50,'Inputs-Results'!$A$9:$A$35,'Inputs-Results'!$C$9:$C$35))),1)</f>
        <v>#N/A</v>
      </c>
      <c r="AB50" s="60" t="e">
        <f>MIN(W50/IF($D50="P-12",'Standard Data'!$D$12,IF($D50="N-12",'Standard Data'!$D$13,0))*COS(ATAN(1/_xlfn.XLOOKUP($A50,'Inputs-Results'!$A$9:$A$35,'Inputs-Results'!$C$9:$C$35))),1)</f>
        <v>#N/A</v>
      </c>
      <c r="AC50" s="64" t="e">
        <f>(($C50+S$33)+MAX(($C50+S$33)-3.771/_xlfn.XLOOKUP($A50,'Inputs-Results'!$A$9:$A$35,'Inputs-Results'!$C$9:$C$35),0))/2</f>
        <v>#N/A</v>
      </c>
      <c r="AD50" s="54" t="e">
        <f>(($C50+T$33)+MAX(($C50+T$33)-3.771/_xlfn.XLOOKUP($A50,'Inputs-Results'!$A$9:$A$35,'Inputs-Results'!$C$9:$C$35),0))/2</f>
        <v>#N/A</v>
      </c>
      <c r="AE50" s="54" t="e">
        <f>(($C50+U$33)+MAX(($C50+U$33)-3.771/_xlfn.XLOOKUP($A50,'Inputs-Results'!$A$9:$A$35,'Inputs-Results'!$C$9:$C$35),0))/2</f>
        <v>#N/A</v>
      </c>
      <c r="AF50" s="54" t="e">
        <f>(($C50+V$33)+MAX(($C50+V$33)-3.771/_xlfn.XLOOKUP($A50,'Inputs-Results'!$A$9:$A$35,'Inputs-Results'!$C$9:$C$35),0))/2</f>
        <v>#N/A</v>
      </c>
      <c r="AG50" s="65" t="e">
        <f>(($C50+W$33)+MAX(($C50+W$33)-3.771/_xlfn.XLOOKUP($A50,'Inputs-Results'!$A$9:$A$35,'Inputs-Results'!$C$9:$C$35),0))/2</f>
        <v>#N/A</v>
      </c>
      <c r="AH50" s="69" t="e">
        <f>($C50+S$33)/IF($D50="P-12",'Standard Data'!$C$12,IF($D50="N-12",'Standard Data'!$C$13,0))</f>
        <v>#N/A</v>
      </c>
      <c r="AI50" s="55" t="e">
        <f>($C50+T$33)/IF($D50="P-12",'Standard Data'!$C$12,IF($D50="N-12",'Standard Data'!$C$13,0))</f>
        <v>#N/A</v>
      </c>
      <c r="AJ50" s="55" t="e">
        <f>($C50+U$33)/IF($D50="P-12",'Standard Data'!$C$12,IF($D50="N-12",'Standard Data'!$C$13,0))</f>
        <v>#N/A</v>
      </c>
      <c r="AK50" s="55" t="e">
        <f>($C50+V$33)/IF($D50="P-12",'Standard Data'!$C$12,IF($D50="N-12",'Standard Data'!$C$13,0))</f>
        <v>#N/A</v>
      </c>
      <c r="AL50" s="70" t="e">
        <f>($C50+W$33)/IF($D50="P-12",'Standard Data'!$C$12,IF($D50="N-12",'Standard Data'!$C$13,0))</f>
        <v>#N/A</v>
      </c>
      <c r="AM50" s="69" t="e">
        <f t="shared" si="32"/>
        <v>#N/A</v>
      </c>
      <c r="AN50" s="55" t="e">
        <f t="shared" si="33"/>
        <v>#N/A</v>
      </c>
      <c r="AO50" s="55" t="e">
        <f t="shared" si="34"/>
        <v>#N/A</v>
      </c>
      <c r="AP50" s="55" t="e">
        <f t="shared" si="35"/>
        <v>#N/A</v>
      </c>
      <c r="AQ50" s="70" t="e">
        <f t="shared" si="36"/>
        <v>#N/A</v>
      </c>
      <c r="AR50" s="79" t="e">
        <f>AM50*IF($D50="P-12",'Standard Data'!$C$12,IF($D50="N-12",'Standard Data'!$C$13,0))*AC50^1.5</f>
        <v>#N/A</v>
      </c>
      <c r="AS50" s="80" t="e">
        <f>AN50*IF($D50="P-12",'Standard Data'!$C$12,IF($D50="N-12",'Standard Data'!$C$13,0))*AD50^1.5</f>
        <v>#N/A</v>
      </c>
      <c r="AT50" s="80" t="e">
        <f>AO50*IF($D50="P-12",'Standard Data'!$C$12,IF($D50="N-12",'Standard Data'!$C$13,0))*AE50^1.5</f>
        <v>#N/A</v>
      </c>
      <c r="AU50" s="80" t="e">
        <f>AP50*IF($D50="P-12",'Standard Data'!$C$12,IF($D50="N-12",'Standard Data'!$C$13,0))*AF50^1.5</f>
        <v>#N/A</v>
      </c>
      <c r="AV50" s="81" t="e">
        <f>AQ50*IF($D50="P-12",'Standard Data'!$C$12,IF($D50="N-12",'Standard Data'!$C$13,0))*AG50^1.5</f>
        <v>#N/A</v>
      </c>
      <c r="AW50" s="69" t="e">
        <f>X50*2*IF($D50="P-12",'Standard Data'!$D$12,IF($D50="N-12",'Standard Data'!$D$13,0))</f>
        <v>#N/A</v>
      </c>
      <c r="AX50" s="55" t="e">
        <f>Y50*2*IF($D50="P-12",'Standard Data'!$D$12,IF($D50="N-12",'Standard Data'!$D$13,0))</f>
        <v>#N/A</v>
      </c>
      <c r="AY50" s="55" t="e">
        <f>Z50*2*IF($D50="P-12",'Standard Data'!$D$12,IF($D50="N-12",'Standard Data'!$D$13,0))</f>
        <v>#N/A</v>
      </c>
      <c r="AZ50" s="55" t="e">
        <f>AA50*2*IF($D50="P-12",'Standard Data'!$D$12,IF($D50="N-12",'Standard Data'!$D$13,0))</f>
        <v>#N/A</v>
      </c>
      <c r="BA50" s="74" t="e">
        <f>AB50*2*IF($D50="P-12",'Standard Data'!$D$12,IF($D50="N-12",'Standard Data'!$D$13,0))</f>
        <v>#N/A</v>
      </c>
      <c r="BB50" s="69" t="e">
        <f t="shared" si="37"/>
        <v>#N/A</v>
      </c>
      <c r="BC50" s="55" t="e">
        <f t="shared" si="38"/>
        <v>#N/A</v>
      </c>
      <c r="BD50" s="55" t="e">
        <f t="shared" si="39"/>
        <v>#N/A</v>
      </c>
      <c r="BE50" s="55" t="e">
        <f t="shared" si="68"/>
        <v>#N/A</v>
      </c>
      <c r="BF50" s="70" t="e">
        <f t="shared" si="40"/>
        <v>#N/A</v>
      </c>
      <c r="BG50" s="85" t="e">
        <f t="shared" si="41"/>
        <v>#N/A</v>
      </c>
      <c r="BH50" s="19" t="e">
        <f t="shared" si="42"/>
        <v>#N/A</v>
      </c>
      <c r="BI50" s="19" t="e">
        <f t="shared" si="43"/>
        <v>#N/A</v>
      </c>
      <c r="BJ50" s="19" t="e">
        <f t="shared" si="44"/>
        <v>#N/A</v>
      </c>
      <c r="BK50" s="27" t="e">
        <f t="shared" si="45"/>
        <v>#N/A</v>
      </c>
      <c r="BL50" s="89" t="e">
        <f t="shared" si="46"/>
        <v>#N/A</v>
      </c>
      <c r="BM50" s="87" t="e">
        <f t="shared" si="47"/>
        <v>#N/A</v>
      </c>
      <c r="BN50" s="87" t="e">
        <f t="shared" si="48"/>
        <v>#N/A</v>
      </c>
      <c r="BO50" s="87" t="e">
        <f t="shared" si="49"/>
        <v>#N/A</v>
      </c>
      <c r="BP50" s="90" t="e">
        <f t="shared" si="50"/>
        <v>#N/A</v>
      </c>
      <c r="BQ50" s="89" t="e">
        <f t="shared" si="51"/>
        <v>#N/A</v>
      </c>
      <c r="BR50" s="87" t="e">
        <f t="shared" si="52"/>
        <v>#N/A</v>
      </c>
      <c r="BS50" s="87" t="e">
        <f t="shared" si="53"/>
        <v>#N/A</v>
      </c>
      <c r="BT50" s="87" t="e">
        <f t="shared" si="54"/>
        <v>#N/A</v>
      </c>
      <c r="BU50" s="90" t="e">
        <f t="shared" si="55"/>
        <v>#N/A</v>
      </c>
      <c r="BV50" s="85" t="e">
        <f>IF($D50="P-12",'Standard Data'!$B$12,IF($D50="N-12",'Standard Data'!$B$13,0))*IF($D50="P-12",'Standard Data'!$E$12,IF($D50="N-12",'Standard Data'!$E$13,0))*X50</f>
        <v>#N/A</v>
      </c>
      <c r="BW50" s="19" t="e">
        <f>IF($D50="P-12",'Standard Data'!$B$12,IF($D50="N-12",'Standard Data'!$B$13,0))*IF($D50="P-12",'Standard Data'!$E$12,IF($D50="N-12",'Standard Data'!$E$13,0))*Y50</f>
        <v>#N/A</v>
      </c>
      <c r="BX50" s="19" t="e">
        <f>IF($D50="P-12",'Standard Data'!$B$12,IF($D50="N-12",'Standard Data'!$B$13,0))*IF($D50="P-12",'Standard Data'!$E$12,IF($D50="N-12",'Standard Data'!$E$13,0))*Z50</f>
        <v>#N/A</v>
      </c>
      <c r="BY50" s="19" t="e">
        <f>IF($D50="P-12",'Standard Data'!$B$12,IF($D50="N-12",'Standard Data'!$B$13,0))*IF($D50="P-12",'Standard Data'!$E$12,IF($D50="N-12",'Standard Data'!$E$13,0))*AA50</f>
        <v>#N/A</v>
      </c>
      <c r="BZ50" s="27" t="e">
        <f>IF($D50="P-12",'Standard Data'!$B$12,IF($D50="N-12",'Standard Data'!$B$13,0))*IF($D50="P-12",'Standard Data'!$E$12,IF($D50="N-12",'Standard Data'!$E$13,0))*AB50</f>
        <v>#N/A</v>
      </c>
      <c r="CA50" s="89" t="e">
        <f t="shared" si="56"/>
        <v>#N/A</v>
      </c>
      <c r="CB50" s="87" t="e">
        <f t="shared" si="57"/>
        <v>#N/A</v>
      </c>
      <c r="CC50" s="87" t="e">
        <f t="shared" si="58"/>
        <v>#N/A</v>
      </c>
      <c r="CD50" s="87" t="e">
        <f t="shared" si="59"/>
        <v>#N/A</v>
      </c>
      <c r="CE50" s="90" t="e">
        <f t="shared" si="60"/>
        <v>#N/A</v>
      </c>
      <c r="CF50" s="89" t="e">
        <f t="shared" si="61"/>
        <v>#N/A</v>
      </c>
      <c r="CG50" s="87" t="e">
        <f t="shared" si="62"/>
        <v>#N/A</v>
      </c>
      <c r="CH50" s="87" t="e">
        <f t="shared" si="63"/>
        <v>#N/A</v>
      </c>
      <c r="CI50" s="87" t="e">
        <f t="shared" si="64"/>
        <v>#N/A</v>
      </c>
      <c r="CJ50" s="90" t="e">
        <f t="shared" si="65"/>
        <v>#N/A</v>
      </c>
      <c r="CK50" s="101" t="e">
        <f t="shared" si="16"/>
        <v>#N/A</v>
      </c>
      <c r="CL50" s="95" t="e">
        <f t="shared" si="17"/>
        <v>#N/A</v>
      </c>
      <c r="CM50" s="95" t="e">
        <f t="shared" si="18"/>
        <v>#N/A</v>
      </c>
      <c r="CN50" s="95" t="e">
        <f t="shared" si="19"/>
        <v>#N/A</v>
      </c>
      <c r="CO50" s="102" t="e">
        <f t="shared" si="20"/>
        <v>#N/A</v>
      </c>
      <c r="CP50" s="101" t="e">
        <f t="shared" si="66"/>
        <v>#N/A</v>
      </c>
      <c r="CQ50" s="95" t="e">
        <f t="shared" ref="CQ50:CQ60" si="69">CG50+CL50</f>
        <v>#N/A</v>
      </c>
      <c r="CR50" s="95" t="e">
        <f t="shared" ref="CR50:CR60" si="70">CH50+CM50</f>
        <v>#N/A</v>
      </c>
      <c r="CS50" s="95" t="e">
        <f t="shared" ref="CS50:CS60" si="71">CI50+CN50</f>
        <v>#N/A</v>
      </c>
      <c r="CT50" s="102" t="e">
        <f t="shared" ref="CT50:CT60" si="72">CJ50+CO50</f>
        <v>#N/A</v>
      </c>
      <c r="CU50" s="98" t="e">
        <f t="shared" si="22"/>
        <v>#N/A</v>
      </c>
      <c r="CV50" s="98" t="e">
        <f t="shared" si="23"/>
        <v>#N/A</v>
      </c>
      <c r="CW50" s="98" t="e">
        <f t="shared" si="67"/>
        <v>#N/A</v>
      </c>
    </row>
    <row r="51" spans="1:101" x14ac:dyDescent="0.25">
      <c r="A51" s="2">
        <f>'Inputs-Results'!A26</f>
        <v>0</v>
      </c>
      <c r="B51" s="18" t="e">
        <f>_xlfn.XLOOKUP(A51,'Ditch Calculations'!$A$34:$A$114,'Ditch Calculations'!$C$34:$C$114)</f>
        <v>#N/A</v>
      </c>
      <c r="C51" s="2" t="e">
        <f t="shared" si="24"/>
        <v>#N/A</v>
      </c>
      <c r="D51" s="2" t="e">
        <f>_xlfn.XLOOKUP(A51,'Inputs-Results'!$A$9:$A$35,'Inputs-Results'!$B$9:$B$35)</f>
        <v>#N/A</v>
      </c>
      <c r="E51" s="2" t="e">
        <f>C51*_xlfn.XLOOKUP(A51,'Inputs-Results'!$A$9:$A$35,'Inputs-Results'!$C$9:$C$35)</f>
        <v>#N/A</v>
      </c>
      <c r="F51" s="11" t="e">
        <f>MIN(E51/IF(D51="P-12",'Standard Data'!$D$12,IF(D51="N-12",'Standard Data'!$D$13,0))*COS(ATAN(1/_xlfn.XLOOKUP(A51,'Inputs-Results'!$A$9:$A$35,'Inputs-Results'!$C$9:$C$35))),1)</f>
        <v>#N/A</v>
      </c>
      <c r="G51" s="18" t="e">
        <f>(C51+MAX(C51-3.771/_xlfn.XLOOKUP(A51,'Inputs-Results'!A$9:A$35,'Inputs-Results'!$C$9:$C$35),0))/2</f>
        <v>#N/A</v>
      </c>
      <c r="H51" s="18" t="e">
        <f>C51/IF(D51="P-12",'Standard Data'!$C$12,IF(D51="N-12",'Standard Data'!$C$13,0))</f>
        <v>#N/A</v>
      </c>
      <c r="I51" s="19" t="e">
        <f t="shared" si="25"/>
        <v>#N/A</v>
      </c>
      <c r="J51" s="20" t="e">
        <f>I51*IF(D51="P-12",'Standard Data'!$C$12,IF(D51="N-12",'Standard Data'!$C$13,0))*G51^1.5</f>
        <v>#N/A</v>
      </c>
      <c r="K51" s="19" t="e">
        <f>F51*2*IF(D51="P-12",'Standard Data'!$D$12,IF(D51="N-12",'Standard Data'!$D$13,0))</f>
        <v>#N/A</v>
      </c>
      <c r="L51" s="19" t="e">
        <f t="shared" si="26"/>
        <v>#N/A</v>
      </c>
      <c r="M51" s="19" t="e">
        <f t="shared" si="27"/>
        <v>#N/A</v>
      </c>
      <c r="N51" s="20" t="e">
        <f t="shared" si="28"/>
        <v>#N/A</v>
      </c>
      <c r="O51" s="20" t="e">
        <f t="shared" si="29"/>
        <v>#N/A</v>
      </c>
      <c r="P51" s="19" t="e">
        <f>IF(D51="P-12",'Standard Data'!$B$12,IF(D51="N-12",'Standard Data'!$B$13,0))*IF(D51="P-12",'Standard Data'!$E$12,IF(D51="N-12",'Standard Data'!$E$13,0))*F51</f>
        <v>#N/A</v>
      </c>
      <c r="Q51" s="20" t="e">
        <f t="shared" si="30"/>
        <v>#N/A</v>
      </c>
      <c r="R51" s="53" t="e">
        <f t="shared" si="31"/>
        <v>#N/A</v>
      </c>
      <c r="S51" s="26" t="e">
        <f>($C51+S$33)*_xlfn.XLOOKUP($A51,'Inputs-Results'!$A$9:$A$35,'Inputs-Results'!$C$9:$C$35)</f>
        <v>#N/A</v>
      </c>
      <c r="T51" s="2" t="e">
        <f>($C51+T$33)*_xlfn.XLOOKUP($A51,'Inputs-Results'!$A$9:$A$35,'Inputs-Results'!$C$9:$C$35)</f>
        <v>#N/A</v>
      </c>
      <c r="U51" s="2" t="e">
        <f>($C51+U$33)*_xlfn.XLOOKUP($A51,'Inputs-Results'!$A$9:$A$35,'Inputs-Results'!$C$9:$C$35)</f>
        <v>#N/A</v>
      </c>
      <c r="V51" s="2" t="e">
        <f>($C51+V$33)*_xlfn.XLOOKUP($A51,'Inputs-Results'!$A$9:$A$35,'Inputs-Results'!$C$9:$C$35)</f>
        <v>#N/A</v>
      </c>
      <c r="W51" s="31" t="e">
        <f>($C51+W$33)*_xlfn.XLOOKUP($A51,'Inputs-Results'!$A$9:$A$35,'Inputs-Results'!$C$9:$C$35)</f>
        <v>#N/A</v>
      </c>
      <c r="X51" s="59" t="e">
        <f>MIN(S51/IF($D51="P-12",'Standard Data'!$D$12,IF($D51="N-12",'Standard Data'!$D$13,0))*COS(ATAN(1/_xlfn.XLOOKUP($A51,'Inputs-Results'!$A$9:$A$35,'Inputs-Results'!$C$9:$C$35))),1)</f>
        <v>#N/A</v>
      </c>
      <c r="Y51" s="11" t="e">
        <f>MIN(T51/IF($D51="P-12",'Standard Data'!$D$12,IF($D51="N-12",'Standard Data'!$D$13,0))*COS(ATAN(1/_xlfn.XLOOKUP($A51,'Inputs-Results'!$A$9:$A$35,'Inputs-Results'!$C$9:$C$35))),1)</f>
        <v>#N/A</v>
      </c>
      <c r="Z51" s="11" t="e">
        <f>MIN(U51/IF($D51="P-12",'Standard Data'!$D$12,IF($D51="N-12",'Standard Data'!$D$13,0))*COS(ATAN(1/_xlfn.XLOOKUP($A51,'Inputs-Results'!$A$9:$A$35,'Inputs-Results'!$C$9:$C$35))),1)</f>
        <v>#N/A</v>
      </c>
      <c r="AA51" s="11" t="e">
        <f>MIN(V51/IF($D51="P-12",'Standard Data'!$D$12,IF($D51="N-12",'Standard Data'!$D$13,0))*COS(ATAN(1/_xlfn.XLOOKUP($A51,'Inputs-Results'!$A$9:$A$35,'Inputs-Results'!$C$9:$C$35))),1)</f>
        <v>#N/A</v>
      </c>
      <c r="AB51" s="60" t="e">
        <f>MIN(W51/IF($D51="P-12",'Standard Data'!$D$12,IF($D51="N-12",'Standard Data'!$D$13,0))*COS(ATAN(1/_xlfn.XLOOKUP($A51,'Inputs-Results'!$A$9:$A$35,'Inputs-Results'!$C$9:$C$35))),1)</f>
        <v>#N/A</v>
      </c>
      <c r="AC51" s="64" t="e">
        <f>(($C51+S$33)+MAX(($C51+S$33)-3.771/_xlfn.XLOOKUP($A51,'Inputs-Results'!$A$9:$A$35,'Inputs-Results'!$C$9:$C$35),0))/2</f>
        <v>#N/A</v>
      </c>
      <c r="AD51" s="54" t="e">
        <f>(($C51+T$33)+MAX(($C51+T$33)-3.771/_xlfn.XLOOKUP($A51,'Inputs-Results'!$A$9:$A$35,'Inputs-Results'!$C$9:$C$35),0))/2</f>
        <v>#N/A</v>
      </c>
      <c r="AE51" s="54" t="e">
        <f>(($C51+U$33)+MAX(($C51+U$33)-3.771/_xlfn.XLOOKUP($A51,'Inputs-Results'!$A$9:$A$35,'Inputs-Results'!$C$9:$C$35),0))/2</f>
        <v>#N/A</v>
      </c>
      <c r="AF51" s="54" t="e">
        <f>(($C51+V$33)+MAX(($C51+V$33)-3.771/_xlfn.XLOOKUP($A51,'Inputs-Results'!$A$9:$A$35,'Inputs-Results'!$C$9:$C$35),0))/2</f>
        <v>#N/A</v>
      </c>
      <c r="AG51" s="65" t="e">
        <f>(($C51+W$33)+MAX(($C51+W$33)-3.771/_xlfn.XLOOKUP($A51,'Inputs-Results'!$A$9:$A$35,'Inputs-Results'!$C$9:$C$35),0))/2</f>
        <v>#N/A</v>
      </c>
      <c r="AH51" s="69" t="e">
        <f>($C51+S$33)/IF($D51="P-12",'Standard Data'!$C$12,IF($D51="N-12",'Standard Data'!$C$13,0))</f>
        <v>#N/A</v>
      </c>
      <c r="AI51" s="55" t="e">
        <f>($C51+T$33)/IF($D51="P-12",'Standard Data'!$C$12,IF($D51="N-12",'Standard Data'!$C$13,0))</f>
        <v>#N/A</v>
      </c>
      <c r="AJ51" s="55" t="e">
        <f>($C51+U$33)/IF($D51="P-12",'Standard Data'!$C$12,IF($D51="N-12",'Standard Data'!$C$13,0))</f>
        <v>#N/A</v>
      </c>
      <c r="AK51" s="55" t="e">
        <f>($C51+V$33)/IF($D51="P-12",'Standard Data'!$C$12,IF($D51="N-12",'Standard Data'!$C$13,0))</f>
        <v>#N/A</v>
      </c>
      <c r="AL51" s="70" t="e">
        <f>($C51+W$33)/IF($D51="P-12",'Standard Data'!$C$12,IF($D51="N-12",'Standard Data'!$C$13,0))</f>
        <v>#N/A</v>
      </c>
      <c r="AM51" s="69" t="e">
        <f t="shared" si="32"/>
        <v>#N/A</v>
      </c>
      <c r="AN51" s="55" t="e">
        <f t="shared" si="33"/>
        <v>#N/A</v>
      </c>
      <c r="AO51" s="55" t="e">
        <f t="shared" si="34"/>
        <v>#N/A</v>
      </c>
      <c r="AP51" s="55" t="e">
        <f t="shared" si="35"/>
        <v>#N/A</v>
      </c>
      <c r="AQ51" s="70" t="e">
        <f t="shared" si="36"/>
        <v>#N/A</v>
      </c>
      <c r="AR51" s="79" t="e">
        <f>AM51*IF($D51="P-12",'Standard Data'!$C$12,IF($D51="N-12",'Standard Data'!$C$13,0))*AC51^1.5</f>
        <v>#N/A</v>
      </c>
      <c r="AS51" s="80" t="e">
        <f>AN51*IF($D51="P-12",'Standard Data'!$C$12,IF($D51="N-12",'Standard Data'!$C$13,0))*AD51^1.5</f>
        <v>#N/A</v>
      </c>
      <c r="AT51" s="80" t="e">
        <f>AO51*IF($D51="P-12",'Standard Data'!$C$12,IF($D51="N-12",'Standard Data'!$C$13,0))*AE51^1.5</f>
        <v>#N/A</v>
      </c>
      <c r="AU51" s="80" t="e">
        <f>AP51*IF($D51="P-12",'Standard Data'!$C$12,IF($D51="N-12",'Standard Data'!$C$13,0))*AF51^1.5</f>
        <v>#N/A</v>
      </c>
      <c r="AV51" s="81" t="e">
        <f>AQ51*IF($D51="P-12",'Standard Data'!$C$12,IF($D51="N-12",'Standard Data'!$C$13,0))*AG51^1.5</f>
        <v>#N/A</v>
      </c>
      <c r="AW51" s="69" t="e">
        <f>X51*2*IF($D51="P-12",'Standard Data'!$D$12,IF($D51="N-12",'Standard Data'!$D$13,0))</f>
        <v>#N/A</v>
      </c>
      <c r="AX51" s="55" t="e">
        <f>Y51*2*IF($D51="P-12",'Standard Data'!$D$12,IF($D51="N-12",'Standard Data'!$D$13,0))</f>
        <v>#N/A</v>
      </c>
      <c r="AY51" s="55" t="e">
        <f>Z51*2*IF($D51="P-12",'Standard Data'!$D$12,IF($D51="N-12",'Standard Data'!$D$13,0))</f>
        <v>#N/A</v>
      </c>
      <c r="AZ51" s="55" t="e">
        <f>AA51*2*IF($D51="P-12",'Standard Data'!$D$12,IF($D51="N-12",'Standard Data'!$D$13,0))</f>
        <v>#N/A</v>
      </c>
      <c r="BA51" s="74" t="e">
        <f>AB51*2*IF($D51="P-12",'Standard Data'!$D$12,IF($D51="N-12",'Standard Data'!$D$13,0))</f>
        <v>#N/A</v>
      </c>
      <c r="BB51" s="69" t="e">
        <f t="shared" si="37"/>
        <v>#N/A</v>
      </c>
      <c r="BC51" s="55" t="e">
        <f t="shared" si="38"/>
        <v>#N/A</v>
      </c>
      <c r="BD51" s="55" t="e">
        <f t="shared" si="39"/>
        <v>#N/A</v>
      </c>
      <c r="BE51" s="55" t="e">
        <f t="shared" si="68"/>
        <v>#N/A</v>
      </c>
      <c r="BF51" s="70" t="e">
        <f t="shared" si="40"/>
        <v>#N/A</v>
      </c>
      <c r="BG51" s="85" t="e">
        <f t="shared" si="41"/>
        <v>#N/A</v>
      </c>
      <c r="BH51" s="19" t="e">
        <f t="shared" si="42"/>
        <v>#N/A</v>
      </c>
      <c r="BI51" s="19" t="e">
        <f t="shared" si="43"/>
        <v>#N/A</v>
      </c>
      <c r="BJ51" s="19" t="e">
        <f t="shared" si="44"/>
        <v>#N/A</v>
      </c>
      <c r="BK51" s="27" t="e">
        <f t="shared" si="45"/>
        <v>#N/A</v>
      </c>
      <c r="BL51" s="89" t="e">
        <f t="shared" si="46"/>
        <v>#N/A</v>
      </c>
      <c r="BM51" s="87" t="e">
        <f t="shared" si="47"/>
        <v>#N/A</v>
      </c>
      <c r="BN51" s="87" t="e">
        <f t="shared" si="48"/>
        <v>#N/A</v>
      </c>
      <c r="BO51" s="87" t="e">
        <f t="shared" si="49"/>
        <v>#N/A</v>
      </c>
      <c r="BP51" s="90" t="e">
        <f t="shared" si="50"/>
        <v>#N/A</v>
      </c>
      <c r="BQ51" s="89" t="e">
        <f t="shared" si="51"/>
        <v>#N/A</v>
      </c>
      <c r="BR51" s="87" t="e">
        <f t="shared" si="52"/>
        <v>#N/A</v>
      </c>
      <c r="BS51" s="87" t="e">
        <f t="shared" si="53"/>
        <v>#N/A</v>
      </c>
      <c r="BT51" s="87" t="e">
        <f t="shared" si="54"/>
        <v>#N/A</v>
      </c>
      <c r="BU51" s="90" t="e">
        <f t="shared" si="55"/>
        <v>#N/A</v>
      </c>
      <c r="BV51" s="85" t="e">
        <f>IF($D51="P-12",'Standard Data'!$B$12,IF($D51="N-12",'Standard Data'!$B$13,0))*IF($D51="P-12",'Standard Data'!$E$12,IF($D51="N-12",'Standard Data'!$E$13,0))*X51</f>
        <v>#N/A</v>
      </c>
      <c r="BW51" s="19" t="e">
        <f>IF($D51="P-12",'Standard Data'!$B$12,IF($D51="N-12",'Standard Data'!$B$13,0))*IF($D51="P-12",'Standard Data'!$E$12,IF($D51="N-12",'Standard Data'!$E$13,0))*Y51</f>
        <v>#N/A</v>
      </c>
      <c r="BX51" s="19" t="e">
        <f>IF($D51="P-12",'Standard Data'!$B$12,IF($D51="N-12",'Standard Data'!$B$13,0))*IF($D51="P-12",'Standard Data'!$E$12,IF($D51="N-12",'Standard Data'!$E$13,0))*Z51</f>
        <v>#N/A</v>
      </c>
      <c r="BY51" s="19" t="e">
        <f>IF($D51="P-12",'Standard Data'!$B$12,IF($D51="N-12",'Standard Data'!$B$13,0))*IF($D51="P-12",'Standard Data'!$E$12,IF($D51="N-12",'Standard Data'!$E$13,0))*AA51</f>
        <v>#N/A</v>
      </c>
      <c r="BZ51" s="27" t="e">
        <f>IF($D51="P-12",'Standard Data'!$B$12,IF($D51="N-12",'Standard Data'!$B$13,0))*IF($D51="P-12",'Standard Data'!$E$12,IF($D51="N-12",'Standard Data'!$E$13,0))*AB51</f>
        <v>#N/A</v>
      </c>
      <c r="CA51" s="89" t="e">
        <f t="shared" si="56"/>
        <v>#N/A</v>
      </c>
      <c r="CB51" s="87" t="e">
        <f t="shared" si="57"/>
        <v>#N/A</v>
      </c>
      <c r="CC51" s="87" t="e">
        <f t="shared" si="58"/>
        <v>#N/A</v>
      </c>
      <c r="CD51" s="87" t="e">
        <f t="shared" si="59"/>
        <v>#N/A</v>
      </c>
      <c r="CE51" s="90" t="e">
        <f t="shared" si="60"/>
        <v>#N/A</v>
      </c>
      <c r="CF51" s="89" t="e">
        <f t="shared" si="61"/>
        <v>#N/A</v>
      </c>
      <c r="CG51" s="87" t="e">
        <f t="shared" si="62"/>
        <v>#N/A</v>
      </c>
      <c r="CH51" s="87" t="e">
        <f t="shared" si="63"/>
        <v>#N/A</v>
      </c>
      <c r="CI51" s="87" t="e">
        <f t="shared" si="64"/>
        <v>#N/A</v>
      </c>
      <c r="CJ51" s="90" t="e">
        <f t="shared" si="65"/>
        <v>#N/A</v>
      </c>
      <c r="CK51" s="101" t="e">
        <f t="shared" si="16"/>
        <v>#N/A</v>
      </c>
      <c r="CL51" s="95" t="e">
        <f t="shared" si="17"/>
        <v>#N/A</v>
      </c>
      <c r="CM51" s="95" t="e">
        <f t="shared" si="18"/>
        <v>#N/A</v>
      </c>
      <c r="CN51" s="95" t="e">
        <f t="shared" si="19"/>
        <v>#N/A</v>
      </c>
      <c r="CO51" s="102" t="e">
        <f t="shared" si="20"/>
        <v>#N/A</v>
      </c>
      <c r="CP51" s="101" t="e">
        <f t="shared" si="66"/>
        <v>#N/A</v>
      </c>
      <c r="CQ51" s="95" t="e">
        <f t="shared" si="69"/>
        <v>#N/A</v>
      </c>
      <c r="CR51" s="95" t="e">
        <f t="shared" si="70"/>
        <v>#N/A</v>
      </c>
      <c r="CS51" s="95" t="e">
        <f t="shared" si="71"/>
        <v>#N/A</v>
      </c>
      <c r="CT51" s="102" t="e">
        <f t="shared" si="72"/>
        <v>#N/A</v>
      </c>
      <c r="CU51" s="98" t="e">
        <f t="shared" si="22"/>
        <v>#N/A</v>
      </c>
      <c r="CV51" s="98" t="e">
        <f t="shared" si="23"/>
        <v>#N/A</v>
      </c>
      <c r="CW51" s="98" t="e">
        <f t="shared" si="67"/>
        <v>#N/A</v>
      </c>
    </row>
    <row r="52" spans="1:101" x14ac:dyDescent="0.25">
      <c r="A52" s="2">
        <f>'Inputs-Results'!A27</f>
        <v>0</v>
      </c>
      <c r="B52" s="18" t="e">
        <f>_xlfn.XLOOKUP(A52,'Ditch Calculations'!$A$34:$A$114,'Ditch Calculations'!$C$34:$C$114)</f>
        <v>#N/A</v>
      </c>
      <c r="C52" s="2" t="e">
        <f t="shared" si="24"/>
        <v>#N/A</v>
      </c>
      <c r="D52" s="2" t="e">
        <f>_xlfn.XLOOKUP(A52,'Inputs-Results'!$A$9:$A$35,'Inputs-Results'!$B$9:$B$35)</f>
        <v>#N/A</v>
      </c>
      <c r="E52" s="2" t="e">
        <f>C52*_xlfn.XLOOKUP(A52,'Inputs-Results'!$A$9:$A$35,'Inputs-Results'!$C$9:$C$35)</f>
        <v>#N/A</v>
      </c>
      <c r="F52" s="11" t="e">
        <f>MIN(E52/IF(D52="P-12",'Standard Data'!$D$12,IF(D52="N-12",'Standard Data'!$D$13,0))*COS(ATAN(1/_xlfn.XLOOKUP(A52,'Inputs-Results'!$A$9:$A$35,'Inputs-Results'!$C$9:$C$35))),1)</f>
        <v>#N/A</v>
      </c>
      <c r="G52" s="18" t="e">
        <f>(C52+MAX(C52-3.771/_xlfn.XLOOKUP(A52,'Inputs-Results'!A$9:A$35,'Inputs-Results'!$C$9:$C$35),0))/2</f>
        <v>#N/A</v>
      </c>
      <c r="H52" s="18" t="e">
        <f>C52/IF(D52="P-12",'Standard Data'!$C$12,IF(D52="N-12",'Standard Data'!$C$13,0))</f>
        <v>#N/A</v>
      </c>
      <c r="I52" s="19" t="e">
        <f t="shared" si="25"/>
        <v>#N/A</v>
      </c>
      <c r="J52" s="20" t="e">
        <f>I52*IF(D52="P-12",'Standard Data'!$C$12,IF(D52="N-12",'Standard Data'!$C$13,0))*G52^1.5</f>
        <v>#N/A</v>
      </c>
      <c r="K52" s="19" t="e">
        <f>F52*2*IF(D52="P-12",'Standard Data'!$D$12,IF(D52="N-12",'Standard Data'!$D$13,0))</f>
        <v>#N/A</v>
      </c>
      <c r="L52" s="19" t="e">
        <f t="shared" si="26"/>
        <v>#N/A</v>
      </c>
      <c r="M52" s="19" t="e">
        <f t="shared" si="27"/>
        <v>#N/A</v>
      </c>
      <c r="N52" s="20" t="e">
        <f t="shared" si="28"/>
        <v>#N/A</v>
      </c>
      <c r="O52" s="20" t="e">
        <f t="shared" si="29"/>
        <v>#N/A</v>
      </c>
      <c r="P52" s="19" t="e">
        <f>IF(D52="P-12",'Standard Data'!$B$12,IF(D52="N-12",'Standard Data'!$B$13,0))*IF(D52="P-12",'Standard Data'!$E$12,IF(D52="N-12",'Standard Data'!$E$13,0))*F52</f>
        <v>#N/A</v>
      </c>
      <c r="Q52" s="20" t="e">
        <f t="shared" si="30"/>
        <v>#N/A</v>
      </c>
      <c r="R52" s="53" t="e">
        <f t="shared" si="31"/>
        <v>#N/A</v>
      </c>
      <c r="S52" s="26" t="e">
        <f>($C52+S$33)*_xlfn.XLOOKUP($A52,'Inputs-Results'!$A$9:$A$35,'Inputs-Results'!$C$9:$C$35)</f>
        <v>#N/A</v>
      </c>
      <c r="T52" s="2" t="e">
        <f>($C52+T$33)*_xlfn.XLOOKUP($A52,'Inputs-Results'!$A$9:$A$35,'Inputs-Results'!$C$9:$C$35)</f>
        <v>#N/A</v>
      </c>
      <c r="U52" s="2" t="e">
        <f>($C52+U$33)*_xlfn.XLOOKUP($A52,'Inputs-Results'!$A$9:$A$35,'Inputs-Results'!$C$9:$C$35)</f>
        <v>#N/A</v>
      </c>
      <c r="V52" s="2" t="e">
        <f>($C52+V$33)*_xlfn.XLOOKUP($A52,'Inputs-Results'!$A$9:$A$35,'Inputs-Results'!$C$9:$C$35)</f>
        <v>#N/A</v>
      </c>
      <c r="W52" s="31" t="e">
        <f>($C52+W$33)*_xlfn.XLOOKUP($A52,'Inputs-Results'!$A$9:$A$35,'Inputs-Results'!$C$9:$C$35)</f>
        <v>#N/A</v>
      </c>
      <c r="X52" s="59" t="e">
        <f>MIN(S52/IF($D52="P-12",'Standard Data'!$D$12,IF($D52="N-12",'Standard Data'!$D$13,0))*COS(ATAN(1/_xlfn.XLOOKUP($A52,'Inputs-Results'!$A$9:$A$35,'Inputs-Results'!$C$9:$C$35))),1)</f>
        <v>#N/A</v>
      </c>
      <c r="Y52" s="11" t="e">
        <f>MIN(T52/IF($D52="P-12",'Standard Data'!$D$12,IF($D52="N-12",'Standard Data'!$D$13,0))*COS(ATAN(1/_xlfn.XLOOKUP($A52,'Inputs-Results'!$A$9:$A$35,'Inputs-Results'!$C$9:$C$35))),1)</f>
        <v>#N/A</v>
      </c>
      <c r="Z52" s="11" t="e">
        <f>MIN(U52/IF($D52="P-12",'Standard Data'!$D$12,IF($D52="N-12",'Standard Data'!$D$13,0))*COS(ATAN(1/_xlfn.XLOOKUP($A52,'Inputs-Results'!$A$9:$A$35,'Inputs-Results'!$C$9:$C$35))),1)</f>
        <v>#N/A</v>
      </c>
      <c r="AA52" s="11" t="e">
        <f>MIN(V52/IF($D52="P-12",'Standard Data'!$D$12,IF($D52="N-12",'Standard Data'!$D$13,0))*COS(ATAN(1/_xlfn.XLOOKUP($A52,'Inputs-Results'!$A$9:$A$35,'Inputs-Results'!$C$9:$C$35))),1)</f>
        <v>#N/A</v>
      </c>
      <c r="AB52" s="60" t="e">
        <f>MIN(W52/IF($D52="P-12",'Standard Data'!$D$12,IF($D52="N-12",'Standard Data'!$D$13,0))*COS(ATAN(1/_xlfn.XLOOKUP($A52,'Inputs-Results'!$A$9:$A$35,'Inputs-Results'!$C$9:$C$35))),1)</f>
        <v>#N/A</v>
      </c>
      <c r="AC52" s="64" t="e">
        <f>(($C52+S$33)+MAX(($C52+S$33)-3.771/_xlfn.XLOOKUP($A52,'Inputs-Results'!$A$9:$A$35,'Inputs-Results'!$C$9:$C$35),0))/2</f>
        <v>#N/A</v>
      </c>
      <c r="AD52" s="54" t="e">
        <f>(($C52+T$33)+MAX(($C52+T$33)-3.771/_xlfn.XLOOKUP($A52,'Inputs-Results'!$A$9:$A$35,'Inputs-Results'!$C$9:$C$35),0))/2</f>
        <v>#N/A</v>
      </c>
      <c r="AE52" s="54" t="e">
        <f>(($C52+U$33)+MAX(($C52+U$33)-3.771/_xlfn.XLOOKUP($A52,'Inputs-Results'!$A$9:$A$35,'Inputs-Results'!$C$9:$C$35),0))/2</f>
        <v>#N/A</v>
      </c>
      <c r="AF52" s="54" t="e">
        <f>(($C52+V$33)+MAX(($C52+V$33)-3.771/_xlfn.XLOOKUP($A52,'Inputs-Results'!$A$9:$A$35,'Inputs-Results'!$C$9:$C$35),0))/2</f>
        <v>#N/A</v>
      </c>
      <c r="AG52" s="65" t="e">
        <f>(($C52+W$33)+MAX(($C52+W$33)-3.771/_xlfn.XLOOKUP($A52,'Inputs-Results'!$A$9:$A$35,'Inputs-Results'!$C$9:$C$35),0))/2</f>
        <v>#N/A</v>
      </c>
      <c r="AH52" s="69" t="e">
        <f>($C52+S$33)/IF($D52="P-12",'Standard Data'!$C$12,IF($D52="N-12",'Standard Data'!$C$13,0))</f>
        <v>#N/A</v>
      </c>
      <c r="AI52" s="55" t="e">
        <f>($C52+T$33)/IF($D52="P-12",'Standard Data'!$C$12,IF($D52="N-12",'Standard Data'!$C$13,0))</f>
        <v>#N/A</v>
      </c>
      <c r="AJ52" s="55" t="e">
        <f>($C52+U$33)/IF($D52="P-12",'Standard Data'!$C$12,IF($D52="N-12",'Standard Data'!$C$13,0))</f>
        <v>#N/A</v>
      </c>
      <c r="AK52" s="55" t="e">
        <f>($C52+V$33)/IF($D52="P-12",'Standard Data'!$C$12,IF($D52="N-12",'Standard Data'!$C$13,0))</f>
        <v>#N/A</v>
      </c>
      <c r="AL52" s="70" t="e">
        <f>($C52+W$33)/IF($D52="P-12",'Standard Data'!$C$12,IF($D52="N-12",'Standard Data'!$C$13,0))</f>
        <v>#N/A</v>
      </c>
      <c r="AM52" s="69" t="e">
        <f t="shared" si="32"/>
        <v>#N/A</v>
      </c>
      <c r="AN52" s="55" t="e">
        <f t="shared" si="33"/>
        <v>#N/A</v>
      </c>
      <c r="AO52" s="55" t="e">
        <f t="shared" si="34"/>
        <v>#N/A</v>
      </c>
      <c r="AP52" s="55" t="e">
        <f t="shared" si="35"/>
        <v>#N/A</v>
      </c>
      <c r="AQ52" s="70" t="e">
        <f t="shared" si="36"/>
        <v>#N/A</v>
      </c>
      <c r="AR52" s="79" t="e">
        <f>AM52*IF($D52="P-12",'Standard Data'!$C$12,IF($D52="N-12",'Standard Data'!$C$13,0))*AC52^1.5</f>
        <v>#N/A</v>
      </c>
      <c r="AS52" s="80" t="e">
        <f>AN52*IF($D52="P-12",'Standard Data'!$C$12,IF($D52="N-12",'Standard Data'!$C$13,0))*AD52^1.5</f>
        <v>#N/A</v>
      </c>
      <c r="AT52" s="80" t="e">
        <f>AO52*IF($D52="P-12",'Standard Data'!$C$12,IF($D52="N-12",'Standard Data'!$C$13,0))*AE52^1.5</f>
        <v>#N/A</v>
      </c>
      <c r="AU52" s="80" t="e">
        <f>AP52*IF($D52="P-12",'Standard Data'!$C$12,IF($D52="N-12",'Standard Data'!$C$13,0))*AF52^1.5</f>
        <v>#N/A</v>
      </c>
      <c r="AV52" s="81" t="e">
        <f>AQ52*IF($D52="P-12",'Standard Data'!$C$12,IF($D52="N-12",'Standard Data'!$C$13,0))*AG52^1.5</f>
        <v>#N/A</v>
      </c>
      <c r="AW52" s="69" t="e">
        <f>X52*2*IF($D52="P-12",'Standard Data'!$D$12,IF($D52="N-12",'Standard Data'!$D$13,0))</f>
        <v>#N/A</v>
      </c>
      <c r="AX52" s="55" t="e">
        <f>Y52*2*IF($D52="P-12",'Standard Data'!$D$12,IF($D52="N-12",'Standard Data'!$D$13,0))</f>
        <v>#N/A</v>
      </c>
      <c r="AY52" s="55" t="e">
        <f>Z52*2*IF($D52="P-12",'Standard Data'!$D$12,IF($D52="N-12",'Standard Data'!$D$13,0))</f>
        <v>#N/A</v>
      </c>
      <c r="AZ52" s="55" t="e">
        <f>AA52*2*IF($D52="P-12",'Standard Data'!$D$12,IF($D52="N-12",'Standard Data'!$D$13,0))</f>
        <v>#N/A</v>
      </c>
      <c r="BA52" s="74" t="e">
        <f>AB52*2*IF($D52="P-12",'Standard Data'!$D$12,IF($D52="N-12",'Standard Data'!$D$13,0))</f>
        <v>#N/A</v>
      </c>
      <c r="BB52" s="69" t="e">
        <f t="shared" si="37"/>
        <v>#N/A</v>
      </c>
      <c r="BC52" s="55" t="e">
        <f t="shared" si="38"/>
        <v>#N/A</v>
      </c>
      <c r="BD52" s="55" t="e">
        <f t="shared" si="39"/>
        <v>#N/A</v>
      </c>
      <c r="BE52" s="55" t="e">
        <f t="shared" si="68"/>
        <v>#N/A</v>
      </c>
      <c r="BF52" s="70" t="e">
        <f t="shared" si="40"/>
        <v>#N/A</v>
      </c>
      <c r="BG52" s="85" t="e">
        <f t="shared" si="41"/>
        <v>#N/A</v>
      </c>
      <c r="BH52" s="19" t="e">
        <f t="shared" si="42"/>
        <v>#N/A</v>
      </c>
      <c r="BI52" s="19" t="e">
        <f t="shared" si="43"/>
        <v>#N/A</v>
      </c>
      <c r="BJ52" s="19" t="e">
        <f t="shared" si="44"/>
        <v>#N/A</v>
      </c>
      <c r="BK52" s="27" t="e">
        <f t="shared" si="45"/>
        <v>#N/A</v>
      </c>
      <c r="BL52" s="89" t="e">
        <f t="shared" si="46"/>
        <v>#N/A</v>
      </c>
      <c r="BM52" s="87" t="e">
        <f t="shared" si="47"/>
        <v>#N/A</v>
      </c>
      <c r="BN52" s="87" t="e">
        <f t="shared" si="48"/>
        <v>#N/A</v>
      </c>
      <c r="BO52" s="87" t="e">
        <f t="shared" si="49"/>
        <v>#N/A</v>
      </c>
      <c r="BP52" s="90" t="e">
        <f t="shared" si="50"/>
        <v>#N/A</v>
      </c>
      <c r="BQ52" s="89" t="e">
        <f t="shared" si="51"/>
        <v>#N/A</v>
      </c>
      <c r="BR52" s="87" t="e">
        <f t="shared" si="52"/>
        <v>#N/A</v>
      </c>
      <c r="BS52" s="87" t="e">
        <f t="shared" si="53"/>
        <v>#N/A</v>
      </c>
      <c r="BT52" s="87" t="e">
        <f t="shared" si="54"/>
        <v>#N/A</v>
      </c>
      <c r="BU52" s="90" t="e">
        <f t="shared" si="55"/>
        <v>#N/A</v>
      </c>
      <c r="BV52" s="85" t="e">
        <f>IF($D52="P-12",'Standard Data'!$B$12,IF($D52="N-12",'Standard Data'!$B$13,0))*IF($D52="P-12",'Standard Data'!$E$12,IF($D52="N-12",'Standard Data'!$E$13,0))*X52</f>
        <v>#N/A</v>
      </c>
      <c r="BW52" s="19" t="e">
        <f>IF($D52="P-12",'Standard Data'!$B$12,IF($D52="N-12",'Standard Data'!$B$13,0))*IF($D52="P-12",'Standard Data'!$E$12,IF($D52="N-12",'Standard Data'!$E$13,0))*Y52</f>
        <v>#N/A</v>
      </c>
      <c r="BX52" s="19" t="e">
        <f>IF($D52="P-12",'Standard Data'!$B$12,IF($D52="N-12",'Standard Data'!$B$13,0))*IF($D52="P-12",'Standard Data'!$E$12,IF($D52="N-12",'Standard Data'!$E$13,0))*Z52</f>
        <v>#N/A</v>
      </c>
      <c r="BY52" s="19" t="e">
        <f>IF($D52="P-12",'Standard Data'!$B$12,IF($D52="N-12",'Standard Data'!$B$13,0))*IF($D52="P-12",'Standard Data'!$E$12,IF($D52="N-12",'Standard Data'!$E$13,0))*AA52</f>
        <v>#N/A</v>
      </c>
      <c r="BZ52" s="27" t="e">
        <f>IF($D52="P-12",'Standard Data'!$B$12,IF($D52="N-12",'Standard Data'!$B$13,0))*IF($D52="P-12",'Standard Data'!$E$12,IF($D52="N-12",'Standard Data'!$E$13,0))*AB52</f>
        <v>#N/A</v>
      </c>
      <c r="CA52" s="89" t="e">
        <f t="shared" si="56"/>
        <v>#N/A</v>
      </c>
      <c r="CB52" s="87" t="e">
        <f t="shared" si="57"/>
        <v>#N/A</v>
      </c>
      <c r="CC52" s="87" t="e">
        <f t="shared" si="58"/>
        <v>#N/A</v>
      </c>
      <c r="CD52" s="87" t="e">
        <f t="shared" si="59"/>
        <v>#N/A</v>
      </c>
      <c r="CE52" s="90" t="e">
        <f t="shared" si="60"/>
        <v>#N/A</v>
      </c>
      <c r="CF52" s="89" t="e">
        <f t="shared" si="61"/>
        <v>#N/A</v>
      </c>
      <c r="CG52" s="87" t="e">
        <f t="shared" si="62"/>
        <v>#N/A</v>
      </c>
      <c r="CH52" s="87" t="e">
        <f t="shared" si="63"/>
        <v>#N/A</v>
      </c>
      <c r="CI52" s="87" t="e">
        <f t="shared" si="64"/>
        <v>#N/A</v>
      </c>
      <c r="CJ52" s="90" t="e">
        <f t="shared" si="65"/>
        <v>#N/A</v>
      </c>
      <c r="CK52" s="101" t="e">
        <f t="shared" si="16"/>
        <v>#N/A</v>
      </c>
      <c r="CL52" s="95" t="e">
        <f t="shared" si="17"/>
        <v>#N/A</v>
      </c>
      <c r="CM52" s="95" t="e">
        <f t="shared" si="18"/>
        <v>#N/A</v>
      </c>
      <c r="CN52" s="95" t="e">
        <f t="shared" si="19"/>
        <v>#N/A</v>
      </c>
      <c r="CO52" s="102" t="e">
        <f t="shared" si="20"/>
        <v>#N/A</v>
      </c>
      <c r="CP52" s="101" t="e">
        <f t="shared" si="66"/>
        <v>#N/A</v>
      </c>
      <c r="CQ52" s="95" t="e">
        <f t="shared" si="69"/>
        <v>#N/A</v>
      </c>
      <c r="CR52" s="95" t="e">
        <f t="shared" si="70"/>
        <v>#N/A</v>
      </c>
      <c r="CS52" s="95" t="e">
        <f t="shared" si="71"/>
        <v>#N/A</v>
      </c>
      <c r="CT52" s="102" t="e">
        <f t="shared" si="72"/>
        <v>#N/A</v>
      </c>
      <c r="CU52" s="98" t="e">
        <f t="shared" si="22"/>
        <v>#N/A</v>
      </c>
      <c r="CV52" s="98" t="e">
        <f t="shared" si="23"/>
        <v>#N/A</v>
      </c>
      <c r="CW52" s="98" t="e">
        <f t="shared" si="67"/>
        <v>#N/A</v>
      </c>
    </row>
    <row r="53" spans="1:101" x14ac:dyDescent="0.25">
      <c r="A53" s="2">
        <f>'Inputs-Results'!A28</f>
        <v>0</v>
      </c>
      <c r="B53" s="18" t="e">
        <f>_xlfn.XLOOKUP(A53,'Ditch Calculations'!$A$34:$A$114,'Ditch Calculations'!$C$34:$C$114)</f>
        <v>#N/A</v>
      </c>
      <c r="C53" s="2" t="e">
        <f t="shared" si="24"/>
        <v>#N/A</v>
      </c>
      <c r="D53" s="2" t="e">
        <f>_xlfn.XLOOKUP(A53,'Inputs-Results'!$A$9:$A$35,'Inputs-Results'!$B$9:$B$35)</f>
        <v>#N/A</v>
      </c>
      <c r="E53" s="2" t="e">
        <f>C53*_xlfn.XLOOKUP(A53,'Inputs-Results'!$A$9:$A$35,'Inputs-Results'!$C$9:$C$35)</f>
        <v>#N/A</v>
      </c>
      <c r="F53" s="11" t="e">
        <f>MIN(E53/IF(D53="P-12",'Standard Data'!$D$12,IF(D53="N-12",'Standard Data'!$D$13,0))*COS(ATAN(1/_xlfn.XLOOKUP(A53,'Inputs-Results'!$A$9:$A$35,'Inputs-Results'!$C$9:$C$35))),1)</f>
        <v>#N/A</v>
      </c>
      <c r="G53" s="18" t="e">
        <f>(C53+MAX(C53-3.771/_xlfn.XLOOKUP(A53,'Inputs-Results'!A$9:A$35,'Inputs-Results'!$C$9:$C$35),0))/2</f>
        <v>#N/A</v>
      </c>
      <c r="H53" s="18" t="e">
        <f>C53/IF(D53="P-12",'Standard Data'!$C$12,IF(D53="N-12",'Standard Data'!$C$13,0))</f>
        <v>#N/A</v>
      </c>
      <c r="I53" s="19" t="e">
        <f t="shared" si="25"/>
        <v>#N/A</v>
      </c>
      <c r="J53" s="20" t="e">
        <f>I53*IF(D53="P-12",'Standard Data'!$C$12,IF(D53="N-12",'Standard Data'!$C$13,0))*G53^1.5</f>
        <v>#N/A</v>
      </c>
      <c r="K53" s="19" t="e">
        <f>F53*2*IF(D53="P-12",'Standard Data'!$D$12,IF(D53="N-12",'Standard Data'!$D$13,0))</f>
        <v>#N/A</v>
      </c>
      <c r="L53" s="19" t="e">
        <f t="shared" si="26"/>
        <v>#N/A</v>
      </c>
      <c r="M53" s="19" t="e">
        <f t="shared" si="27"/>
        <v>#N/A</v>
      </c>
      <c r="N53" s="20" t="e">
        <f t="shared" si="28"/>
        <v>#N/A</v>
      </c>
      <c r="O53" s="20" t="e">
        <f t="shared" si="29"/>
        <v>#N/A</v>
      </c>
      <c r="P53" s="19" t="e">
        <f>IF(D53="P-12",'Standard Data'!$B$12,IF(D53="N-12",'Standard Data'!$B$13,0))*IF(D53="P-12",'Standard Data'!$E$12,IF(D53="N-12",'Standard Data'!$E$13,0))*F53</f>
        <v>#N/A</v>
      </c>
      <c r="Q53" s="20" t="e">
        <f t="shared" si="30"/>
        <v>#N/A</v>
      </c>
      <c r="R53" s="53" t="e">
        <f t="shared" si="31"/>
        <v>#N/A</v>
      </c>
      <c r="S53" s="26" t="e">
        <f>($C53+S$33)*_xlfn.XLOOKUP($A53,'Inputs-Results'!$A$9:$A$35,'Inputs-Results'!$C$9:$C$35)</f>
        <v>#N/A</v>
      </c>
      <c r="T53" s="2" t="e">
        <f>($C53+T$33)*_xlfn.XLOOKUP($A53,'Inputs-Results'!$A$9:$A$35,'Inputs-Results'!$C$9:$C$35)</f>
        <v>#N/A</v>
      </c>
      <c r="U53" s="2" t="e">
        <f>($C53+U$33)*_xlfn.XLOOKUP($A53,'Inputs-Results'!$A$9:$A$35,'Inputs-Results'!$C$9:$C$35)</f>
        <v>#N/A</v>
      </c>
      <c r="V53" s="2" t="e">
        <f>($C53+V$33)*_xlfn.XLOOKUP($A53,'Inputs-Results'!$A$9:$A$35,'Inputs-Results'!$C$9:$C$35)</f>
        <v>#N/A</v>
      </c>
      <c r="W53" s="31" t="e">
        <f>($C53+W$33)*_xlfn.XLOOKUP($A53,'Inputs-Results'!$A$9:$A$35,'Inputs-Results'!$C$9:$C$35)</f>
        <v>#N/A</v>
      </c>
      <c r="X53" s="59" t="e">
        <f>MIN(S53/IF($D53="P-12",'Standard Data'!$D$12,IF($D53="N-12",'Standard Data'!$D$13,0))*COS(ATAN(1/_xlfn.XLOOKUP($A53,'Inputs-Results'!$A$9:$A$35,'Inputs-Results'!$C$9:$C$35))),1)</f>
        <v>#N/A</v>
      </c>
      <c r="Y53" s="11" t="e">
        <f>MIN(T53/IF($D53="P-12",'Standard Data'!$D$12,IF($D53="N-12",'Standard Data'!$D$13,0))*COS(ATAN(1/_xlfn.XLOOKUP($A53,'Inputs-Results'!$A$9:$A$35,'Inputs-Results'!$C$9:$C$35))),1)</f>
        <v>#N/A</v>
      </c>
      <c r="Z53" s="11" t="e">
        <f>MIN(U53/IF($D53="P-12",'Standard Data'!$D$12,IF($D53="N-12",'Standard Data'!$D$13,0))*COS(ATAN(1/_xlfn.XLOOKUP($A53,'Inputs-Results'!$A$9:$A$35,'Inputs-Results'!$C$9:$C$35))),1)</f>
        <v>#N/A</v>
      </c>
      <c r="AA53" s="11" t="e">
        <f>MIN(V53/IF($D53="P-12",'Standard Data'!$D$12,IF($D53="N-12",'Standard Data'!$D$13,0))*COS(ATAN(1/_xlfn.XLOOKUP($A53,'Inputs-Results'!$A$9:$A$35,'Inputs-Results'!$C$9:$C$35))),1)</f>
        <v>#N/A</v>
      </c>
      <c r="AB53" s="60" t="e">
        <f>MIN(W53/IF($D53="P-12",'Standard Data'!$D$12,IF($D53="N-12",'Standard Data'!$D$13,0))*COS(ATAN(1/_xlfn.XLOOKUP($A53,'Inputs-Results'!$A$9:$A$35,'Inputs-Results'!$C$9:$C$35))),1)</f>
        <v>#N/A</v>
      </c>
      <c r="AC53" s="64" t="e">
        <f>(($C53+S$33)+MAX(($C53+S$33)-3.771/_xlfn.XLOOKUP($A53,'Inputs-Results'!$A$9:$A$35,'Inputs-Results'!$C$9:$C$35),0))/2</f>
        <v>#N/A</v>
      </c>
      <c r="AD53" s="54" t="e">
        <f>(($C53+T$33)+MAX(($C53+T$33)-3.771/_xlfn.XLOOKUP($A53,'Inputs-Results'!$A$9:$A$35,'Inputs-Results'!$C$9:$C$35),0))/2</f>
        <v>#N/A</v>
      </c>
      <c r="AE53" s="54" t="e">
        <f>(($C53+U$33)+MAX(($C53+U$33)-3.771/_xlfn.XLOOKUP($A53,'Inputs-Results'!$A$9:$A$35,'Inputs-Results'!$C$9:$C$35),0))/2</f>
        <v>#N/A</v>
      </c>
      <c r="AF53" s="54" t="e">
        <f>(($C53+V$33)+MAX(($C53+V$33)-3.771/_xlfn.XLOOKUP($A53,'Inputs-Results'!$A$9:$A$35,'Inputs-Results'!$C$9:$C$35),0))/2</f>
        <v>#N/A</v>
      </c>
      <c r="AG53" s="65" t="e">
        <f>(($C53+W$33)+MAX(($C53+W$33)-3.771/_xlfn.XLOOKUP($A53,'Inputs-Results'!$A$9:$A$35,'Inputs-Results'!$C$9:$C$35),0))/2</f>
        <v>#N/A</v>
      </c>
      <c r="AH53" s="69" t="e">
        <f>($C53+S$33)/IF($D53="P-12",'Standard Data'!$C$12,IF($D53="N-12",'Standard Data'!$C$13,0))</f>
        <v>#N/A</v>
      </c>
      <c r="AI53" s="55" t="e">
        <f>($C53+T$33)/IF($D53="P-12",'Standard Data'!$C$12,IF($D53="N-12",'Standard Data'!$C$13,0))</f>
        <v>#N/A</v>
      </c>
      <c r="AJ53" s="55" t="e">
        <f>($C53+U$33)/IF($D53="P-12",'Standard Data'!$C$12,IF($D53="N-12",'Standard Data'!$C$13,0))</f>
        <v>#N/A</v>
      </c>
      <c r="AK53" s="55" t="e">
        <f>($C53+V$33)/IF($D53="P-12",'Standard Data'!$C$12,IF($D53="N-12",'Standard Data'!$C$13,0))</f>
        <v>#N/A</v>
      </c>
      <c r="AL53" s="70" t="e">
        <f>($C53+W$33)/IF($D53="P-12",'Standard Data'!$C$12,IF($D53="N-12",'Standard Data'!$C$13,0))</f>
        <v>#N/A</v>
      </c>
      <c r="AM53" s="69" t="e">
        <f t="shared" si="32"/>
        <v>#N/A</v>
      </c>
      <c r="AN53" s="55" t="e">
        <f t="shared" si="33"/>
        <v>#N/A</v>
      </c>
      <c r="AO53" s="55" t="e">
        <f t="shared" si="34"/>
        <v>#N/A</v>
      </c>
      <c r="AP53" s="55" t="e">
        <f t="shared" si="35"/>
        <v>#N/A</v>
      </c>
      <c r="AQ53" s="70" t="e">
        <f t="shared" si="36"/>
        <v>#N/A</v>
      </c>
      <c r="AR53" s="79" t="e">
        <f>AM53*IF($D53="P-12",'Standard Data'!$C$12,IF($D53="N-12",'Standard Data'!$C$13,0))*AC53^1.5</f>
        <v>#N/A</v>
      </c>
      <c r="AS53" s="80" t="e">
        <f>AN53*IF($D53="P-12",'Standard Data'!$C$12,IF($D53="N-12",'Standard Data'!$C$13,0))*AD53^1.5</f>
        <v>#N/A</v>
      </c>
      <c r="AT53" s="80" t="e">
        <f>AO53*IF($D53="P-12",'Standard Data'!$C$12,IF($D53="N-12",'Standard Data'!$C$13,0))*AE53^1.5</f>
        <v>#N/A</v>
      </c>
      <c r="AU53" s="80" t="e">
        <f>AP53*IF($D53="P-12",'Standard Data'!$C$12,IF($D53="N-12",'Standard Data'!$C$13,0))*AF53^1.5</f>
        <v>#N/A</v>
      </c>
      <c r="AV53" s="81" t="e">
        <f>AQ53*IF($D53="P-12",'Standard Data'!$C$12,IF($D53="N-12",'Standard Data'!$C$13,0))*AG53^1.5</f>
        <v>#N/A</v>
      </c>
      <c r="AW53" s="69" t="e">
        <f>X53*2*IF($D53="P-12",'Standard Data'!$D$12,IF($D53="N-12",'Standard Data'!$D$13,0))</f>
        <v>#N/A</v>
      </c>
      <c r="AX53" s="55" t="e">
        <f>Y53*2*IF($D53="P-12",'Standard Data'!$D$12,IF($D53="N-12",'Standard Data'!$D$13,0))</f>
        <v>#N/A</v>
      </c>
      <c r="AY53" s="55" t="e">
        <f>Z53*2*IF($D53="P-12",'Standard Data'!$D$12,IF($D53="N-12",'Standard Data'!$D$13,0))</f>
        <v>#N/A</v>
      </c>
      <c r="AZ53" s="55" t="e">
        <f>AA53*2*IF($D53="P-12",'Standard Data'!$D$12,IF($D53="N-12",'Standard Data'!$D$13,0))</f>
        <v>#N/A</v>
      </c>
      <c r="BA53" s="74" t="e">
        <f>AB53*2*IF($D53="P-12",'Standard Data'!$D$12,IF($D53="N-12",'Standard Data'!$D$13,0))</f>
        <v>#N/A</v>
      </c>
      <c r="BB53" s="69" t="e">
        <f t="shared" si="37"/>
        <v>#N/A</v>
      </c>
      <c r="BC53" s="55" t="e">
        <f t="shared" si="38"/>
        <v>#N/A</v>
      </c>
      <c r="BD53" s="55" t="e">
        <f t="shared" si="39"/>
        <v>#N/A</v>
      </c>
      <c r="BE53" s="55" t="e">
        <f t="shared" si="68"/>
        <v>#N/A</v>
      </c>
      <c r="BF53" s="70" t="e">
        <f t="shared" si="40"/>
        <v>#N/A</v>
      </c>
      <c r="BG53" s="85" t="e">
        <f t="shared" si="41"/>
        <v>#N/A</v>
      </c>
      <c r="BH53" s="19" t="e">
        <f t="shared" si="42"/>
        <v>#N/A</v>
      </c>
      <c r="BI53" s="19" t="e">
        <f t="shared" si="43"/>
        <v>#N/A</v>
      </c>
      <c r="BJ53" s="19" t="e">
        <f t="shared" si="44"/>
        <v>#N/A</v>
      </c>
      <c r="BK53" s="27" t="e">
        <f t="shared" si="45"/>
        <v>#N/A</v>
      </c>
      <c r="BL53" s="89" t="e">
        <f t="shared" si="46"/>
        <v>#N/A</v>
      </c>
      <c r="BM53" s="87" t="e">
        <f t="shared" si="47"/>
        <v>#N/A</v>
      </c>
      <c r="BN53" s="87" t="e">
        <f t="shared" si="48"/>
        <v>#N/A</v>
      </c>
      <c r="BO53" s="87" t="e">
        <f t="shared" si="49"/>
        <v>#N/A</v>
      </c>
      <c r="BP53" s="90" t="e">
        <f t="shared" si="50"/>
        <v>#N/A</v>
      </c>
      <c r="BQ53" s="89" t="e">
        <f t="shared" si="51"/>
        <v>#N/A</v>
      </c>
      <c r="BR53" s="87" t="e">
        <f t="shared" si="52"/>
        <v>#N/A</v>
      </c>
      <c r="BS53" s="87" t="e">
        <f t="shared" si="53"/>
        <v>#N/A</v>
      </c>
      <c r="BT53" s="87" t="e">
        <f t="shared" si="54"/>
        <v>#N/A</v>
      </c>
      <c r="BU53" s="90" t="e">
        <f t="shared" si="55"/>
        <v>#N/A</v>
      </c>
      <c r="BV53" s="85" t="e">
        <f>IF($D53="P-12",'Standard Data'!$B$12,IF($D53="N-12",'Standard Data'!$B$13,0))*IF($D53="P-12",'Standard Data'!$E$12,IF($D53="N-12",'Standard Data'!$E$13,0))*X53</f>
        <v>#N/A</v>
      </c>
      <c r="BW53" s="19" t="e">
        <f>IF($D53="P-12",'Standard Data'!$B$12,IF($D53="N-12",'Standard Data'!$B$13,0))*IF($D53="P-12",'Standard Data'!$E$12,IF($D53="N-12",'Standard Data'!$E$13,0))*Y53</f>
        <v>#N/A</v>
      </c>
      <c r="BX53" s="19" t="e">
        <f>IF($D53="P-12",'Standard Data'!$B$12,IF($D53="N-12",'Standard Data'!$B$13,0))*IF($D53="P-12",'Standard Data'!$E$12,IF($D53="N-12",'Standard Data'!$E$13,0))*Z53</f>
        <v>#N/A</v>
      </c>
      <c r="BY53" s="19" t="e">
        <f>IF($D53="P-12",'Standard Data'!$B$12,IF($D53="N-12",'Standard Data'!$B$13,0))*IF($D53="P-12",'Standard Data'!$E$12,IF($D53="N-12",'Standard Data'!$E$13,0))*AA53</f>
        <v>#N/A</v>
      </c>
      <c r="BZ53" s="27" t="e">
        <f>IF($D53="P-12",'Standard Data'!$B$12,IF($D53="N-12",'Standard Data'!$B$13,0))*IF($D53="P-12",'Standard Data'!$E$12,IF($D53="N-12",'Standard Data'!$E$13,0))*AB53</f>
        <v>#N/A</v>
      </c>
      <c r="CA53" s="89" t="e">
        <f t="shared" si="56"/>
        <v>#N/A</v>
      </c>
      <c r="CB53" s="87" t="e">
        <f t="shared" si="57"/>
        <v>#N/A</v>
      </c>
      <c r="CC53" s="87" t="e">
        <f t="shared" si="58"/>
        <v>#N/A</v>
      </c>
      <c r="CD53" s="87" t="e">
        <f t="shared" si="59"/>
        <v>#N/A</v>
      </c>
      <c r="CE53" s="90" t="e">
        <f t="shared" si="60"/>
        <v>#N/A</v>
      </c>
      <c r="CF53" s="89" t="e">
        <f t="shared" si="61"/>
        <v>#N/A</v>
      </c>
      <c r="CG53" s="87" t="e">
        <f t="shared" si="62"/>
        <v>#N/A</v>
      </c>
      <c r="CH53" s="87" t="e">
        <f t="shared" si="63"/>
        <v>#N/A</v>
      </c>
      <c r="CI53" s="87" t="e">
        <f t="shared" si="64"/>
        <v>#N/A</v>
      </c>
      <c r="CJ53" s="90" t="e">
        <f t="shared" si="65"/>
        <v>#N/A</v>
      </c>
      <c r="CK53" s="101" t="e">
        <f t="shared" si="16"/>
        <v>#N/A</v>
      </c>
      <c r="CL53" s="95" t="e">
        <f t="shared" si="17"/>
        <v>#N/A</v>
      </c>
      <c r="CM53" s="95" t="e">
        <f t="shared" si="18"/>
        <v>#N/A</v>
      </c>
      <c r="CN53" s="95" t="e">
        <f t="shared" si="19"/>
        <v>#N/A</v>
      </c>
      <c r="CO53" s="102" t="e">
        <f t="shared" si="20"/>
        <v>#N/A</v>
      </c>
      <c r="CP53" s="101" t="e">
        <f t="shared" si="66"/>
        <v>#N/A</v>
      </c>
      <c r="CQ53" s="95" t="e">
        <f t="shared" si="69"/>
        <v>#N/A</v>
      </c>
      <c r="CR53" s="95" t="e">
        <f t="shared" si="70"/>
        <v>#N/A</v>
      </c>
      <c r="CS53" s="95" t="e">
        <f t="shared" si="71"/>
        <v>#N/A</v>
      </c>
      <c r="CT53" s="102" t="e">
        <f t="shared" si="72"/>
        <v>#N/A</v>
      </c>
      <c r="CU53" s="98" t="e">
        <f t="shared" si="22"/>
        <v>#N/A</v>
      </c>
      <c r="CV53" s="98" t="e">
        <f t="shared" si="23"/>
        <v>#N/A</v>
      </c>
      <c r="CW53" s="98" t="e">
        <f t="shared" si="67"/>
        <v>#N/A</v>
      </c>
    </row>
    <row r="54" spans="1:101" x14ac:dyDescent="0.25">
      <c r="A54" s="2">
        <f>'Inputs-Results'!A29</f>
        <v>0</v>
      </c>
      <c r="B54" s="18" t="e">
        <f>_xlfn.XLOOKUP(A54,'Ditch Calculations'!$A$34:$A$114,'Ditch Calculations'!$C$34:$C$114)</f>
        <v>#N/A</v>
      </c>
      <c r="C54" s="2" t="e">
        <f t="shared" si="24"/>
        <v>#N/A</v>
      </c>
      <c r="D54" s="2" t="e">
        <f>_xlfn.XLOOKUP(A54,'Inputs-Results'!$A$9:$A$35,'Inputs-Results'!$B$9:$B$35)</f>
        <v>#N/A</v>
      </c>
      <c r="E54" s="2" t="e">
        <f>C54*_xlfn.XLOOKUP(A54,'Inputs-Results'!$A$9:$A$35,'Inputs-Results'!$C$9:$C$35)</f>
        <v>#N/A</v>
      </c>
      <c r="F54" s="11" t="e">
        <f>MIN(E54/IF(D54="P-12",'Standard Data'!$D$12,IF(D54="N-12",'Standard Data'!$D$13,0))*COS(ATAN(1/_xlfn.XLOOKUP(A54,'Inputs-Results'!$A$9:$A$35,'Inputs-Results'!$C$9:$C$35))),1)</f>
        <v>#N/A</v>
      </c>
      <c r="G54" s="18" t="e">
        <f>(C54+MAX(C54-3.771/_xlfn.XLOOKUP(A54,'Inputs-Results'!A$9:A$35,'Inputs-Results'!$C$9:$C$35),0))/2</f>
        <v>#N/A</v>
      </c>
      <c r="H54" s="18" t="e">
        <f>C54/IF(D54="P-12",'Standard Data'!$C$12,IF(D54="N-12",'Standard Data'!$C$13,0))</f>
        <v>#N/A</v>
      </c>
      <c r="I54" s="19" t="e">
        <f t="shared" si="25"/>
        <v>#N/A</v>
      </c>
      <c r="J54" s="20" t="e">
        <f>I54*IF(D54="P-12",'Standard Data'!$C$12,IF(D54="N-12",'Standard Data'!$C$13,0))*G54^1.5</f>
        <v>#N/A</v>
      </c>
      <c r="K54" s="19" t="e">
        <f>F54*2*IF(D54="P-12",'Standard Data'!$D$12,IF(D54="N-12",'Standard Data'!$D$13,0))</f>
        <v>#N/A</v>
      </c>
      <c r="L54" s="19" t="e">
        <f t="shared" si="26"/>
        <v>#N/A</v>
      </c>
      <c r="M54" s="19" t="e">
        <f t="shared" si="27"/>
        <v>#N/A</v>
      </c>
      <c r="N54" s="20" t="e">
        <f t="shared" si="28"/>
        <v>#N/A</v>
      </c>
      <c r="O54" s="20" t="e">
        <f t="shared" si="29"/>
        <v>#N/A</v>
      </c>
      <c r="P54" s="19" t="e">
        <f>IF(D54="P-12",'Standard Data'!$B$12,IF(D54="N-12",'Standard Data'!$B$13,0))*IF(D54="P-12",'Standard Data'!$E$12,IF(D54="N-12",'Standard Data'!$E$13,0))*F54</f>
        <v>#N/A</v>
      </c>
      <c r="Q54" s="20" t="e">
        <f t="shared" si="30"/>
        <v>#N/A</v>
      </c>
      <c r="R54" s="53" t="e">
        <f t="shared" si="31"/>
        <v>#N/A</v>
      </c>
      <c r="S54" s="26" t="e">
        <f>($C54+S$33)*_xlfn.XLOOKUP($A54,'Inputs-Results'!$A$9:$A$35,'Inputs-Results'!$C$9:$C$35)</f>
        <v>#N/A</v>
      </c>
      <c r="T54" s="2" t="e">
        <f>($C54+T$33)*_xlfn.XLOOKUP($A54,'Inputs-Results'!$A$9:$A$35,'Inputs-Results'!$C$9:$C$35)</f>
        <v>#N/A</v>
      </c>
      <c r="U54" s="2" t="e">
        <f>($C54+U$33)*_xlfn.XLOOKUP($A54,'Inputs-Results'!$A$9:$A$35,'Inputs-Results'!$C$9:$C$35)</f>
        <v>#N/A</v>
      </c>
      <c r="V54" s="2" t="e">
        <f>($C54+V$33)*_xlfn.XLOOKUP($A54,'Inputs-Results'!$A$9:$A$35,'Inputs-Results'!$C$9:$C$35)</f>
        <v>#N/A</v>
      </c>
      <c r="W54" s="31" t="e">
        <f>($C54+W$33)*_xlfn.XLOOKUP($A54,'Inputs-Results'!$A$9:$A$35,'Inputs-Results'!$C$9:$C$35)</f>
        <v>#N/A</v>
      </c>
      <c r="X54" s="59" t="e">
        <f>MIN(S54/IF($D54="P-12",'Standard Data'!$D$12,IF($D54="N-12",'Standard Data'!$D$13,0))*COS(ATAN(1/_xlfn.XLOOKUP($A54,'Inputs-Results'!$A$9:$A$35,'Inputs-Results'!$C$9:$C$35))),1)</f>
        <v>#N/A</v>
      </c>
      <c r="Y54" s="11" t="e">
        <f>MIN(T54/IF($D54="P-12",'Standard Data'!$D$12,IF($D54="N-12",'Standard Data'!$D$13,0))*COS(ATAN(1/_xlfn.XLOOKUP($A54,'Inputs-Results'!$A$9:$A$35,'Inputs-Results'!$C$9:$C$35))),1)</f>
        <v>#N/A</v>
      </c>
      <c r="Z54" s="11" t="e">
        <f>MIN(U54/IF($D54="P-12",'Standard Data'!$D$12,IF($D54="N-12",'Standard Data'!$D$13,0))*COS(ATAN(1/_xlfn.XLOOKUP($A54,'Inputs-Results'!$A$9:$A$35,'Inputs-Results'!$C$9:$C$35))),1)</f>
        <v>#N/A</v>
      </c>
      <c r="AA54" s="11" t="e">
        <f>MIN(V54/IF($D54="P-12",'Standard Data'!$D$12,IF($D54="N-12",'Standard Data'!$D$13,0))*COS(ATAN(1/_xlfn.XLOOKUP($A54,'Inputs-Results'!$A$9:$A$35,'Inputs-Results'!$C$9:$C$35))),1)</f>
        <v>#N/A</v>
      </c>
      <c r="AB54" s="60" t="e">
        <f>MIN(W54/IF($D54="P-12",'Standard Data'!$D$12,IF($D54="N-12",'Standard Data'!$D$13,0))*COS(ATAN(1/_xlfn.XLOOKUP($A54,'Inputs-Results'!$A$9:$A$35,'Inputs-Results'!$C$9:$C$35))),1)</f>
        <v>#N/A</v>
      </c>
      <c r="AC54" s="64" t="e">
        <f>(($C54+S$33)+MAX(($C54+S$33)-3.771/_xlfn.XLOOKUP($A54,'Inputs-Results'!$A$9:$A$35,'Inputs-Results'!$C$9:$C$35),0))/2</f>
        <v>#N/A</v>
      </c>
      <c r="AD54" s="54" t="e">
        <f>(($C54+T$33)+MAX(($C54+T$33)-3.771/_xlfn.XLOOKUP($A54,'Inputs-Results'!$A$9:$A$35,'Inputs-Results'!$C$9:$C$35),0))/2</f>
        <v>#N/A</v>
      </c>
      <c r="AE54" s="54" t="e">
        <f>(($C54+U$33)+MAX(($C54+U$33)-3.771/_xlfn.XLOOKUP($A54,'Inputs-Results'!$A$9:$A$35,'Inputs-Results'!$C$9:$C$35),0))/2</f>
        <v>#N/A</v>
      </c>
      <c r="AF54" s="54" t="e">
        <f>(($C54+V$33)+MAX(($C54+V$33)-3.771/_xlfn.XLOOKUP($A54,'Inputs-Results'!$A$9:$A$35,'Inputs-Results'!$C$9:$C$35),0))/2</f>
        <v>#N/A</v>
      </c>
      <c r="AG54" s="65" t="e">
        <f>(($C54+W$33)+MAX(($C54+W$33)-3.771/_xlfn.XLOOKUP($A54,'Inputs-Results'!$A$9:$A$35,'Inputs-Results'!$C$9:$C$35),0))/2</f>
        <v>#N/A</v>
      </c>
      <c r="AH54" s="69" t="e">
        <f>($C54+S$33)/IF($D54="P-12",'Standard Data'!$C$12,IF($D54="N-12",'Standard Data'!$C$13,0))</f>
        <v>#N/A</v>
      </c>
      <c r="AI54" s="55" t="e">
        <f>($C54+T$33)/IF($D54="P-12",'Standard Data'!$C$12,IF($D54="N-12",'Standard Data'!$C$13,0))</f>
        <v>#N/A</v>
      </c>
      <c r="AJ54" s="55" t="e">
        <f>($C54+U$33)/IF($D54="P-12",'Standard Data'!$C$12,IF($D54="N-12",'Standard Data'!$C$13,0))</f>
        <v>#N/A</v>
      </c>
      <c r="AK54" s="55" t="e">
        <f>($C54+V$33)/IF($D54="P-12",'Standard Data'!$C$12,IF($D54="N-12",'Standard Data'!$C$13,0))</f>
        <v>#N/A</v>
      </c>
      <c r="AL54" s="70" t="e">
        <f>($C54+W$33)/IF($D54="P-12",'Standard Data'!$C$12,IF($D54="N-12",'Standard Data'!$C$13,0))</f>
        <v>#N/A</v>
      </c>
      <c r="AM54" s="69" t="e">
        <f t="shared" si="32"/>
        <v>#N/A</v>
      </c>
      <c r="AN54" s="55" t="e">
        <f t="shared" si="33"/>
        <v>#N/A</v>
      </c>
      <c r="AO54" s="55" t="e">
        <f t="shared" si="34"/>
        <v>#N/A</v>
      </c>
      <c r="AP54" s="55" t="e">
        <f t="shared" si="35"/>
        <v>#N/A</v>
      </c>
      <c r="AQ54" s="70" t="e">
        <f t="shared" si="36"/>
        <v>#N/A</v>
      </c>
      <c r="AR54" s="79" t="e">
        <f>AM54*IF($D54="P-12",'Standard Data'!$C$12,IF($D54="N-12",'Standard Data'!$C$13,0))*AC54^1.5</f>
        <v>#N/A</v>
      </c>
      <c r="AS54" s="80" t="e">
        <f>AN54*IF($D54="P-12",'Standard Data'!$C$12,IF($D54="N-12",'Standard Data'!$C$13,0))*AD54^1.5</f>
        <v>#N/A</v>
      </c>
      <c r="AT54" s="80" t="e">
        <f>AO54*IF($D54="P-12",'Standard Data'!$C$12,IF($D54="N-12",'Standard Data'!$C$13,0))*AE54^1.5</f>
        <v>#N/A</v>
      </c>
      <c r="AU54" s="80" t="e">
        <f>AP54*IF($D54="P-12",'Standard Data'!$C$12,IF($D54="N-12",'Standard Data'!$C$13,0))*AF54^1.5</f>
        <v>#N/A</v>
      </c>
      <c r="AV54" s="81" t="e">
        <f>AQ54*IF($D54="P-12",'Standard Data'!$C$12,IF($D54="N-12",'Standard Data'!$C$13,0))*AG54^1.5</f>
        <v>#N/A</v>
      </c>
      <c r="AW54" s="69" t="e">
        <f>X54*2*IF($D54="P-12",'Standard Data'!$D$12,IF($D54="N-12",'Standard Data'!$D$13,0))</f>
        <v>#N/A</v>
      </c>
      <c r="AX54" s="55" t="e">
        <f>Y54*2*IF($D54="P-12",'Standard Data'!$D$12,IF($D54="N-12",'Standard Data'!$D$13,0))</f>
        <v>#N/A</v>
      </c>
      <c r="AY54" s="55" t="e">
        <f>Z54*2*IF($D54="P-12",'Standard Data'!$D$12,IF($D54="N-12",'Standard Data'!$D$13,0))</f>
        <v>#N/A</v>
      </c>
      <c r="AZ54" s="55" t="e">
        <f>AA54*2*IF($D54="P-12",'Standard Data'!$D$12,IF($D54="N-12",'Standard Data'!$D$13,0))</f>
        <v>#N/A</v>
      </c>
      <c r="BA54" s="74" t="e">
        <f>AB54*2*IF($D54="P-12",'Standard Data'!$D$12,IF($D54="N-12",'Standard Data'!$D$13,0))</f>
        <v>#N/A</v>
      </c>
      <c r="BB54" s="69" t="e">
        <f t="shared" si="37"/>
        <v>#N/A</v>
      </c>
      <c r="BC54" s="55" t="e">
        <f t="shared" si="38"/>
        <v>#N/A</v>
      </c>
      <c r="BD54" s="55" t="e">
        <f t="shared" si="39"/>
        <v>#N/A</v>
      </c>
      <c r="BE54" s="55" t="e">
        <f t="shared" si="68"/>
        <v>#N/A</v>
      </c>
      <c r="BF54" s="70" t="e">
        <f t="shared" si="40"/>
        <v>#N/A</v>
      </c>
      <c r="BG54" s="85" t="e">
        <f t="shared" si="41"/>
        <v>#N/A</v>
      </c>
      <c r="BH54" s="19" t="e">
        <f t="shared" si="42"/>
        <v>#N/A</v>
      </c>
      <c r="BI54" s="19" t="e">
        <f t="shared" si="43"/>
        <v>#N/A</v>
      </c>
      <c r="BJ54" s="19" t="e">
        <f t="shared" si="44"/>
        <v>#N/A</v>
      </c>
      <c r="BK54" s="27" t="e">
        <f t="shared" si="45"/>
        <v>#N/A</v>
      </c>
      <c r="BL54" s="89" t="e">
        <f t="shared" si="46"/>
        <v>#N/A</v>
      </c>
      <c r="BM54" s="87" t="e">
        <f t="shared" si="47"/>
        <v>#N/A</v>
      </c>
      <c r="BN54" s="87" t="e">
        <f t="shared" si="48"/>
        <v>#N/A</v>
      </c>
      <c r="BO54" s="87" t="e">
        <f t="shared" si="49"/>
        <v>#N/A</v>
      </c>
      <c r="BP54" s="90" t="e">
        <f t="shared" si="50"/>
        <v>#N/A</v>
      </c>
      <c r="BQ54" s="89" t="e">
        <f t="shared" si="51"/>
        <v>#N/A</v>
      </c>
      <c r="BR54" s="87" t="e">
        <f t="shared" si="52"/>
        <v>#N/A</v>
      </c>
      <c r="BS54" s="87" t="e">
        <f t="shared" si="53"/>
        <v>#N/A</v>
      </c>
      <c r="BT54" s="87" t="e">
        <f t="shared" si="54"/>
        <v>#N/A</v>
      </c>
      <c r="BU54" s="90" t="e">
        <f t="shared" si="55"/>
        <v>#N/A</v>
      </c>
      <c r="BV54" s="85" t="e">
        <f>IF($D54="P-12",'Standard Data'!$B$12,IF($D54="N-12",'Standard Data'!$B$13,0))*IF($D54="P-12",'Standard Data'!$E$12,IF($D54="N-12",'Standard Data'!$E$13,0))*X54</f>
        <v>#N/A</v>
      </c>
      <c r="BW54" s="19" t="e">
        <f>IF($D54="P-12",'Standard Data'!$B$12,IF($D54="N-12",'Standard Data'!$B$13,0))*IF($D54="P-12",'Standard Data'!$E$12,IF($D54="N-12",'Standard Data'!$E$13,0))*Y54</f>
        <v>#N/A</v>
      </c>
      <c r="BX54" s="19" t="e">
        <f>IF($D54="P-12",'Standard Data'!$B$12,IF($D54="N-12",'Standard Data'!$B$13,0))*IF($D54="P-12",'Standard Data'!$E$12,IF($D54="N-12",'Standard Data'!$E$13,0))*Z54</f>
        <v>#N/A</v>
      </c>
      <c r="BY54" s="19" t="e">
        <f>IF($D54="P-12",'Standard Data'!$B$12,IF($D54="N-12",'Standard Data'!$B$13,0))*IF($D54="P-12",'Standard Data'!$E$12,IF($D54="N-12",'Standard Data'!$E$13,0))*AA54</f>
        <v>#N/A</v>
      </c>
      <c r="BZ54" s="27" t="e">
        <f>IF($D54="P-12",'Standard Data'!$B$12,IF($D54="N-12",'Standard Data'!$B$13,0))*IF($D54="P-12",'Standard Data'!$E$12,IF($D54="N-12",'Standard Data'!$E$13,0))*AB54</f>
        <v>#N/A</v>
      </c>
      <c r="CA54" s="89" t="e">
        <f t="shared" si="56"/>
        <v>#N/A</v>
      </c>
      <c r="CB54" s="87" t="e">
        <f t="shared" si="57"/>
        <v>#N/A</v>
      </c>
      <c r="CC54" s="87" t="e">
        <f t="shared" si="58"/>
        <v>#N/A</v>
      </c>
      <c r="CD54" s="87" t="e">
        <f t="shared" si="59"/>
        <v>#N/A</v>
      </c>
      <c r="CE54" s="90" t="e">
        <f t="shared" si="60"/>
        <v>#N/A</v>
      </c>
      <c r="CF54" s="89" t="e">
        <f t="shared" si="61"/>
        <v>#N/A</v>
      </c>
      <c r="CG54" s="87" t="e">
        <f t="shared" si="62"/>
        <v>#N/A</v>
      </c>
      <c r="CH54" s="87" t="e">
        <f t="shared" si="63"/>
        <v>#N/A</v>
      </c>
      <c r="CI54" s="87" t="e">
        <f t="shared" si="64"/>
        <v>#N/A</v>
      </c>
      <c r="CJ54" s="90" t="e">
        <f t="shared" si="65"/>
        <v>#N/A</v>
      </c>
      <c r="CK54" s="101" t="e">
        <f t="shared" si="16"/>
        <v>#N/A</v>
      </c>
      <c r="CL54" s="95" t="e">
        <f t="shared" si="17"/>
        <v>#N/A</v>
      </c>
      <c r="CM54" s="95" t="e">
        <f t="shared" si="18"/>
        <v>#N/A</v>
      </c>
      <c r="CN54" s="95" t="e">
        <f t="shared" si="19"/>
        <v>#N/A</v>
      </c>
      <c r="CO54" s="102" t="e">
        <f t="shared" si="20"/>
        <v>#N/A</v>
      </c>
      <c r="CP54" s="101" t="e">
        <f t="shared" si="66"/>
        <v>#N/A</v>
      </c>
      <c r="CQ54" s="95" t="e">
        <f t="shared" si="69"/>
        <v>#N/A</v>
      </c>
      <c r="CR54" s="95" t="e">
        <f t="shared" si="70"/>
        <v>#N/A</v>
      </c>
      <c r="CS54" s="95" t="e">
        <f t="shared" si="71"/>
        <v>#N/A</v>
      </c>
      <c r="CT54" s="102" t="e">
        <f t="shared" si="72"/>
        <v>#N/A</v>
      </c>
      <c r="CU54" s="98" t="e">
        <f t="shared" si="22"/>
        <v>#N/A</v>
      </c>
      <c r="CV54" s="98" t="e">
        <f t="shared" si="23"/>
        <v>#N/A</v>
      </c>
      <c r="CW54" s="98" t="e">
        <f t="shared" si="67"/>
        <v>#N/A</v>
      </c>
    </row>
    <row r="55" spans="1:101" x14ac:dyDescent="0.25">
      <c r="A55" s="2">
        <f>'Inputs-Results'!A30</f>
        <v>0</v>
      </c>
      <c r="B55" s="18" t="e">
        <f>_xlfn.XLOOKUP(A55,'Ditch Calculations'!$A$34:$A$114,'Ditch Calculations'!$C$34:$C$114)</f>
        <v>#N/A</v>
      </c>
      <c r="C55" s="2" t="e">
        <f t="shared" si="24"/>
        <v>#N/A</v>
      </c>
      <c r="D55" s="2" t="e">
        <f>_xlfn.XLOOKUP(A55,'Inputs-Results'!$A$9:$A$35,'Inputs-Results'!$B$9:$B$35)</f>
        <v>#N/A</v>
      </c>
      <c r="E55" s="2" t="e">
        <f>C55*_xlfn.XLOOKUP(A55,'Inputs-Results'!$A$9:$A$35,'Inputs-Results'!$C$9:$C$35)</f>
        <v>#N/A</v>
      </c>
      <c r="F55" s="11" t="e">
        <f>MIN(E55/IF(D55="P-12",'Standard Data'!$D$12,IF(D55="N-12",'Standard Data'!$D$13,0))*COS(ATAN(1/_xlfn.XLOOKUP(A55,'Inputs-Results'!$A$9:$A$35,'Inputs-Results'!$C$9:$C$35))),1)</f>
        <v>#N/A</v>
      </c>
      <c r="G55" s="18" t="e">
        <f>(C55+MAX(C55-3.771/_xlfn.XLOOKUP(A55,'Inputs-Results'!A$9:A$35,'Inputs-Results'!$C$9:$C$35),0))/2</f>
        <v>#N/A</v>
      </c>
      <c r="H55" s="18" t="e">
        <f>C55/IF(D55="P-12",'Standard Data'!$C$12,IF(D55="N-12",'Standard Data'!$C$13,0))</f>
        <v>#N/A</v>
      </c>
      <c r="I55" s="19" t="e">
        <f t="shared" si="25"/>
        <v>#N/A</v>
      </c>
      <c r="J55" s="20" t="e">
        <f>I55*IF(D55="P-12",'Standard Data'!$C$12,IF(D55="N-12",'Standard Data'!$C$13,0))*G55^1.5</f>
        <v>#N/A</v>
      </c>
      <c r="K55" s="19" t="e">
        <f>F55*2*IF(D55="P-12",'Standard Data'!$D$12,IF(D55="N-12",'Standard Data'!$D$13,0))</f>
        <v>#N/A</v>
      </c>
      <c r="L55" s="19" t="e">
        <f t="shared" si="26"/>
        <v>#N/A</v>
      </c>
      <c r="M55" s="19" t="e">
        <f t="shared" si="27"/>
        <v>#N/A</v>
      </c>
      <c r="N55" s="20" t="e">
        <f t="shared" si="28"/>
        <v>#N/A</v>
      </c>
      <c r="O55" s="20" t="e">
        <f t="shared" si="29"/>
        <v>#N/A</v>
      </c>
      <c r="P55" s="19" t="e">
        <f>IF(D55="P-12",'Standard Data'!$B$12,IF(D55="N-12",'Standard Data'!$B$13,0))*IF(D55="P-12",'Standard Data'!$E$12,IF(D55="N-12",'Standard Data'!$E$13,0))*F55</f>
        <v>#N/A</v>
      </c>
      <c r="Q55" s="20" t="e">
        <f t="shared" si="30"/>
        <v>#N/A</v>
      </c>
      <c r="R55" s="53" t="e">
        <f t="shared" si="31"/>
        <v>#N/A</v>
      </c>
      <c r="S55" s="26" t="e">
        <f>($C55+S$33)*_xlfn.XLOOKUP($A55,'Inputs-Results'!$A$9:$A$35,'Inputs-Results'!$C$9:$C$35)</f>
        <v>#N/A</v>
      </c>
      <c r="T55" s="2" t="e">
        <f>($C55+T$33)*_xlfn.XLOOKUP($A55,'Inputs-Results'!$A$9:$A$35,'Inputs-Results'!$C$9:$C$35)</f>
        <v>#N/A</v>
      </c>
      <c r="U55" s="2" t="e">
        <f>($C55+U$33)*_xlfn.XLOOKUP($A55,'Inputs-Results'!$A$9:$A$35,'Inputs-Results'!$C$9:$C$35)</f>
        <v>#N/A</v>
      </c>
      <c r="V55" s="2" t="e">
        <f>($C55+V$33)*_xlfn.XLOOKUP($A55,'Inputs-Results'!$A$9:$A$35,'Inputs-Results'!$C$9:$C$35)</f>
        <v>#N/A</v>
      </c>
      <c r="W55" s="31" t="e">
        <f>($C55+W$33)*_xlfn.XLOOKUP($A55,'Inputs-Results'!$A$9:$A$35,'Inputs-Results'!$C$9:$C$35)</f>
        <v>#N/A</v>
      </c>
      <c r="X55" s="59" t="e">
        <f>MIN(S55/IF($D55="P-12",'Standard Data'!$D$12,IF($D55="N-12",'Standard Data'!$D$13,0))*COS(ATAN(1/_xlfn.XLOOKUP($A55,'Inputs-Results'!$A$9:$A$35,'Inputs-Results'!$C$9:$C$35))),1)</f>
        <v>#N/A</v>
      </c>
      <c r="Y55" s="11" t="e">
        <f>MIN(T55/IF($D55="P-12",'Standard Data'!$D$12,IF($D55="N-12",'Standard Data'!$D$13,0))*COS(ATAN(1/_xlfn.XLOOKUP($A55,'Inputs-Results'!$A$9:$A$35,'Inputs-Results'!$C$9:$C$35))),1)</f>
        <v>#N/A</v>
      </c>
      <c r="Z55" s="11" t="e">
        <f>MIN(U55/IF($D55="P-12",'Standard Data'!$D$12,IF($D55="N-12",'Standard Data'!$D$13,0))*COS(ATAN(1/_xlfn.XLOOKUP($A55,'Inputs-Results'!$A$9:$A$35,'Inputs-Results'!$C$9:$C$35))),1)</f>
        <v>#N/A</v>
      </c>
      <c r="AA55" s="11" t="e">
        <f>MIN(V55/IF($D55="P-12",'Standard Data'!$D$12,IF($D55="N-12",'Standard Data'!$D$13,0))*COS(ATAN(1/_xlfn.XLOOKUP($A55,'Inputs-Results'!$A$9:$A$35,'Inputs-Results'!$C$9:$C$35))),1)</f>
        <v>#N/A</v>
      </c>
      <c r="AB55" s="60" t="e">
        <f>MIN(W55/IF($D55="P-12",'Standard Data'!$D$12,IF($D55="N-12",'Standard Data'!$D$13,0))*COS(ATAN(1/_xlfn.XLOOKUP($A55,'Inputs-Results'!$A$9:$A$35,'Inputs-Results'!$C$9:$C$35))),1)</f>
        <v>#N/A</v>
      </c>
      <c r="AC55" s="64" t="e">
        <f>(($C55+S$33)+MAX(($C55+S$33)-3.771/_xlfn.XLOOKUP($A55,'Inputs-Results'!$A$9:$A$35,'Inputs-Results'!$C$9:$C$35),0))/2</f>
        <v>#N/A</v>
      </c>
      <c r="AD55" s="54" t="e">
        <f>(($C55+T$33)+MAX(($C55+T$33)-3.771/_xlfn.XLOOKUP($A55,'Inputs-Results'!$A$9:$A$35,'Inputs-Results'!$C$9:$C$35),0))/2</f>
        <v>#N/A</v>
      </c>
      <c r="AE55" s="54" t="e">
        <f>(($C55+U$33)+MAX(($C55+U$33)-3.771/_xlfn.XLOOKUP($A55,'Inputs-Results'!$A$9:$A$35,'Inputs-Results'!$C$9:$C$35),0))/2</f>
        <v>#N/A</v>
      </c>
      <c r="AF55" s="54" t="e">
        <f>(($C55+V$33)+MAX(($C55+V$33)-3.771/_xlfn.XLOOKUP($A55,'Inputs-Results'!$A$9:$A$35,'Inputs-Results'!$C$9:$C$35),0))/2</f>
        <v>#N/A</v>
      </c>
      <c r="AG55" s="65" t="e">
        <f>(($C55+W$33)+MAX(($C55+W$33)-3.771/_xlfn.XLOOKUP($A55,'Inputs-Results'!$A$9:$A$35,'Inputs-Results'!$C$9:$C$35),0))/2</f>
        <v>#N/A</v>
      </c>
      <c r="AH55" s="69" t="e">
        <f>($C55+S$33)/IF($D55="P-12",'Standard Data'!$C$12,IF($D55="N-12",'Standard Data'!$C$13,0))</f>
        <v>#N/A</v>
      </c>
      <c r="AI55" s="55" t="e">
        <f>($C55+T$33)/IF($D55="P-12",'Standard Data'!$C$12,IF($D55="N-12",'Standard Data'!$C$13,0))</f>
        <v>#N/A</v>
      </c>
      <c r="AJ55" s="55" t="e">
        <f>($C55+U$33)/IF($D55="P-12",'Standard Data'!$C$12,IF($D55="N-12",'Standard Data'!$C$13,0))</f>
        <v>#N/A</v>
      </c>
      <c r="AK55" s="55" t="e">
        <f>($C55+V$33)/IF($D55="P-12",'Standard Data'!$C$12,IF($D55="N-12",'Standard Data'!$C$13,0))</f>
        <v>#N/A</v>
      </c>
      <c r="AL55" s="70" t="e">
        <f>($C55+W$33)/IF($D55="P-12",'Standard Data'!$C$12,IF($D55="N-12",'Standard Data'!$C$13,0))</f>
        <v>#N/A</v>
      </c>
      <c r="AM55" s="69" t="e">
        <f t="shared" si="32"/>
        <v>#N/A</v>
      </c>
      <c r="AN55" s="55" t="e">
        <f t="shared" si="33"/>
        <v>#N/A</v>
      </c>
      <c r="AO55" s="55" t="e">
        <f t="shared" si="34"/>
        <v>#N/A</v>
      </c>
      <c r="AP55" s="55" t="e">
        <f t="shared" si="35"/>
        <v>#N/A</v>
      </c>
      <c r="AQ55" s="70" t="e">
        <f t="shared" si="36"/>
        <v>#N/A</v>
      </c>
      <c r="AR55" s="79" t="e">
        <f>AM55*IF($D55="P-12",'Standard Data'!$C$12,IF($D55="N-12",'Standard Data'!$C$13,0))*AC55^1.5</f>
        <v>#N/A</v>
      </c>
      <c r="AS55" s="80" t="e">
        <f>AN55*IF($D55="P-12",'Standard Data'!$C$12,IF($D55="N-12",'Standard Data'!$C$13,0))*AD55^1.5</f>
        <v>#N/A</v>
      </c>
      <c r="AT55" s="80" t="e">
        <f>AO55*IF($D55="P-12",'Standard Data'!$C$12,IF($D55="N-12",'Standard Data'!$C$13,0))*AE55^1.5</f>
        <v>#N/A</v>
      </c>
      <c r="AU55" s="80" t="e">
        <f>AP55*IF($D55="P-12",'Standard Data'!$C$12,IF($D55="N-12",'Standard Data'!$C$13,0))*AF55^1.5</f>
        <v>#N/A</v>
      </c>
      <c r="AV55" s="81" t="e">
        <f>AQ55*IF($D55="P-12",'Standard Data'!$C$12,IF($D55="N-12",'Standard Data'!$C$13,0))*AG55^1.5</f>
        <v>#N/A</v>
      </c>
      <c r="AW55" s="69" t="e">
        <f>X55*2*IF($D55="P-12",'Standard Data'!$D$12,IF($D55="N-12",'Standard Data'!$D$13,0))</f>
        <v>#N/A</v>
      </c>
      <c r="AX55" s="55" t="e">
        <f>Y55*2*IF($D55="P-12",'Standard Data'!$D$12,IF($D55="N-12",'Standard Data'!$D$13,0))</f>
        <v>#N/A</v>
      </c>
      <c r="AY55" s="55" t="e">
        <f>Z55*2*IF($D55="P-12",'Standard Data'!$D$12,IF($D55="N-12",'Standard Data'!$D$13,0))</f>
        <v>#N/A</v>
      </c>
      <c r="AZ55" s="55" t="e">
        <f>AA55*2*IF($D55="P-12",'Standard Data'!$D$12,IF($D55="N-12",'Standard Data'!$D$13,0))</f>
        <v>#N/A</v>
      </c>
      <c r="BA55" s="74" t="e">
        <f>AB55*2*IF($D55="P-12",'Standard Data'!$D$12,IF($D55="N-12",'Standard Data'!$D$13,0))</f>
        <v>#N/A</v>
      </c>
      <c r="BB55" s="69" t="e">
        <f t="shared" si="37"/>
        <v>#N/A</v>
      </c>
      <c r="BC55" s="55" t="e">
        <f t="shared" si="38"/>
        <v>#N/A</v>
      </c>
      <c r="BD55" s="55" t="e">
        <f t="shared" si="39"/>
        <v>#N/A</v>
      </c>
      <c r="BE55" s="55" t="e">
        <f t="shared" si="68"/>
        <v>#N/A</v>
      </c>
      <c r="BF55" s="70" t="e">
        <f t="shared" si="40"/>
        <v>#N/A</v>
      </c>
      <c r="BG55" s="85" t="e">
        <f t="shared" si="41"/>
        <v>#N/A</v>
      </c>
      <c r="BH55" s="19" t="e">
        <f t="shared" si="42"/>
        <v>#N/A</v>
      </c>
      <c r="BI55" s="19" t="e">
        <f t="shared" si="43"/>
        <v>#N/A</v>
      </c>
      <c r="BJ55" s="19" t="e">
        <f t="shared" si="44"/>
        <v>#N/A</v>
      </c>
      <c r="BK55" s="27" t="e">
        <f t="shared" si="45"/>
        <v>#N/A</v>
      </c>
      <c r="BL55" s="89" t="e">
        <f t="shared" si="46"/>
        <v>#N/A</v>
      </c>
      <c r="BM55" s="87" t="e">
        <f t="shared" si="47"/>
        <v>#N/A</v>
      </c>
      <c r="BN55" s="87" t="e">
        <f t="shared" si="48"/>
        <v>#N/A</v>
      </c>
      <c r="BO55" s="87" t="e">
        <f t="shared" si="49"/>
        <v>#N/A</v>
      </c>
      <c r="BP55" s="90" t="e">
        <f t="shared" si="50"/>
        <v>#N/A</v>
      </c>
      <c r="BQ55" s="89" t="e">
        <f t="shared" si="51"/>
        <v>#N/A</v>
      </c>
      <c r="BR55" s="87" t="e">
        <f t="shared" si="52"/>
        <v>#N/A</v>
      </c>
      <c r="BS55" s="87" t="e">
        <f t="shared" si="53"/>
        <v>#N/A</v>
      </c>
      <c r="BT55" s="87" t="e">
        <f t="shared" si="54"/>
        <v>#N/A</v>
      </c>
      <c r="BU55" s="90" t="e">
        <f t="shared" si="55"/>
        <v>#N/A</v>
      </c>
      <c r="BV55" s="85" t="e">
        <f>IF($D55="P-12",'Standard Data'!$B$12,IF($D55="N-12",'Standard Data'!$B$13,0))*IF($D55="P-12",'Standard Data'!$E$12,IF($D55="N-12",'Standard Data'!$E$13,0))*X55</f>
        <v>#N/A</v>
      </c>
      <c r="BW55" s="19" t="e">
        <f>IF($D55="P-12",'Standard Data'!$B$12,IF($D55="N-12",'Standard Data'!$B$13,0))*IF($D55="P-12",'Standard Data'!$E$12,IF($D55="N-12",'Standard Data'!$E$13,0))*Y55</f>
        <v>#N/A</v>
      </c>
      <c r="BX55" s="19" t="e">
        <f>IF($D55="P-12",'Standard Data'!$B$12,IF($D55="N-12",'Standard Data'!$B$13,0))*IF($D55="P-12",'Standard Data'!$E$12,IF($D55="N-12",'Standard Data'!$E$13,0))*Z55</f>
        <v>#N/A</v>
      </c>
      <c r="BY55" s="19" t="e">
        <f>IF($D55="P-12",'Standard Data'!$B$12,IF($D55="N-12",'Standard Data'!$B$13,0))*IF($D55="P-12",'Standard Data'!$E$12,IF($D55="N-12",'Standard Data'!$E$13,0))*AA55</f>
        <v>#N/A</v>
      </c>
      <c r="BZ55" s="27" t="e">
        <f>IF($D55="P-12",'Standard Data'!$B$12,IF($D55="N-12",'Standard Data'!$B$13,0))*IF($D55="P-12",'Standard Data'!$E$12,IF($D55="N-12",'Standard Data'!$E$13,0))*AB55</f>
        <v>#N/A</v>
      </c>
      <c r="CA55" s="89" t="e">
        <f t="shared" si="56"/>
        <v>#N/A</v>
      </c>
      <c r="CB55" s="87" t="e">
        <f t="shared" si="57"/>
        <v>#N/A</v>
      </c>
      <c r="CC55" s="87" t="e">
        <f t="shared" si="58"/>
        <v>#N/A</v>
      </c>
      <c r="CD55" s="87" t="e">
        <f t="shared" si="59"/>
        <v>#N/A</v>
      </c>
      <c r="CE55" s="90" t="e">
        <f t="shared" si="60"/>
        <v>#N/A</v>
      </c>
      <c r="CF55" s="89" t="e">
        <f t="shared" si="61"/>
        <v>#N/A</v>
      </c>
      <c r="CG55" s="87" t="e">
        <f t="shared" si="62"/>
        <v>#N/A</v>
      </c>
      <c r="CH55" s="87" t="e">
        <f t="shared" si="63"/>
        <v>#N/A</v>
      </c>
      <c r="CI55" s="87" t="e">
        <f t="shared" si="64"/>
        <v>#N/A</v>
      </c>
      <c r="CJ55" s="90" t="e">
        <f t="shared" si="65"/>
        <v>#N/A</v>
      </c>
      <c r="CK55" s="101" t="e">
        <f t="shared" si="16"/>
        <v>#N/A</v>
      </c>
      <c r="CL55" s="95" t="e">
        <f t="shared" si="17"/>
        <v>#N/A</v>
      </c>
      <c r="CM55" s="95" t="e">
        <f t="shared" si="18"/>
        <v>#N/A</v>
      </c>
      <c r="CN55" s="95" t="e">
        <f t="shared" si="19"/>
        <v>#N/A</v>
      </c>
      <c r="CO55" s="102" t="e">
        <f t="shared" si="20"/>
        <v>#N/A</v>
      </c>
      <c r="CP55" s="101" t="e">
        <f t="shared" si="66"/>
        <v>#N/A</v>
      </c>
      <c r="CQ55" s="95" t="e">
        <f t="shared" si="69"/>
        <v>#N/A</v>
      </c>
      <c r="CR55" s="95" t="e">
        <f t="shared" si="70"/>
        <v>#N/A</v>
      </c>
      <c r="CS55" s="95" t="e">
        <f t="shared" si="71"/>
        <v>#N/A</v>
      </c>
      <c r="CT55" s="102" t="e">
        <f t="shared" si="72"/>
        <v>#N/A</v>
      </c>
      <c r="CU55" s="98" t="e">
        <f t="shared" si="22"/>
        <v>#N/A</v>
      </c>
      <c r="CV55" s="98" t="e">
        <f t="shared" si="23"/>
        <v>#N/A</v>
      </c>
      <c r="CW55" s="98" t="e">
        <f t="shared" si="67"/>
        <v>#N/A</v>
      </c>
    </row>
    <row r="56" spans="1:101" x14ac:dyDescent="0.25">
      <c r="A56" s="2">
        <f>'Inputs-Results'!A31</f>
        <v>0</v>
      </c>
      <c r="B56" s="18" t="e">
        <f>_xlfn.XLOOKUP(A56,'Ditch Calculations'!$A$34:$A$114,'Ditch Calculations'!$C$34:$C$114)</f>
        <v>#N/A</v>
      </c>
      <c r="C56" s="2" t="e">
        <f t="shared" si="24"/>
        <v>#N/A</v>
      </c>
      <c r="D56" s="2" t="e">
        <f>_xlfn.XLOOKUP(A56,'Inputs-Results'!$A$9:$A$35,'Inputs-Results'!$B$9:$B$35)</f>
        <v>#N/A</v>
      </c>
      <c r="E56" s="2" t="e">
        <f>C56*_xlfn.XLOOKUP(A56,'Inputs-Results'!$A$9:$A$35,'Inputs-Results'!$C$9:$C$35)</f>
        <v>#N/A</v>
      </c>
      <c r="F56" s="11" t="e">
        <f>MIN(E56/IF(D56="P-12",'Standard Data'!$D$12,IF(D56="N-12",'Standard Data'!$D$13,0))*COS(ATAN(1/_xlfn.XLOOKUP(A56,'Inputs-Results'!$A$9:$A$35,'Inputs-Results'!$C$9:$C$35))),1)</f>
        <v>#N/A</v>
      </c>
      <c r="G56" s="18" t="e">
        <f>(C56+MAX(C56-3.771/_xlfn.XLOOKUP(A56,'Inputs-Results'!A$9:A$35,'Inputs-Results'!$C$9:$C$35),0))/2</f>
        <v>#N/A</v>
      </c>
      <c r="H56" s="18" t="e">
        <f>C56/IF(D56="P-12",'Standard Data'!$C$12,IF(D56="N-12",'Standard Data'!$C$13,0))</f>
        <v>#N/A</v>
      </c>
      <c r="I56" s="19" t="e">
        <f t="shared" si="25"/>
        <v>#N/A</v>
      </c>
      <c r="J56" s="20" t="e">
        <f>I56*IF(D56="P-12",'Standard Data'!$C$12,IF(D56="N-12",'Standard Data'!$C$13,0))*G56^1.5</f>
        <v>#N/A</v>
      </c>
      <c r="K56" s="19" t="e">
        <f>F56*2*IF(D56="P-12",'Standard Data'!$D$12,IF(D56="N-12",'Standard Data'!$D$13,0))</f>
        <v>#N/A</v>
      </c>
      <c r="L56" s="19" t="e">
        <f t="shared" si="26"/>
        <v>#N/A</v>
      </c>
      <c r="M56" s="19" t="e">
        <f t="shared" si="27"/>
        <v>#N/A</v>
      </c>
      <c r="N56" s="20" t="e">
        <f t="shared" si="28"/>
        <v>#N/A</v>
      </c>
      <c r="O56" s="20" t="e">
        <f t="shared" si="29"/>
        <v>#N/A</v>
      </c>
      <c r="P56" s="19" t="e">
        <f>IF(D56="P-12",'Standard Data'!$B$12,IF(D56="N-12",'Standard Data'!$B$13,0))*IF(D56="P-12",'Standard Data'!$E$12,IF(D56="N-12",'Standard Data'!$E$13,0))*F56</f>
        <v>#N/A</v>
      </c>
      <c r="Q56" s="20" t="e">
        <f t="shared" si="30"/>
        <v>#N/A</v>
      </c>
      <c r="R56" s="53" t="e">
        <f t="shared" si="31"/>
        <v>#N/A</v>
      </c>
      <c r="S56" s="26" t="e">
        <f>($C56+S$33)*_xlfn.XLOOKUP($A56,'Inputs-Results'!$A$9:$A$35,'Inputs-Results'!$C$9:$C$35)</f>
        <v>#N/A</v>
      </c>
      <c r="T56" s="2" t="e">
        <f>($C56+T$33)*_xlfn.XLOOKUP($A56,'Inputs-Results'!$A$9:$A$35,'Inputs-Results'!$C$9:$C$35)</f>
        <v>#N/A</v>
      </c>
      <c r="U56" s="2" t="e">
        <f>($C56+U$33)*_xlfn.XLOOKUP($A56,'Inputs-Results'!$A$9:$A$35,'Inputs-Results'!$C$9:$C$35)</f>
        <v>#N/A</v>
      </c>
      <c r="V56" s="2" t="e">
        <f>($C56+V$33)*_xlfn.XLOOKUP($A56,'Inputs-Results'!$A$9:$A$35,'Inputs-Results'!$C$9:$C$35)</f>
        <v>#N/A</v>
      </c>
      <c r="W56" s="31" t="e">
        <f>($C56+W$33)*_xlfn.XLOOKUP($A56,'Inputs-Results'!$A$9:$A$35,'Inputs-Results'!$C$9:$C$35)</f>
        <v>#N/A</v>
      </c>
      <c r="X56" s="59" t="e">
        <f>MIN(S56/IF($D56="P-12",'Standard Data'!$D$12,IF($D56="N-12",'Standard Data'!$D$13,0))*COS(ATAN(1/_xlfn.XLOOKUP($A56,'Inputs-Results'!$A$9:$A$35,'Inputs-Results'!$C$9:$C$35))),1)</f>
        <v>#N/A</v>
      </c>
      <c r="Y56" s="11" t="e">
        <f>MIN(T56/IF($D56="P-12",'Standard Data'!$D$12,IF($D56="N-12",'Standard Data'!$D$13,0))*COS(ATAN(1/_xlfn.XLOOKUP($A56,'Inputs-Results'!$A$9:$A$35,'Inputs-Results'!$C$9:$C$35))),1)</f>
        <v>#N/A</v>
      </c>
      <c r="Z56" s="11" t="e">
        <f>MIN(U56/IF($D56="P-12",'Standard Data'!$D$12,IF($D56="N-12",'Standard Data'!$D$13,0))*COS(ATAN(1/_xlfn.XLOOKUP($A56,'Inputs-Results'!$A$9:$A$35,'Inputs-Results'!$C$9:$C$35))),1)</f>
        <v>#N/A</v>
      </c>
      <c r="AA56" s="11" t="e">
        <f>MIN(V56/IF($D56="P-12",'Standard Data'!$D$12,IF($D56="N-12",'Standard Data'!$D$13,0))*COS(ATAN(1/_xlfn.XLOOKUP($A56,'Inputs-Results'!$A$9:$A$35,'Inputs-Results'!$C$9:$C$35))),1)</f>
        <v>#N/A</v>
      </c>
      <c r="AB56" s="60" t="e">
        <f>MIN(W56/IF($D56="P-12",'Standard Data'!$D$12,IF($D56="N-12",'Standard Data'!$D$13,0))*COS(ATAN(1/_xlfn.XLOOKUP($A56,'Inputs-Results'!$A$9:$A$35,'Inputs-Results'!$C$9:$C$35))),1)</f>
        <v>#N/A</v>
      </c>
      <c r="AC56" s="64" t="e">
        <f>(($C56+S$33)+MAX(($C56+S$33)-3.771/_xlfn.XLOOKUP($A56,'Inputs-Results'!$A$9:$A$35,'Inputs-Results'!$C$9:$C$35),0))/2</f>
        <v>#N/A</v>
      </c>
      <c r="AD56" s="54" t="e">
        <f>(($C56+T$33)+MAX(($C56+T$33)-3.771/_xlfn.XLOOKUP($A56,'Inputs-Results'!$A$9:$A$35,'Inputs-Results'!$C$9:$C$35),0))/2</f>
        <v>#N/A</v>
      </c>
      <c r="AE56" s="54" t="e">
        <f>(($C56+U$33)+MAX(($C56+U$33)-3.771/_xlfn.XLOOKUP($A56,'Inputs-Results'!$A$9:$A$35,'Inputs-Results'!$C$9:$C$35),0))/2</f>
        <v>#N/A</v>
      </c>
      <c r="AF56" s="54" t="e">
        <f>(($C56+V$33)+MAX(($C56+V$33)-3.771/_xlfn.XLOOKUP($A56,'Inputs-Results'!$A$9:$A$35,'Inputs-Results'!$C$9:$C$35),0))/2</f>
        <v>#N/A</v>
      </c>
      <c r="AG56" s="65" t="e">
        <f>(($C56+W$33)+MAX(($C56+W$33)-3.771/_xlfn.XLOOKUP($A56,'Inputs-Results'!$A$9:$A$35,'Inputs-Results'!$C$9:$C$35),0))/2</f>
        <v>#N/A</v>
      </c>
      <c r="AH56" s="69" t="e">
        <f>($C56+S$33)/IF($D56="P-12",'Standard Data'!$C$12,IF($D56="N-12",'Standard Data'!$C$13,0))</f>
        <v>#N/A</v>
      </c>
      <c r="AI56" s="55" t="e">
        <f>($C56+T$33)/IF($D56="P-12",'Standard Data'!$C$12,IF($D56="N-12",'Standard Data'!$C$13,0))</f>
        <v>#N/A</v>
      </c>
      <c r="AJ56" s="55" t="e">
        <f>($C56+U$33)/IF($D56="P-12",'Standard Data'!$C$12,IF($D56="N-12",'Standard Data'!$C$13,0))</f>
        <v>#N/A</v>
      </c>
      <c r="AK56" s="55" t="e">
        <f>($C56+V$33)/IF($D56="P-12",'Standard Data'!$C$12,IF($D56="N-12",'Standard Data'!$C$13,0))</f>
        <v>#N/A</v>
      </c>
      <c r="AL56" s="70" t="e">
        <f>($C56+W$33)/IF($D56="P-12",'Standard Data'!$C$12,IF($D56="N-12",'Standard Data'!$C$13,0))</f>
        <v>#N/A</v>
      </c>
      <c r="AM56" s="69" t="e">
        <f t="shared" si="32"/>
        <v>#N/A</v>
      </c>
      <c r="AN56" s="55" t="e">
        <f t="shared" si="33"/>
        <v>#N/A</v>
      </c>
      <c r="AO56" s="55" t="e">
        <f t="shared" si="34"/>
        <v>#N/A</v>
      </c>
      <c r="AP56" s="55" t="e">
        <f t="shared" si="35"/>
        <v>#N/A</v>
      </c>
      <c r="AQ56" s="70" t="e">
        <f t="shared" si="36"/>
        <v>#N/A</v>
      </c>
      <c r="AR56" s="79" t="e">
        <f>AM56*IF($D56="P-12",'Standard Data'!$C$12,IF($D56="N-12",'Standard Data'!$C$13,0))*AC56^1.5</f>
        <v>#N/A</v>
      </c>
      <c r="AS56" s="80" t="e">
        <f>AN56*IF($D56="P-12",'Standard Data'!$C$12,IF($D56="N-12",'Standard Data'!$C$13,0))*AD56^1.5</f>
        <v>#N/A</v>
      </c>
      <c r="AT56" s="80" t="e">
        <f>AO56*IF($D56="P-12",'Standard Data'!$C$12,IF($D56="N-12",'Standard Data'!$C$13,0))*AE56^1.5</f>
        <v>#N/A</v>
      </c>
      <c r="AU56" s="80" t="e">
        <f>AP56*IF($D56="P-12",'Standard Data'!$C$12,IF($D56="N-12",'Standard Data'!$C$13,0))*AF56^1.5</f>
        <v>#N/A</v>
      </c>
      <c r="AV56" s="81" t="e">
        <f>AQ56*IF($D56="P-12",'Standard Data'!$C$12,IF($D56="N-12",'Standard Data'!$C$13,0))*AG56^1.5</f>
        <v>#N/A</v>
      </c>
      <c r="AW56" s="69" t="e">
        <f>X56*2*IF($D56="P-12",'Standard Data'!$D$12,IF($D56="N-12",'Standard Data'!$D$13,0))</f>
        <v>#N/A</v>
      </c>
      <c r="AX56" s="55" t="e">
        <f>Y56*2*IF($D56="P-12",'Standard Data'!$D$12,IF($D56="N-12",'Standard Data'!$D$13,0))</f>
        <v>#N/A</v>
      </c>
      <c r="AY56" s="55" t="e">
        <f>Z56*2*IF($D56="P-12",'Standard Data'!$D$12,IF($D56="N-12",'Standard Data'!$D$13,0))</f>
        <v>#N/A</v>
      </c>
      <c r="AZ56" s="55" t="e">
        <f>AA56*2*IF($D56="P-12",'Standard Data'!$D$12,IF($D56="N-12",'Standard Data'!$D$13,0))</f>
        <v>#N/A</v>
      </c>
      <c r="BA56" s="74" t="e">
        <f>AB56*2*IF($D56="P-12",'Standard Data'!$D$12,IF($D56="N-12",'Standard Data'!$D$13,0))</f>
        <v>#N/A</v>
      </c>
      <c r="BB56" s="69" t="e">
        <f t="shared" si="37"/>
        <v>#N/A</v>
      </c>
      <c r="BC56" s="55" t="e">
        <f t="shared" si="38"/>
        <v>#N/A</v>
      </c>
      <c r="BD56" s="55" t="e">
        <f t="shared" si="39"/>
        <v>#N/A</v>
      </c>
      <c r="BE56" s="55" t="e">
        <f t="shared" si="68"/>
        <v>#N/A</v>
      </c>
      <c r="BF56" s="70" t="e">
        <f t="shared" si="40"/>
        <v>#N/A</v>
      </c>
      <c r="BG56" s="85" t="e">
        <f t="shared" si="41"/>
        <v>#N/A</v>
      </c>
      <c r="BH56" s="19" t="e">
        <f t="shared" si="42"/>
        <v>#N/A</v>
      </c>
      <c r="BI56" s="19" t="e">
        <f t="shared" si="43"/>
        <v>#N/A</v>
      </c>
      <c r="BJ56" s="19" t="e">
        <f t="shared" si="44"/>
        <v>#N/A</v>
      </c>
      <c r="BK56" s="27" t="e">
        <f t="shared" si="45"/>
        <v>#N/A</v>
      </c>
      <c r="BL56" s="89" t="e">
        <f t="shared" si="46"/>
        <v>#N/A</v>
      </c>
      <c r="BM56" s="87" t="e">
        <f t="shared" si="47"/>
        <v>#N/A</v>
      </c>
      <c r="BN56" s="87" t="e">
        <f t="shared" si="48"/>
        <v>#N/A</v>
      </c>
      <c r="BO56" s="87" t="e">
        <f t="shared" si="49"/>
        <v>#N/A</v>
      </c>
      <c r="BP56" s="90" t="e">
        <f t="shared" si="50"/>
        <v>#N/A</v>
      </c>
      <c r="BQ56" s="89" t="e">
        <f t="shared" si="51"/>
        <v>#N/A</v>
      </c>
      <c r="BR56" s="87" t="e">
        <f t="shared" si="52"/>
        <v>#N/A</v>
      </c>
      <c r="BS56" s="87" t="e">
        <f t="shared" si="53"/>
        <v>#N/A</v>
      </c>
      <c r="BT56" s="87" t="e">
        <f t="shared" si="54"/>
        <v>#N/A</v>
      </c>
      <c r="BU56" s="90" t="e">
        <f t="shared" si="55"/>
        <v>#N/A</v>
      </c>
      <c r="BV56" s="85" t="e">
        <f>IF($D56="P-12",'Standard Data'!$B$12,IF($D56="N-12",'Standard Data'!$B$13,0))*IF($D56="P-12",'Standard Data'!$E$12,IF($D56="N-12",'Standard Data'!$E$13,0))*X56</f>
        <v>#N/A</v>
      </c>
      <c r="BW56" s="19" t="e">
        <f>IF($D56="P-12",'Standard Data'!$B$12,IF($D56="N-12",'Standard Data'!$B$13,0))*IF($D56="P-12",'Standard Data'!$E$12,IF($D56="N-12",'Standard Data'!$E$13,0))*Y56</f>
        <v>#N/A</v>
      </c>
      <c r="BX56" s="19" t="e">
        <f>IF($D56="P-12",'Standard Data'!$B$12,IF($D56="N-12",'Standard Data'!$B$13,0))*IF($D56="P-12",'Standard Data'!$E$12,IF($D56="N-12",'Standard Data'!$E$13,0))*Z56</f>
        <v>#N/A</v>
      </c>
      <c r="BY56" s="19" t="e">
        <f>IF($D56="P-12",'Standard Data'!$B$12,IF($D56="N-12",'Standard Data'!$B$13,0))*IF($D56="P-12",'Standard Data'!$E$12,IF($D56="N-12",'Standard Data'!$E$13,0))*AA56</f>
        <v>#N/A</v>
      </c>
      <c r="BZ56" s="27" t="e">
        <f>IF($D56="P-12",'Standard Data'!$B$12,IF($D56="N-12",'Standard Data'!$B$13,0))*IF($D56="P-12",'Standard Data'!$E$12,IF($D56="N-12",'Standard Data'!$E$13,0))*AB56</f>
        <v>#N/A</v>
      </c>
      <c r="CA56" s="89" t="e">
        <f t="shared" si="56"/>
        <v>#N/A</v>
      </c>
      <c r="CB56" s="87" t="e">
        <f t="shared" si="57"/>
        <v>#N/A</v>
      </c>
      <c r="CC56" s="87" t="e">
        <f t="shared" si="58"/>
        <v>#N/A</v>
      </c>
      <c r="CD56" s="87" t="e">
        <f t="shared" si="59"/>
        <v>#N/A</v>
      </c>
      <c r="CE56" s="90" t="e">
        <f t="shared" si="60"/>
        <v>#N/A</v>
      </c>
      <c r="CF56" s="89" t="e">
        <f t="shared" si="61"/>
        <v>#N/A</v>
      </c>
      <c r="CG56" s="87" t="e">
        <f t="shared" si="62"/>
        <v>#N/A</v>
      </c>
      <c r="CH56" s="87" t="e">
        <f t="shared" si="63"/>
        <v>#N/A</v>
      </c>
      <c r="CI56" s="87" t="e">
        <f t="shared" si="64"/>
        <v>#N/A</v>
      </c>
      <c r="CJ56" s="90" t="e">
        <f t="shared" si="65"/>
        <v>#N/A</v>
      </c>
      <c r="CK56" s="101" t="e">
        <f t="shared" si="16"/>
        <v>#N/A</v>
      </c>
      <c r="CL56" s="95" t="e">
        <f t="shared" si="17"/>
        <v>#N/A</v>
      </c>
      <c r="CM56" s="95" t="e">
        <f t="shared" si="18"/>
        <v>#N/A</v>
      </c>
      <c r="CN56" s="95" t="e">
        <f t="shared" si="19"/>
        <v>#N/A</v>
      </c>
      <c r="CO56" s="102" t="e">
        <f t="shared" si="20"/>
        <v>#N/A</v>
      </c>
      <c r="CP56" s="101" t="e">
        <f t="shared" si="66"/>
        <v>#N/A</v>
      </c>
      <c r="CQ56" s="95" t="e">
        <f t="shared" si="69"/>
        <v>#N/A</v>
      </c>
      <c r="CR56" s="95" t="e">
        <f t="shared" si="70"/>
        <v>#N/A</v>
      </c>
      <c r="CS56" s="95" t="e">
        <f t="shared" si="71"/>
        <v>#N/A</v>
      </c>
      <c r="CT56" s="102" t="e">
        <f t="shared" si="72"/>
        <v>#N/A</v>
      </c>
      <c r="CU56" s="98" t="e">
        <f t="shared" si="22"/>
        <v>#N/A</v>
      </c>
      <c r="CV56" s="98" t="e">
        <f t="shared" si="23"/>
        <v>#N/A</v>
      </c>
      <c r="CW56" s="98" t="e">
        <f t="shared" si="67"/>
        <v>#N/A</v>
      </c>
    </row>
    <row r="57" spans="1:101" x14ac:dyDescent="0.25">
      <c r="A57" s="2">
        <f>'Inputs-Results'!A32</f>
        <v>0</v>
      </c>
      <c r="B57" s="18" t="e">
        <f>_xlfn.XLOOKUP(A57,'Ditch Calculations'!$A$34:$A$114,'Ditch Calculations'!$C$34:$C$114)</f>
        <v>#N/A</v>
      </c>
      <c r="C57" s="2" t="e">
        <f t="shared" si="24"/>
        <v>#N/A</v>
      </c>
      <c r="D57" s="2" t="e">
        <f>_xlfn.XLOOKUP(A57,'Inputs-Results'!$A$9:$A$35,'Inputs-Results'!$B$9:$B$35)</f>
        <v>#N/A</v>
      </c>
      <c r="E57" s="2" t="e">
        <f>C57*_xlfn.XLOOKUP(A57,'Inputs-Results'!$A$9:$A$35,'Inputs-Results'!$C$9:$C$35)</f>
        <v>#N/A</v>
      </c>
      <c r="F57" s="11" t="e">
        <f>MIN(E57/IF(D57="P-12",'Standard Data'!$D$12,IF(D57="N-12",'Standard Data'!$D$13,0))*COS(ATAN(1/_xlfn.XLOOKUP(A57,'Inputs-Results'!$A$9:$A$35,'Inputs-Results'!$C$9:$C$35))),1)</f>
        <v>#N/A</v>
      </c>
      <c r="G57" s="18" t="e">
        <f>(C57+MAX(C57-3.771/_xlfn.XLOOKUP(A57,'Inputs-Results'!A$9:A$35,'Inputs-Results'!$C$9:$C$35),0))/2</f>
        <v>#N/A</v>
      </c>
      <c r="H57" s="18" t="e">
        <f>C57/IF(D57="P-12",'Standard Data'!$C$12,IF(D57="N-12",'Standard Data'!$C$13,0))</f>
        <v>#N/A</v>
      </c>
      <c r="I57" s="19" t="e">
        <f t="shared" si="25"/>
        <v>#N/A</v>
      </c>
      <c r="J57" s="20" t="e">
        <f>I57*IF(D57="P-12",'Standard Data'!$C$12,IF(D57="N-12",'Standard Data'!$C$13,0))*G57^1.5</f>
        <v>#N/A</v>
      </c>
      <c r="K57" s="19" t="e">
        <f>F57*2*IF(D57="P-12",'Standard Data'!$D$12,IF(D57="N-12",'Standard Data'!$D$13,0))</f>
        <v>#N/A</v>
      </c>
      <c r="L57" s="19" t="e">
        <f t="shared" si="26"/>
        <v>#N/A</v>
      </c>
      <c r="M57" s="19" t="e">
        <f t="shared" si="27"/>
        <v>#N/A</v>
      </c>
      <c r="N57" s="20" t="e">
        <f t="shared" si="28"/>
        <v>#N/A</v>
      </c>
      <c r="O57" s="20" t="e">
        <f t="shared" si="29"/>
        <v>#N/A</v>
      </c>
      <c r="P57" s="19" t="e">
        <f>IF(D57="P-12",'Standard Data'!$B$12,IF(D57="N-12",'Standard Data'!$B$13,0))*IF(D57="P-12",'Standard Data'!$E$12,IF(D57="N-12",'Standard Data'!$E$13,0))*F57</f>
        <v>#N/A</v>
      </c>
      <c r="Q57" s="20" t="e">
        <f t="shared" si="30"/>
        <v>#N/A</v>
      </c>
      <c r="R57" s="53" t="e">
        <f t="shared" si="31"/>
        <v>#N/A</v>
      </c>
      <c r="S57" s="26" t="e">
        <f>($C57+S$33)*_xlfn.XLOOKUP($A57,'Inputs-Results'!$A$9:$A$35,'Inputs-Results'!$C$9:$C$35)</f>
        <v>#N/A</v>
      </c>
      <c r="T57" s="2" t="e">
        <f>($C57+T$33)*_xlfn.XLOOKUP($A57,'Inputs-Results'!$A$9:$A$35,'Inputs-Results'!$C$9:$C$35)</f>
        <v>#N/A</v>
      </c>
      <c r="U57" s="2" t="e">
        <f>($C57+U$33)*_xlfn.XLOOKUP($A57,'Inputs-Results'!$A$9:$A$35,'Inputs-Results'!$C$9:$C$35)</f>
        <v>#N/A</v>
      </c>
      <c r="V57" s="2" t="e">
        <f>($C57+V$33)*_xlfn.XLOOKUP($A57,'Inputs-Results'!$A$9:$A$35,'Inputs-Results'!$C$9:$C$35)</f>
        <v>#N/A</v>
      </c>
      <c r="W57" s="31" t="e">
        <f>($C57+W$33)*_xlfn.XLOOKUP($A57,'Inputs-Results'!$A$9:$A$35,'Inputs-Results'!$C$9:$C$35)</f>
        <v>#N/A</v>
      </c>
      <c r="X57" s="59" t="e">
        <f>MIN(S57/IF($D57="P-12",'Standard Data'!$D$12,IF($D57="N-12",'Standard Data'!$D$13,0))*COS(ATAN(1/_xlfn.XLOOKUP($A57,'Inputs-Results'!$A$9:$A$35,'Inputs-Results'!$C$9:$C$35))),1)</f>
        <v>#N/A</v>
      </c>
      <c r="Y57" s="11" t="e">
        <f>MIN(T57/IF($D57="P-12",'Standard Data'!$D$12,IF($D57="N-12",'Standard Data'!$D$13,0))*COS(ATAN(1/_xlfn.XLOOKUP($A57,'Inputs-Results'!$A$9:$A$35,'Inputs-Results'!$C$9:$C$35))),1)</f>
        <v>#N/A</v>
      </c>
      <c r="Z57" s="11" t="e">
        <f>MIN(U57/IF($D57="P-12",'Standard Data'!$D$12,IF($D57="N-12",'Standard Data'!$D$13,0))*COS(ATAN(1/_xlfn.XLOOKUP($A57,'Inputs-Results'!$A$9:$A$35,'Inputs-Results'!$C$9:$C$35))),1)</f>
        <v>#N/A</v>
      </c>
      <c r="AA57" s="11" t="e">
        <f>MIN(V57/IF($D57="P-12",'Standard Data'!$D$12,IF($D57="N-12",'Standard Data'!$D$13,0))*COS(ATAN(1/_xlfn.XLOOKUP($A57,'Inputs-Results'!$A$9:$A$35,'Inputs-Results'!$C$9:$C$35))),1)</f>
        <v>#N/A</v>
      </c>
      <c r="AB57" s="60" t="e">
        <f>MIN(W57/IF($D57="P-12",'Standard Data'!$D$12,IF($D57="N-12",'Standard Data'!$D$13,0))*COS(ATAN(1/_xlfn.XLOOKUP($A57,'Inputs-Results'!$A$9:$A$35,'Inputs-Results'!$C$9:$C$35))),1)</f>
        <v>#N/A</v>
      </c>
      <c r="AC57" s="64" t="e">
        <f>(($C57+S$33)+MAX(($C57+S$33)-3.771/_xlfn.XLOOKUP($A57,'Inputs-Results'!$A$9:$A$35,'Inputs-Results'!$C$9:$C$35),0))/2</f>
        <v>#N/A</v>
      </c>
      <c r="AD57" s="54" t="e">
        <f>(($C57+T$33)+MAX(($C57+T$33)-3.771/_xlfn.XLOOKUP($A57,'Inputs-Results'!$A$9:$A$35,'Inputs-Results'!$C$9:$C$35),0))/2</f>
        <v>#N/A</v>
      </c>
      <c r="AE57" s="54" t="e">
        <f>(($C57+U$33)+MAX(($C57+U$33)-3.771/_xlfn.XLOOKUP($A57,'Inputs-Results'!$A$9:$A$35,'Inputs-Results'!$C$9:$C$35),0))/2</f>
        <v>#N/A</v>
      </c>
      <c r="AF57" s="54" t="e">
        <f>(($C57+V$33)+MAX(($C57+V$33)-3.771/_xlfn.XLOOKUP($A57,'Inputs-Results'!$A$9:$A$35,'Inputs-Results'!$C$9:$C$35),0))/2</f>
        <v>#N/A</v>
      </c>
      <c r="AG57" s="65" t="e">
        <f>(($C57+W$33)+MAX(($C57+W$33)-3.771/_xlfn.XLOOKUP($A57,'Inputs-Results'!$A$9:$A$35,'Inputs-Results'!$C$9:$C$35),0))/2</f>
        <v>#N/A</v>
      </c>
      <c r="AH57" s="69" t="e">
        <f>($C57+S$33)/IF($D57="P-12",'Standard Data'!$C$12,IF($D57="N-12",'Standard Data'!$C$13,0))</f>
        <v>#N/A</v>
      </c>
      <c r="AI57" s="55" t="e">
        <f>($C57+T$33)/IF($D57="P-12",'Standard Data'!$C$12,IF($D57="N-12",'Standard Data'!$C$13,0))</f>
        <v>#N/A</v>
      </c>
      <c r="AJ57" s="55" t="e">
        <f>($C57+U$33)/IF($D57="P-12",'Standard Data'!$C$12,IF($D57="N-12",'Standard Data'!$C$13,0))</f>
        <v>#N/A</v>
      </c>
      <c r="AK57" s="55" t="e">
        <f>($C57+V$33)/IF($D57="P-12",'Standard Data'!$C$12,IF($D57="N-12",'Standard Data'!$C$13,0))</f>
        <v>#N/A</v>
      </c>
      <c r="AL57" s="70" t="e">
        <f>($C57+W$33)/IF($D57="P-12",'Standard Data'!$C$12,IF($D57="N-12",'Standard Data'!$C$13,0))</f>
        <v>#N/A</v>
      </c>
      <c r="AM57" s="69" t="e">
        <f t="shared" si="32"/>
        <v>#N/A</v>
      </c>
      <c r="AN57" s="55" t="e">
        <f t="shared" si="33"/>
        <v>#N/A</v>
      </c>
      <c r="AO57" s="55" t="e">
        <f t="shared" si="34"/>
        <v>#N/A</v>
      </c>
      <c r="AP57" s="55" t="e">
        <f t="shared" si="35"/>
        <v>#N/A</v>
      </c>
      <c r="AQ57" s="70" t="e">
        <f t="shared" si="36"/>
        <v>#N/A</v>
      </c>
      <c r="AR57" s="79" t="e">
        <f>AM57*IF($D57="P-12",'Standard Data'!$C$12,IF($D57="N-12",'Standard Data'!$C$13,0))*AC57^1.5</f>
        <v>#N/A</v>
      </c>
      <c r="AS57" s="80" t="e">
        <f>AN57*IF($D57="P-12",'Standard Data'!$C$12,IF($D57="N-12",'Standard Data'!$C$13,0))*AD57^1.5</f>
        <v>#N/A</v>
      </c>
      <c r="AT57" s="80" t="e">
        <f>AO57*IF($D57="P-12",'Standard Data'!$C$12,IF($D57="N-12",'Standard Data'!$C$13,0))*AE57^1.5</f>
        <v>#N/A</v>
      </c>
      <c r="AU57" s="80" t="e">
        <f>AP57*IF($D57="P-12",'Standard Data'!$C$12,IF($D57="N-12",'Standard Data'!$C$13,0))*AF57^1.5</f>
        <v>#N/A</v>
      </c>
      <c r="AV57" s="81" t="e">
        <f>AQ57*IF($D57="P-12",'Standard Data'!$C$12,IF($D57="N-12",'Standard Data'!$C$13,0))*AG57^1.5</f>
        <v>#N/A</v>
      </c>
      <c r="AW57" s="69" t="e">
        <f>X57*2*IF($D57="P-12",'Standard Data'!$D$12,IF($D57="N-12",'Standard Data'!$D$13,0))</f>
        <v>#N/A</v>
      </c>
      <c r="AX57" s="55" t="e">
        <f>Y57*2*IF($D57="P-12",'Standard Data'!$D$12,IF($D57="N-12",'Standard Data'!$D$13,0))</f>
        <v>#N/A</v>
      </c>
      <c r="AY57" s="55" t="e">
        <f>Z57*2*IF($D57="P-12",'Standard Data'!$D$12,IF($D57="N-12",'Standard Data'!$D$13,0))</f>
        <v>#N/A</v>
      </c>
      <c r="AZ57" s="55" t="e">
        <f>AA57*2*IF($D57="P-12",'Standard Data'!$D$12,IF($D57="N-12",'Standard Data'!$D$13,0))</f>
        <v>#N/A</v>
      </c>
      <c r="BA57" s="74" t="e">
        <f>AB57*2*IF($D57="P-12",'Standard Data'!$D$12,IF($D57="N-12",'Standard Data'!$D$13,0))</f>
        <v>#N/A</v>
      </c>
      <c r="BB57" s="69" t="e">
        <f t="shared" si="37"/>
        <v>#N/A</v>
      </c>
      <c r="BC57" s="55" t="e">
        <f t="shared" si="38"/>
        <v>#N/A</v>
      </c>
      <c r="BD57" s="55" t="e">
        <f t="shared" si="39"/>
        <v>#N/A</v>
      </c>
      <c r="BE57" s="55" t="e">
        <f t="shared" si="68"/>
        <v>#N/A</v>
      </c>
      <c r="BF57" s="70" t="e">
        <f t="shared" si="40"/>
        <v>#N/A</v>
      </c>
      <c r="BG57" s="85" t="e">
        <f t="shared" si="41"/>
        <v>#N/A</v>
      </c>
      <c r="BH57" s="19" t="e">
        <f t="shared" si="42"/>
        <v>#N/A</v>
      </c>
      <c r="BI57" s="19" t="e">
        <f t="shared" si="43"/>
        <v>#N/A</v>
      </c>
      <c r="BJ57" s="19" t="e">
        <f t="shared" si="44"/>
        <v>#N/A</v>
      </c>
      <c r="BK57" s="27" t="e">
        <f t="shared" si="45"/>
        <v>#N/A</v>
      </c>
      <c r="BL57" s="89" t="e">
        <f t="shared" si="46"/>
        <v>#N/A</v>
      </c>
      <c r="BM57" s="87" t="e">
        <f t="shared" si="47"/>
        <v>#N/A</v>
      </c>
      <c r="BN57" s="87" t="e">
        <f t="shared" si="48"/>
        <v>#N/A</v>
      </c>
      <c r="BO57" s="87" t="e">
        <f t="shared" si="49"/>
        <v>#N/A</v>
      </c>
      <c r="BP57" s="90" t="e">
        <f t="shared" si="50"/>
        <v>#N/A</v>
      </c>
      <c r="BQ57" s="89" t="e">
        <f t="shared" si="51"/>
        <v>#N/A</v>
      </c>
      <c r="BR57" s="87" t="e">
        <f t="shared" si="52"/>
        <v>#N/A</v>
      </c>
      <c r="BS57" s="87" t="e">
        <f t="shared" si="53"/>
        <v>#N/A</v>
      </c>
      <c r="BT57" s="87" t="e">
        <f t="shared" si="54"/>
        <v>#N/A</v>
      </c>
      <c r="BU57" s="90" t="e">
        <f t="shared" si="55"/>
        <v>#N/A</v>
      </c>
      <c r="BV57" s="85" t="e">
        <f>IF($D57="P-12",'Standard Data'!$B$12,IF($D57="N-12",'Standard Data'!$B$13,0))*IF($D57="P-12",'Standard Data'!$E$12,IF($D57="N-12",'Standard Data'!$E$13,0))*X57</f>
        <v>#N/A</v>
      </c>
      <c r="BW57" s="19" t="e">
        <f>IF($D57="P-12",'Standard Data'!$B$12,IF($D57="N-12",'Standard Data'!$B$13,0))*IF($D57="P-12",'Standard Data'!$E$12,IF($D57="N-12",'Standard Data'!$E$13,0))*Y57</f>
        <v>#N/A</v>
      </c>
      <c r="BX57" s="19" t="e">
        <f>IF($D57="P-12",'Standard Data'!$B$12,IF($D57="N-12",'Standard Data'!$B$13,0))*IF($D57="P-12",'Standard Data'!$E$12,IF($D57="N-12",'Standard Data'!$E$13,0))*Z57</f>
        <v>#N/A</v>
      </c>
      <c r="BY57" s="19" t="e">
        <f>IF($D57="P-12",'Standard Data'!$B$12,IF($D57="N-12",'Standard Data'!$B$13,0))*IF($D57="P-12",'Standard Data'!$E$12,IF($D57="N-12",'Standard Data'!$E$13,0))*AA57</f>
        <v>#N/A</v>
      </c>
      <c r="BZ57" s="27" t="e">
        <f>IF($D57="P-12",'Standard Data'!$B$12,IF($D57="N-12",'Standard Data'!$B$13,0))*IF($D57="P-12",'Standard Data'!$E$12,IF($D57="N-12",'Standard Data'!$E$13,0))*AB57</f>
        <v>#N/A</v>
      </c>
      <c r="CA57" s="89" t="e">
        <f t="shared" si="56"/>
        <v>#N/A</v>
      </c>
      <c r="CB57" s="87" t="e">
        <f t="shared" si="57"/>
        <v>#N/A</v>
      </c>
      <c r="CC57" s="87" t="e">
        <f t="shared" si="58"/>
        <v>#N/A</v>
      </c>
      <c r="CD57" s="87" t="e">
        <f t="shared" si="59"/>
        <v>#N/A</v>
      </c>
      <c r="CE57" s="90" t="e">
        <f t="shared" si="60"/>
        <v>#N/A</v>
      </c>
      <c r="CF57" s="89" t="e">
        <f t="shared" si="61"/>
        <v>#N/A</v>
      </c>
      <c r="CG57" s="87" t="e">
        <f t="shared" si="62"/>
        <v>#N/A</v>
      </c>
      <c r="CH57" s="87" t="e">
        <f t="shared" si="63"/>
        <v>#N/A</v>
      </c>
      <c r="CI57" s="87" t="e">
        <f t="shared" si="64"/>
        <v>#N/A</v>
      </c>
      <c r="CJ57" s="90" t="e">
        <f t="shared" si="65"/>
        <v>#N/A</v>
      </c>
      <c r="CK57" s="101" t="e">
        <f t="shared" si="16"/>
        <v>#N/A</v>
      </c>
      <c r="CL57" s="95" t="e">
        <f t="shared" si="17"/>
        <v>#N/A</v>
      </c>
      <c r="CM57" s="95" t="e">
        <f t="shared" si="18"/>
        <v>#N/A</v>
      </c>
      <c r="CN57" s="95" t="e">
        <f t="shared" si="19"/>
        <v>#N/A</v>
      </c>
      <c r="CO57" s="102" t="e">
        <f t="shared" si="20"/>
        <v>#N/A</v>
      </c>
      <c r="CP57" s="101" t="e">
        <f t="shared" si="66"/>
        <v>#N/A</v>
      </c>
      <c r="CQ57" s="95" t="e">
        <f t="shared" si="69"/>
        <v>#N/A</v>
      </c>
      <c r="CR57" s="95" t="e">
        <f t="shared" si="70"/>
        <v>#N/A</v>
      </c>
      <c r="CS57" s="95" t="e">
        <f t="shared" si="71"/>
        <v>#N/A</v>
      </c>
      <c r="CT57" s="102" t="e">
        <f t="shared" si="72"/>
        <v>#N/A</v>
      </c>
      <c r="CU57" s="98" t="e">
        <f t="shared" si="22"/>
        <v>#N/A</v>
      </c>
      <c r="CV57" s="98" t="e">
        <f t="shared" si="23"/>
        <v>#N/A</v>
      </c>
      <c r="CW57" s="98" t="e">
        <f t="shared" si="67"/>
        <v>#N/A</v>
      </c>
    </row>
    <row r="58" spans="1:101" x14ac:dyDescent="0.25">
      <c r="A58" s="2">
        <f>'Inputs-Results'!A33</f>
        <v>0</v>
      </c>
      <c r="B58" s="18" t="e">
        <f>_xlfn.XLOOKUP(A58,'Ditch Calculations'!$A$34:$A$114,'Ditch Calculations'!$C$34:$C$114)</f>
        <v>#N/A</v>
      </c>
      <c r="C58" s="2" t="e">
        <f t="shared" si="24"/>
        <v>#N/A</v>
      </c>
      <c r="D58" s="2" t="e">
        <f>_xlfn.XLOOKUP(A58,'Inputs-Results'!$A$9:$A$35,'Inputs-Results'!$B$9:$B$35)</f>
        <v>#N/A</v>
      </c>
      <c r="E58" s="2" t="e">
        <f>C58*_xlfn.XLOOKUP(A58,'Inputs-Results'!$A$9:$A$35,'Inputs-Results'!$C$9:$C$35)</f>
        <v>#N/A</v>
      </c>
      <c r="F58" s="11" t="e">
        <f>MIN(E58/IF(D58="P-12",'Standard Data'!$D$12,IF(D58="N-12",'Standard Data'!$D$13,0))*COS(ATAN(1/_xlfn.XLOOKUP(A58,'Inputs-Results'!$A$9:$A$35,'Inputs-Results'!$C$9:$C$35))),1)</f>
        <v>#N/A</v>
      </c>
      <c r="G58" s="18" t="e">
        <f>(C58+MAX(C58-3.771/_xlfn.XLOOKUP(A58,'Inputs-Results'!A$9:A$35,'Inputs-Results'!$C$9:$C$35),0))/2</f>
        <v>#N/A</v>
      </c>
      <c r="H58" s="18" t="e">
        <f>C58/IF(D58="P-12",'Standard Data'!$C$12,IF(D58="N-12",'Standard Data'!$C$13,0))</f>
        <v>#N/A</v>
      </c>
      <c r="I58" s="19" t="e">
        <f t="shared" si="25"/>
        <v>#N/A</v>
      </c>
      <c r="J58" s="20" t="e">
        <f>I58*IF(D58="P-12",'Standard Data'!$C$12,IF(D58="N-12",'Standard Data'!$C$13,0))*G58^1.5</f>
        <v>#N/A</v>
      </c>
      <c r="K58" s="19" t="e">
        <f>F58*2*IF(D58="P-12",'Standard Data'!$D$12,IF(D58="N-12",'Standard Data'!$D$13,0))</f>
        <v>#N/A</v>
      </c>
      <c r="L58" s="19" t="e">
        <f t="shared" si="26"/>
        <v>#N/A</v>
      </c>
      <c r="M58" s="19" t="e">
        <f t="shared" si="27"/>
        <v>#N/A</v>
      </c>
      <c r="N58" s="20" t="e">
        <f t="shared" si="28"/>
        <v>#N/A</v>
      </c>
      <c r="O58" s="20" t="e">
        <f t="shared" si="29"/>
        <v>#N/A</v>
      </c>
      <c r="P58" s="19" t="e">
        <f>IF(D58="P-12",'Standard Data'!$B$12,IF(D58="N-12",'Standard Data'!$B$13,0))*IF(D58="P-12",'Standard Data'!$E$12,IF(D58="N-12",'Standard Data'!$E$13,0))*F58</f>
        <v>#N/A</v>
      </c>
      <c r="Q58" s="20" t="e">
        <f t="shared" si="30"/>
        <v>#N/A</v>
      </c>
      <c r="R58" s="53" t="e">
        <f t="shared" si="31"/>
        <v>#N/A</v>
      </c>
      <c r="S58" s="26" t="e">
        <f>($C58+S$33)*_xlfn.XLOOKUP($A58,'Inputs-Results'!$A$9:$A$35,'Inputs-Results'!$C$9:$C$35)</f>
        <v>#N/A</v>
      </c>
      <c r="T58" s="2" t="e">
        <f>($C58+T$33)*_xlfn.XLOOKUP($A58,'Inputs-Results'!$A$9:$A$35,'Inputs-Results'!$C$9:$C$35)</f>
        <v>#N/A</v>
      </c>
      <c r="U58" s="2" t="e">
        <f>($C58+U$33)*_xlfn.XLOOKUP($A58,'Inputs-Results'!$A$9:$A$35,'Inputs-Results'!$C$9:$C$35)</f>
        <v>#N/A</v>
      </c>
      <c r="V58" s="2" t="e">
        <f>($C58+V$33)*_xlfn.XLOOKUP($A58,'Inputs-Results'!$A$9:$A$35,'Inputs-Results'!$C$9:$C$35)</f>
        <v>#N/A</v>
      </c>
      <c r="W58" s="31" t="e">
        <f>($C58+W$33)*_xlfn.XLOOKUP($A58,'Inputs-Results'!$A$9:$A$35,'Inputs-Results'!$C$9:$C$35)</f>
        <v>#N/A</v>
      </c>
      <c r="X58" s="59" t="e">
        <f>MIN(S58/IF($D58="P-12",'Standard Data'!$D$12,IF($D58="N-12",'Standard Data'!$D$13,0))*COS(ATAN(1/_xlfn.XLOOKUP($A58,'Inputs-Results'!$A$9:$A$35,'Inputs-Results'!$C$9:$C$35))),1)</f>
        <v>#N/A</v>
      </c>
      <c r="Y58" s="11" t="e">
        <f>MIN(T58/IF($D58="P-12",'Standard Data'!$D$12,IF($D58="N-12",'Standard Data'!$D$13,0))*COS(ATAN(1/_xlfn.XLOOKUP($A58,'Inputs-Results'!$A$9:$A$35,'Inputs-Results'!$C$9:$C$35))),1)</f>
        <v>#N/A</v>
      </c>
      <c r="Z58" s="11" t="e">
        <f>MIN(U58/IF($D58="P-12",'Standard Data'!$D$12,IF($D58="N-12",'Standard Data'!$D$13,0))*COS(ATAN(1/_xlfn.XLOOKUP($A58,'Inputs-Results'!$A$9:$A$35,'Inputs-Results'!$C$9:$C$35))),1)</f>
        <v>#N/A</v>
      </c>
      <c r="AA58" s="11" t="e">
        <f>MIN(V58/IF($D58="P-12",'Standard Data'!$D$12,IF($D58="N-12",'Standard Data'!$D$13,0))*COS(ATAN(1/_xlfn.XLOOKUP($A58,'Inputs-Results'!$A$9:$A$35,'Inputs-Results'!$C$9:$C$35))),1)</f>
        <v>#N/A</v>
      </c>
      <c r="AB58" s="60" t="e">
        <f>MIN(W58/IF($D58="P-12",'Standard Data'!$D$12,IF($D58="N-12",'Standard Data'!$D$13,0))*COS(ATAN(1/_xlfn.XLOOKUP($A58,'Inputs-Results'!$A$9:$A$35,'Inputs-Results'!$C$9:$C$35))),1)</f>
        <v>#N/A</v>
      </c>
      <c r="AC58" s="64" t="e">
        <f>(($C58+S$33)+MAX(($C58+S$33)-3.771/_xlfn.XLOOKUP($A58,'Inputs-Results'!$A$9:$A$35,'Inputs-Results'!$C$9:$C$35),0))/2</f>
        <v>#N/A</v>
      </c>
      <c r="AD58" s="54" t="e">
        <f>(($C58+T$33)+MAX(($C58+T$33)-3.771/_xlfn.XLOOKUP($A58,'Inputs-Results'!$A$9:$A$35,'Inputs-Results'!$C$9:$C$35),0))/2</f>
        <v>#N/A</v>
      </c>
      <c r="AE58" s="54" t="e">
        <f>(($C58+U$33)+MAX(($C58+U$33)-3.771/_xlfn.XLOOKUP($A58,'Inputs-Results'!$A$9:$A$35,'Inputs-Results'!$C$9:$C$35),0))/2</f>
        <v>#N/A</v>
      </c>
      <c r="AF58" s="54" t="e">
        <f>(($C58+V$33)+MAX(($C58+V$33)-3.771/_xlfn.XLOOKUP($A58,'Inputs-Results'!$A$9:$A$35,'Inputs-Results'!$C$9:$C$35),0))/2</f>
        <v>#N/A</v>
      </c>
      <c r="AG58" s="65" t="e">
        <f>(($C58+W$33)+MAX(($C58+W$33)-3.771/_xlfn.XLOOKUP($A58,'Inputs-Results'!$A$9:$A$35,'Inputs-Results'!$C$9:$C$35),0))/2</f>
        <v>#N/A</v>
      </c>
      <c r="AH58" s="69" t="e">
        <f>($C58+S$33)/IF($D58="P-12",'Standard Data'!$C$12,IF($D58="N-12",'Standard Data'!$C$13,0))</f>
        <v>#N/A</v>
      </c>
      <c r="AI58" s="55" t="e">
        <f>($C58+T$33)/IF($D58="P-12",'Standard Data'!$C$12,IF($D58="N-12",'Standard Data'!$C$13,0))</f>
        <v>#N/A</v>
      </c>
      <c r="AJ58" s="55" t="e">
        <f>($C58+U$33)/IF($D58="P-12",'Standard Data'!$C$12,IF($D58="N-12",'Standard Data'!$C$13,0))</f>
        <v>#N/A</v>
      </c>
      <c r="AK58" s="55" t="e">
        <f>($C58+V$33)/IF($D58="P-12",'Standard Data'!$C$12,IF($D58="N-12",'Standard Data'!$C$13,0))</f>
        <v>#N/A</v>
      </c>
      <c r="AL58" s="70" t="e">
        <f>($C58+W$33)/IF($D58="P-12",'Standard Data'!$C$12,IF($D58="N-12",'Standard Data'!$C$13,0))</f>
        <v>#N/A</v>
      </c>
      <c r="AM58" s="69" t="e">
        <f t="shared" si="32"/>
        <v>#N/A</v>
      </c>
      <c r="AN58" s="55" t="e">
        <f t="shared" si="33"/>
        <v>#N/A</v>
      </c>
      <c r="AO58" s="55" t="e">
        <f t="shared" si="34"/>
        <v>#N/A</v>
      </c>
      <c r="AP58" s="55" t="e">
        <f t="shared" si="35"/>
        <v>#N/A</v>
      </c>
      <c r="AQ58" s="70" t="e">
        <f t="shared" si="36"/>
        <v>#N/A</v>
      </c>
      <c r="AR58" s="79" t="e">
        <f>AM58*IF($D58="P-12",'Standard Data'!$C$12,IF($D58="N-12",'Standard Data'!$C$13,0))*AC58^1.5</f>
        <v>#N/A</v>
      </c>
      <c r="AS58" s="80" t="e">
        <f>AN58*IF($D58="P-12",'Standard Data'!$C$12,IF($D58="N-12",'Standard Data'!$C$13,0))*AD58^1.5</f>
        <v>#N/A</v>
      </c>
      <c r="AT58" s="80" t="e">
        <f>AO58*IF($D58="P-12",'Standard Data'!$C$12,IF($D58="N-12",'Standard Data'!$C$13,0))*AE58^1.5</f>
        <v>#N/A</v>
      </c>
      <c r="AU58" s="80" t="e">
        <f>AP58*IF($D58="P-12",'Standard Data'!$C$12,IF($D58="N-12",'Standard Data'!$C$13,0))*AF58^1.5</f>
        <v>#N/A</v>
      </c>
      <c r="AV58" s="81" t="e">
        <f>AQ58*IF($D58="P-12",'Standard Data'!$C$12,IF($D58="N-12",'Standard Data'!$C$13,0))*AG58^1.5</f>
        <v>#N/A</v>
      </c>
      <c r="AW58" s="69" t="e">
        <f>X58*2*IF($D58="P-12",'Standard Data'!$D$12,IF($D58="N-12",'Standard Data'!$D$13,0))</f>
        <v>#N/A</v>
      </c>
      <c r="AX58" s="55" t="e">
        <f>Y58*2*IF($D58="P-12",'Standard Data'!$D$12,IF($D58="N-12",'Standard Data'!$D$13,0))</f>
        <v>#N/A</v>
      </c>
      <c r="AY58" s="55" t="e">
        <f>Z58*2*IF($D58="P-12",'Standard Data'!$D$12,IF($D58="N-12",'Standard Data'!$D$13,0))</f>
        <v>#N/A</v>
      </c>
      <c r="AZ58" s="55" t="e">
        <f>AA58*2*IF($D58="P-12",'Standard Data'!$D$12,IF($D58="N-12",'Standard Data'!$D$13,0))</f>
        <v>#N/A</v>
      </c>
      <c r="BA58" s="74" t="e">
        <f>AB58*2*IF($D58="P-12",'Standard Data'!$D$12,IF($D58="N-12",'Standard Data'!$D$13,0))</f>
        <v>#N/A</v>
      </c>
      <c r="BB58" s="69" t="e">
        <f t="shared" si="37"/>
        <v>#N/A</v>
      </c>
      <c r="BC58" s="55" t="e">
        <f t="shared" si="38"/>
        <v>#N/A</v>
      </c>
      <c r="BD58" s="55" t="e">
        <f t="shared" si="39"/>
        <v>#N/A</v>
      </c>
      <c r="BE58" s="55" t="e">
        <f t="shared" si="68"/>
        <v>#N/A</v>
      </c>
      <c r="BF58" s="70" t="e">
        <f t="shared" si="40"/>
        <v>#N/A</v>
      </c>
      <c r="BG58" s="85" t="e">
        <f t="shared" si="41"/>
        <v>#N/A</v>
      </c>
      <c r="BH58" s="19" t="e">
        <f t="shared" si="42"/>
        <v>#N/A</v>
      </c>
      <c r="BI58" s="19" t="e">
        <f t="shared" si="43"/>
        <v>#N/A</v>
      </c>
      <c r="BJ58" s="19" t="e">
        <f t="shared" si="44"/>
        <v>#N/A</v>
      </c>
      <c r="BK58" s="27" t="e">
        <f t="shared" si="45"/>
        <v>#N/A</v>
      </c>
      <c r="BL58" s="89" t="e">
        <f t="shared" si="46"/>
        <v>#N/A</v>
      </c>
      <c r="BM58" s="87" t="e">
        <f t="shared" si="47"/>
        <v>#N/A</v>
      </c>
      <c r="BN58" s="87" t="e">
        <f t="shared" si="48"/>
        <v>#N/A</v>
      </c>
      <c r="BO58" s="87" t="e">
        <f t="shared" si="49"/>
        <v>#N/A</v>
      </c>
      <c r="BP58" s="90" t="e">
        <f t="shared" si="50"/>
        <v>#N/A</v>
      </c>
      <c r="BQ58" s="89" t="e">
        <f t="shared" si="51"/>
        <v>#N/A</v>
      </c>
      <c r="BR58" s="87" t="e">
        <f t="shared" si="52"/>
        <v>#N/A</v>
      </c>
      <c r="BS58" s="87" t="e">
        <f t="shared" si="53"/>
        <v>#N/A</v>
      </c>
      <c r="BT58" s="87" t="e">
        <f t="shared" si="54"/>
        <v>#N/A</v>
      </c>
      <c r="BU58" s="90" t="e">
        <f t="shared" si="55"/>
        <v>#N/A</v>
      </c>
      <c r="BV58" s="85" t="e">
        <f>IF($D58="P-12",'Standard Data'!$B$12,IF($D58="N-12",'Standard Data'!$B$13,0))*IF($D58="P-12",'Standard Data'!$E$12,IF($D58="N-12",'Standard Data'!$E$13,0))*X58</f>
        <v>#N/A</v>
      </c>
      <c r="BW58" s="19" t="e">
        <f>IF($D58="P-12",'Standard Data'!$B$12,IF($D58="N-12",'Standard Data'!$B$13,0))*IF($D58="P-12",'Standard Data'!$E$12,IF($D58="N-12",'Standard Data'!$E$13,0))*Y58</f>
        <v>#N/A</v>
      </c>
      <c r="BX58" s="19" t="e">
        <f>IF($D58="P-12",'Standard Data'!$B$12,IF($D58="N-12",'Standard Data'!$B$13,0))*IF($D58="P-12",'Standard Data'!$E$12,IF($D58="N-12",'Standard Data'!$E$13,0))*Z58</f>
        <v>#N/A</v>
      </c>
      <c r="BY58" s="19" t="e">
        <f>IF($D58="P-12",'Standard Data'!$B$12,IF($D58="N-12",'Standard Data'!$B$13,0))*IF($D58="P-12",'Standard Data'!$E$12,IF($D58="N-12",'Standard Data'!$E$13,0))*AA58</f>
        <v>#N/A</v>
      </c>
      <c r="BZ58" s="27" t="e">
        <f>IF($D58="P-12",'Standard Data'!$B$12,IF($D58="N-12",'Standard Data'!$B$13,0))*IF($D58="P-12",'Standard Data'!$E$12,IF($D58="N-12",'Standard Data'!$E$13,0))*AB58</f>
        <v>#N/A</v>
      </c>
      <c r="CA58" s="89" t="e">
        <f t="shared" si="56"/>
        <v>#N/A</v>
      </c>
      <c r="CB58" s="87" t="e">
        <f t="shared" si="57"/>
        <v>#N/A</v>
      </c>
      <c r="CC58" s="87" t="e">
        <f t="shared" si="58"/>
        <v>#N/A</v>
      </c>
      <c r="CD58" s="87" t="e">
        <f t="shared" si="59"/>
        <v>#N/A</v>
      </c>
      <c r="CE58" s="90" t="e">
        <f t="shared" si="60"/>
        <v>#N/A</v>
      </c>
      <c r="CF58" s="89" t="e">
        <f t="shared" si="61"/>
        <v>#N/A</v>
      </c>
      <c r="CG58" s="87" t="e">
        <f t="shared" si="62"/>
        <v>#N/A</v>
      </c>
      <c r="CH58" s="87" t="e">
        <f t="shared" si="63"/>
        <v>#N/A</v>
      </c>
      <c r="CI58" s="87" t="e">
        <f t="shared" si="64"/>
        <v>#N/A</v>
      </c>
      <c r="CJ58" s="90" t="e">
        <f t="shared" si="65"/>
        <v>#N/A</v>
      </c>
      <c r="CK58" s="101" t="e">
        <f t="shared" si="16"/>
        <v>#N/A</v>
      </c>
      <c r="CL58" s="95" t="e">
        <f t="shared" si="17"/>
        <v>#N/A</v>
      </c>
      <c r="CM58" s="95" t="e">
        <f t="shared" si="18"/>
        <v>#N/A</v>
      </c>
      <c r="CN58" s="95" t="e">
        <f t="shared" si="19"/>
        <v>#N/A</v>
      </c>
      <c r="CO58" s="102" t="e">
        <f t="shared" si="20"/>
        <v>#N/A</v>
      </c>
      <c r="CP58" s="101" t="e">
        <f t="shared" si="66"/>
        <v>#N/A</v>
      </c>
      <c r="CQ58" s="95" t="e">
        <f t="shared" si="69"/>
        <v>#N/A</v>
      </c>
      <c r="CR58" s="95" t="e">
        <f t="shared" si="70"/>
        <v>#N/A</v>
      </c>
      <c r="CS58" s="95" t="e">
        <f t="shared" si="71"/>
        <v>#N/A</v>
      </c>
      <c r="CT58" s="102" t="e">
        <f t="shared" si="72"/>
        <v>#N/A</v>
      </c>
      <c r="CU58" s="98" t="e">
        <f t="shared" si="22"/>
        <v>#N/A</v>
      </c>
      <c r="CV58" s="98" t="e">
        <f t="shared" si="23"/>
        <v>#N/A</v>
      </c>
      <c r="CW58" s="98" t="e">
        <f t="shared" si="67"/>
        <v>#N/A</v>
      </c>
    </row>
    <row r="59" spans="1:101" x14ac:dyDescent="0.25">
      <c r="A59" s="2">
        <f>'Inputs-Results'!A34</f>
        <v>0</v>
      </c>
      <c r="B59" s="18" t="e">
        <f>_xlfn.XLOOKUP(A59,'Ditch Calculations'!$A$34:$A$114,'Ditch Calculations'!$C$34:$C$114)</f>
        <v>#N/A</v>
      </c>
      <c r="C59" s="2" t="e">
        <f t="shared" si="24"/>
        <v>#N/A</v>
      </c>
      <c r="D59" s="2" t="e">
        <f>_xlfn.XLOOKUP(A59,'Inputs-Results'!$A$9:$A$35,'Inputs-Results'!$B$9:$B$35)</f>
        <v>#N/A</v>
      </c>
      <c r="E59" s="2" t="e">
        <f>C59*_xlfn.XLOOKUP(A59,'Inputs-Results'!$A$9:$A$35,'Inputs-Results'!$C$9:$C$35)</f>
        <v>#N/A</v>
      </c>
      <c r="F59" s="11" t="e">
        <f>MIN(E59/IF(D59="P-12",'Standard Data'!$D$12,IF(D59="N-12",'Standard Data'!$D$13,0))*COS(ATAN(1/_xlfn.XLOOKUP(A59,'Inputs-Results'!$A$9:$A$35,'Inputs-Results'!$C$9:$C$35))),1)</f>
        <v>#N/A</v>
      </c>
      <c r="G59" s="18" t="e">
        <f>(C59+MAX(C59-3.771/_xlfn.XLOOKUP(A59,'Inputs-Results'!A$9:A$35,'Inputs-Results'!$C$9:$C$35),0))/2</f>
        <v>#N/A</v>
      </c>
      <c r="H59" s="18" t="e">
        <f>C59/IF(D59="P-12",'Standard Data'!$C$12,IF(D59="N-12",'Standard Data'!$C$13,0))</f>
        <v>#N/A</v>
      </c>
      <c r="I59" s="19" t="e">
        <f t="shared" si="25"/>
        <v>#N/A</v>
      </c>
      <c r="J59" s="20" t="e">
        <f>I59*IF(D59="P-12",'Standard Data'!$C$12,IF(D59="N-12",'Standard Data'!$C$13,0))*G59^1.5</f>
        <v>#N/A</v>
      </c>
      <c r="K59" s="19" t="e">
        <f>F59*2*IF(D59="P-12",'Standard Data'!$D$12,IF(D59="N-12",'Standard Data'!$D$13,0))</f>
        <v>#N/A</v>
      </c>
      <c r="L59" s="19" t="e">
        <f t="shared" si="26"/>
        <v>#N/A</v>
      </c>
      <c r="M59" s="19" t="e">
        <f t="shared" si="27"/>
        <v>#N/A</v>
      </c>
      <c r="N59" s="20" t="e">
        <f t="shared" si="28"/>
        <v>#N/A</v>
      </c>
      <c r="O59" s="20" t="e">
        <f t="shared" si="29"/>
        <v>#N/A</v>
      </c>
      <c r="P59" s="19" t="e">
        <f>IF(D59="P-12",'Standard Data'!$B$12,IF(D59="N-12",'Standard Data'!$B$13,0))*IF(D59="P-12",'Standard Data'!$E$12,IF(D59="N-12",'Standard Data'!$E$13,0))*F59</f>
        <v>#N/A</v>
      </c>
      <c r="Q59" s="20" t="e">
        <f t="shared" si="30"/>
        <v>#N/A</v>
      </c>
      <c r="R59" s="53" t="e">
        <f t="shared" si="31"/>
        <v>#N/A</v>
      </c>
      <c r="S59" s="26" t="e">
        <f>($C59+S$33)*_xlfn.XLOOKUP($A59,'Inputs-Results'!$A$9:$A$35,'Inputs-Results'!$C$9:$C$35)</f>
        <v>#N/A</v>
      </c>
      <c r="T59" s="2" t="e">
        <f>($C59+T$33)*_xlfn.XLOOKUP($A59,'Inputs-Results'!$A$9:$A$35,'Inputs-Results'!$C$9:$C$35)</f>
        <v>#N/A</v>
      </c>
      <c r="U59" s="2" t="e">
        <f>($C59+U$33)*_xlfn.XLOOKUP($A59,'Inputs-Results'!$A$9:$A$35,'Inputs-Results'!$C$9:$C$35)</f>
        <v>#N/A</v>
      </c>
      <c r="V59" s="2" t="e">
        <f>($C59+V$33)*_xlfn.XLOOKUP($A59,'Inputs-Results'!$A$9:$A$35,'Inputs-Results'!$C$9:$C$35)</f>
        <v>#N/A</v>
      </c>
      <c r="W59" s="31" t="e">
        <f>($C59+W$33)*_xlfn.XLOOKUP($A59,'Inputs-Results'!$A$9:$A$35,'Inputs-Results'!$C$9:$C$35)</f>
        <v>#N/A</v>
      </c>
      <c r="X59" s="59" t="e">
        <f>MIN(S59/IF($D59="P-12",'Standard Data'!$D$12,IF($D59="N-12",'Standard Data'!$D$13,0))*COS(ATAN(1/_xlfn.XLOOKUP($A59,'Inputs-Results'!$A$9:$A$35,'Inputs-Results'!$C$9:$C$35))),1)</f>
        <v>#N/A</v>
      </c>
      <c r="Y59" s="11" t="e">
        <f>MIN(T59/IF($D59="P-12",'Standard Data'!$D$12,IF($D59="N-12",'Standard Data'!$D$13,0))*COS(ATAN(1/_xlfn.XLOOKUP($A59,'Inputs-Results'!$A$9:$A$35,'Inputs-Results'!$C$9:$C$35))),1)</f>
        <v>#N/A</v>
      </c>
      <c r="Z59" s="11" t="e">
        <f>MIN(U59/IF($D59="P-12",'Standard Data'!$D$12,IF($D59="N-12",'Standard Data'!$D$13,0))*COS(ATAN(1/_xlfn.XLOOKUP($A59,'Inputs-Results'!$A$9:$A$35,'Inputs-Results'!$C$9:$C$35))),1)</f>
        <v>#N/A</v>
      </c>
      <c r="AA59" s="11" t="e">
        <f>MIN(V59/IF($D59="P-12",'Standard Data'!$D$12,IF($D59="N-12",'Standard Data'!$D$13,0))*COS(ATAN(1/_xlfn.XLOOKUP($A59,'Inputs-Results'!$A$9:$A$35,'Inputs-Results'!$C$9:$C$35))),1)</f>
        <v>#N/A</v>
      </c>
      <c r="AB59" s="60" t="e">
        <f>MIN(W59/IF($D59="P-12",'Standard Data'!$D$12,IF($D59="N-12",'Standard Data'!$D$13,0))*COS(ATAN(1/_xlfn.XLOOKUP($A59,'Inputs-Results'!$A$9:$A$35,'Inputs-Results'!$C$9:$C$35))),1)</f>
        <v>#N/A</v>
      </c>
      <c r="AC59" s="64" t="e">
        <f>(($C59+S$33)+MAX(($C59+S$33)-3.771/_xlfn.XLOOKUP($A59,'Inputs-Results'!$A$9:$A$35,'Inputs-Results'!$C$9:$C$35),0))/2</f>
        <v>#N/A</v>
      </c>
      <c r="AD59" s="54" t="e">
        <f>(($C59+T$33)+MAX(($C59+T$33)-3.771/_xlfn.XLOOKUP($A59,'Inputs-Results'!$A$9:$A$35,'Inputs-Results'!$C$9:$C$35),0))/2</f>
        <v>#N/A</v>
      </c>
      <c r="AE59" s="54" t="e">
        <f>(($C59+U$33)+MAX(($C59+U$33)-3.771/_xlfn.XLOOKUP($A59,'Inputs-Results'!$A$9:$A$35,'Inputs-Results'!$C$9:$C$35),0))/2</f>
        <v>#N/A</v>
      </c>
      <c r="AF59" s="54" t="e">
        <f>(($C59+V$33)+MAX(($C59+V$33)-3.771/_xlfn.XLOOKUP($A59,'Inputs-Results'!$A$9:$A$35,'Inputs-Results'!$C$9:$C$35),0))/2</f>
        <v>#N/A</v>
      </c>
      <c r="AG59" s="65" t="e">
        <f>(($C59+W$33)+MAX(($C59+W$33)-3.771/_xlfn.XLOOKUP($A59,'Inputs-Results'!$A$9:$A$35,'Inputs-Results'!$C$9:$C$35),0))/2</f>
        <v>#N/A</v>
      </c>
      <c r="AH59" s="69" t="e">
        <f>($C59+S$33)/IF($D59="P-12",'Standard Data'!$C$12,IF($D59="N-12",'Standard Data'!$C$13,0))</f>
        <v>#N/A</v>
      </c>
      <c r="AI59" s="55" t="e">
        <f>($C59+T$33)/IF($D59="P-12",'Standard Data'!$C$12,IF($D59="N-12",'Standard Data'!$C$13,0))</f>
        <v>#N/A</v>
      </c>
      <c r="AJ59" s="55" t="e">
        <f>($C59+U$33)/IF($D59="P-12",'Standard Data'!$C$12,IF($D59="N-12",'Standard Data'!$C$13,0))</f>
        <v>#N/A</v>
      </c>
      <c r="AK59" s="55" t="e">
        <f>($C59+V$33)/IF($D59="P-12",'Standard Data'!$C$12,IF($D59="N-12",'Standard Data'!$C$13,0))</f>
        <v>#N/A</v>
      </c>
      <c r="AL59" s="70" t="e">
        <f>($C59+W$33)/IF($D59="P-12",'Standard Data'!$C$12,IF($D59="N-12",'Standard Data'!$C$13,0))</f>
        <v>#N/A</v>
      </c>
      <c r="AM59" s="69" t="e">
        <f t="shared" si="32"/>
        <v>#N/A</v>
      </c>
      <c r="AN59" s="55" t="e">
        <f t="shared" si="33"/>
        <v>#N/A</v>
      </c>
      <c r="AO59" s="55" t="e">
        <f t="shared" si="34"/>
        <v>#N/A</v>
      </c>
      <c r="AP59" s="55" t="e">
        <f t="shared" si="35"/>
        <v>#N/A</v>
      </c>
      <c r="AQ59" s="70" t="e">
        <f t="shared" si="36"/>
        <v>#N/A</v>
      </c>
      <c r="AR59" s="79" t="e">
        <f>AM59*IF($D59="P-12",'Standard Data'!$C$12,IF($D59="N-12",'Standard Data'!$C$13,0))*AC59^1.5</f>
        <v>#N/A</v>
      </c>
      <c r="AS59" s="80" t="e">
        <f>AN59*IF($D59="P-12",'Standard Data'!$C$12,IF($D59="N-12",'Standard Data'!$C$13,0))*AD59^1.5</f>
        <v>#N/A</v>
      </c>
      <c r="AT59" s="80" t="e">
        <f>AO59*IF($D59="P-12",'Standard Data'!$C$12,IF($D59="N-12",'Standard Data'!$C$13,0))*AE59^1.5</f>
        <v>#N/A</v>
      </c>
      <c r="AU59" s="80" t="e">
        <f>AP59*IF($D59="P-12",'Standard Data'!$C$12,IF($D59="N-12",'Standard Data'!$C$13,0))*AF59^1.5</f>
        <v>#N/A</v>
      </c>
      <c r="AV59" s="81" t="e">
        <f>AQ59*IF($D59="P-12",'Standard Data'!$C$12,IF($D59="N-12",'Standard Data'!$C$13,0))*AG59^1.5</f>
        <v>#N/A</v>
      </c>
      <c r="AW59" s="69" t="e">
        <f>X59*2*IF($D59="P-12",'Standard Data'!$D$12,IF($D59="N-12",'Standard Data'!$D$13,0))</f>
        <v>#N/A</v>
      </c>
      <c r="AX59" s="55" t="e">
        <f>Y59*2*IF($D59="P-12",'Standard Data'!$D$12,IF($D59="N-12",'Standard Data'!$D$13,0))</f>
        <v>#N/A</v>
      </c>
      <c r="AY59" s="55" t="e">
        <f>Z59*2*IF($D59="P-12",'Standard Data'!$D$12,IF($D59="N-12",'Standard Data'!$D$13,0))</f>
        <v>#N/A</v>
      </c>
      <c r="AZ59" s="55" t="e">
        <f>AA59*2*IF($D59="P-12",'Standard Data'!$D$12,IF($D59="N-12",'Standard Data'!$D$13,0))</f>
        <v>#N/A</v>
      </c>
      <c r="BA59" s="74" t="e">
        <f>AB59*2*IF($D59="P-12",'Standard Data'!$D$12,IF($D59="N-12",'Standard Data'!$D$13,0))</f>
        <v>#N/A</v>
      </c>
      <c r="BB59" s="69" t="e">
        <f t="shared" si="37"/>
        <v>#N/A</v>
      </c>
      <c r="BC59" s="55" t="e">
        <f t="shared" si="38"/>
        <v>#N/A</v>
      </c>
      <c r="BD59" s="55" t="e">
        <f t="shared" si="39"/>
        <v>#N/A</v>
      </c>
      <c r="BE59" s="55" t="e">
        <f t="shared" si="68"/>
        <v>#N/A</v>
      </c>
      <c r="BF59" s="70" t="e">
        <f t="shared" si="40"/>
        <v>#N/A</v>
      </c>
      <c r="BG59" s="85" t="e">
        <f t="shared" si="41"/>
        <v>#N/A</v>
      </c>
      <c r="BH59" s="19" t="e">
        <f t="shared" si="42"/>
        <v>#N/A</v>
      </c>
      <c r="BI59" s="19" t="e">
        <f t="shared" si="43"/>
        <v>#N/A</v>
      </c>
      <c r="BJ59" s="19" t="e">
        <f t="shared" si="44"/>
        <v>#N/A</v>
      </c>
      <c r="BK59" s="27" t="e">
        <f t="shared" si="45"/>
        <v>#N/A</v>
      </c>
      <c r="BL59" s="89" t="e">
        <f t="shared" si="46"/>
        <v>#N/A</v>
      </c>
      <c r="BM59" s="87" t="e">
        <f t="shared" si="47"/>
        <v>#N/A</v>
      </c>
      <c r="BN59" s="87" t="e">
        <f t="shared" si="48"/>
        <v>#N/A</v>
      </c>
      <c r="BO59" s="87" t="e">
        <f t="shared" si="49"/>
        <v>#N/A</v>
      </c>
      <c r="BP59" s="90" t="e">
        <f t="shared" si="50"/>
        <v>#N/A</v>
      </c>
      <c r="BQ59" s="89" t="e">
        <f t="shared" si="51"/>
        <v>#N/A</v>
      </c>
      <c r="BR59" s="87" t="e">
        <f t="shared" si="52"/>
        <v>#N/A</v>
      </c>
      <c r="BS59" s="87" t="e">
        <f t="shared" si="53"/>
        <v>#N/A</v>
      </c>
      <c r="BT59" s="87" t="e">
        <f t="shared" si="54"/>
        <v>#N/A</v>
      </c>
      <c r="BU59" s="90" t="e">
        <f t="shared" si="55"/>
        <v>#N/A</v>
      </c>
      <c r="BV59" s="85" t="e">
        <f>IF($D59="P-12",'Standard Data'!$B$12,IF($D59="N-12",'Standard Data'!$B$13,0))*IF($D59="P-12",'Standard Data'!$E$12,IF($D59="N-12",'Standard Data'!$E$13,0))*X59</f>
        <v>#N/A</v>
      </c>
      <c r="BW59" s="19" t="e">
        <f>IF($D59="P-12",'Standard Data'!$B$12,IF($D59="N-12",'Standard Data'!$B$13,0))*IF($D59="P-12",'Standard Data'!$E$12,IF($D59="N-12",'Standard Data'!$E$13,0))*Y59</f>
        <v>#N/A</v>
      </c>
      <c r="BX59" s="19" t="e">
        <f>IF($D59="P-12",'Standard Data'!$B$12,IF($D59="N-12",'Standard Data'!$B$13,0))*IF($D59="P-12",'Standard Data'!$E$12,IF($D59="N-12",'Standard Data'!$E$13,0))*Z59</f>
        <v>#N/A</v>
      </c>
      <c r="BY59" s="19" t="e">
        <f>IF($D59="P-12",'Standard Data'!$B$12,IF($D59="N-12",'Standard Data'!$B$13,0))*IF($D59="P-12",'Standard Data'!$E$12,IF($D59="N-12",'Standard Data'!$E$13,0))*AA59</f>
        <v>#N/A</v>
      </c>
      <c r="BZ59" s="27" t="e">
        <f>IF($D59="P-12",'Standard Data'!$B$12,IF($D59="N-12",'Standard Data'!$B$13,0))*IF($D59="P-12",'Standard Data'!$E$12,IF($D59="N-12",'Standard Data'!$E$13,0))*AB59</f>
        <v>#N/A</v>
      </c>
      <c r="CA59" s="89" t="e">
        <f t="shared" si="56"/>
        <v>#N/A</v>
      </c>
      <c r="CB59" s="87" t="e">
        <f t="shared" si="57"/>
        <v>#N/A</v>
      </c>
      <c r="CC59" s="87" t="e">
        <f t="shared" si="58"/>
        <v>#N/A</v>
      </c>
      <c r="CD59" s="87" t="e">
        <f t="shared" si="59"/>
        <v>#N/A</v>
      </c>
      <c r="CE59" s="90" t="e">
        <f t="shared" si="60"/>
        <v>#N/A</v>
      </c>
      <c r="CF59" s="89" t="e">
        <f t="shared" si="61"/>
        <v>#N/A</v>
      </c>
      <c r="CG59" s="87" t="e">
        <f t="shared" si="62"/>
        <v>#N/A</v>
      </c>
      <c r="CH59" s="87" t="e">
        <f t="shared" si="63"/>
        <v>#N/A</v>
      </c>
      <c r="CI59" s="87" t="e">
        <f t="shared" si="64"/>
        <v>#N/A</v>
      </c>
      <c r="CJ59" s="90" t="e">
        <f t="shared" si="65"/>
        <v>#N/A</v>
      </c>
      <c r="CK59" s="101" t="e">
        <f t="shared" si="16"/>
        <v>#N/A</v>
      </c>
      <c r="CL59" s="95" t="e">
        <f t="shared" si="17"/>
        <v>#N/A</v>
      </c>
      <c r="CM59" s="95" t="e">
        <f t="shared" si="18"/>
        <v>#N/A</v>
      </c>
      <c r="CN59" s="95" t="e">
        <f t="shared" si="19"/>
        <v>#N/A</v>
      </c>
      <c r="CO59" s="102" t="e">
        <f t="shared" si="20"/>
        <v>#N/A</v>
      </c>
      <c r="CP59" s="101" t="e">
        <f t="shared" si="66"/>
        <v>#N/A</v>
      </c>
      <c r="CQ59" s="95" t="e">
        <f t="shared" si="69"/>
        <v>#N/A</v>
      </c>
      <c r="CR59" s="95" t="e">
        <f t="shared" si="70"/>
        <v>#N/A</v>
      </c>
      <c r="CS59" s="95" t="e">
        <f t="shared" si="71"/>
        <v>#N/A</v>
      </c>
      <c r="CT59" s="102" t="e">
        <f t="shared" si="72"/>
        <v>#N/A</v>
      </c>
      <c r="CU59" s="98" t="e">
        <f t="shared" si="22"/>
        <v>#N/A</v>
      </c>
      <c r="CV59" s="98" t="e">
        <f t="shared" si="23"/>
        <v>#N/A</v>
      </c>
      <c r="CW59" s="98" t="e">
        <f t="shared" si="67"/>
        <v>#N/A</v>
      </c>
    </row>
    <row r="60" spans="1:101" ht="15.75" thickBot="1" x14ac:dyDescent="0.3">
      <c r="A60" s="2">
        <f>'Inputs-Results'!A35</f>
        <v>0</v>
      </c>
      <c r="B60" s="18" t="e">
        <f>_xlfn.XLOOKUP(A60,'Ditch Calculations'!$A$34:$A$114,'Ditch Calculations'!$C$34:$C$114)</f>
        <v>#N/A</v>
      </c>
      <c r="C60" s="2" t="e">
        <f t="shared" si="24"/>
        <v>#N/A</v>
      </c>
      <c r="D60" s="2" t="e">
        <f>_xlfn.XLOOKUP(A60,'Inputs-Results'!$A$9:$A$35,'Inputs-Results'!$B$9:$B$35)</f>
        <v>#N/A</v>
      </c>
      <c r="E60" s="2" t="e">
        <f>C60*_xlfn.XLOOKUP(A60,'Inputs-Results'!$A$9:$A$35,'Inputs-Results'!$C$9:$C$35)</f>
        <v>#N/A</v>
      </c>
      <c r="F60" s="11" t="e">
        <f>MIN(E60/IF(D60="P-12",'Standard Data'!$D$12,IF(D60="N-12",'Standard Data'!$D$13,0))*COS(ATAN(1/_xlfn.XLOOKUP(A60,'Inputs-Results'!$A$9:$A$35,'Inputs-Results'!$C$9:$C$35))),1)</f>
        <v>#N/A</v>
      </c>
      <c r="G60" s="18" t="e">
        <f>(C60+MAX(C60-3.771/_xlfn.XLOOKUP(A60,'Inputs-Results'!A$9:A$35,'Inputs-Results'!$C$9:$C$35),0))/2</f>
        <v>#N/A</v>
      </c>
      <c r="H60" s="18" t="e">
        <f>C60/IF(D60="P-12",'Standard Data'!$C$12,IF(D60="N-12",'Standard Data'!$C$13,0))</f>
        <v>#N/A</v>
      </c>
      <c r="I60" s="19" t="e">
        <f t="shared" si="25"/>
        <v>#N/A</v>
      </c>
      <c r="J60" s="20" t="e">
        <f>I60*IF(D60="P-12",'Standard Data'!$C$12,IF(D60="N-12",'Standard Data'!$C$13,0))*G60^1.5</f>
        <v>#N/A</v>
      </c>
      <c r="K60" s="19" t="e">
        <f>F60*2*IF(D60="P-12",'Standard Data'!$D$12,IF(D60="N-12",'Standard Data'!$D$13,0))</f>
        <v>#N/A</v>
      </c>
      <c r="L60" s="19" t="e">
        <f t="shared" si="26"/>
        <v>#N/A</v>
      </c>
      <c r="M60" s="19" t="e">
        <f t="shared" si="27"/>
        <v>#N/A</v>
      </c>
      <c r="N60" s="20" t="e">
        <f t="shared" si="28"/>
        <v>#N/A</v>
      </c>
      <c r="O60" s="20" t="e">
        <f t="shared" si="29"/>
        <v>#N/A</v>
      </c>
      <c r="P60" s="19" t="e">
        <f>IF(D60="P-12",'Standard Data'!$B$12,IF(D60="N-12",'Standard Data'!$B$13,0))*IF(D60="P-12",'Standard Data'!$E$12,IF(D60="N-12",'Standard Data'!$E$13,0))*F60</f>
        <v>#N/A</v>
      </c>
      <c r="Q60" s="20" t="e">
        <f t="shared" si="30"/>
        <v>#N/A</v>
      </c>
      <c r="R60" s="53" t="e">
        <f t="shared" si="31"/>
        <v>#N/A</v>
      </c>
      <c r="S60" s="56" t="e">
        <f>($C60+S$33)*_xlfn.XLOOKUP($A60,'Inputs-Results'!$A$9:$A$35,'Inputs-Results'!$C$9:$C$35)</f>
        <v>#N/A</v>
      </c>
      <c r="T60" s="57" t="e">
        <f>($C60+T$33)*_xlfn.XLOOKUP($A60,'Inputs-Results'!$A$9:$A$35,'Inputs-Results'!$C$9:$C$35)</f>
        <v>#N/A</v>
      </c>
      <c r="U60" s="57" t="e">
        <f>($C60+U$33)*_xlfn.XLOOKUP($A60,'Inputs-Results'!$A$9:$A$35,'Inputs-Results'!$C$9:$C$35)</f>
        <v>#N/A</v>
      </c>
      <c r="V60" s="57" t="e">
        <f>($C60+V$33)*_xlfn.XLOOKUP($A60,'Inputs-Results'!$A$9:$A$35,'Inputs-Results'!$C$9:$C$35)</f>
        <v>#N/A</v>
      </c>
      <c r="W60" s="58" t="e">
        <f>($C60+W$33)*_xlfn.XLOOKUP($A60,'Inputs-Results'!$A$9:$A$35,'Inputs-Results'!$C$9:$C$35)</f>
        <v>#N/A</v>
      </c>
      <c r="X60" s="61" t="e">
        <f>MIN(S60/IF($D60="P-12",'Standard Data'!$D$12,IF($D60="N-12",'Standard Data'!$D$13,0))*COS(ATAN(1/_xlfn.XLOOKUP($A60,'Inputs-Results'!$A$9:$A$35,'Inputs-Results'!$C$9:$C$35))),1)</f>
        <v>#N/A</v>
      </c>
      <c r="Y60" s="62" t="e">
        <f>MIN(T60/IF($D60="P-12",'Standard Data'!$D$12,IF($D60="N-12",'Standard Data'!$D$13,0))*COS(ATAN(1/_xlfn.XLOOKUP($A60,'Inputs-Results'!$A$9:$A$35,'Inputs-Results'!$C$9:$C$35))),1)</f>
        <v>#N/A</v>
      </c>
      <c r="Z60" s="62" t="e">
        <f>MIN(U60/IF($D60="P-12",'Standard Data'!$D$12,IF($D60="N-12",'Standard Data'!$D$13,0))*COS(ATAN(1/_xlfn.XLOOKUP($A60,'Inputs-Results'!$A$9:$A$35,'Inputs-Results'!$C$9:$C$35))),1)</f>
        <v>#N/A</v>
      </c>
      <c r="AA60" s="62" t="e">
        <f>MIN(V60/IF($D60="P-12",'Standard Data'!$D$12,IF($D60="N-12",'Standard Data'!$D$13,0))*COS(ATAN(1/_xlfn.XLOOKUP($A60,'Inputs-Results'!$A$9:$A$35,'Inputs-Results'!$C$9:$C$35))),1)</f>
        <v>#N/A</v>
      </c>
      <c r="AB60" s="63" t="e">
        <f>MIN(W60/IF($D60="P-12",'Standard Data'!$D$12,IF($D60="N-12",'Standard Data'!$D$13,0))*COS(ATAN(1/_xlfn.XLOOKUP($A60,'Inputs-Results'!$A$9:$A$35,'Inputs-Results'!$C$9:$C$35))),1)</f>
        <v>#N/A</v>
      </c>
      <c r="AC60" s="66" t="e">
        <f>(($C60+S$33)+MAX(($C60+S$33)-3.771/_xlfn.XLOOKUP($A60,'Inputs-Results'!$A$9:$A$35,'Inputs-Results'!$C$9:$C$35),0))/2</f>
        <v>#N/A</v>
      </c>
      <c r="AD60" s="67" t="e">
        <f>(($C60+T$33)+MAX(($C60+T$33)-3.771/_xlfn.XLOOKUP($A60,'Inputs-Results'!$A$9:$A$35,'Inputs-Results'!$C$9:$C$35),0))/2</f>
        <v>#N/A</v>
      </c>
      <c r="AE60" s="67" t="e">
        <f>(($C60+U$33)+MAX(($C60+U$33)-3.771/_xlfn.XLOOKUP($A60,'Inputs-Results'!$A$9:$A$35,'Inputs-Results'!$C$9:$C$35),0))/2</f>
        <v>#N/A</v>
      </c>
      <c r="AF60" s="67" t="e">
        <f>(($C60+V$33)+MAX(($C60+V$33)-3.771/_xlfn.XLOOKUP($A60,'Inputs-Results'!$A$9:$A$35,'Inputs-Results'!$C$9:$C$35),0))/2</f>
        <v>#N/A</v>
      </c>
      <c r="AG60" s="68" t="e">
        <f>(($C60+W$33)+MAX(($C60+W$33)-3.771/_xlfn.XLOOKUP($A60,'Inputs-Results'!$A$9:$A$35,'Inputs-Results'!$C$9:$C$35),0))/2</f>
        <v>#N/A</v>
      </c>
      <c r="AH60" s="71" t="e">
        <f>($C60+S$33)/IF($D60="P-12",'Standard Data'!$C$12,IF($D60="N-12",'Standard Data'!$C$13,0))</f>
        <v>#N/A</v>
      </c>
      <c r="AI60" s="72" t="e">
        <f>($C60+T$33)/IF($D60="P-12",'Standard Data'!$C$12,IF($D60="N-12",'Standard Data'!$C$13,0))</f>
        <v>#N/A</v>
      </c>
      <c r="AJ60" s="72" t="e">
        <f>($C60+U$33)/IF($D60="P-12",'Standard Data'!$C$12,IF($D60="N-12",'Standard Data'!$C$13,0))</f>
        <v>#N/A</v>
      </c>
      <c r="AK60" s="72" t="e">
        <f>($C60+V$33)/IF($D60="P-12",'Standard Data'!$C$12,IF($D60="N-12",'Standard Data'!$C$13,0))</f>
        <v>#N/A</v>
      </c>
      <c r="AL60" s="73" t="e">
        <f>($C60+W$33)/IF($D60="P-12",'Standard Data'!$C$12,IF($D60="N-12",'Standard Data'!$C$13,0))</f>
        <v>#N/A</v>
      </c>
      <c r="AM60" s="71" t="e">
        <f t="shared" si="32"/>
        <v>#N/A</v>
      </c>
      <c r="AN60" s="72" t="e">
        <f t="shared" si="33"/>
        <v>#N/A</v>
      </c>
      <c r="AO60" s="72" t="e">
        <f t="shared" si="34"/>
        <v>#N/A</v>
      </c>
      <c r="AP60" s="72" t="e">
        <f t="shared" si="35"/>
        <v>#N/A</v>
      </c>
      <c r="AQ60" s="73" t="e">
        <f t="shared" si="36"/>
        <v>#N/A</v>
      </c>
      <c r="AR60" s="82" t="e">
        <f>AM60*IF($D60="P-12",'Standard Data'!$C$12,IF($D60="N-12",'Standard Data'!$C$13,0))*AC60^1.5</f>
        <v>#N/A</v>
      </c>
      <c r="AS60" s="83" t="e">
        <f>AN60*IF($D60="P-12",'Standard Data'!$C$12,IF($D60="N-12",'Standard Data'!$C$13,0))*AD60^1.5</f>
        <v>#N/A</v>
      </c>
      <c r="AT60" s="83" t="e">
        <f>AO60*IF($D60="P-12",'Standard Data'!$C$12,IF($D60="N-12",'Standard Data'!$C$13,0))*AE60^1.5</f>
        <v>#N/A</v>
      </c>
      <c r="AU60" s="83" t="e">
        <f>AP60*IF($D60="P-12",'Standard Data'!$C$12,IF($D60="N-12",'Standard Data'!$C$13,0))*AF60^1.5</f>
        <v>#N/A</v>
      </c>
      <c r="AV60" s="84" t="e">
        <f>AQ60*IF($D60="P-12",'Standard Data'!$C$12,IF($D60="N-12",'Standard Data'!$C$13,0))*AG60^1.5</f>
        <v>#N/A</v>
      </c>
      <c r="AW60" s="71" t="e">
        <f>X60*2*IF($D60="P-12",'Standard Data'!$D$12,IF($D60="N-12",'Standard Data'!$D$13,0))</f>
        <v>#N/A</v>
      </c>
      <c r="AX60" s="72" t="e">
        <f>Y60*2*IF($D60="P-12",'Standard Data'!$D$12,IF($D60="N-12",'Standard Data'!$D$13,0))</f>
        <v>#N/A</v>
      </c>
      <c r="AY60" s="72" t="e">
        <f>Z60*2*IF($D60="P-12",'Standard Data'!$D$12,IF($D60="N-12",'Standard Data'!$D$13,0))</f>
        <v>#N/A</v>
      </c>
      <c r="AZ60" s="72" t="e">
        <f>AA60*2*IF($D60="P-12",'Standard Data'!$D$12,IF($D60="N-12",'Standard Data'!$D$13,0))</f>
        <v>#N/A</v>
      </c>
      <c r="BA60" s="75" t="e">
        <f>AB60*2*IF($D60="P-12",'Standard Data'!$D$12,IF($D60="N-12",'Standard Data'!$D$13,0))</f>
        <v>#N/A</v>
      </c>
      <c r="BB60" s="71" t="e">
        <f t="shared" si="37"/>
        <v>#N/A</v>
      </c>
      <c r="BC60" s="72" t="e">
        <f t="shared" si="38"/>
        <v>#N/A</v>
      </c>
      <c r="BD60" s="72" t="e">
        <f t="shared" si="39"/>
        <v>#N/A</v>
      </c>
      <c r="BE60" s="72" t="e">
        <f t="shared" si="68"/>
        <v>#N/A</v>
      </c>
      <c r="BF60" s="73" t="e">
        <f t="shared" si="40"/>
        <v>#N/A</v>
      </c>
      <c r="BG60" s="86" t="e">
        <f t="shared" si="41"/>
        <v>#N/A</v>
      </c>
      <c r="BH60" s="28" t="e">
        <f t="shared" si="42"/>
        <v>#N/A</v>
      </c>
      <c r="BI60" s="28" t="e">
        <f t="shared" si="43"/>
        <v>#N/A</v>
      </c>
      <c r="BJ60" s="28" t="e">
        <f t="shared" si="44"/>
        <v>#N/A</v>
      </c>
      <c r="BK60" s="29" t="e">
        <f t="shared" si="45"/>
        <v>#N/A</v>
      </c>
      <c r="BL60" s="91" t="e">
        <f t="shared" si="46"/>
        <v>#N/A</v>
      </c>
      <c r="BM60" s="92" t="e">
        <f t="shared" si="47"/>
        <v>#N/A</v>
      </c>
      <c r="BN60" s="92" t="e">
        <f t="shared" si="48"/>
        <v>#N/A</v>
      </c>
      <c r="BO60" s="92" t="e">
        <f t="shared" si="49"/>
        <v>#N/A</v>
      </c>
      <c r="BP60" s="93" t="e">
        <f t="shared" si="50"/>
        <v>#N/A</v>
      </c>
      <c r="BQ60" s="91" t="e">
        <f t="shared" si="51"/>
        <v>#N/A</v>
      </c>
      <c r="BR60" s="92" t="e">
        <f t="shared" si="52"/>
        <v>#N/A</v>
      </c>
      <c r="BS60" s="92" t="e">
        <f t="shared" si="53"/>
        <v>#N/A</v>
      </c>
      <c r="BT60" s="92" t="e">
        <f t="shared" si="54"/>
        <v>#N/A</v>
      </c>
      <c r="BU60" s="93" t="e">
        <f t="shared" si="55"/>
        <v>#N/A</v>
      </c>
      <c r="BV60" s="86" t="e">
        <f>IF($D60="P-12",'Standard Data'!$B$12,IF($D60="N-12",'Standard Data'!$B$13,0))*IF($D60="P-12",'Standard Data'!$E$12,IF($D60="N-12",'Standard Data'!$E$13,0))*X60</f>
        <v>#N/A</v>
      </c>
      <c r="BW60" s="28" t="e">
        <f>IF($D60="P-12",'Standard Data'!$B$12,IF($D60="N-12",'Standard Data'!$B$13,0))*IF($D60="P-12",'Standard Data'!$E$12,IF($D60="N-12",'Standard Data'!$E$13,0))*Y60</f>
        <v>#N/A</v>
      </c>
      <c r="BX60" s="28" t="e">
        <f>IF($D60="P-12",'Standard Data'!$B$12,IF($D60="N-12",'Standard Data'!$B$13,0))*IF($D60="P-12",'Standard Data'!$E$12,IF($D60="N-12",'Standard Data'!$E$13,0))*Z60</f>
        <v>#N/A</v>
      </c>
      <c r="BY60" s="28" t="e">
        <f>IF($D60="P-12",'Standard Data'!$B$12,IF($D60="N-12",'Standard Data'!$B$13,0))*IF($D60="P-12",'Standard Data'!$E$12,IF($D60="N-12",'Standard Data'!$E$13,0))*AA60</f>
        <v>#N/A</v>
      </c>
      <c r="BZ60" s="29" t="e">
        <f>IF($D60="P-12",'Standard Data'!$B$12,IF($D60="N-12",'Standard Data'!$B$13,0))*IF($D60="P-12",'Standard Data'!$E$12,IF($D60="N-12",'Standard Data'!$E$13,0))*AB60</f>
        <v>#N/A</v>
      </c>
      <c r="CA60" s="91" t="e">
        <f t="shared" si="56"/>
        <v>#N/A</v>
      </c>
      <c r="CB60" s="92" t="e">
        <f t="shared" si="57"/>
        <v>#N/A</v>
      </c>
      <c r="CC60" s="92" t="e">
        <f t="shared" si="58"/>
        <v>#N/A</v>
      </c>
      <c r="CD60" s="92" t="e">
        <f t="shared" si="59"/>
        <v>#N/A</v>
      </c>
      <c r="CE60" s="93" t="e">
        <f t="shared" si="60"/>
        <v>#N/A</v>
      </c>
      <c r="CF60" s="91" t="e">
        <f t="shared" si="61"/>
        <v>#N/A</v>
      </c>
      <c r="CG60" s="92" t="e">
        <f t="shared" si="62"/>
        <v>#N/A</v>
      </c>
      <c r="CH60" s="92" t="e">
        <f t="shared" si="63"/>
        <v>#N/A</v>
      </c>
      <c r="CI60" s="92" t="e">
        <f t="shared" si="64"/>
        <v>#N/A</v>
      </c>
      <c r="CJ60" s="93" t="e">
        <f t="shared" si="65"/>
        <v>#N/A</v>
      </c>
      <c r="CK60" s="103" t="e">
        <f t="shared" si="16"/>
        <v>#N/A</v>
      </c>
      <c r="CL60" s="104" t="e">
        <f t="shared" si="17"/>
        <v>#N/A</v>
      </c>
      <c r="CM60" s="104" t="e">
        <f t="shared" si="18"/>
        <v>#N/A</v>
      </c>
      <c r="CN60" s="104" t="e">
        <f t="shared" si="19"/>
        <v>#N/A</v>
      </c>
      <c r="CO60" s="105" t="e">
        <f t="shared" si="20"/>
        <v>#N/A</v>
      </c>
      <c r="CP60" s="103" t="e">
        <f>CF60+CK60</f>
        <v>#N/A</v>
      </c>
      <c r="CQ60" s="104" t="e">
        <f t="shared" si="69"/>
        <v>#N/A</v>
      </c>
      <c r="CR60" s="104" t="e">
        <f t="shared" si="70"/>
        <v>#N/A</v>
      </c>
      <c r="CS60" s="104" t="e">
        <f t="shared" si="71"/>
        <v>#N/A</v>
      </c>
      <c r="CT60" s="105" t="e">
        <f t="shared" si="72"/>
        <v>#N/A</v>
      </c>
      <c r="CU60" s="98" t="e">
        <f t="shared" si="22"/>
        <v>#N/A</v>
      </c>
      <c r="CV60" s="98" t="e">
        <f t="shared" si="23"/>
        <v>#N/A</v>
      </c>
      <c r="CW60" s="98" t="e">
        <f t="shared" si="67"/>
        <v>#N/A</v>
      </c>
    </row>
    <row r="61" spans="1:101" x14ac:dyDescent="0.25">
      <c r="B61" s="24"/>
    </row>
    <row r="62" spans="1:101" x14ac:dyDescent="0.25">
      <c r="B62" s="24"/>
    </row>
    <row r="63" spans="1:101" x14ac:dyDescent="0.25">
      <c r="B63" s="24"/>
    </row>
    <row r="64" spans="1:101" x14ac:dyDescent="0.25">
      <c r="B64" s="24"/>
    </row>
    <row r="65" spans="2:2" x14ac:dyDescent="0.25">
      <c r="B65" s="24"/>
    </row>
    <row r="66" spans="2:2" x14ac:dyDescent="0.25">
      <c r="B66" s="24"/>
    </row>
    <row r="67" spans="2:2" x14ac:dyDescent="0.25">
      <c r="B67" s="24"/>
    </row>
    <row r="68" spans="2:2" x14ac:dyDescent="0.25">
      <c r="B68" s="24"/>
    </row>
    <row r="69" spans="2:2" x14ac:dyDescent="0.25">
      <c r="B69" s="24"/>
    </row>
    <row r="70" spans="2:2" x14ac:dyDescent="0.25">
      <c r="B70" s="24"/>
    </row>
    <row r="71" spans="2:2" x14ac:dyDescent="0.25">
      <c r="B71" s="24"/>
    </row>
    <row r="72" spans="2:2" x14ac:dyDescent="0.25">
      <c r="B72" s="24"/>
    </row>
    <row r="73" spans="2:2" x14ac:dyDescent="0.25">
      <c r="B73" s="24"/>
    </row>
    <row r="74" spans="2:2" x14ac:dyDescent="0.25">
      <c r="B74" s="24"/>
    </row>
    <row r="75" spans="2:2" x14ac:dyDescent="0.25">
      <c r="B75" s="24"/>
    </row>
    <row r="76" spans="2:2" x14ac:dyDescent="0.25">
      <c r="B76" s="24"/>
    </row>
    <row r="77" spans="2:2" x14ac:dyDescent="0.25">
      <c r="B77" s="24"/>
    </row>
    <row r="78" spans="2:2" x14ac:dyDescent="0.25">
      <c r="B78" s="24"/>
    </row>
    <row r="79" spans="2:2" x14ac:dyDescent="0.25">
      <c r="B79" s="24"/>
    </row>
    <row r="80" spans="2:2" x14ac:dyDescent="0.25">
      <c r="B80" s="24"/>
    </row>
    <row r="81" spans="2:2" x14ac:dyDescent="0.25">
      <c r="B81" s="24"/>
    </row>
    <row r="82" spans="2:2" x14ac:dyDescent="0.25">
      <c r="B82" s="24"/>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24"/>
    </row>
    <row r="94" spans="2:2" x14ac:dyDescent="0.25">
      <c r="B94" s="24"/>
    </row>
    <row r="95" spans="2:2" x14ac:dyDescent="0.25">
      <c r="B95" s="24"/>
    </row>
    <row r="96" spans="2:2" x14ac:dyDescent="0.25">
      <c r="B96" s="24"/>
    </row>
    <row r="97" spans="2:2" x14ac:dyDescent="0.25">
      <c r="B97" s="24"/>
    </row>
    <row r="98" spans="2:2" x14ac:dyDescent="0.25">
      <c r="B98" s="24"/>
    </row>
    <row r="99" spans="2:2" x14ac:dyDescent="0.25">
      <c r="B99" s="24"/>
    </row>
    <row r="100" spans="2:2" x14ac:dyDescent="0.25">
      <c r="B100" s="24"/>
    </row>
    <row r="101" spans="2:2" x14ac:dyDescent="0.25">
      <c r="B101" s="24"/>
    </row>
  </sheetData>
  <mergeCells count="23">
    <mergeCell ref="AG1:AI1"/>
    <mergeCell ref="M1:P1"/>
    <mergeCell ref="Q1:T1"/>
    <mergeCell ref="U1:X1"/>
    <mergeCell ref="Y1:AB1"/>
    <mergeCell ref="AC1:AF1"/>
    <mergeCell ref="CU32:CW32"/>
    <mergeCell ref="BQ32:BU32"/>
    <mergeCell ref="BV32:BZ32"/>
    <mergeCell ref="CA32:CE32"/>
    <mergeCell ref="CF32:CJ32"/>
    <mergeCell ref="BL32:BP32"/>
    <mergeCell ref="S32:W32"/>
    <mergeCell ref="X32:AB32"/>
    <mergeCell ref="CK32:CO32"/>
    <mergeCell ref="CP32:CT32"/>
    <mergeCell ref="AC32:AG32"/>
    <mergeCell ref="AH32:AL32"/>
    <mergeCell ref="AM32:AQ32"/>
    <mergeCell ref="AR32:AV32"/>
    <mergeCell ref="AW32:BA32"/>
    <mergeCell ref="BB32:BF32"/>
    <mergeCell ref="BG32:BK3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3133E-1396-44C2-98FF-D394ABFC6A30}">
  <dimension ref="A2:Q27"/>
  <sheetViews>
    <sheetView workbookViewId="0">
      <selection activeCell="E4" sqref="E4"/>
    </sheetView>
  </sheetViews>
  <sheetFormatPr defaultRowHeight="15" x14ac:dyDescent="0.25"/>
  <cols>
    <col min="5" max="5" width="11.42578125" customWidth="1"/>
    <col min="8" max="8" width="11.5703125" bestFit="1" customWidth="1"/>
    <col min="9" max="10" width="10.5703125" bestFit="1" customWidth="1"/>
    <col min="11" max="11" width="12.5703125" bestFit="1" customWidth="1"/>
    <col min="12" max="12" width="10.5703125" customWidth="1"/>
    <col min="13" max="13" width="11.5703125" bestFit="1" customWidth="1"/>
    <col min="14" max="15" width="10.7109375" customWidth="1"/>
    <col min="16" max="16" width="12.140625" bestFit="1" customWidth="1"/>
    <col min="17" max="17" width="10.140625" bestFit="1" customWidth="1"/>
  </cols>
  <sheetData>
    <row r="2" spans="1:17" x14ac:dyDescent="0.25">
      <c r="A2" t="s">
        <v>29</v>
      </c>
      <c r="K2" s="180" t="s">
        <v>40</v>
      </c>
      <c r="L2" s="180"/>
    </row>
    <row r="3" spans="1:17" ht="30" x14ac:dyDescent="0.25">
      <c r="A3" s="3" t="s">
        <v>11</v>
      </c>
      <c r="B3" s="3" t="s">
        <v>32</v>
      </c>
      <c r="C3" s="3" t="s">
        <v>33</v>
      </c>
      <c r="D3" s="3" t="s">
        <v>34</v>
      </c>
      <c r="E3" s="4" t="s">
        <v>38</v>
      </c>
      <c r="K3" s="14"/>
      <c r="L3" s="15" t="s">
        <v>39</v>
      </c>
    </row>
    <row r="4" spans="1:17" x14ac:dyDescent="0.25">
      <c r="A4" s="2" t="e">
        <f>'Standard Data'!$D$9*(1-_xlfn.XLOOKUP("sag",'Inputs-Results'!$E$9:$E$35,'Inputs-Results'!$AF$9:$AF$35))</f>
        <v>#N/A</v>
      </c>
      <c r="B4" s="2" t="e">
        <f>'Standard Data'!$B$9*(1-_xlfn.XLOOKUP("sag",'Inputs-Results'!$E$9:$E$35,'Inputs-Results'!AF9:AF35))</f>
        <v>#N/A</v>
      </c>
      <c r="C4" s="2" t="e">
        <f>(_xlfn.XLOOKUP("sag",'Inputs-Results'!$E$9:$E$35,'Inputs-Results'!$M$9:$M$35)/(0.67*B4))^2/(2*32.2)</f>
        <v>#N/A</v>
      </c>
      <c r="D4" s="2" t="e">
        <f>(_xlfn.XLOOKUP("sag",'Inputs-Results'!$E$9:$E$35,'Inputs-Results'!$M$9:$M$35)/3/B4)^(1/1.5)</f>
        <v>#N/A</v>
      </c>
      <c r="E4" s="43" t="e">
        <f>MAX(C4:D4)</f>
        <v>#N/A</v>
      </c>
      <c r="K4" s="14" t="s">
        <v>1</v>
      </c>
      <c r="L4" s="21" t="e">
        <f>E4</f>
        <v>#N/A</v>
      </c>
    </row>
    <row r="5" spans="1:17" x14ac:dyDescent="0.25">
      <c r="K5" s="14" t="e">
        <f>_xlfn.XLOOKUP("sag",'Inputs-Results'!$E$9:$E$35,'Inputs-Results'!$B$9:$B$35)</f>
        <v>#N/A</v>
      </c>
      <c r="L5" s="21" t="e">
        <f>MAX(O10:P10)</f>
        <v>#N/A</v>
      </c>
    </row>
    <row r="6" spans="1:17" x14ac:dyDescent="0.25">
      <c r="K6" s="14"/>
      <c r="L6" s="21"/>
    </row>
    <row r="8" spans="1:17" x14ac:dyDescent="0.25">
      <c r="A8" t="s">
        <v>197</v>
      </c>
    </row>
    <row r="9" spans="1:17" ht="30" x14ac:dyDescent="0.25">
      <c r="A9" s="5" t="s">
        <v>52</v>
      </c>
      <c r="B9" s="2" t="s">
        <v>54</v>
      </c>
      <c r="C9" s="5" t="s">
        <v>55</v>
      </c>
      <c r="D9" s="5" t="s">
        <v>53</v>
      </c>
      <c r="E9" s="2" t="s">
        <v>48</v>
      </c>
      <c r="F9" s="2" t="s">
        <v>46</v>
      </c>
      <c r="G9" s="2" t="s">
        <v>51</v>
      </c>
      <c r="H9" s="2" t="s">
        <v>61</v>
      </c>
      <c r="I9" s="2" t="s">
        <v>49</v>
      </c>
      <c r="J9" s="2" t="s">
        <v>46</v>
      </c>
      <c r="K9" s="2" t="s">
        <v>50</v>
      </c>
      <c r="L9" s="2" t="s">
        <v>47</v>
      </c>
      <c r="M9" s="5" t="s">
        <v>56</v>
      </c>
      <c r="N9" s="2" t="s">
        <v>62</v>
      </c>
      <c r="O9" s="4" t="s">
        <v>63</v>
      </c>
      <c r="P9" s="2" t="s">
        <v>64</v>
      </c>
      <c r="Q9" s="5" t="s">
        <v>108</v>
      </c>
    </row>
    <row r="10" spans="1:17" x14ac:dyDescent="0.25">
      <c r="A10" s="2">
        <v>0</v>
      </c>
      <c r="B10" s="2" t="e">
        <f>A10*_xlfn.XLOOKUP("sag",'Inputs-Results'!$E$9:$E$35,'Inputs-Results'!$C$9:$C$35)</f>
        <v>#N/A</v>
      </c>
      <c r="C10" s="11" t="e">
        <f>MIN(B10/IF(_xlfn.XLOOKUP("sag",'Inputs-Results'!$E$9:$E$35,'Inputs-Results'!$B$9:$B$35)="P-12",'Standard Data'!D$12,IF(_xlfn.XLOOKUP("sag",'Inputs-Results'!$E$9:$E$35,'Inputs-Results'!$B$9:$B$35)="N-12",'Standard Data'!D$13,""))*COS(ATAN(1/_xlfn.XLOOKUP("sag",'Inputs-Results'!E$9:E$35,'Inputs-Results'!C$9:C$35))),1)</f>
        <v>#N/A</v>
      </c>
      <c r="D10" s="18" t="e">
        <f>(A10+MAX(A10-3.771/_xlfn.XLOOKUP("sag",'Inputs-Results'!E$9:E$35,'Inputs-Results'!C$9:C$35),0))/2</f>
        <v>#N/A</v>
      </c>
      <c r="E10" s="18" t="e">
        <f>A10/IF(_xlfn.XLOOKUP("sag",'Inputs-Results'!$E$9:$E$35,'Inputs-Results'!$B$9:$B$35)="P-12",'Standard Data'!C$12,IF(_xlfn.XLOOKUP("sag",'Inputs-Results'!$E$9:$E$35,'Inputs-Results'!$B$9:$B$35)="N-12",'Standard Data'!C$13,""))</f>
        <v>#N/A</v>
      </c>
      <c r="F10" s="19" t="e">
        <f>MIN(0.3176*E10^2+0.0739*E10+2.6375, 3.31)</f>
        <v>#N/A</v>
      </c>
      <c r="G10" s="20" t="e">
        <f>F10*IF(_xlfn.XLOOKUP("sag",'Inputs-Results'!$E$9:$E$35,'Inputs-Results'!$B$9:$B$35)="P-12",'Standard Data'!C$12,IF(_xlfn.XLOOKUP("sag",'Inputs-Results'!$E$9:$E$35,'Inputs-Results'!$B$9:$B$35)="N-12",'Standard Data'!C$13,""))*D10^1.5</f>
        <v>#N/A</v>
      </c>
      <c r="H10" s="18" t="e">
        <f>C10*2*IF(_xlfn.XLOOKUP("sag",'Inputs-Results'!$E$9:$E$35,'Inputs-Results'!$B$9:$B$35)="P-12",'Standard Data'!D$12,IF(_xlfn.XLOOKUP("sag",'Inputs-Results'!$E$9:$E$35,'Inputs-Results'!$B$9:$B$35)="N-12",'Standard Data'!D$13,""))</f>
        <v>#N/A</v>
      </c>
      <c r="I10" s="2" t="e">
        <f t="shared" ref="I10:I27" si="0">D10/H10</f>
        <v>#N/A</v>
      </c>
      <c r="J10" s="2" t="e">
        <f>MIN(0.3176*I10^2+0.739*I10+2.6375,3.31)</f>
        <v>#N/A</v>
      </c>
      <c r="K10" s="16" t="e">
        <f t="shared" ref="K10:K27" si="1">J10*H10*D10^1.5</f>
        <v>#N/A</v>
      </c>
      <c r="L10" s="16">
        <f>IFERROR(K10+G10,0)</f>
        <v>0</v>
      </c>
      <c r="M10"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Data'!E$13,""))*C10</f>
        <v>#N/A</v>
      </c>
      <c r="N10" s="112" t="e">
        <f>0.6*M10*(2*32.2*D10)^0.5</f>
        <v>#N/A</v>
      </c>
      <c r="O10" s="42" t="e">
        <f>_xlfn.FORECAST.LINEAR(_xlfn.XLOOKUP("sag",'Inputs-Results'!E$9:E$35,'Inputs-Results'!M$9:M$35),INDEX(A10:A27,MATCH(_xlfn.XLOOKUP("sag",'Inputs-Results'!E$9:E$35,'Inputs-Results'!M$9:M$35),L10:L27,1)):INDEX(A10:A27,MATCH(_xlfn.XLOOKUP("sag",'Inputs-Results'!E$9:E$35,'Inputs-Results'!M$9:M$35),L10:L27,1)+1),INDEX(L10:L27,MATCH(_xlfn.XLOOKUP("sag",'Inputs-Results'!E$9:E$35,'Inputs-Results'!M$9:M$35),L10:L27,1)):INDEX(L10:L27,MATCH(_xlfn.XLOOKUP("sag",'Inputs-Results'!E$9:E$35,'Inputs-Results'!M$9:M$35),L10:L27,1)+1))</f>
        <v>#N/A</v>
      </c>
      <c r="P10" s="42" t="e">
        <f>_xlfn.FORECAST.LINEAR(_xlfn.XLOOKUP("sag",'Inputs-Results'!E$9:E$35,'Inputs-Results'!M$9:M$35),INDEX(A10:A22,MATCH(_xlfn.XLOOKUP("sag",'Inputs-Results'!E$9:E$35,'Inputs-Results'!M$9:M$35),N10:N22,1)):INDEX(A10:A22,MATCH(_xlfn.XLOOKUP("sag",'Inputs-Results'!E$9:E$35,'Inputs-Results'!M$9:M$35),N10:N22,1)+1),INDEX(N10:N22,MATCH(_xlfn.XLOOKUP("sag",'Inputs-Results'!E$9:E$35,'Inputs-Results'!M$9:M$35),N10:N22,1)):INDEX(N10:N22,MATCH(_xlfn.XLOOKUP("sag",'Inputs-Results'!E$9:E$35,'Inputs-Results'!M$9:M$35),N10:N22,1)+1))</f>
        <v>#N/A</v>
      </c>
      <c r="Q10" s="2" t="e">
        <f>IF(_xlfn.XLOOKUP("sag",'Inputs-Results'!$E$9:$E$35,'Inputs-Results'!$B$9:$B$35)="P-12",'Standard Data'!D$12,IF(_xlfn.XLOOKUP("sag",'Inputs-Results'!$E$9:$E$35,'Inputs-Results'!$B$9:$B$35)="N-12",'Standard Data'!D$13,""))*SIN(ATAN(1/_xlfn.XLOOKUP("sag",'Inputs-Results'!$E$9:$E$35,'Inputs-Results'!$C$9:$C$35)))</f>
        <v>#N/A</v>
      </c>
    </row>
    <row r="11" spans="1:17" x14ac:dyDescent="0.25">
      <c r="A11" s="7" t="e">
        <f>$A$27/17+A10</f>
        <v>#N/A</v>
      </c>
      <c r="B11" s="2" t="e">
        <f>A11*_xlfn.XLOOKUP("sag",'Inputs-Results'!$E$9:$E$35,'Inputs-Results'!$C$9:$C$35)</f>
        <v>#N/A</v>
      </c>
      <c r="C11" s="11" t="e">
        <f>MIN(B11/IF(_xlfn.XLOOKUP("sag",'Inputs-Results'!$E$9:$E$35,'Inputs-Results'!$B$9:$B$35)="P-12",'Standard Data'!D$12,IF(_xlfn.XLOOKUP("sag",'Inputs-Results'!$E$9:$E$35,'Inputs-Results'!$B$9:$B$35)="N-12",'Standard Data'!D$13,""))*COS(ATAN(1/_xlfn.XLOOKUP("sag",'Inputs-Results'!E$9:E$35,'Inputs-Results'!C$9:C$35))),1)</f>
        <v>#N/A</v>
      </c>
      <c r="D11" s="18" t="e">
        <f>(A11+MAX(A11-3.771/_xlfn.XLOOKUP("sag",'Inputs-Results'!E$9:E$35,'Inputs-Results'!C$9:C$35),0))/2</f>
        <v>#N/A</v>
      </c>
      <c r="E11" s="18" t="e">
        <f>A11/IF(_xlfn.XLOOKUP("sag",'Inputs-Results'!$E$9:$E$35,'Inputs-Results'!$B$9:$B$35)="P-12",'Standard Data'!C$12,IF(_xlfn.XLOOKUP("sag",'Inputs-Results'!$E$9:$E$35,'Inputs-Results'!$B$9:$B$35)="N-12",'Standard Data'!C$13,""))</f>
        <v>#N/A</v>
      </c>
      <c r="F11" s="19" t="e">
        <f t="shared" ref="F11:F22" si="2">MIN(0.3176*E11^2+0.0739*E11+2.6375, 3.31)</f>
        <v>#N/A</v>
      </c>
      <c r="G11" s="20" t="e">
        <f>F11*IF(_xlfn.XLOOKUP("sag",'Inputs-Results'!$E$9:$E$35,'Inputs-Results'!$B$9:$B$35)="P-12",'Standard Data'!C$12,IF(_xlfn.XLOOKUP("sag",'Inputs-Results'!$E$9:$E$35,'Inputs-Results'!$B$9:$B$35)="N-12",'Standard Data'!C$13,""))*D11^1.5</f>
        <v>#N/A</v>
      </c>
      <c r="H11" s="18" t="e">
        <f>C11*2*IF(_xlfn.XLOOKUP("sag",'Inputs-Results'!$E$9:$E$35,'Inputs-Results'!$B$9:$B$35)="P-12",'Standard Data'!D$12,IF(_xlfn.XLOOKUP("sag",'Inputs-Results'!$E$9:$E$35,'Inputs-Results'!$B$9:$B$35)="N-12",'Standard Data'!D$13,""))</f>
        <v>#N/A</v>
      </c>
      <c r="I11" s="19" t="e">
        <f t="shared" si="0"/>
        <v>#N/A</v>
      </c>
      <c r="J11" s="19" t="e">
        <f>MIN(0.3176*I11^2+0.739*I11+2.6375,3.31)</f>
        <v>#N/A</v>
      </c>
      <c r="K11" s="20" t="e">
        <f t="shared" si="1"/>
        <v>#N/A</v>
      </c>
      <c r="L11" s="20" t="e">
        <f t="shared" ref="L11:L27" si="3">K11+G11</f>
        <v>#N/A</v>
      </c>
      <c r="M11"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Data'!E$13,""))*C11</f>
        <v>#N/A</v>
      </c>
      <c r="N11" s="112" t="e">
        <f t="shared" ref="N11:N27" si="4">0.6*M11*(2*32.2*D11)^0.5</f>
        <v>#N/A</v>
      </c>
    </row>
    <row r="12" spans="1:17" x14ac:dyDescent="0.25">
      <c r="A12" s="7" t="e">
        <f t="shared" ref="A12:A26" si="5">$A$27/17+A11</f>
        <v>#N/A</v>
      </c>
      <c r="B12" s="2" t="e">
        <f>A12*_xlfn.XLOOKUP("sag",'Inputs-Results'!$E$9:$E$35,'Inputs-Results'!$C$9:$C$35)</f>
        <v>#N/A</v>
      </c>
      <c r="C12" s="11" t="e">
        <f>MIN(B12/IF(_xlfn.XLOOKUP("sag",'Inputs-Results'!$E$9:$E$35,'Inputs-Results'!$B$9:$B$35)="P-12",'Standard Data'!D$12,IF(_xlfn.XLOOKUP("sag",'Inputs-Results'!$E$9:$E$35,'Inputs-Results'!$B$9:$B$35)="N-12",'Standard Data'!D$13,""))*COS(ATAN(1/_xlfn.XLOOKUP("sag",'Inputs-Results'!E$9:E$35,'Inputs-Results'!C$9:C$35))),1)</f>
        <v>#N/A</v>
      </c>
      <c r="D12" s="18" t="e">
        <f>(A12+MAX(A12-3.771/_xlfn.XLOOKUP("sag",'Inputs-Results'!E$9:E$35,'Inputs-Results'!C$9:C$35),0))/2</f>
        <v>#N/A</v>
      </c>
      <c r="E12" s="18" t="e">
        <f>A12/IF(_xlfn.XLOOKUP("sag",'Inputs-Results'!$E$9:$E$35,'Inputs-Results'!$B$9:$B$35)="P-12",'Standard Data'!C$12,IF(_xlfn.XLOOKUP("sag",'Inputs-Results'!$E$9:$E$35,'Inputs-Results'!$B$9:$B$35)="N-12",'Standard Data'!C$13,""))</f>
        <v>#N/A</v>
      </c>
      <c r="F12" s="19" t="e">
        <f t="shared" si="2"/>
        <v>#N/A</v>
      </c>
      <c r="G12" s="20" t="e">
        <f>F12*IF(_xlfn.XLOOKUP("sag",'Inputs-Results'!$E$9:$E$35,'Inputs-Results'!$B$9:$B$35)="P-12",'Standard Data'!C$12,IF(_xlfn.XLOOKUP("sag",'Inputs-Results'!$E$9:$E$35,'Inputs-Results'!$B$9:$B$35)="N-12",'Standard Data'!C$13,""))*D12^1.5</f>
        <v>#N/A</v>
      </c>
      <c r="H12" s="18" t="e">
        <f>C12*2*IF(_xlfn.XLOOKUP("sag",'Inputs-Results'!$E$9:$E$35,'Inputs-Results'!$B$9:$B$35)="P-12",'Standard Data'!D$12,IF(_xlfn.XLOOKUP("sag",'Inputs-Results'!$E$9:$E$35,'Inputs-Results'!$B$9:$B$35)="N-12",'Standard Data'!D$13,""))</f>
        <v>#N/A</v>
      </c>
      <c r="I12" s="19" t="e">
        <f t="shared" si="0"/>
        <v>#N/A</v>
      </c>
      <c r="J12" s="19" t="e">
        <f t="shared" ref="J12:J22" si="6">MIN(0.3176*I12^2+0.739*I12+2.6375,3.31)</f>
        <v>#N/A</v>
      </c>
      <c r="K12" s="20" t="e">
        <f t="shared" si="1"/>
        <v>#N/A</v>
      </c>
      <c r="L12" s="20" t="e">
        <f t="shared" si="3"/>
        <v>#N/A</v>
      </c>
      <c r="M12"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Data'!E$13,""))*C12</f>
        <v>#N/A</v>
      </c>
      <c r="N12" s="112" t="e">
        <f t="shared" si="4"/>
        <v>#N/A</v>
      </c>
    </row>
    <row r="13" spans="1:17" x14ac:dyDescent="0.25">
      <c r="A13" s="7" t="e">
        <f t="shared" si="5"/>
        <v>#N/A</v>
      </c>
      <c r="B13" s="2" t="e">
        <f>A13*_xlfn.XLOOKUP("sag",'Inputs-Results'!$E$9:$E$35,'Inputs-Results'!$C$9:$C$35)</f>
        <v>#N/A</v>
      </c>
      <c r="C13" s="11" t="e">
        <f>MIN(B13/IF(_xlfn.XLOOKUP("sag",'Inputs-Results'!$E$9:$E$35,'Inputs-Results'!$B$9:$B$35)="P-12",'Standard Data'!D$12,IF(_xlfn.XLOOKUP("sag",'Inputs-Results'!$E$9:$E$35,'Inputs-Results'!$B$9:$B$35)="N-12",'Standard Data'!D$13,""))*COS(ATAN(1/_xlfn.XLOOKUP("sag",'Inputs-Results'!E$9:E$35,'Inputs-Results'!C$9:C$35))),1)</f>
        <v>#N/A</v>
      </c>
      <c r="D13" s="18" t="e">
        <f>(A13+MAX(A13-3.771/_xlfn.XLOOKUP("sag",'Inputs-Results'!E$9:E$35,'Inputs-Results'!C$9:C$35),0))/2</f>
        <v>#N/A</v>
      </c>
      <c r="E13" s="18" t="e">
        <f>A13/IF(_xlfn.XLOOKUP("sag",'Inputs-Results'!$E$9:$E$35,'Inputs-Results'!$B$9:$B$35)="P-12",'Standard Data'!C$12,IF(_xlfn.XLOOKUP("sag",'Inputs-Results'!$E$9:$E$35,'Inputs-Results'!$B$9:$B$35)="N-12",'Standard Data'!C$13,""))</f>
        <v>#N/A</v>
      </c>
      <c r="F13" s="19" t="e">
        <f t="shared" si="2"/>
        <v>#N/A</v>
      </c>
      <c r="G13" s="20" t="e">
        <f>F13*IF(_xlfn.XLOOKUP("sag",'Inputs-Results'!$E$9:$E$35,'Inputs-Results'!$B$9:$B$35)="P-12",'Standard Data'!C$12,IF(_xlfn.XLOOKUP("sag",'Inputs-Results'!$E$9:$E$35,'Inputs-Results'!$B$9:$B$35)="N-12",'Standard Data'!C$13,""))*D13^1.5</f>
        <v>#N/A</v>
      </c>
      <c r="H13" s="18" t="e">
        <f>C13*2*IF(_xlfn.XLOOKUP("sag",'Inputs-Results'!$E$9:$E$35,'Inputs-Results'!$B$9:$B$35)="P-12",'Standard Data'!D$12,IF(_xlfn.XLOOKUP("sag",'Inputs-Results'!$E$9:$E$35,'Inputs-Results'!$B$9:$B$35)="N-12",'Standard Data'!D$13,""))</f>
        <v>#N/A</v>
      </c>
      <c r="I13" s="19" t="e">
        <f t="shared" si="0"/>
        <v>#N/A</v>
      </c>
      <c r="J13" s="19" t="e">
        <f t="shared" si="6"/>
        <v>#N/A</v>
      </c>
      <c r="K13" s="20" t="e">
        <f t="shared" si="1"/>
        <v>#N/A</v>
      </c>
      <c r="L13" s="20" t="e">
        <f t="shared" si="3"/>
        <v>#N/A</v>
      </c>
      <c r="M13"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Data'!E$13,""))*C13</f>
        <v>#N/A</v>
      </c>
      <c r="N13" s="112" t="e">
        <f t="shared" si="4"/>
        <v>#N/A</v>
      </c>
    </row>
    <row r="14" spans="1:17" x14ac:dyDescent="0.25">
      <c r="A14" s="7" t="e">
        <f t="shared" si="5"/>
        <v>#N/A</v>
      </c>
      <c r="B14" s="2" t="e">
        <f>A14*_xlfn.XLOOKUP("sag",'Inputs-Results'!$E$9:$E$35,'Inputs-Results'!$C$9:$C$35)</f>
        <v>#N/A</v>
      </c>
      <c r="C14" s="11" t="e">
        <f>MIN(B14/IF(_xlfn.XLOOKUP("sag",'Inputs-Results'!$E$9:$E$35,'Inputs-Results'!$B$9:$B$35)="P-12",'Standard Data'!D$12,IF(_xlfn.XLOOKUP("sag",'Inputs-Results'!$E$9:$E$35,'Inputs-Results'!$B$9:$B$35)="N-12",'Standard Data'!D$13,""))*COS(ATAN(1/_xlfn.XLOOKUP("sag",'Inputs-Results'!E$9:E$35,'Inputs-Results'!C$9:C$35))),1)</f>
        <v>#N/A</v>
      </c>
      <c r="D14" s="18" t="e">
        <f>(A14+MAX(A14-3.771/_xlfn.XLOOKUP("sag",'Inputs-Results'!E$9:E$35,'Inputs-Results'!C$9:C$35),0))/2</f>
        <v>#N/A</v>
      </c>
      <c r="E14" s="18" t="e">
        <f>A14/IF(_xlfn.XLOOKUP("sag",'Inputs-Results'!$E$9:$E$35,'Inputs-Results'!$B$9:$B$35)="P-12",'Standard Data'!C$12,IF(_xlfn.XLOOKUP("sag",'Inputs-Results'!$E$9:$E$35,'Inputs-Results'!$B$9:$B$35)="N-12",'Standard Data'!C$13,""))</f>
        <v>#N/A</v>
      </c>
      <c r="F14" s="19" t="e">
        <f t="shared" si="2"/>
        <v>#N/A</v>
      </c>
      <c r="G14" s="20" t="e">
        <f>F14*IF(_xlfn.XLOOKUP("sag",'Inputs-Results'!$E$9:$E$35,'Inputs-Results'!$B$9:$B$35)="P-12",'Standard Data'!C$12,IF(_xlfn.XLOOKUP("sag",'Inputs-Results'!$E$9:$E$35,'Inputs-Results'!$B$9:$B$35)="N-12",'Standard Data'!C$13,""))*D14^1.5</f>
        <v>#N/A</v>
      </c>
      <c r="H14" s="18" t="e">
        <f>C14*2*IF(_xlfn.XLOOKUP("sag",'Inputs-Results'!$E$9:$E$35,'Inputs-Results'!$B$9:$B$35)="P-12",'Standard Data'!D$12,IF(_xlfn.XLOOKUP("sag",'Inputs-Results'!$E$9:$E$35,'Inputs-Results'!$B$9:$B$35)="N-12",'Standard Data'!D$13,""))</f>
        <v>#N/A</v>
      </c>
      <c r="I14" s="19" t="e">
        <f t="shared" si="0"/>
        <v>#N/A</v>
      </c>
      <c r="J14" s="19" t="e">
        <f t="shared" si="6"/>
        <v>#N/A</v>
      </c>
      <c r="K14" s="20" t="e">
        <f t="shared" si="1"/>
        <v>#N/A</v>
      </c>
      <c r="L14" s="20" t="e">
        <f t="shared" si="3"/>
        <v>#N/A</v>
      </c>
      <c r="M14"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Data'!E$13,""))*C14</f>
        <v>#N/A</v>
      </c>
      <c r="N14" s="112" t="e">
        <f t="shared" si="4"/>
        <v>#N/A</v>
      </c>
    </row>
    <row r="15" spans="1:17" x14ac:dyDescent="0.25">
      <c r="A15" s="7" t="e">
        <f t="shared" si="5"/>
        <v>#N/A</v>
      </c>
      <c r="B15" s="2" t="e">
        <f>A15*_xlfn.XLOOKUP("sag",'Inputs-Results'!$E$9:$E$35,'Inputs-Results'!$C$9:$C$35)</f>
        <v>#N/A</v>
      </c>
      <c r="C15" s="11" t="e">
        <f>MIN(B15/IF(_xlfn.XLOOKUP("sag",'Inputs-Results'!$E$9:$E$35,'Inputs-Results'!$B$9:$B$35)="P-12",'Standard Data'!D$12,IF(_xlfn.XLOOKUP("sag",'Inputs-Results'!$E$9:$E$35,'Inputs-Results'!$B$9:$B$35)="N-12",'Standard Data'!D$13,""))*COS(ATAN(1/_xlfn.XLOOKUP("sag",'Inputs-Results'!E$9:E$35,'Inputs-Results'!C$9:C$35))),1)</f>
        <v>#N/A</v>
      </c>
      <c r="D15" s="18" t="e">
        <f>(A15+MAX(A15-3.771/_xlfn.XLOOKUP("sag",'Inputs-Results'!E$9:E$35,'Inputs-Results'!C$9:C$35),0))/2</f>
        <v>#N/A</v>
      </c>
      <c r="E15" s="18" t="e">
        <f>A15/IF(_xlfn.XLOOKUP("sag",'Inputs-Results'!$E$9:$E$35,'Inputs-Results'!$B$9:$B$35)="P-12",'Standard Data'!C$12,IF(_xlfn.XLOOKUP("sag",'Inputs-Results'!$E$9:$E$35,'Inputs-Results'!$B$9:$B$35)="N-12",'Standard Data'!C$13,""))</f>
        <v>#N/A</v>
      </c>
      <c r="F15" s="19" t="e">
        <f t="shared" si="2"/>
        <v>#N/A</v>
      </c>
      <c r="G15" s="20" t="e">
        <f>F15*IF(_xlfn.XLOOKUP("sag",'Inputs-Results'!$E$9:$E$35,'Inputs-Results'!$B$9:$B$35)="P-12",'Standard Data'!C$12,IF(_xlfn.XLOOKUP("sag",'Inputs-Results'!$E$9:$E$35,'Inputs-Results'!$B$9:$B$35)="N-12",'Standard Data'!C$13,""))*D15^1.5</f>
        <v>#N/A</v>
      </c>
      <c r="H15" s="18" t="e">
        <f>C15*2*IF(_xlfn.XLOOKUP("sag",'Inputs-Results'!$E$9:$E$35,'Inputs-Results'!$B$9:$B$35)="P-12",'Standard Data'!D$12,IF(_xlfn.XLOOKUP("sag",'Inputs-Results'!$E$9:$E$35,'Inputs-Results'!$B$9:$B$35)="N-12",'Standard Data'!D$13,""))</f>
        <v>#N/A</v>
      </c>
      <c r="I15" s="19" t="e">
        <f t="shared" si="0"/>
        <v>#N/A</v>
      </c>
      <c r="J15" s="19" t="e">
        <f t="shared" si="6"/>
        <v>#N/A</v>
      </c>
      <c r="K15" s="20" t="e">
        <f t="shared" si="1"/>
        <v>#N/A</v>
      </c>
      <c r="L15" s="20" t="e">
        <f t="shared" si="3"/>
        <v>#N/A</v>
      </c>
      <c r="M15"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Data'!E$13,""))*C15</f>
        <v>#N/A</v>
      </c>
      <c r="N15" s="112" t="e">
        <f t="shared" si="4"/>
        <v>#N/A</v>
      </c>
    </row>
    <row r="16" spans="1:17" x14ac:dyDescent="0.25">
      <c r="A16" s="7" t="e">
        <f t="shared" si="5"/>
        <v>#N/A</v>
      </c>
      <c r="B16" s="2" t="e">
        <f>A16*_xlfn.XLOOKUP("sag",'Inputs-Results'!$E$9:$E$35,'Inputs-Results'!$C$9:$C$35)</f>
        <v>#N/A</v>
      </c>
      <c r="C16" s="11" t="e">
        <f>MIN(B16/IF(_xlfn.XLOOKUP("sag",'Inputs-Results'!$E$9:$E$35,'Inputs-Results'!$B$9:$B$35)="P-12",'Standard Data'!D$12,IF(_xlfn.XLOOKUP("sag",'Inputs-Results'!$E$9:$E$35,'Inputs-Results'!$B$9:$B$35)="N-12",'Standard Data'!D$13,""))*COS(ATAN(1/_xlfn.XLOOKUP("sag",'Inputs-Results'!E$9:E$35,'Inputs-Results'!C$9:C$35))),1)</f>
        <v>#N/A</v>
      </c>
      <c r="D16" s="18" t="e">
        <f>(A16+MAX(A16-3.771/_xlfn.XLOOKUP("sag",'Inputs-Results'!E$9:E$35,'Inputs-Results'!C$9:C$35),0))/2</f>
        <v>#N/A</v>
      </c>
      <c r="E16" s="18" t="e">
        <f>A16/IF(_xlfn.XLOOKUP("sag",'Inputs-Results'!$E$9:$E$35,'Inputs-Results'!$B$9:$B$35)="P-12",'Standard Data'!C$12,IF(_xlfn.XLOOKUP("sag",'Inputs-Results'!$E$9:$E$35,'Inputs-Results'!$B$9:$B$35)="N-12",'Standard Data'!C$13,""))</f>
        <v>#N/A</v>
      </c>
      <c r="F16" s="19" t="e">
        <f t="shared" si="2"/>
        <v>#N/A</v>
      </c>
      <c r="G16" s="20" t="e">
        <f>F16*IF(_xlfn.XLOOKUP("sag",'Inputs-Results'!$E$9:$E$35,'Inputs-Results'!$B$9:$B$35)="P-12",'Standard Data'!C$12,IF(_xlfn.XLOOKUP("sag",'Inputs-Results'!$E$9:$E$35,'Inputs-Results'!$B$9:$B$35)="N-12",'Standard Data'!C$13,""))*D16^1.5</f>
        <v>#N/A</v>
      </c>
      <c r="H16" s="18" t="e">
        <f>C16*2*IF(_xlfn.XLOOKUP("sag",'Inputs-Results'!$E$9:$E$35,'Inputs-Results'!$B$9:$B$35)="P-12",'Standard Data'!D$12,IF(_xlfn.XLOOKUP("sag",'Inputs-Results'!$E$9:$E$35,'Inputs-Results'!$B$9:$B$35)="N-12",'Standard Data'!D$13,""))</f>
        <v>#N/A</v>
      </c>
      <c r="I16" s="19" t="e">
        <f t="shared" si="0"/>
        <v>#N/A</v>
      </c>
      <c r="J16" s="19" t="e">
        <f t="shared" si="6"/>
        <v>#N/A</v>
      </c>
      <c r="K16" s="20" t="e">
        <f t="shared" si="1"/>
        <v>#N/A</v>
      </c>
      <c r="L16" s="20" t="e">
        <f t="shared" si="3"/>
        <v>#N/A</v>
      </c>
      <c r="M16"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Data'!E$13,""))*C16</f>
        <v>#N/A</v>
      </c>
      <c r="N16" s="112" t="e">
        <f t="shared" si="4"/>
        <v>#N/A</v>
      </c>
    </row>
    <row r="17" spans="1:14" x14ac:dyDescent="0.25">
      <c r="A17" s="7" t="e">
        <f t="shared" si="5"/>
        <v>#N/A</v>
      </c>
      <c r="B17" s="2" t="e">
        <f>A17*_xlfn.XLOOKUP("sag",'Inputs-Results'!$E$9:$E$35,'Inputs-Results'!$C$9:$C$35)</f>
        <v>#N/A</v>
      </c>
      <c r="C17" s="11" t="e">
        <f>MIN(B17/IF(_xlfn.XLOOKUP("sag",'Inputs-Results'!$E$9:$E$35,'Inputs-Results'!$B$9:$B$35)="P-12",'Standard Data'!D$12,IF(_xlfn.XLOOKUP("sag",'Inputs-Results'!$E$9:$E$35,'Inputs-Results'!$B$9:$B$35)="N-12",'Standard Data'!D$13,""))*COS(ATAN(1/_xlfn.XLOOKUP("sag",'Inputs-Results'!E$9:E$35,'Inputs-Results'!C$9:C$35))),1)</f>
        <v>#N/A</v>
      </c>
      <c r="D17" s="18" t="e">
        <f>(A17+MAX(A17-3.771/_xlfn.XLOOKUP("sag",'Inputs-Results'!E$9:E$35,'Inputs-Results'!C$9:C$35),0))/2</f>
        <v>#N/A</v>
      </c>
      <c r="E17" s="18" t="e">
        <f>A17/IF(_xlfn.XLOOKUP("sag",'Inputs-Results'!$E$9:$E$35,'Inputs-Results'!$B$9:$B$35)="P-12",'Standard Data'!C$12,IF(_xlfn.XLOOKUP("sag",'Inputs-Results'!$E$9:$E$35,'Inputs-Results'!$B$9:$B$35)="N-12",'Standard Data'!C$13,""))</f>
        <v>#N/A</v>
      </c>
      <c r="F17" s="19" t="e">
        <f t="shared" si="2"/>
        <v>#N/A</v>
      </c>
      <c r="G17" s="20" t="e">
        <f>F17*IF(_xlfn.XLOOKUP("sag",'Inputs-Results'!$E$9:$E$35,'Inputs-Results'!$B$9:$B$35)="P-12",'Standard Data'!C$12,IF(_xlfn.XLOOKUP("sag",'Inputs-Results'!$E$9:$E$35,'Inputs-Results'!$B$9:$B$35)="N-12",'Standard Data'!C$13,""))*D17^1.5</f>
        <v>#N/A</v>
      </c>
      <c r="H17" s="18" t="e">
        <f>C17*2*IF(_xlfn.XLOOKUP("sag",'Inputs-Results'!$E$9:$E$35,'Inputs-Results'!$B$9:$B$35)="P-12",'Standard Data'!D$12,IF(_xlfn.XLOOKUP("sag",'Inputs-Results'!$E$9:$E$35,'Inputs-Results'!$B$9:$B$35)="N-12",'Standard Data'!D$13,""))</f>
        <v>#N/A</v>
      </c>
      <c r="I17" s="19" t="e">
        <f t="shared" si="0"/>
        <v>#N/A</v>
      </c>
      <c r="J17" s="19" t="e">
        <f t="shared" si="6"/>
        <v>#N/A</v>
      </c>
      <c r="K17" s="20" t="e">
        <f t="shared" si="1"/>
        <v>#N/A</v>
      </c>
      <c r="L17" s="20" t="e">
        <f t="shared" si="3"/>
        <v>#N/A</v>
      </c>
      <c r="M17"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Data'!E$13,""))*C17</f>
        <v>#N/A</v>
      </c>
      <c r="N17" s="112" t="e">
        <f t="shared" si="4"/>
        <v>#N/A</v>
      </c>
    </row>
    <row r="18" spans="1:14" x14ac:dyDescent="0.25">
      <c r="A18" s="7" t="e">
        <f t="shared" si="5"/>
        <v>#N/A</v>
      </c>
      <c r="B18" s="2" t="e">
        <f>A18*_xlfn.XLOOKUP("sag",'Inputs-Results'!$E$9:$E$35,'Inputs-Results'!$C$9:$C$35)</f>
        <v>#N/A</v>
      </c>
      <c r="C18" s="11" t="e">
        <f>MIN(B18/IF(_xlfn.XLOOKUP("sag",'Inputs-Results'!$E$9:$E$35,'Inputs-Results'!$B$9:$B$35)="P-12",'Standard Data'!D$12,IF(_xlfn.XLOOKUP("sag",'Inputs-Results'!$E$9:$E$35,'Inputs-Results'!$B$9:$B$35)="N-12",'Standard Data'!D$13,""))*COS(ATAN(1/_xlfn.XLOOKUP("sag",'Inputs-Results'!E$9:E$35,'Inputs-Results'!C$9:C$35))),1)</f>
        <v>#N/A</v>
      </c>
      <c r="D18" s="18" t="e">
        <f>(A18+MAX(A18-3.771/_xlfn.XLOOKUP("sag",'Inputs-Results'!E$9:E$35,'Inputs-Results'!C$9:C$35),0))/2</f>
        <v>#N/A</v>
      </c>
      <c r="E18" s="18" t="e">
        <f>A18/IF(_xlfn.XLOOKUP("sag",'Inputs-Results'!$E$9:$E$35,'Inputs-Results'!$B$9:$B$35)="P-12",'Standard Data'!C$12,IF(_xlfn.XLOOKUP("sag",'Inputs-Results'!$E$9:$E$35,'Inputs-Results'!$B$9:$B$35)="N-12",'Standard Data'!C$13,""))</f>
        <v>#N/A</v>
      </c>
      <c r="F18" s="19" t="e">
        <f t="shared" si="2"/>
        <v>#N/A</v>
      </c>
      <c r="G18" s="20" t="e">
        <f>F18*IF(_xlfn.XLOOKUP("sag",'Inputs-Results'!$E$9:$E$35,'Inputs-Results'!$B$9:$B$35)="P-12",'Standard Data'!C$12,IF(_xlfn.XLOOKUP("sag",'Inputs-Results'!$E$9:$E$35,'Inputs-Results'!$B$9:$B$35)="N-12",'Standard Data'!C$13,""))*D18^1.5</f>
        <v>#N/A</v>
      </c>
      <c r="H18" s="18" t="e">
        <f>C18*2*IF(_xlfn.XLOOKUP("sag",'Inputs-Results'!$E$9:$E$35,'Inputs-Results'!$B$9:$B$35)="P-12",'Standard Data'!D$12,IF(_xlfn.XLOOKUP("sag",'Inputs-Results'!$E$9:$E$35,'Inputs-Results'!$B$9:$B$35)="N-12",'Standard Data'!D$13,""))</f>
        <v>#N/A</v>
      </c>
      <c r="I18" s="19" t="e">
        <f t="shared" si="0"/>
        <v>#N/A</v>
      </c>
      <c r="J18" s="19" t="e">
        <f t="shared" si="6"/>
        <v>#N/A</v>
      </c>
      <c r="K18" s="20" t="e">
        <f t="shared" si="1"/>
        <v>#N/A</v>
      </c>
      <c r="L18" s="20" t="e">
        <f t="shared" si="3"/>
        <v>#N/A</v>
      </c>
      <c r="M18"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Data'!E$13,""))*C18</f>
        <v>#N/A</v>
      </c>
      <c r="N18" s="112" t="e">
        <f t="shared" si="4"/>
        <v>#N/A</v>
      </c>
    </row>
    <row r="19" spans="1:14" x14ac:dyDescent="0.25">
      <c r="A19" s="7" t="e">
        <f t="shared" si="5"/>
        <v>#N/A</v>
      </c>
      <c r="B19" s="2" t="e">
        <f>A19*_xlfn.XLOOKUP("sag",'Inputs-Results'!$E$9:$E$35,'Inputs-Results'!$C$9:$C$35)</f>
        <v>#N/A</v>
      </c>
      <c r="C19" s="11" t="e">
        <f>MIN(B19/IF(_xlfn.XLOOKUP("sag",'Inputs-Results'!$E$9:$E$35,'Inputs-Results'!$B$9:$B$35)="P-12",'Standard Data'!D$12,IF(_xlfn.XLOOKUP("sag",'Inputs-Results'!$E$9:$E$35,'Inputs-Results'!$B$9:$B$35)="N-12",'Standard Data'!D$13,""))*COS(ATAN(1/_xlfn.XLOOKUP("sag",'Inputs-Results'!E$9:E$35,'Inputs-Results'!C$9:C$35))),1)</f>
        <v>#N/A</v>
      </c>
      <c r="D19" s="18" t="e">
        <f>(A19+MAX(A19-3.771/_xlfn.XLOOKUP("sag",'Inputs-Results'!E$9:E$35,'Inputs-Results'!C$9:C$35),0))/2</f>
        <v>#N/A</v>
      </c>
      <c r="E19" s="18" t="e">
        <f>A19/IF(_xlfn.XLOOKUP("sag",'Inputs-Results'!$E$9:$E$35,'Inputs-Results'!$B$9:$B$35)="P-12",'Standard Data'!C$12,IF(_xlfn.XLOOKUP("sag",'Inputs-Results'!$E$9:$E$35,'Inputs-Results'!$B$9:$B$35)="N-12",'Standard Data'!C$13,""))</f>
        <v>#N/A</v>
      </c>
      <c r="F19" s="19" t="e">
        <f>MIN(0.3176*E19^2+0.0739*E19+2.6375, 3.31)</f>
        <v>#N/A</v>
      </c>
      <c r="G19" s="20" t="e">
        <f>F19*IF(_xlfn.XLOOKUP("sag",'Inputs-Results'!$E$9:$E$35,'Inputs-Results'!$B$9:$B$35)="P-12",'Standard Data'!C$12,IF(_xlfn.XLOOKUP("sag",'Inputs-Results'!$E$9:$E$35,'Inputs-Results'!$B$9:$B$35)="N-12",'Standard Data'!C$13,""))*D19^1.5</f>
        <v>#N/A</v>
      </c>
      <c r="H19" s="18" t="e">
        <f>C19*2*IF(_xlfn.XLOOKUP("sag",'Inputs-Results'!$E$9:$E$35,'Inputs-Results'!$B$9:$B$35)="P-12",'Standard Data'!D$12,IF(_xlfn.XLOOKUP("sag",'Inputs-Results'!$E$9:$E$35,'Inputs-Results'!$B$9:$B$35)="N-12",'Standard Data'!D$13,""))</f>
        <v>#N/A</v>
      </c>
      <c r="I19" s="19" t="e">
        <f t="shared" si="0"/>
        <v>#N/A</v>
      </c>
      <c r="J19" s="19" t="e">
        <f>MIN(0.3176*I19^2+0.739*I19+2.6375,3.31)</f>
        <v>#N/A</v>
      </c>
      <c r="K19" s="20" t="e">
        <f t="shared" si="1"/>
        <v>#N/A</v>
      </c>
      <c r="L19" s="20" t="e">
        <f t="shared" si="3"/>
        <v>#N/A</v>
      </c>
      <c r="M19"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Data'!E$13,""))*C19</f>
        <v>#N/A</v>
      </c>
      <c r="N19" s="112" t="e">
        <f t="shared" si="4"/>
        <v>#N/A</v>
      </c>
    </row>
    <row r="20" spans="1:14" x14ac:dyDescent="0.25">
      <c r="A20" s="7" t="e">
        <f t="shared" si="5"/>
        <v>#N/A</v>
      </c>
      <c r="B20" s="2" t="e">
        <f>A20*_xlfn.XLOOKUP("sag",'Inputs-Results'!$E$9:$E$35,'Inputs-Results'!$C$9:$C$35)</f>
        <v>#N/A</v>
      </c>
      <c r="C20" s="11" t="e">
        <f>MIN(B20/IF(_xlfn.XLOOKUP("sag",'Inputs-Results'!$E$9:$E$35,'Inputs-Results'!$B$9:$B$35)="P-12",'Standard Data'!D$12,IF(_xlfn.XLOOKUP("sag",'Inputs-Results'!$E$9:$E$35,'Inputs-Results'!$B$9:$B$35)="N-12",'Standard Data'!D$13,""))*COS(ATAN(1/_xlfn.XLOOKUP("sag",'Inputs-Results'!E$9:E$35,'Inputs-Results'!C$9:C$35))),1)</f>
        <v>#N/A</v>
      </c>
      <c r="D20" s="18" t="e">
        <f>(A20+MAX(A20-3.771/_xlfn.XLOOKUP("sag",'Inputs-Results'!E$9:E$35,'Inputs-Results'!C$9:C$35),0))/2</f>
        <v>#N/A</v>
      </c>
      <c r="E20" s="18" t="e">
        <f>A20/IF(_xlfn.XLOOKUP("sag",'Inputs-Results'!$E$9:$E$35,'Inputs-Results'!$B$9:$B$35)="P-12",'Standard Data'!C$12,IF(_xlfn.XLOOKUP("sag",'Inputs-Results'!$E$9:$E$35,'Inputs-Results'!$B$9:$B$35)="N-12",'Standard Data'!C$13,""))</f>
        <v>#N/A</v>
      </c>
      <c r="F20" s="19" t="e">
        <f t="shared" si="2"/>
        <v>#N/A</v>
      </c>
      <c r="G20" s="20" t="e">
        <f>F20*IF(_xlfn.XLOOKUP("sag",'Inputs-Results'!$E$9:$E$35,'Inputs-Results'!$B$9:$B$35)="P-12",'Standard Data'!C$12,IF(_xlfn.XLOOKUP("sag",'Inputs-Results'!$E$9:$E$35,'Inputs-Results'!$B$9:$B$35)="N-12",'Standard Data'!C$13,""))*D20^1.5</f>
        <v>#N/A</v>
      </c>
      <c r="H20" s="18" t="e">
        <f>C20*2*IF(_xlfn.XLOOKUP("sag",'Inputs-Results'!$E$9:$E$35,'Inputs-Results'!$B$9:$B$35)="P-12",'Standard Data'!D$12,IF(_xlfn.XLOOKUP("sag",'Inputs-Results'!$E$9:$E$35,'Inputs-Results'!$B$9:$B$35)="N-12",'Standard Data'!D$13,""))</f>
        <v>#N/A</v>
      </c>
      <c r="I20" s="19" t="e">
        <f t="shared" si="0"/>
        <v>#N/A</v>
      </c>
      <c r="J20" s="19" t="e">
        <f t="shared" si="6"/>
        <v>#N/A</v>
      </c>
      <c r="K20" s="20" t="e">
        <f t="shared" si="1"/>
        <v>#N/A</v>
      </c>
      <c r="L20" s="20" t="e">
        <f t="shared" si="3"/>
        <v>#N/A</v>
      </c>
      <c r="M20"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Data'!E$13,""))*C20</f>
        <v>#N/A</v>
      </c>
      <c r="N20" s="112" t="e">
        <f t="shared" si="4"/>
        <v>#N/A</v>
      </c>
    </row>
    <row r="21" spans="1:14" x14ac:dyDescent="0.25">
      <c r="A21" s="7" t="e">
        <f t="shared" si="5"/>
        <v>#N/A</v>
      </c>
      <c r="B21" s="2" t="e">
        <f>A21*_xlfn.XLOOKUP("sag",'Inputs-Results'!$E$9:$E$35,'Inputs-Results'!$C$9:$C$35)</f>
        <v>#N/A</v>
      </c>
      <c r="C21" s="11" t="e">
        <f>MIN(B21/IF(_xlfn.XLOOKUP("sag",'Inputs-Results'!$E$9:$E$35,'Inputs-Results'!$B$9:$B$35)="P-12",'Standard Data'!D$12,IF(_xlfn.XLOOKUP("sag",'Inputs-Results'!$E$9:$E$35,'Inputs-Results'!$B$9:$B$35)="N-12",'Standard Data'!D$13,""))*COS(ATAN(1/_xlfn.XLOOKUP("sag",'Inputs-Results'!E$9:E$35,'Inputs-Results'!C$9:C$35))),1)</f>
        <v>#N/A</v>
      </c>
      <c r="D21" s="18" t="e">
        <f>(A21+MAX(A21-3.771/_xlfn.XLOOKUP("sag",'Inputs-Results'!E$9:E$35,'Inputs-Results'!C$9:C$35),0))/2</f>
        <v>#N/A</v>
      </c>
      <c r="E21" s="18" t="e">
        <f>A21/IF(_xlfn.XLOOKUP("sag",'Inputs-Results'!$E$9:$E$35,'Inputs-Results'!$B$9:$B$35)="P-12",'Standard Data'!C$12,IF(_xlfn.XLOOKUP("sag",'Inputs-Results'!$E$9:$E$35,'Inputs-Results'!$B$9:$B$35)="N-12",'Standard Data'!C$13,""))</f>
        <v>#N/A</v>
      </c>
      <c r="F21" s="19" t="e">
        <f t="shared" si="2"/>
        <v>#N/A</v>
      </c>
      <c r="G21" s="20" t="e">
        <f>F21*IF(_xlfn.XLOOKUP("sag",'Inputs-Results'!$E$9:$E$35,'Inputs-Results'!$B$9:$B$35)="P-12",'Standard Data'!C$12,IF(_xlfn.XLOOKUP("sag",'Inputs-Results'!$E$9:$E$35,'Inputs-Results'!$B$9:$B$35)="N-12",'Standard Data'!C$13,""))*D21^1.5</f>
        <v>#N/A</v>
      </c>
      <c r="H21" s="18" t="e">
        <f>C21*2*IF(_xlfn.XLOOKUP("sag",'Inputs-Results'!$E$9:$E$35,'Inputs-Results'!$B$9:$B$35)="P-12",'Standard Data'!D$12,IF(_xlfn.XLOOKUP("sag",'Inputs-Results'!$E$9:$E$35,'Inputs-Results'!$B$9:$B$35)="N-12",'Standard Data'!D$13,""))</f>
        <v>#N/A</v>
      </c>
      <c r="I21" s="19" t="e">
        <f t="shared" si="0"/>
        <v>#N/A</v>
      </c>
      <c r="J21" s="19" t="e">
        <f t="shared" si="6"/>
        <v>#N/A</v>
      </c>
      <c r="K21" s="20" t="e">
        <f t="shared" si="1"/>
        <v>#N/A</v>
      </c>
      <c r="L21" s="20" t="e">
        <f t="shared" si="3"/>
        <v>#N/A</v>
      </c>
      <c r="M21"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Data'!E$13,""))*C21</f>
        <v>#N/A</v>
      </c>
      <c r="N21" s="112" t="e">
        <f t="shared" si="4"/>
        <v>#N/A</v>
      </c>
    </row>
    <row r="22" spans="1:14" x14ac:dyDescent="0.25">
      <c r="A22" s="7" t="e">
        <f t="shared" si="5"/>
        <v>#N/A</v>
      </c>
      <c r="B22" s="2" t="e">
        <f>A22*_xlfn.XLOOKUP("sag",'Inputs-Results'!$E$9:$E$35,'Inputs-Results'!$C$9:$C$35)</f>
        <v>#N/A</v>
      </c>
      <c r="C22" s="11" t="e">
        <f>MIN(B22/IF(_xlfn.XLOOKUP("sag",'Inputs-Results'!$E$9:$E$35,'Inputs-Results'!$B$9:$B$35)="P-12",'Standard Data'!D$12,IF(_xlfn.XLOOKUP("sag",'Inputs-Results'!$E$9:$E$35,'Inputs-Results'!$B$9:$B$35)="N-12",'Standard Data'!D$13,""))*COS(ATAN(1/_xlfn.XLOOKUP("sag",'Inputs-Results'!E$9:E$35,'Inputs-Results'!C$9:C$35))),1)</f>
        <v>#N/A</v>
      </c>
      <c r="D22" s="18" t="e">
        <f>(A22+MAX(A22-3.771/_xlfn.XLOOKUP("sag",'Inputs-Results'!E$9:E$35,'Inputs-Results'!C$9:C$35),0))/2</f>
        <v>#N/A</v>
      </c>
      <c r="E22" s="18" t="e">
        <f>A22/IF(_xlfn.XLOOKUP("sag",'Inputs-Results'!$E$9:$E$35,'Inputs-Results'!$B$9:$B$35)="P-12",'Standard Data'!C$12,IF(_xlfn.XLOOKUP("sag",'Inputs-Results'!$E$9:$E$35,'Inputs-Results'!$B$9:$B$35)="N-12",'Standard Data'!C$13,""))</f>
        <v>#N/A</v>
      </c>
      <c r="F22" s="19" t="e">
        <f t="shared" si="2"/>
        <v>#N/A</v>
      </c>
      <c r="G22" s="20" t="e">
        <f>F22*IF(_xlfn.XLOOKUP("sag",'Inputs-Results'!$E$9:$E$35,'Inputs-Results'!$B$9:$B$35)="P-12",'Standard Data'!C$12,IF(_xlfn.XLOOKUP("sag",'Inputs-Results'!$E$9:$E$35,'Inputs-Results'!$B$9:$B$35)="N-12",'Standard Data'!C$13,""))*D22^1.5</f>
        <v>#N/A</v>
      </c>
      <c r="H22" s="18" t="e">
        <f>C22*2*IF(_xlfn.XLOOKUP("sag",'Inputs-Results'!$E$9:$E$35,'Inputs-Results'!$B$9:$B$35)="P-12",'Standard Data'!D$12,IF(_xlfn.XLOOKUP("sag",'Inputs-Results'!$E$9:$E$35,'Inputs-Results'!$B$9:$B$35)="N-12",'Standard Data'!D$13,""))</f>
        <v>#N/A</v>
      </c>
      <c r="I22" s="19" t="e">
        <f t="shared" si="0"/>
        <v>#N/A</v>
      </c>
      <c r="J22" s="19" t="e">
        <f t="shared" si="6"/>
        <v>#N/A</v>
      </c>
      <c r="K22" s="20" t="e">
        <f t="shared" si="1"/>
        <v>#N/A</v>
      </c>
      <c r="L22" s="20" t="e">
        <f t="shared" si="3"/>
        <v>#N/A</v>
      </c>
      <c r="M22"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Data'!E$13,""))*C22</f>
        <v>#N/A</v>
      </c>
      <c r="N22" s="112" t="e">
        <f t="shared" si="4"/>
        <v>#N/A</v>
      </c>
    </row>
    <row r="23" spans="1:14" x14ac:dyDescent="0.25">
      <c r="A23" s="7" t="e">
        <f t="shared" si="5"/>
        <v>#N/A</v>
      </c>
      <c r="B23" s="2" t="e">
        <f>A23*_xlfn.XLOOKUP("sag",'Inputs-Results'!$E$9:$E$35,'Inputs-Results'!$C$9:$C$35)</f>
        <v>#N/A</v>
      </c>
      <c r="C23" s="11" t="e">
        <f>MIN(B23/IF(_xlfn.XLOOKUP("sag",'Inputs-Results'!$E$9:$E$35,'Inputs-Results'!$B$9:$B$35)="P-12",'Standard Data'!D$12,IF(_xlfn.XLOOKUP("sag",'Inputs-Results'!$E$9:$E$35,'Inputs-Results'!$B$9:$B$35)="N-12",'Standard Data'!D$13,""))*COS(ATAN(1/_xlfn.XLOOKUP("sag",'Inputs-Results'!E$9:E$35,'Inputs-Results'!C$9:C$35))),1)</f>
        <v>#N/A</v>
      </c>
      <c r="D23" s="18" t="e">
        <f>(A23+MAX(A23-3.771/_xlfn.XLOOKUP("sag",'Inputs-Results'!E$9:E$35,'Inputs-Results'!C$9:C$35),0))/2</f>
        <v>#N/A</v>
      </c>
      <c r="E23" s="18" t="e">
        <f>A23/IF(_xlfn.XLOOKUP("sag",'Inputs-Results'!$E$9:$E$35,'Inputs-Results'!$B$9:$B$35)="P-12",'Standard Data'!C$12,IF(_xlfn.XLOOKUP("sag",'Inputs-Results'!$E$9:$E$35,'Inputs-Results'!$B$9:$B$35)="N-12",'Standard Data'!C$13,""))</f>
        <v>#N/A</v>
      </c>
      <c r="F23" s="19" t="e">
        <f>MIN(0.3176*E23^2+0.0739*E23+2.6375, 3.31)</f>
        <v>#N/A</v>
      </c>
      <c r="G23" s="20" t="e">
        <f>F23*IF(_xlfn.XLOOKUP("sag",'Inputs-Results'!$E$9:$E$35,'Inputs-Results'!$B$9:$B$35)="P-12",'Standard Data'!C$12,IF(_xlfn.XLOOKUP("sag",'Inputs-Results'!$E$9:$E$35,'Inputs-Results'!$B$9:$B$35)="N-12",'Standard Data'!C$13,""))*D23^1.5</f>
        <v>#N/A</v>
      </c>
      <c r="H23" s="18" t="e">
        <f>C23*2*IF(_xlfn.XLOOKUP("sag",'Inputs-Results'!$E$9:$E$35,'Inputs-Results'!$B$9:$B$35)="P-12",'Standard Data'!D$12,IF(_xlfn.XLOOKUP("sag",'Inputs-Results'!$E$9:$E$35,'Inputs-Results'!$B$9:$B$35)="N-12",'Standard Data'!D$13,""))</f>
        <v>#N/A</v>
      </c>
      <c r="I23" s="19" t="e">
        <f t="shared" si="0"/>
        <v>#N/A</v>
      </c>
      <c r="J23" s="19" t="e">
        <f>MIN(0.3176*I23^2+0.739*I23+2.6375,3.31)</f>
        <v>#N/A</v>
      </c>
      <c r="K23" s="20" t="e">
        <f t="shared" si="1"/>
        <v>#N/A</v>
      </c>
      <c r="L23" s="20" t="e">
        <f t="shared" si="3"/>
        <v>#N/A</v>
      </c>
      <c r="M23"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Data'!E$13,""))*C23</f>
        <v>#N/A</v>
      </c>
      <c r="N23" s="112" t="e">
        <f t="shared" si="4"/>
        <v>#N/A</v>
      </c>
    </row>
    <row r="24" spans="1:14" x14ac:dyDescent="0.25">
      <c r="A24" s="7" t="e">
        <f t="shared" si="5"/>
        <v>#N/A</v>
      </c>
      <c r="B24" s="2" t="e">
        <f>A24*_xlfn.XLOOKUP("sag",'Inputs-Results'!$E$9:$E$35,'Inputs-Results'!$C$9:$C$35)</f>
        <v>#N/A</v>
      </c>
      <c r="C24" s="11" t="e">
        <f>MIN(B24/IF(_xlfn.XLOOKUP("sag",'Inputs-Results'!$E$9:$E$35,'Inputs-Results'!$B$9:$B$35)="P-12",'Standard Data'!D$12,IF(_xlfn.XLOOKUP("sag",'Inputs-Results'!$E$9:$E$35,'Inputs-Results'!$B$9:$B$35)="N-12",'Standard Data'!D$13,""))*COS(ATAN(1/_xlfn.XLOOKUP("sag",'Inputs-Results'!E$9:E$35,'Inputs-Results'!C$9:C$35))),1)</f>
        <v>#N/A</v>
      </c>
      <c r="D24" s="18" t="e">
        <f>(A24+MAX(A24-3.771/_xlfn.XLOOKUP("sag",'Inputs-Results'!E$9:E$35,'Inputs-Results'!C$9:C$35),0))/2</f>
        <v>#N/A</v>
      </c>
      <c r="E24" s="18" t="e">
        <f>A24/IF(_xlfn.XLOOKUP("sag",'Inputs-Results'!$E$9:$E$35,'Inputs-Results'!$B$9:$B$35)="P-12",'Standard Data'!C$12,IF(_xlfn.XLOOKUP("sag",'Inputs-Results'!$E$9:$E$35,'Inputs-Results'!$B$9:$B$35)="N-12",'Standard Data'!C$13,""))</f>
        <v>#N/A</v>
      </c>
      <c r="F24" s="19" t="e">
        <f>MIN(0.3176*E24^2+0.0739*E24+2.6375, 3.31)</f>
        <v>#N/A</v>
      </c>
      <c r="G24" s="20" t="e">
        <f>F24*IF(_xlfn.XLOOKUP("sag",'Inputs-Results'!$E$9:$E$35,'Inputs-Results'!$B$9:$B$35)="P-12",'Standard Data'!C$12,IF(_xlfn.XLOOKUP("sag",'Inputs-Results'!$E$9:$E$35,'Inputs-Results'!$B$9:$B$35)="N-12",'Standard Data'!C$13,""))*D24^1.5</f>
        <v>#N/A</v>
      </c>
      <c r="H24" s="18" t="e">
        <f>C24*2*IF(_xlfn.XLOOKUP("sag",'Inputs-Results'!$E$9:$E$35,'Inputs-Results'!$B$9:$B$35)="P-12",'Standard Data'!D$12,IF(_xlfn.XLOOKUP("sag",'Inputs-Results'!$E$9:$E$35,'Inputs-Results'!$B$9:$B$35)="N-12",'Standard Data'!D$13,""))</f>
        <v>#N/A</v>
      </c>
      <c r="I24" s="19" t="e">
        <f t="shared" si="0"/>
        <v>#N/A</v>
      </c>
      <c r="J24" s="19" t="e">
        <f>MIN(0.3176*I24^2+0.739*I24+2.6375,3.31)</f>
        <v>#N/A</v>
      </c>
      <c r="K24" s="20" t="e">
        <f t="shared" si="1"/>
        <v>#N/A</v>
      </c>
      <c r="L24" s="20" t="e">
        <f t="shared" si="3"/>
        <v>#N/A</v>
      </c>
      <c r="M24"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Data'!E$13,""))*C24</f>
        <v>#N/A</v>
      </c>
      <c r="N24" s="112" t="e">
        <f t="shared" si="4"/>
        <v>#N/A</v>
      </c>
    </row>
    <row r="25" spans="1:14" x14ac:dyDescent="0.25">
      <c r="A25" s="7" t="e">
        <f t="shared" si="5"/>
        <v>#N/A</v>
      </c>
      <c r="B25" s="2" t="e">
        <f>A25*_xlfn.XLOOKUP("sag",'Inputs-Results'!$E$9:$E$35,'Inputs-Results'!$C$9:$C$35)</f>
        <v>#N/A</v>
      </c>
      <c r="C25" s="11" t="e">
        <f>MIN(B25/IF(_xlfn.XLOOKUP("sag",'Inputs-Results'!$E$9:$E$35,'Inputs-Results'!$B$9:$B$35)="P-12",'Standard Data'!D$12,IF(_xlfn.XLOOKUP("sag",'Inputs-Results'!$E$9:$E$35,'Inputs-Results'!$B$9:$B$35)="N-12",'Standard Data'!D$13,""))*COS(ATAN(1/_xlfn.XLOOKUP("sag",'Inputs-Results'!E$9:E$35,'Inputs-Results'!C$9:C$35))),1)</f>
        <v>#N/A</v>
      </c>
      <c r="D25" s="18" t="e">
        <f>(A25+MAX(A25-3.771/_xlfn.XLOOKUP("sag",'Inputs-Results'!E$9:E$35,'Inputs-Results'!C$9:C$35),0))/2</f>
        <v>#N/A</v>
      </c>
      <c r="E25" s="18" t="e">
        <f>A25/IF(_xlfn.XLOOKUP("sag",'Inputs-Results'!$E$9:$E$35,'Inputs-Results'!$B$9:$B$35)="P-12",'Standard Data'!C$12,IF(_xlfn.XLOOKUP("sag",'Inputs-Results'!$E$9:$E$35,'Inputs-Results'!$B$9:$B$35)="N-12",'Standard Data'!C$13,""))</f>
        <v>#N/A</v>
      </c>
      <c r="F25" s="19" t="e">
        <f>MIN(0.3176*E25^2+0.0739*E25+2.6375, 3.31)</f>
        <v>#N/A</v>
      </c>
      <c r="G25" s="20" t="e">
        <f>F25*IF(_xlfn.XLOOKUP("sag",'Inputs-Results'!$E$9:$E$35,'Inputs-Results'!$B$9:$B$35)="P-12",'Standard Data'!C$12,IF(_xlfn.XLOOKUP("sag",'Inputs-Results'!$E$9:$E$35,'Inputs-Results'!$B$9:$B$35)="N-12",'Standard Data'!C$13,""))*D25^1.5</f>
        <v>#N/A</v>
      </c>
      <c r="H25" s="18" t="e">
        <f>C25*2*IF(_xlfn.XLOOKUP("sag",'Inputs-Results'!$E$9:$E$35,'Inputs-Results'!$B$9:$B$35)="P-12",'Standard Data'!D$12,IF(_xlfn.XLOOKUP("sag",'Inputs-Results'!$E$9:$E$35,'Inputs-Results'!$B$9:$B$35)="N-12",'Standard Data'!D$13,""))</f>
        <v>#N/A</v>
      </c>
      <c r="I25" s="19" t="e">
        <f t="shared" si="0"/>
        <v>#N/A</v>
      </c>
      <c r="J25" s="19" t="e">
        <f>MIN(0.3176*I25^2+0.739*I25+2.6375,3.31)</f>
        <v>#N/A</v>
      </c>
      <c r="K25" s="20" t="e">
        <f t="shared" si="1"/>
        <v>#N/A</v>
      </c>
      <c r="L25" s="20" t="e">
        <f t="shared" si="3"/>
        <v>#N/A</v>
      </c>
      <c r="M25"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Data'!E$13,""))*C25</f>
        <v>#N/A</v>
      </c>
      <c r="N25" s="112" t="e">
        <f t="shared" si="4"/>
        <v>#N/A</v>
      </c>
    </row>
    <row r="26" spans="1:14" x14ac:dyDescent="0.25">
      <c r="A26" s="7" t="e">
        <f t="shared" si="5"/>
        <v>#N/A</v>
      </c>
      <c r="B26" s="2" t="e">
        <f>A26*_xlfn.XLOOKUP("sag",'Inputs-Results'!$E$9:$E$35,'Inputs-Results'!$C$9:$C$35)</f>
        <v>#N/A</v>
      </c>
      <c r="C26" s="11" t="e">
        <f>MIN(B26/IF(_xlfn.XLOOKUP("sag",'Inputs-Results'!$E$9:$E$35,'Inputs-Results'!$B$9:$B$35)="P-12",'Standard Data'!D$12,IF(_xlfn.XLOOKUP("sag",'Inputs-Results'!$E$9:$E$35,'Inputs-Results'!$B$9:$B$35)="N-12",'Standard Data'!D$13,""))*COS(ATAN(1/_xlfn.XLOOKUP("sag",'Inputs-Results'!E$9:E$35,'Inputs-Results'!C$9:C$35))),1)</f>
        <v>#N/A</v>
      </c>
      <c r="D26" s="18" t="e">
        <f>(A26+MAX(A26-3.771/_xlfn.XLOOKUP("sag",'Inputs-Results'!E$9:E$35,'Inputs-Results'!C$9:C$35),0))/2</f>
        <v>#N/A</v>
      </c>
      <c r="E26" s="18" t="e">
        <f>A26/IF(_xlfn.XLOOKUP("sag",'Inputs-Results'!$E$9:$E$35,'Inputs-Results'!$B$9:$B$35)="P-12",'Standard Data'!C$12,IF(_xlfn.XLOOKUP("sag",'Inputs-Results'!$E$9:$E$35,'Inputs-Results'!$B$9:$B$35)="N-12",'Standard Data'!C$13,""))</f>
        <v>#N/A</v>
      </c>
      <c r="F26" s="19" t="e">
        <f>MIN(0.3176*E26^2+0.0739*E26+2.6375, 3.31)</f>
        <v>#N/A</v>
      </c>
      <c r="G26" s="20" t="e">
        <f>F26*IF(_xlfn.XLOOKUP("sag",'Inputs-Results'!$E$9:$E$35,'Inputs-Results'!$B$9:$B$35)="P-12",'Standard Data'!C$12,IF(_xlfn.XLOOKUP("sag",'Inputs-Results'!$E$9:$E$35,'Inputs-Results'!$B$9:$B$35)="N-12",'Standard Data'!C$13,""))*D26^1.5</f>
        <v>#N/A</v>
      </c>
      <c r="H26" s="18" t="e">
        <f>C26*2*IF(_xlfn.XLOOKUP("sag",'Inputs-Results'!$E$9:$E$35,'Inputs-Results'!$B$9:$B$35)="P-12",'Standard Data'!D$12,IF(_xlfn.XLOOKUP("sag",'Inputs-Results'!$E$9:$E$35,'Inputs-Results'!$B$9:$B$35)="N-12",'Standard Data'!D$13,""))</f>
        <v>#N/A</v>
      </c>
      <c r="I26" s="19" t="e">
        <f t="shared" si="0"/>
        <v>#N/A</v>
      </c>
      <c r="J26" s="19" t="e">
        <f>MIN(0.3176*I26^2+0.739*I26+2.6375,3.31)</f>
        <v>#N/A</v>
      </c>
      <c r="K26" s="20" t="e">
        <f t="shared" si="1"/>
        <v>#N/A</v>
      </c>
      <c r="L26" s="20" t="e">
        <f t="shared" si="3"/>
        <v>#N/A</v>
      </c>
      <c r="M26"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Data'!E$13,""))*C26</f>
        <v>#N/A</v>
      </c>
      <c r="N26" s="112" t="e">
        <f t="shared" si="4"/>
        <v>#N/A</v>
      </c>
    </row>
    <row r="27" spans="1:14" x14ac:dyDescent="0.25">
      <c r="A27" s="2" t="e">
        <f>_xlfn.XLOOKUP("sag",'Inputs-Results'!$E$9:$E$35,'Inputs-Results'!$R$9:$R$35)-_xlfn.XLOOKUP("sag",'Inputs-Results'!$E$9:$E$35,'Inputs-Results'!$X$9:$X$35)</f>
        <v>#N/A</v>
      </c>
      <c r="B27" s="2" t="e">
        <f>A27*_xlfn.XLOOKUP("sag",'Inputs-Results'!$E$9:$E$35,'Inputs-Results'!$C$9:$C$35)</f>
        <v>#N/A</v>
      </c>
      <c r="C27" s="11" t="e">
        <f>MIN(B27/IF(_xlfn.XLOOKUP("sag",'Inputs-Results'!$E$9:$E$35,'Inputs-Results'!$B$9:$B$35)="P-12",'Standard Data'!D$12,IF(_xlfn.XLOOKUP("sag",'Inputs-Results'!$E$9:$E$35,'Inputs-Results'!$B$9:$B$35)="N-12",'Standard Data'!D$13,""))*COS(ATAN(1/_xlfn.XLOOKUP("sag",'Inputs-Results'!E$9:E$35,'Inputs-Results'!C$9:C$35))),1)</f>
        <v>#N/A</v>
      </c>
      <c r="D27" s="18" t="e">
        <f>(A27+MAX(A27-3.771/_xlfn.XLOOKUP("sag",'Inputs-Results'!E$9:E$35,'Inputs-Results'!C$9:C$35),0))/2</f>
        <v>#N/A</v>
      </c>
      <c r="E27" s="18" t="e">
        <f>A27/IF(_xlfn.XLOOKUP("sag",'Inputs-Results'!$E$9:$E$35,'Inputs-Results'!$B$9:$B$35)="P-12",'Standard Data'!C$12,IF(_xlfn.XLOOKUP("sag",'Inputs-Results'!$E$9:$E$35,'Inputs-Results'!$B$9:$B$35)="N-12",'Standard Data'!C$13,""))</f>
        <v>#N/A</v>
      </c>
      <c r="F27" s="19" t="e">
        <f>MIN(0.3176*E27^2+0.0739*E27+2.6375, 3.31)</f>
        <v>#N/A</v>
      </c>
      <c r="G27" s="20" t="e">
        <f>F27*IF(_xlfn.XLOOKUP("sag",'Inputs-Results'!$E$9:$E$35,'Inputs-Results'!$B$9:$B$35)="P-12",'Standard Data'!C$12,IF(_xlfn.XLOOKUP("sag",'Inputs-Results'!$E$9:$E$35,'Inputs-Results'!$B$9:$B$35)="N-12",'Standard Data'!C$13,""))*D27^1.5</f>
        <v>#N/A</v>
      </c>
      <c r="H27" s="18" t="e">
        <f>C27*2*IF(_xlfn.XLOOKUP("sag",'Inputs-Results'!$E$9:$E$35,'Inputs-Results'!$B$9:$B$35)="P-12",'Standard Data'!D$12,IF(_xlfn.XLOOKUP("sag",'Inputs-Results'!$E$9:$E$35,'Inputs-Results'!$B$9:$B$35)="N-12",'Standard Data'!D$13,""))</f>
        <v>#N/A</v>
      </c>
      <c r="I27" s="19" t="e">
        <f t="shared" si="0"/>
        <v>#N/A</v>
      </c>
      <c r="J27" s="19" t="e">
        <f>MIN(0.3176*I27^2+0.739*I27+2.6375,3.31)</f>
        <v>#N/A</v>
      </c>
      <c r="K27" s="20" t="e">
        <f t="shared" si="1"/>
        <v>#N/A</v>
      </c>
      <c r="L27" s="20" t="e">
        <f t="shared" si="3"/>
        <v>#N/A</v>
      </c>
      <c r="M27"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Data'!E$13,""))*C27</f>
        <v>#N/A</v>
      </c>
      <c r="N27" s="112" t="e">
        <f t="shared" si="4"/>
        <v>#N/A</v>
      </c>
    </row>
  </sheetData>
  <mergeCells count="1">
    <mergeCell ref="K2:L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5C122-C9F4-41D6-B54A-35EB6CCD3D5F}">
  <dimension ref="A1:O30"/>
  <sheetViews>
    <sheetView workbookViewId="0">
      <selection activeCell="N4" sqref="N4"/>
    </sheetView>
  </sheetViews>
  <sheetFormatPr defaultRowHeight="15" x14ac:dyDescent="0.25"/>
  <cols>
    <col min="8" max="8" width="15.28515625" customWidth="1"/>
    <col min="11" max="11" width="15.28515625" bestFit="1" customWidth="1"/>
    <col min="15" max="15" width="13.42578125" bestFit="1" customWidth="1"/>
  </cols>
  <sheetData>
    <row r="1" spans="1:15" x14ac:dyDescent="0.25">
      <c r="B1" s="148" t="s">
        <v>211</v>
      </c>
      <c r="C1" s="148"/>
      <c r="D1" s="148"/>
      <c r="E1" s="148"/>
      <c r="F1" s="148"/>
      <c r="G1" s="148"/>
      <c r="H1" s="148" t="s">
        <v>212</v>
      </c>
      <c r="I1" s="148"/>
      <c r="J1" s="148"/>
      <c r="K1" s="148"/>
      <c r="L1" s="148"/>
      <c r="M1" s="148"/>
      <c r="N1" s="181" t="s">
        <v>216</v>
      </c>
      <c r="O1" s="182"/>
    </row>
    <row r="2" spans="1:15" x14ac:dyDescent="0.25">
      <c r="B2" s="177" t="s">
        <v>1</v>
      </c>
      <c r="C2" s="177"/>
      <c r="D2" s="177"/>
      <c r="E2" s="183" t="s">
        <v>197</v>
      </c>
      <c r="F2" s="183"/>
      <c r="G2" s="183"/>
      <c r="H2" s="177" t="s">
        <v>1</v>
      </c>
      <c r="I2" s="177"/>
      <c r="J2" s="177"/>
      <c r="K2" s="183" t="s">
        <v>197</v>
      </c>
      <c r="L2" s="183"/>
      <c r="M2" s="183"/>
      <c r="N2" s="96" t="s">
        <v>1</v>
      </c>
      <c r="O2" s="108" t="s">
        <v>197</v>
      </c>
    </row>
    <row r="3" spans="1:15" x14ac:dyDescent="0.25">
      <c r="A3" s="2" t="s">
        <v>210</v>
      </c>
      <c r="B3" s="96" t="s">
        <v>213</v>
      </c>
      <c r="C3" s="96" t="s">
        <v>214</v>
      </c>
      <c r="D3" s="96" t="s">
        <v>215</v>
      </c>
      <c r="E3" s="108" t="s">
        <v>213</v>
      </c>
      <c r="F3" s="108" t="s">
        <v>214</v>
      </c>
      <c r="G3" s="108" t="s">
        <v>215</v>
      </c>
      <c r="H3" s="96" t="s">
        <v>213</v>
      </c>
      <c r="I3" s="96" t="s">
        <v>214</v>
      </c>
      <c r="J3" s="96" t="s">
        <v>215</v>
      </c>
      <c r="K3" s="108" t="s">
        <v>213</v>
      </c>
      <c r="L3" s="108" t="s">
        <v>214</v>
      </c>
      <c r="M3" s="108" t="s">
        <v>215</v>
      </c>
      <c r="N3" s="96" t="s">
        <v>213</v>
      </c>
      <c r="O3" s="108" t="s">
        <v>213</v>
      </c>
    </row>
    <row r="4" spans="1:15" x14ac:dyDescent="0.25">
      <c r="A4" s="2">
        <f>'Inputs-Results'!A9</f>
        <v>0</v>
      </c>
      <c r="B4" s="109" t="e">
        <f>_xlfn.XLOOKUP($A4,'On-grade Calculations'!$A$3:$A$29,'On-grade Calculations'!$B$3:$B$29)</f>
        <v>#N/A</v>
      </c>
      <c r="C4" s="109" t="e">
        <f>_xlfn.XLOOKUP($A4,'On-grade Calculations'!$A$3:$A$29,'On-grade Calculations'!$J$3:$J$29)</f>
        <v>#N/A</v>
      </c>
      <c r="D4" s="109" t="e">
        <f>_xlfn.XLOOKUP($A4,'On-grade Calculations'!$A$3:$A$29,'On-grade Calculations'!$K$3:$K$29)</f>
        <v>#N/A</v>
      </c>
      <c r="E4" s="110" t="e">
        <f>_xlfn.XLOOKUP($A4,'On-grade Calculations'!$A$3:$A$29,'On-grade Calculations'!$B$3:$B$29)</f>
        <v>#N/A</v>
      </c>
      <c r="F4" s="110" t="e">
        <f>_xlfn.XLOOKUP($A4,'On-grade Calculations'!$A$34:$A$60,'On-grade Calculations'!AO$34:AO$60)</f>
        <v>#N/A</v>
      </c>
      <c r="G4" s="110" t="e">
        <f>_xlfn.XLOOKUP($A4,'On-grade Calculations'!$A$34:$A$60,'On-grade Calculations'!AP$34:AP$60)</f>
        <v>#N/A</v>
      </c>
      <c r="H4" s="109" t="e">
        <f>IF(_xlfn.XLOOKUP(A4,'on-grade with berm calcs'!$A$3:$A$29,'on-grade with berm calcs'!$AI$3:$AI$29)=0,"HGL below berm",_xlfn.XLOOKUP(A4,'on-grade with berm calcs'!$A$3:$A$29,'on-grade with berm calcs'!$AI$3:$AI$29))</f>
        <v>#N/A</v>
      </c>
      <c r="I4" s="109" t="e">
        <f>_xlfn.XLOOKUP(A4,'on-grade with berm calcs'!$A$3:$A$29,'on-grade with berm calcs'!$AG$3:$AG$29)-_xlfn.XLOOKUP(A4,'on-grade with berm calcs'!$A$3:$A$29,'on-grade with berm calcs'!$AH$3:$AH$29)</f>
        <v>#N/A</v>
      </c>
      <c r="J4" s="109" t="e">
        <f>_xlfn.XLOOKUP(A4,'on-grade with berm calcs'!$A$3:$A$29,'on-grade with berm calcs'!$AH$3:$AH$29)</f>
        <v>#N/A</v>
      </c>
      <c r="K4" s="111" t="e">
        <f>IF(_xlfn.XLOOKUP(A4,'on-grade with berm calcs'!$A$34:$A$60,'on-grade with berm calcs'!$CW$34:$CW$60)=0,"HGL below berm",_xlfn.XLOOKUP(A4,'on-grade with berm calcs'!$A$34:$A$60,'on-grade with berm calcs'!$CW$34:$CW$60))</f>
        <v>#N/A</v>
      </c>
      <c r="L4" s="111" t="e">
        <f>_xlfn.XLOOKUP(A4,'on-grade with berm calcs'!$A$34:$A$60,'on-grade with berm calcs'!$CU$34:$CU$60)-_xlfn.XLOOKUP(A4,'on-grade with berm calcs'!$A$34:$A$60,'on-grade with berm calcs'!$CV$34:$CV$60)</f>
        <v>#N/A</v>
      </c>
      <c r="M4" s="111" t="e">
        <f>_xlfn.XLOOKUP(A4,'on-grade with berm calcs'!$A$34:$A$60,'on-grade with berm calcs'!$CV$34:$CV$60)</f>
        <v>#N/A</v>
      </c>
      <c r="N4" s="2" t="str">
        <f>IF('Inputs-Results'!E9="sag",'Sag Calculations'!$L$4,"")</f>
        <v/>
      </c>
      <c r="O4" s="2" t="str">
        <f>IF('Inputs-Results'!E9="sag",'Sag Calculations'!$L$5,"")</f>
        <v/>
      </c>
    </row>
    <row r="5" spans="1:15" x14ac:dyDescent="0.25">
      <c r="A5" s="2">
        <f>'Inputs-Results'!A10</f>
        <v>0</v>
      </c>
      <c r="B5" s="109" t="e">
        <f>_xlfn.XLOOKUP($A5,'On-grade Calculations'!$A$3:$A$29,'On-grade Calculations'!$B$3:$B$29)</f>
        <v>#N/A</v>
      </c>
      <c r="C5" s="109" t="e">
        <f>_xlfn.XLOOKUP($A5,'On-grade Calculations'!$A$3:$A$29,'On-grade Calculations'!$J$3:$J$29)</f>
        <v>#N/A</v>
      </c>
      <c r="D5" s="109" t="e">
        <f>_xlfn.XLOOKUP($A5,'On-grade Calculations'!$A$3:$A$29,'On-grade Calculations'!$K$3:$K$29)</f>
        <v>#N/A</v>
      </c>
      <c r="E5" s="110" t="e">
        <f>_xlfn.XLOOKUP($A5,'On-grade Calculations'!$A$3:$A$29,'On-grade Calculations'!$B$3:$B$29)</f>
        <v>#N/A</v>
      </c>
      <c r="F5" s="110" t="e">
        <f>_xlfn.XLOOKUP($A5,'On-grade Calculations'!$A$34:$A$60,'On-grade Calculations'!AO$34:AO$60)</f>
        <v>#N/A</v>
      </c>
      <c r="G5" s="110" t="e">
        <f>_xlfn.XLOOKUP($A5,'On-grade Calculations'!$A$34:$A$60,'On-grade Calculations'!AP$34:AP$60)</f>
        <v>#N/A</v>
      </c>
      <c r="H5" s="109" t="e">
        <f>IF(_xlfn.XLOOKUP(A5,'on-grade with berm calcs'!$A$3:$A$29,'on-grade with berm calcs'!$AI$3:$AI$29)=0,"HGL below berm",_xlfn.XLOOKUP(A5,'on-grade with berm calcs'!$A$3:$A$29,'on-grade with berm calcs'!$AI$3:$AI$29))</f>
        <v>#N/A</v>
      </c>
      <c r="I5" s="109" t="e">
        <f>_xlfn.XLOOKUP(A5,'on-grade with berm calcs'!$A$3:$A$29,'on-grade with berm calcs'!$AG$3:$AG$29)-_xlfn.XLOOKUP(A5,'on-grade with berm calcs'!$A$3:$A$29,'on-grade with berm calcs'!$AH$3:$AH$29)</f>
        <v>#N/A</v>
      </c>
      <c r="J5" s="109" t="e">
        <f>_xlfn.XLOOKUP(A5,'on-grade with berm calcs'!$A$3:$A$29,'on-grade with berm calcs'!$AH$3:$AH$29)</f>
        <v>#N/A</v>
      </c>
      <c r="K5" s="111" t="e">
        <f>IF(_xlfn.XLOOKUP(A5,'on-grade with berm calcs'!$A$34:$A$60,'on-grade with berm calcs'!$CW$34:$CW$60)=0,"HGL below berm",_xlfn.XLOOKUP(A5,'on-grade with berm calcs'!$A$34:$A$60,'on-grade with berm calcs'!$CW$34:$CW$60))</f>
        <v>#N/A</v>
      </c>
      <c r="L5" s="111" t="e">
        <f>_xlfn.XLOOKUP(A5,'on-grade with berm calcs'!$A$34:$A$60,'on-grade with berm calcs'!$CU$34:$CU$60)-_xlfn.XLOOKUP(A5,'on-grade with berm calcs'!$A$34:$A$60,'on-grade with berm calcs'!$CV$34:$CV$60)</f>
        <v>#N/A</v>
      </c>
      <c r="M5" s="111" t="e">
        <f>_xlfn.XLOOKUP(A5,'on-grade with berm calcs'!$A$34:$A$60,'on-grade with berm calcs'!$CV$34:$CV$60)</f>
        <v>#N/A</v>
      </c>
      <c r="N5" s="2" t="str">
        <f>IF('Inputs-Results'!E10="sag",'Sag Calculations'!$L$4,"")</f>
        <v/>
      </c>
      <c r="O5" s="2" t="str">
        <f>IF('Inputs-Results'!E10="sag",'Sag Calculations'!$L$5,"")</f>
        <v/>
      </c>
    </row>
    <row r="6" spans="1:15" x14ac:dyDescent="0.25">
      <c r="A6" s="2">
        <f>'Inputs-Results'!A11</f>
        <v>0</v>
      </c>
      <c r="B6" s="109" t="e">
        <f>_xlfn.XLOOKUP($A6,'On-grade Calculations'!$A$3:$A$29,'On-grade Calculations'!$B$3:$B$29)</f>
        <v>#N/A</v>
      </c>
      <c r="C6" s="109" t="e">
        <f>_xlfn.XLOOKUP($A6,'On-grade Calculations'!$A$3:$A$29,'On-grade Calculations'!$J$3:$J$29)</f>
        <v>#N/A</v>
      </c>
      <c r="D6" s="109" t="e">
        <f>_xlfn.XLOOKUP($A6,'On-grade Calculations'!$A$3:$A$29,'On-grade Calculations'!$K$3:$K$29)</f>
        <v>#N/A</v>
      </c>
      <c r="E6" s="110" t="e">
        <f>_xlfn.XLOOKUP($A6,'On-grade Calculations'!$A$3:$A$29,'On-grade Calculations'!$B$3:$B$29)</f>
        <v>#N/A</v>
      </c>
      <c r="F6" s="110" t="e">
        <f>_xlfn.XLOOKUP($A6,'On-grade Calculations'!$A$34:$A$60,'On-grade Calculations'!AO$34:AO$60)</f>
        <v>#N/A</v>
      </c>
      <c r="G6" s="110" t="e">
        <f>_xlfn.XLOOKUP($A6,'On-grade Calculations'!$A$34:$A$60,'On-grade Calculations'!AP$34:AP$60)</f>
        <v>#N/A</v>
      </c>
      <c r="H6" s="109" t="e">
        <f>IF(_xlfn.XLOOKUP(A6,'on-grade with berm calcs'!$A$3:$A$29,'on-grade with berm calcs'!$AI$3:$AI$29)=0,"HGL below berm",_xlfn.XLOOKUP(A6,'on-grade with berm calcs'!$A$3:$A$29,'on-grade with berm calcs'!$AI$3:$AI$29))</f>
        <v>#N/A</v>
      </c>
      <c r="I6" s="109" t="e">
        <f>_xlfn.XLOOKUP(A6,'on-grade with berm calcs'!$A$3:$A$29,'on-grade with berm calcs'!$AG$3:$AG$29)-_xlfn.XLOOKUP(A6,'on-grade with berm calcs'!$A$3:$A$29,'on-grade with berm calcs'!$AH$3:$AH$29)</f>
        <v>#N/A</v>
      </c>
      <c r="J6" s="109" t="e">
        <f>_xlfn.XLOOKUP(A6,'on-grade with berm calcs'!$A$3:$A$29,'on-grade with berm calcs'!$AH$3:$AH$29)</f>
        <v>#N/A</v>
      </c>
      <c r="K6" s="111" t="e">
        <f>IF(_xlfn.XLOOKUP(A6,'on-grade with berm calcs'!$A$34:$A$60,'on-grade with berm calcs'!$CW$34:$CW$60)=0,"HGL below berm",_xlfn.XLOOKUP(A6,'on-grade with berm calcs'!$A$34:$A$60,'on-grade with berm calcs'!$CW$34:$CW$60))</f>
        <v>#N/A</v>
      </c>
      <c r="L6" s="111" t="e">
        <f>_xlfn.XLOOKUP(A6,'on-grade with berm calcs'!$A$34:$A$60,'on-grade with berm calcs'!$CU$34:$CU$60)-_xlfn.XLOOKUP(A6,'on-grade with berm calcs'!$A$34:$A$60,'on-grade with berm calcs'!$CV$34:$CV$60)</f>
        <v>#N/A</v>
      </c>
      <c r="M6" s="111" t="e">
        <f>_xlfn.XLOOKUP(A6,'on-grade with berm calcs'!$A$34:$A$60,'on-grade with berm calcs'!$CV$34:$CV$60)</f>
        <v>#N/A</v>
      </c>
      <c r="N6" s="2" t="str">
        <f>IF('Inputs-Results'!E11="sag",'Sag Calculations'!$L$4,"")</f>
        <v/>
      </c>
      <c r="O6" s="2" t="str">
        <f>IF('Inputs-Results'!E11="sag",'Sag Calculations'!$L$5,"")</f>
        <v/>
      </c>
    </row>
    <row r="7" spans="1:15" x14ac:dyDescent="0.25">
      <c r="A7" s="2">
        <f>'Inputs-Results'!A12</f>
        <v>0</v>
      </c>
      <c r="B7" s="109" t="e">
        <f>_xlfn.XLOOKUP($A7,'On-grade Calculations'!$A$3:$A$29,'On-grade Calculations'!$B$3:$B$29)</f>
        <v>#N/A</v>
      </c>
      <c r="C7" s="109" t="e">
        <f>_xlfn.XLOOKUP($A7,'On-grade Calculations'!$A$3:$A$29,'On-grade Calculations'!$J$3:$J$29)</f>
        <v>#N/A</v>
      </c>
      <c r="D7" s="109" t="e">
        <f>_xlfn.XLOOKUP($A7,'On-grade Calculations'!$A$3:$A$29,'On-grade Calculations'!$K$3:$K$29)</f>
        <v>#N/A</v>
      </c>
      <c r="E7" s="110" t="e">
        <f>_xlfn.XLOOKUP($A7,'On-grade Calculations'!$A$3:$A$29,'On-grade Calculations'!$B$3:$B$29)</f>
        <v>#N/A</v>
      </c>
      <c r="F7" s="110" t="e">
        <f>_xlfn.XLOOKUP($A7,'On-grade Calculations'!$A$34:$A$60,'On-grade Calculations'!AO$34:AO$60)</f>
        <v>#N/A</v>
      </c>
      <c r="G7" s="110" t="e">
        <f>_xlfn.XLOOKUP($A7,'On-grade Calculations'!$A$34:$A$60,'On-grade Calculations'!AP$34:AP$60)</f>
        <v>#N/A</v>
      </c>
      <c r="H7" s="109" t="e">
        <f>IF(_xlfn.XLOOKUP(A7,'on-grade with berm calcs'!$A$3:$A$29,'on-grade with berm calcs'!$AI$3:$AI$29)=0,"HGL below berm",_xlfn.XLOOKUP(A7,'on-grade with berm calcs'!$A$3:$A$29,'on-grade with berm calcs'!$AI$3:$AI$29))</f>
        <v>#N/A</v>
      </c>
      <c r="I7" s="109" t="e">
        <f>_xlfn.XLOOKUP(A7,'on-grade with berm calcs'!$A$3:$A$29,'on-grade with berm calcs'!$AG$3:$AG$29)-_xlfn.XLOOKUP(A7,'on-grade with berm calcs'!$A$3:$A$29,'on-grade with berm calcs'!$AH$3:$AH$29)</f>
        <v>#N/A</v>
      </c>
      <c r="J7" s="109" t="e">
        <f>_xlfn.XLOOKUP(A7,'on-grade with berm calcs'!$A$3:$A$29,'on-grade with berm calcs'!$AH$3:$AH$29)</f>
        <v>#N/A</v>
      </c>
      <c r="K7" s="111" t="e">
        <f>IF(_xlfn.XLOOKUP(A7,'on-grade with berm calcs'!$A$34:$A$60,'on-grade with berm calcs'!$CW$34:$CW$60)=0,"HGL below berm",_xlfn.XLOOKUP(A7,'on-grade with berm calcs'!$A$34:$A$60,'on-grade with berm calcs'!$CW$34:$CW$60))</f>
        <v>#N/A</v>
      </c>
      <c r="L7" s="111" t="e">
        <f>_xlfn.XLOOKUP(A7,'on-grade with berm calcs'!$A$34:$A$60,'on-grade with berm calcs'!$CU$34:$CU$60)-_xlfn.XLOOKUP(A7,'on-grade with berm calcs'!$A$34:$A$60,'on-grade with berm calcs'!$CV$34:$CV$60)</f>
        <v>#N/A</v>
      </c>
      <c r="M7" s="111" t="e">
        <f>_xlfn.XLOOKUP(A7,'on-grade with berm calcs'!$A$34:$A$60,'on-grade with berm calcs'!$CV$34:$CV$60)</f>
        <v>#N/A</v>
      </c>
      <c r="N7" s="2" t="str">
        <f>IF('Inputs-Results'!E12="sag",'Sag Calculations'!$L$4,"")</f>
        <v/>
      </c>
      <c r="O7" s="2" t="str">
        <f>IF('Inputs-Results'!E12="sag",'Sag Calculations'!$L$5,"")</f>
        <v/>
      </c>
    </row>
    <row r="8" spans="1:15" x14ac:dyDescent="0.25">
      <c r="A8" s="2">
        <f>'Inputs-Results'!A13</f>
        <v>0</v>
      </c>
      <c r="B8" s="109" t="e">
        <f>_xlfn.XLOOKUP($A8,'On-grade Calculations'!$A$3:$A$29,'On-grade Calculations'!$B$3:$B$29)</f>
        <v>#N/A</v>
      </c>
      <c r="C8" s="109" t="e">
        <f>_xlfn.XLOOKUP($A8,'On-grade Calculations'!$A$3:$A$29,'On-grade Calculations'!$J$3:$J$29)</f>
        <v>#N/A</v>
      </c>
      <c r="D8" s="109" t="e">
        <f>_xlfn.XLOOKUP($A8,'On-grade Calculations'!$A$3:$A$29,'On-grade Calculations'!$K$3:$K$29)</f>
        <v>#N/A</v>
      </c>
      <c r="E8" s="110" t="e">
        <f>_xlfn.XLOOKUP($A8,'On-grade Calculations'!$A$3:$A$29,'On-grade Calculations'!$B$3:$B$29)</f>
        <v>#N/A</v>
      </c>
      <c r="F8" s="110" t="e">
        <f>_xlfn.XLOOKUP($A8,'On-grade Calculations'!$A$34:$A$60,'On-grade Calculations'!AO$34:AO$60)</f>
        <v>#N/A</v>
      </c>
      <c r="G8" s="110" t="e">
        <f>_xlfn.XLOOKUP($A8,'On-grade Calculations'!$A$34:$A$60,'On-grade Calculations'!AP$34:AP$60)</f>
        <v>#N/A</v>
      </c>
      <c r="H8" s="109" t="e">
        <f>IF(_xlfn.XLOOKUP(A8,'on-grade with berm calcs'!$A$3:$A$29,'on-grade with berm calcs'!$AI$3:$AI$29)=0,"HGL below berm",_xlfn.XLOOKUP(A8,'on-grade with berm calcs'!$A$3:$A$29,'on-grade with berm calcs'!$AI$3:$AI$29))</f>
        <v>#N/A</v>
      </c>
      <c r="I8" s="109" t="e">
        <f>_xlfn.XLOOKUP(A8,'on-grade with berm calcs'!$A$3:$A$29,'on-grade with berm calcs'!$AG$3:$AG$29)-_xlfn.XLOOKUP(A8,'on-grade with berm calcs'!$A$3:$A$29,'on-grade with berm calcs'!$AH$3:$AH$29)</f>
        <v>#N/A</v>
      </c>
      <c r="J8" s="109" t="e">
        <f>_xlfn.XLOOKUP(A8,'on-grade with berm calcs'!$A$3:$A$29,'on-grade with berm calcs'!$AH$3:$AH$29)</f>
        <v>#N/A</v>
      </c>
      <c r="K8" s="111" t="e">
        <f>IF(_xlfn.XLOOKUP(A8,'on-grade with berm calcs'!$A$34:$A$60,'on-grade with berm calcs'!$CW$34:$CW$60)=0,"HGL below berm",_xlfn.XLOOKUP(A8,'on-grade with berm calcs'!$A$34:$A$60,'on-grade with berm calcs'!$CW$34:$CW$60))</f>
        <v>#N/A</v>
      </c>
      <c r="L8" s="111" t="e">
        <f>_xlfn.XLOOKUP(A8,'on-grade with berm calcs'!$A$34:$A$60,'on-grade with berm calcs'!$CU$34:$CU$60)-_xlfn.XLOOKUP(A8,'on-grade with berm calcs'!$A$34:$A$60,'on-grade with berm calcs'!$CV$34:$CV$60)</f>
        <v>#N/A</v>
      </c>
      <c r="M8" s="111" t="e">
        <f>_xlfn.XLOOKUP(A8,'on-grade with berm calcs'!$A$34:$A$60,'on-grade with berm calcs'!$CV$34:$CV$60)</f>
        <v>#N/A</v>
      </c>
      <c r="N8" s="2" t="str">
        <f>IF('Inputs-Results'!E13="sag",'Sag Calculations'!$L$4,"")</f>
        <v/>
      </c>
      <c r="O8" s="2" t="str">
        <f>IF('Inputs-Results'!E13="sag",'Sag Calculations'!$L$5,"")</f>
        <v/>
      </c>
    </row>
    <row r="9" spans="1:15" x14ac:dyDescent="0.25">
      <c r="A9" s="2">
        <f>'Inputs-Results'!A14</f>
        <v>0</v>
      </c>
      <c r="B9" s="109" t="e">
        <f>_xlfn.XLOOKUP($A9,'On-grade Calculations'!$A$3:$A$29,'On-grade Calculations'!$B$3:$B$29)</f>
        <v>#N/A</v>
      </c>
      <c r="C9" s="109" t="e">
        <f>_xlfn.XLOOKUP($A9,'On-grade Calculations'!$A$3:$A$29,'On-grade Calculations'!$J$3:$J$29)</f>
        <v>#N/A</v>
      </c>
      <c r="D9" s="109" t="e">
        <f>_xlfn.XLOOKUP($A9,'On-grade Calculations'!$A$3:$A$29,'On-grade Calculations'!$K$3:$K$29)</f>
        <v>#N/A</v>
      </c>
      <c r="E9" s="110" t="e">
        <f>_xlfn.XLOOKUP($A9,'On-grade Calculations'!$A$3:$A$29,'On-grade Calculations'!$B$3:$B$29)</f>
        <v>#N/A</v>
      </c>
      <c r="F9" s="110" t="e">
        <f>_xlfn.XLOOKUP($A9,'On-grade Calculations'!$A$34:$A$60,'On-grade Calculations'!AO$34:AO$60)</f>
        <v>#N/A</v>
      </c>
      <c r="G9" s="110" t="e">
        <f>_xlfn.XLOOKUP($A9,'On-grade Calculations'!$A$34:$A$60,'On-grade Calculations'!AP$34:AP$60)</f>
        <v>#N/A</v>
      </c>
      <c r="H9" s="109" t="e">
        <f>IF(_xlfn.XLOOKUP(A9,'on-grade with berm calcs'!$A$3:$A$29,'on-grade with berm calcs'!$AI$3:$AI$29)=0,"HGL below berm",_xlfn.XLOOKUP(A9,'on-grade with berm calcs'!$A$3:$A$29,'on-grade with berm calcs'!$AI$3:$AI$29))</f>
        <v>#N/A</v>
      </c>
      <c r="I9" s="109" t="e">
        <f>_xlfn.XLOOKUP(A9,'on-grade with berm calcs'!$A$3:$A$29,'on-grade with berm calcs'!$AG$3:$AG$29)-_xlfn.XLOOKUP(A9,'on-grade with berm calcs'!$A$3:$A$29,'on-grade with berm calcs'!$AH$3:$AH$29)</f>
        <v>#N/A</v>
      </c>
      <c r="J9" s="109" t="e">
        <f>_xlfn.XLOOKUP(A9,'on-grade with berm calcs'!$A$3:$A$29,'on-grade with berm calcs'!$AH$3:$AH$29)</f>
        <v>#N/A</v>
      </c>
      <c r="K9" s="111" t="e">
        <f>IF(_xlfn.XLOOKUP(A9,'on-grade with berm calcs'!$A$34:$A$60,'on-grade with berm calcs'!$CW$34:$CW$60)=0,"HGL below berm",_xlfn.XLOOKUP(A9,'on-grade with berm calcs'!$A$34:$A$60,'on-grade with berm calcs'!$CW$34:$CW$60))</f>
        <v>#N/A</v>
      </c>
      <c r="L9" s="111" t="e">
        <f>_xlfn.XLOOKUP(A9,'on-grade with berm calcs'!$A$34:$A$60,'on-grade with berm calcs'!$CU$34:$CU$60)-_xlfn.XLOOKUP(A9,'on-grade with berm calcs'!$A$34:$A$60,'on-grade with berm calcs'!$CV$34:$CV$60)</f>
        <v>#N/A</v>
      </c>
      <c r="M9" s="111" t="e">
        <f>_xlfn.XLOOKUP(A9,'on-grade with berm calcs'!$A$34:$A$60,'on-grade with berm calcs'!$CV$34:$CV$60)</f>
        <v>#N/A</v>
      </c>
      <c r="N9" s="2" t="str">
        <f>IF('Inputs-Results'!E14="sag",'Sag Calculations'!$L$4,"")</f>
        <v/>
      </c>
      <c r="O9" s="2" t="str">
        <f>IF('Inputs-Results'!E14="sag",'Sag Calculations'!$L$5,"")</f>
        <v/>
      </c>
    </row>
    <row r="10" spans="1:15" x14ac:dyDescent="0.25">
      <c r="A10" s="2">
        <f>'Inputs-Results'!A15</f>
        <v>0</v>
      </c>
      <c r="B10" s="109" t="e">
        <f>_xlfn.XLOOKUP($A10,'On-grade Calculations'!$A$3:$A$29,'On-grade Calculations'!$B$3:$B$29)</f>
        <v>#N/A</v>
      </c>
      <c r="C10" s="109" t="e">
        <f>_xlfn.XLOOKUP($A10,'On-grade Calculations'!$A$3:$A$29,'On-grade Calculations'!$J$3:$J$29)</f>
        <v>#N/A</v>
      </c>
      <c r="D10" s="109" t="e">
        <f>_xlfn.XLOOKUP($A10,'On-grade Calculations'!$A$3:$A$29,'On-grade Calculations'!$K$3:$K$29)</f>
        <v>#N/A</v>
      </c>
      <c r="E10" s="110" t="e">
        <f>_xlfn.XLOOKUP($A10,'On-grade Calculations'!$A$3:$A$29,'On-grade Calculations'!$B$3:$B$29)</f>
        <v>#N/A</v>
      </c>
      <c r="F10" s="110" t="e">
        <f>_xlfn.XLOOKUP($A10,'On-grade Calculations'!$A$34:$A$60,'On-grade Calculations'!AO$34:AO$60)</f>
        <v>#N/A</v>
      </c>
      <c r="G10" s="110" t="e">
        <f>_xlfn.XLOOKUP($A10,'On-grade Calculations'!$A$34:$A$60,'On-grade Calculations'!AP$34:AP$60)</f>
        <v>#N/A</v>
      </c>
      <c r="H10" s="109" t="e">
        <f>IF(_xlfn.XLOOKUP(A10,'on-grade with berm calcs'!$A$3:$A$29,'on-grade with berm calcs'!$AI$3:$AI$29)=0,"HGL below berm",_xlfn.XLOOKUP(A10,'on-grade with berm calcs'!$A$3:$A$29,'on-grade with berm calcs'!$AI$3:$AI$29))</f>
        <v>#N/A</v>
      </c>
      <c r="I10" s="109" t="e">
        <f>_xlfn.XLOOKUP(A10,'on-grade with berm calcs'!$A$3:$A$29,'on-grade with berm calcs'!$AG$3:$AG$29)-_xlfn.XLOOKUP(A10,'on-grade with berm calcs'!$A$3:$A$29,'on-grade with berm calcs'!$AH$3:$AH$29)</f>
        <v>#N/A</v>
      </c>
      <c r="J10" s="109" t="e">
        <f>_xlfn.XLOOKUP(A10,'on-grade with berm calcs'!$A$3:$A$29,'on-grade with berm calcs'!$AH$3:$AH$29)</f>
        <v>#N/A</v>
      </c>
      <c r="K10" s="111" t="e">
        <f>IF(_xlfn.XLOOKUP(A10,'on-grade with berm calcs'!$A$34:$A$60,'on-grade with berm calcs'!$CW$34:$CW$60)=0,"HGL below berm",_xlfn.XLOOKUP(A10,'on-grade with berm calcs'!$A$34:$A$60,'on-grade with berm calcs'!$CW$34:$CW$60))</f>
        <v>#N/A</v>
      </c>
      <c r="L10" s="111" t="e">
        <f>_xlfn.XLOOKUP(A10,'on-grade with berm calcs'!$A$34:$A$60,'on-grade with berm calcs'!$CU$34:$CU$60)-_xlfn.XLOOKUP(A10,'on-grade with berm calcs'!$A$34:$A$60,'on-grade with berm calcs'!$CV$34:$CV$60)</f>
        <v>#N/A</v>
      </c>
      <c r="M10" s="111" t="e">
        <f>_xlfn.XLOOKUP(A10,'on-grade with berm calcs'!$A$34:$A$60,'on-grade with berm calcs'!$CV$34:$CV$60)</f>
        <v>#N/A</v>
      </c>
      <c r="N10" s="2" t="str">
        <f>IF('Inputs-Results'!E15="sag",'Sag Calculations'!$L$4,"")</f>
        <v/>
      </c>
      <c r="O10" s="2" t="str">
        <f>IF('Inputs-Results'!E15="sag",'Sag Calculations'!$L$5,"")</f>
        <v/>
      </c>
    </row>
    <row r="11" spans="1:15" x14ac:dyDescent="0.25">
      <c r="A11" s="2">
        <f>'Inputs-Results'!A16</f>
        <v>0</v>
      </c>
      <c r="B11" s="109" t="e">
        <f>_xlfn.XLOOKUP($A11,'On-grade Calculations'!$A$3:$A$29,'On-grade Calculations'!$B$3:$B$29)</f>
        <v>#N/A</v>
      </c>
      <c r="C11" s="109" t="e">
        <f>_xlfn.XLOOKUP($A11,'On-grade Calculations'!$A$3:$A$29,'On-grade Calculations'!$J$3:$J$29)</f>
        <v>#N/A</v>
      </c>
      <c r="D11" s="109" t="e">
        <f>_xlfn.XLOOKUP($A11,'On-grade Calculations'!$A$3:$A$29,'On-grade Calculations'!$K$3:$K$29)</f>
        <v>#N/A</v>
      </c>
      <c r="E11" s="110" t="e">
        <f>_xlfn.XLOOKUP($A11,'On-grade Calculations'!$A$3:$A$29,'On-grade Calculations'!$B$3:$B$29)</f>
        <v>#N/A</v>
      </c>
      <c r="F11" s="110" t="e">
        <f>_xlfn.XLOOKUP($A11,'On-grade Calculations'!$A$34:$A$60,'On-grade Calculations'!AO$34:AO$60)</f>
        <v>#N/A</v>
      </c>
      <c r="G11" s="110" t="e">
        <f>_xlfn.XLOOKUP($A11,'On-grade Calculations'!$A$34:$A$60,'On-grade Calculations'!AP$34:AP$60)</f>
        <v>#N/A</v>
      </c>
      <c r="H11" s="109" t="e">
        <f>IF(_xlfn.XLOOKUP(A11,'on-grade with berm calcs'!$A$3:$A$29,'on-grade with berm calcs'!$AI$3:$AI$29)=0,"HGL below berm",_xlfn.XLOOKUP(A11,'on-grade with berm calcs'!$A$3:$A$29,'on-grade with berm calcs'!$AI$3:$AI$29))</f>
        <v>#N/A</v>
      </c>
      <c r="I11" s="109" t="e">
        <f>_xlfn.XLOOKUP(A11,'on-grade with berm calcs'!$A$3:$A$29,'on-grade with berm calcs'!$AG$3:$AG$29)-_xlfn.XLOOKUP(A11,'on-grade with berm calcs'!$A$3:$A$29,'on-grade with berm calcs'!$AH$3:$AH$29)</f>
        <v>#N/A</v>
      </c>
      <c r="J11" s="109" t="e">
        <f>_xlfn.XLOOKUP(A11,'on-grade with berm calcs'!$A$3:$A$29,'on-grade with berm calcs'!$AH$3:$AH$29)</f>
        <v>#N/A</v>
      </c>
      <c r="K11" s="111" t="e">
        <f>IF(_xlfn.XLOOKUP(A11,'on-grade with berm calcs'!$A$34:$A$60,'on-grade with berm calcs'!$CW$34:$CW$60)=0,"HGL below berm",_xlfn.XLOOKUP(A11,'on-grade with berm calcs'!$A$34:$A$60,'on-grade with berm calcs'!$CW$34:$CW$60))</f>
        <v>#N/A</v>
      </c>
      <c r="L11" s="111" t="e">
        <f>_xlfn.XLOOKUP(A11,'on-grade with berm calcs'!$A$34:$A$60,'on-grade with berm calcs'!$CU$34:$CU$60)-_xlfn.XLOOKUP(A11,'on-grade with berm calcs'!$A$34:$A$60,'on-grade with berm calcs'!$CV$34:$CV$60)</f>
        <v>#N/A</v>
      </c>
      <c r="M11" s="111" t="e">
        <f>_xlfn.XLOOKUP(A11,'on-grade with berm calcs'!$A$34:$A$60,'on-grade with berm calcs'!$CV$34:$CV$60)</f>
        <v>#N/A</v>
      </c>
      <c r="N11" s="2" t="str">
        <f>IF('Inputs-Results'!E16="sag",'Sag Calculations'!$L$4,"")</f>
        <v/>
      </c>
      <c r="O11" s="2" t="str">
        <f>IF('Inputs-Results'!E16="sag",'Sag Calculations'!$L$5,"")</f>
        <v/>
      </c>
    </row>
    <row r="12" spans="1:15" x14ac:dyDescent="0.25">
      <c r="A12" s="2">
        <f>'Inputs-Results'!A17</f>
        <v>0</v>
      </c>
      <c r="B12" s="109" t="e">
        <f>_xlfn.XLOOKUP($A12,'On-grade Calculations'!$A$3:$A$29,'On-grade Calculations'!$B$3:$B$29)</f>
        <v>#N/A</v>
      </c>
      <c r="C12" s="109" t="e">
        <f>_xlfn.XLOOKUP($A12,'On-grade Calculations'!$A$3:$A$29,'On-grade Calculations'!$J$3:$J$29)</f>
        <v>#N/A</v>
      </c>
      <c r="D12" s="109" t="e">
        <f>_xlfn.XLOOKUP($A12,'On-grade Calculations'!$A$3:$A$29,'On-grade Calculations'!$K$3:$K$29)</f>
        <v>#N/A</v>
      </c>
      <c r="E12" s="110" t="e">
        <f>_xlfn.XLOOKUP($A12,'On-grade Calculations'!$A$3:$A$29,'On-grade Calculations'!$B$3:$B$29)</f>
        <v>#N/A</v>
      </c>
      <c r="F12" s="110" t="e">
        <f>_xlfn.XLOOKUP($A12,'On-grade Calculations'!$A$34:$A$60,'On-grade Calculations'!AO$34:AO$60)</f>
        <v>#N/A</v>
      </c>
      <c r="G12" s="110" t="e">
        <f>_xlfn.XLOOKUP($A12,'On-grade Calculations'!$A$34:$A$60,'On-grade Calculations'!AP$34:AP$60)</f>
        <v>#N/A</v>
      </c>
      <c r="H12" s="109" t="e">
        <f>IF(_xlfn.XLOOKUP(A12,'on-grade with berm calcs'!$A$3:$A$29,'on-grade with berm calcs'!$AI$3:$AI$29)=0,"HGL below berm",_xlfn.XLOOKUP(A12,'on-grade with berm calcs'!$A$3:$A$29,'on-grade with berm calcs'!$AI$3:$AI$29))</f>
        <v>#N/A</v>
      </c>
      <c r="I12" s="109" t="e">
        <f>_xlfn.XLOOKUP(A12,'on-grade with berm calcs'!$A$3:$A$29,'on-grade with berm calcs'!$AG$3:$AG$29)-_xlfn.XLOOKUP(A12,'on-grade with berm calcs'!$A$3:$A$29,'on-grade with berm calcs'!$AH$3:$AH$29)</f>
        <v>#N/A</v>
      </c>
      <c r="J12" s="109" t="e">
        <f>_xlfn.XLOOKUP(A12,'on-grade with berm calcs'!$A$3:$A$29,'on-grade with berm calcs'!$AH$3:$AH$29)</f>
        <v>#N/A</v>
      </c>
      <c r="K12" s="111" t="e">
        <f>IF(_xlfn.XLOOKUP(A12,'on-grade with berm calcs'!$A$34:$A$60,'on-grade with berm calcs'!$CW$34:$CW$60)=0,"HGL below berm",_xlfn.XLOOKUP(A12,'on-grade with berm calcs'!$A$34:$A$60,'on-grade with berm calcs'!$CW$34:$CW$60))</f>
        <v>#N/A</v>
      </c>
      <c r="L12" s="111" t="e">
        <f>_xlfn.XLOOKUP(A12,'on-grade with berm calcs'!$A$34:$A$60,'on-grade with berm calcs'!$CU$34:$CU$60)-_xlfn.XLOOKUP(A12,'on-grade with berm calcs'!$A$34:$A$60,'on-grade with berm calcs'!$CV$34:$CV$60)</f>
        <v>#N/A</v>
      </c>
      <c r="M12" s="111" t="e">
        <f>_xlfn.XLOOKUP(A12,'on-grade with berm calcs'!$A$34:$A$60,'on-grade with berm calcs'!$CV$34:$CV$60)</f>
        <v>#N/A</v>
      </c>
      <c r="N12" s="2" t="str">
        <f>IF('Inputs-Results'!E17="sag",'Sag Calculations'!$L$4,"")</f>
        <v/>
      </c>
      <c r="O12" s="2" t="str">
        <f>IF('Inputs-Results'!E17="sag",'Sag Calculations'!$L$5,"")</f>
        <v/>
      </c>
    </row>
    <row r="13" spans="1:15" x14ac:dyDescent="0.25">
      <c r="A13" s="2">
        <f>'Inputs-Results'!A18</f>
        <v>0</v>
      </c>
      <c r="B13" s="109" t="e">
        <f>_xlfn.XLOOKUP($A13,'On-grade Calculations'!$A$3:$A$29,'On-grade Calculations'!$B$3:$B$29)</f>
        <v>#N/A</v>
      </c>
      <c r="C13" s="109" t="e">
        <f>_xlfn.XLOOKUP($A13,'On-grade Calculations'!$A$3:$A$29,'On-grade Calculations'!$J$3:$J$29)</f>
        <v>#N/A</v>
      </c>
      <c r="D13" s="109" t="e">
        <f>_xlfn.XLOOKUP($A13,'On-grade Calculations'!$A$3:$A$29,'On-grade Calculations'!$K$3:$K$29)</f>
        <v>#N/A</v>
      </c>
      <c r="E13" s="110" t="e">
        <f>_xlfn.XLOOKUP($A13,'On-grade Calculations'!$A$3:$A$29,'On-grade Calculations'!$B$3:$B$29)</f>
        <v>#N/A</v>
      </c>
      <c r="F13" s="110" t="e">
        <f>_xlfn.XLOOKUP($A13,'On-grade Calculations'!$A$34:$A$60,'On-grade Calculations'!AO$34:AO$60)</f>
        <v>#N/A</v>
      </c>
      <c r="G13" s="110" t="e">
        <f>_xlfn.XLOOKUP($A13,'On-grade Calculations'!$A$34:$A$60,'On-grade Calculations'!AP$34:AP$60)</f>
        <v>#N/A</v>
      </c>
      <c r="H13" s="109" t="e">
        <f>IF(_xlfn.XLOOKUP(A13,'on-grade with berm calcs'!$A$3:$A$29,'on-grade with berm calcs'!$AI$3:$AI$29)=0,"HGL below berm",_xlfn.XLOOKUP(A13,'on-grade with berm calcs'!$A$3:$A$29,'on-grade with berm calcs'!$AI$3:$AI$29))</f>
        <v>#N/A</v>
      </c>
      <c r="I13" s="109" t="e">
        <f>_xlfn.XLOOKUP(A13,'on-grade with berm calcs'!$A$3:$A$29,'on-grade with berm calcs'!$AG$3:$AG$29)-_xlfn.XLOOKUP(A13,'on-grade with berm calcs'!$A$3:$A$29,'on-grade with berm calcs'!$AH$3:$AH$29)</f>
        <v>#N/A</v>
      </c>
      <c r="J13" s="109" t="e">
        <f>_xlfn.XLOOKUP(A13,'on-grade with berm calcs'!$A$3:$A$29,'on-grade with berm calcs'!$AH$3:$AH$29)</f>
        <v>#N/A</v>
      </c>
      <c r="K13" s="111" t="e">
        <f>IF(_xlfn.XLOOKUP(A13,'on-grade with berm calcs'!$A$34:$A$60,'on-grade with berm calcs'!$CW$34:$CW$60)=0,"HGL below berm",_xlfn.XLOOKUP(A13,'on-grade with berm calcs'!$A$34:$A$60,'on-grade with berm calcs'!$CW$34:$CW$60))</f>
        <v>#N/A</v>
      </c>
      <c r="L13" s="111" t="e">
        <f>_xlfn.XLOOKUP(A13,'on-grade with berm calcs'!$A$34:$A$60,'on-grade with berm calcs'!$CU$34:$CU$60)-_xlfn.XLOOKUP(A13,'on-grade with berm calcs'!$A$34:$A$60,'on-grade with berm calcs'!$CV$34:$CV$60)</f>
        <v>#N/A</v>
      </c>
      <c r="M13" s="111" t="e">
        <f>_xlfn.XLOOKUP(A13,'on-grade with berm calcs'!$A$34:$A$60,'on-grade with berm calcs'!$CV$34:$CV$60)</f>
        <v>#N/A</v>
      </c>
      <c r="N13" s="2" t="str">
        <f>IF('Inputs-Results'!E18="sag",'Sag Calculations'!$L$4,"")</f>
        <v/>
      </c>
      <c r="O13" s="2" t="str">
        <f>IF('Inputs-Results'!E18="sag",'Sag Calculations'!$L$5,"")</f>
        <v/>
      </c>
    </row>
    <row r="14" spans="1:15" x14ac:dyDescent="0.25">
      <c r="A14" s="2">
        <f>'Inputs-Results'!A19</f>
        <v>0</v>
      </c>
      <c r="B14" s="109" t="e">
        <f>_xlfn.XLOOKUP($A14,'On-grade Calculations'!$A$3:$A$29,'On-grade Calculations'!$B$3:$B$29)</f>
        <v>#N/A</v>
      </c>
      <c r="C14" s="109" t="e">
        <f>_xlfn.XLOOKUP($A14,'On-grade Calculations'!$A$3:$A$29,'On-grade Calculations'!$J$3:$J$29)</f>
        <v>#N/A</v>
      </c>
      <c r="D14" s="109" t="e">
        <f>_xlfn.XLOOKUP($A14,'On-grade Calculations'!$A$3:$A$29,'On-grade Calculations'!$K$3:$K$29)</f>
        <v>#N/A</v>
      </c>
      <c r="E14" s="110" t="e">
        <f>_xlfn.XLOOKUP($A14,'On-grade Calculations'!$A$3:$A$29,'On-grade Calculations'!$B$3:$B$29)</f>
        <v>#N/A</v>
      </c>
      <c r="F14" s="110" t="e">
        <f>_xlfn.XLOOKUP($A14,'On-grade Calculations'!$A$34:$A$60,'On-grade Calculations'!AO$34:AO$60)</f>
        <v>#N/A</v>
      </c>
      <c r="G14" s="110" t="e">
        <f>_xlfn.XLOOKUP($A14,'On-grade Calculations'!$A$34:$A$60,'On-grade Calculations'!AP$34:AP$60)</f>
        <v>#N/A</v>
      </c>
      <c r="H14" s="109" t="e">
        <f>IF(_xlfn.XLOOKUP(A14,'on-grade with berm calcs'!$A$3:$A$29,'on-grade with berm calcs'!$AI$3:$AI$29)=0,"HGL below berm",_xlfn.XLOOKUP(A14,'on-grade with berm calcs'!$A$3:$A$29,'on-grade with berm calcs'!$AI$3:$AI$29))</f>
        <v>#N/A</v>
      </c>
      <c r="I14" s="109" t="e">
        <f>_xlfn.XLOOKUP(A14,'on-grade with berm calcs'!$A$3:$A$29,'on-grade with berm calcs'!$AG$3:$AG$29)-_xlfn.XLOOKUP(A14,'on-grade with berm calcs'!$A$3:$A$29,'on-grade with berm calcs'!$AH$3:$AH$29)</f>
        <v>#N/A</v>
      </c>
      <c r="J14" s="109" t="e">
        <f>_xlfn.XLOOKUP(A14,'on-grade with berm calcs'!$A$3:$A$29,'on-grade with berm calcs'!$AH$3:$AH$29)</f>
        <v>#N/A</v>
      </c>
      <c r="K14" s="111" t="e">
        <f>IF(_xlfn.XLOOKUP(A14,'on-grade with berm calcs'!$A$34:$A$60,'on-grade with berm calcs'!$CW$34:$CW$60)=0,"HGL below berm",_xlfn.XLOOKUP(A14,'on-grade with berm calcs'!$A$34:$A$60,'on-grade with berm calcs'!$CW$34:$CW$60))</f>
        <v>#N/A</v>
      </c>
      <c r="L14" s="111" t="e">
        <f>_xlfn.XLOOKUP(A14,'on-grade with berm calcs'!$A$34:$A$60,'on-grade with berm calcs'!$CU$34:$CU$60)-_xlfn.XLOOKUP(A14,'on-grade with berm calcs'!$A$34:$A$60,'on-grade with berm calcs'!$CV$34:$CV$60)</f>
        <v>#N/A</v>
      </c>
      <c r="M14" s="111" t="e">
        <f>_xlfn.XLOOKUP(A14,'on-grade with berm calcs'!$A$34:$A$60,'on-grade with berm calcs'!$CV$34:$CV$60)</f>
        <v>#N/A</v>
      </c>
      <c r="N14" s="2" t="str">
        <f>IF('Inputs-Results'!E19="sag",'Sag Calculations'!$L$4,"")</f>
        <v/>
      </c>
      <c r="O14" s="2" t="str">
        <f>IF('Inputs-Results'!E19="sag",'Sag Calculations'!$L$5,"")</f>
        <v/>
      </c>
    </row>
    <row r="15" spans="1:15" x14ac:dyDescent="0.25">
      <c r="A15" s="2">
        <f>'Inputs-Results'!A20</f>
        <v>0</v>
      </c>
      <c r="B15" s="109" t="e">
        <f>_xlfn.XLOOKUP($A15,'On-grade Calculations'!$A$3:$A$29,'On-grade Calculations'!$B$3:$B$29)</f>
        <v>#N/A</v>
      </c>
      <c r="C15" s="109" t="e">
        <f>_xlfn.XLOOKUP($A15,'On-grade Calculations'!$A$3:$A$29,'On-grade Calculations'!$J$3:$J$29)</f>
        <v>#N/A</v>
      </c>
      <c r="D15" s="109" t="e">
        <f>_xlfn.XLOOKUP($A15,'On-grade Calculations'!$A$3:$A$29,'On-grade Calculations'!$K$3:$K$29)</f>
        <v>#N/A</v>
      </c>
      <c r="E15" s="110" t="e">
        <f>_xlfn.XLOOKUP($A15,'On-grade Calculations'!$A$3:$A$29,'On-grade Calculations'!$B$3:$B$29)</f>
        <v>#N/A</v>
      </c>
      <c r="F15" s="110" t="e">
        <f>_xlfn.XLOOKUP($A15,'On-grade Calculations'!$A$34:$A$60,'On-grade Calculations'!AO$34:AO$60)</f>
        <v>#N/A</v>
      </c>
      <c r="G15" s="110" t="e">
        <f>_xlfn.XLOOKUP($A15,'On-grade Calculations'!$A$34:$A$60,'On-grade Calculations'!AP$34:AP$60)</f>
        <v>#N/A</v>
      </c>
      <c r="H15" s="109" t="e">
        <f>IF(_xlfn.XLOOKUP(A15,'on-grade with berm calcs'!$A$3:$A$29,'on-grade with berm calcs'!$AI$3:$AI$29)=0,"HGL below berm",_xlfn.XLOOKUP(A15,'on-grade with berm calcs'!$A$3:$A$29,'on-grade with berm calcs'!$AI$3:$AI$29))</f>
        <v>#N/A</v>
      </c>
      <c r="I15" s="109" t="e">
        <f>_xlfn.XLOOKUP(A15,'on-grade with berm calcs'!$A$3:$A$29,'on-grade with berm calcs'!$AG$3:$AG$29)-_xlfn.XLOOKUP(A15,'on-grade with berm calcs'!$A$3:$A$29,'on-grade with berm calcs'!$AH$3:$AH$29)</f>
        <v>#N/A</v>
      </c>
      <c r="J15" s="109" t="e">
        <f>_xlfn.XLOOKUP(A15,'on-grade with berm calcs'!$A$3:$A$29,'on-grade with berm calcs'!$AH$3:$AH$29)</f>
        <v>#N/A</v>
      </c>
      <c r="K15" s="111" t="e">
        <f>IF(_xlfn.XLOOKUP(A15,'on-grade with berm calcs'!$A$34:$A$60,'on-grade with berm calcs'!$CW$34:$CW$60)=0,"HGL below berm",_xlfn.XLOOKUP(A15,'on-grade with berm calcs'!$A$34:$A$60,'on-grade with berm calcs'!$CW$34:$CW$60))</f>
        <v>#N/A</v>
      </c>
      <c r="L15" s="111" t="e">
        <f>_xlfn.XLOOKUP(A15,'on-grade with berm calcs'!$A$34:$A$60,'on-grade with berm calcs'!$CU$34:$CU$60)-_xlfn.XLOOKUP(A15,'on-grade with berm calcs'!$A$34:$A$60,'on-grade with berm calcs'!$CV$34:$CV$60)</f>
        <v>#N/A</v>
      </c>
      <c r="M15" s="111" t="e">
        <f>_xlfn.XLOOKUP(A15,'on-grade with berm calcs'!$A$34:$A$60,'on-grade with berm calcs'!$CV$34:$CV$60)</f>
        <v>#N/A</v>
      </c>
      <c r="N15" s="2" t="str">
        <f>IF('Inputs-Results'!E20="sag",'Sag Calculations'!$L$4,"")</f>
        <v/>
      </c>
      <c r="O15" s="2" t="str">
        <f>IF('Inputs-Results'!E20="sag",'Sag Calculations'!$L$5,"")</f>
        <v/>
      </c>
    </row>
    <row r="16" spans="1:15" x14ac:dyDescent="0.25">
      <c r="A16" s="2">
        <f>'Inputs-Results'!A21</f>
        <v>0</v>
      </c>
      <c r="B16" s="109" t="e">
        <f>_xlfn.XLOOKUP($A16,'On-grade Calculations'!$A$3:$A$29,'On-grade Calculations'!$B$3:$B$29)</f>
        <v>#N/A</v>
      </c>
      <c r="C16" s="109" t="e">
        <f>_xlfn.XLOOKUP($A16,'On-grade Calculations'!$A$3:$A$29,'On-grade Calculations'!$J$3:$J$29)</f>
        <v>#N/A</v>
      </c>
      <c r="D16" s="109" t="e">
        <f>_xlfn.XLOOKUP($A16,'On-grade Calculations'!$A$3:$A$29,'On-grade Calculations'!$K$3:$K$29)</f>
        <v>#N/A</v>
      </c>
      <c r="E16" s="110" t="e">
        <f>_xlfn.XLOOKUP($A16,'On-grade Calculations'!$A$3:$A$29,'On-grade Calculations'!$B$3:$B$29)</f>
        <v>#N/A</v>
      </c>
      <c r="F16" s="110" t="e">
        <f>_xlfn.XLOOKUP($A16,'On-grade Calculations'!$A$34:$A$60,'On-grade Calculations'!AO$34:AO$60)</f>
        <v>#N/A</v>
      </c>
      <c r="G16" s="110" t="e">
        <f>_xlfn.XLOOKUP($A16,'On-grade Calculations'!$A$34:$A$60,'On-grade Calculations'!AP$34:AP$60)</f>
        <v>#N/A</v>
      </c>
      <c r="H16" s="109" t="e">
        <f>IF(_xlfn.XLOOKUP(A16,'on-grade with berm calcs'!$A$3:$A$29,'on-grade with berm calcs'!$AI$3:$AI$29)=0,"HGL below berm",_xlfn.XLOOKUP(A16,'on-grade with berm calcs'!$A$3:$A$29,'on-grade with berm calcs'!$AI$3:$AI$29))</f>
        <v>#N/A</v>
      </c>
      <c r="I16" s="109" t="e">
        <f>_xlfn.XLOOKUP(A16,'on-grade with berm calcs'!$A$3:$A$29,'on-grade with berm calcs'!$AG$3:$AG$29)-_xlfn.XLOOKUP(A16,'on-grade with berm calcs'!$A$3:$A$29,'on-grade with berm calcs'!$AH$3:$AH$29)</f>
        <v>#N/A</v>
      </c>
      <c r="J16" s="109" t="e">
        <f>_xlfn.XLOOKUP(A16,'on-grade with berm calcs'!$A$3:$A$29,'on-grade with berm calcs'!$AH$3:$AH$29)</f>
        <v>#N/A</v>
      </c>
      <c r="K16" s="111" t="e">
        <f>IF(_xlfn.XLOOKUP(A16,'on-grade with berm calcs'!$A$34:$A$60,'on-grade with berm calcs'!$CW$34:$CW$60)=0,"HGL below berm",_xlfn.XLOOKUP(A16,'on-grade with berm calcs'!$A$34:$A$60,'on-grade with berm calcs'!$CW$34:$CW$60))</f>
        <v>#N/A</v>
      </c>
      <c r="L16" s="111" t="e">
        <f>_xlfn.XLOOKUP(A16,'on-grade with berm calcs'!$A$34:$A$60,'on-grade with berm calcs'!$CU$34:$CU$60)-_xlfn.XLOOKUP(A16,'on-grade with berm calcs'!$A$34:$A$60,'on-grade with berm calcs'!$CV$34:$CV$60)</f>
        <v>#N/A</v>
      </c>
      <c r="M16" s="111" t="e">
        <f>_xlfn.XLOOKUP(A16,'on-grade with berm calcs'!$A$34:$A$60,'on-grade with berm calcs'!$CV$34:$CV$60)</f>
        <v>#N/A</v>
      </c>
      <c r="N16" s="2" t="str">
        <f>IF('Inputs-Results'!E21="sag",'Sag Calculations'!$L$4,"")</f>
        <v/>
      </c>
      <c r="O16" s="2" t="str">
        <f>IF('Inputs-Results'!E21="sag",'Sag Calculations'!$L$5,"")</f>
        <v/>
      </c>
    </row>
    <row r="17" spans="1:15" x14ac:dyDescent="0.25">
      <c r="A17" s="2">
        <f>'Inputs-Results'!A22</f>
        <v>0</v>
      </c>
      <c r="B17" s="109" t="e">
        <f>_xlfn.XLOOKUP($A17,'On-grade Calculations'!$A$3:$A$29,'On-grade Calculations'!$B$3:$B$29)</f>
        <v>#N/A</v>
      </c>
      <c r="C17" s="109" t="e">
        <f>_xlfn.XLOOKUP($A17,'On-grade Calculations'!$A$3:$A$29,'On-grade Calculations'!$J$3:$J$29)</f>
        <v>#N/A</v>
      </c>
      <c r="D17" s="109" t="e">
        <f>_xlfn.XLOOKUP($A17,'On-grade Calculations'!$A$3:$A$29,'On-grade Calculations'!$K$3:$K$29)</f>
        <v>#N/A</v>
      </c>
      <c r="E17" s="110" t="e">
        <f>_xlfn.XLOOKUP($A17,'On-grade Calculations'!$A$3:$A$29,'On-grade Calculations'!$B$3:$B$29)</f>
        <v>#N/A</v>
      </c>
      <c r="F17" s="110" t="e">
        <f>_xlfn.XLOOKUP($A17,'On-grade Calculations'!$A$34:$A$60,'On-grade Calculations'!AO$34:AO$60)</f>
        <v>#N/A</v>
      </c>
      <c r="G17" s="110" t="e">
        <f>_xlfn.XLOOKUP($A17,'On-grade Calculations'!$A$34:$A$60,'On-grade Calculations'!AP$34:AP$60)</f>
        <v>#N/A</v>
      </c>
      <c r="H17" s="109" t="e">
        <f>IF(_xlfn.XLOOKUP(A17,'on-grade with berm calcs'!$A$3:$A$29,'on-grade with berm calcs'!$AI$3:$AI$29)=0,"HGL below berm",_xlfn.XLOOKUP(A17,'on-grade with berm calcs'!$A$3:$A$29,'on-grade with berm calcs'!$AI$3:$AI$29))</f>
        <v>#N/A</v>
      </c>
      <c r="I17" s="109" t="e">
        <f>_xlfn.XLOOKUP(A17,'on-grade with berm calcs'!$A$3:$A$29,'on-grade with berm calcs'!$AG$3:$AG$29)-_xlfn.XLOOKUP(A17,'on-grade with berm calcs'!$A$3:$A$29,'on-grade with berm calcs'!$AH$3:$AH$29)</f>
        <v>#N/A</v>
      </c>
      <c r="J17" s="109" t="e">
        <f>_xlfn.XLOOKUP(A17,'on-grade with berm calcs'!$A$3:$A$29,'on-grade with berm calcs'!$AH$3:$AH$29)</f>
        <v>#N/A</v>
      </c>
      <c r="K17" s="111" t="e">
        <f>IF(_xlfn.XLOOKUP(A17,'on-grade with berm calcs'!$A$34:$A$60,'on-grade with berm calcs'!$CW$34:$CW$60)=0,"HGL below berm",_xlfn.XLOOKUP(A17,'on-grade with berm calcs'!$A$34:$A$60,'on-grade with berm calcs'!$CW$34:$CW$60))</f>
        <v>#N/A</v>
      </c>
      <c r="L17" s="111" t="e">
        <f>_xlfn.XLOOKUP(A17,'on-grade with berm calcs'!$A$34:$A$60,'on-grade with berm calcs'!$CU$34:$CU$60)-_xlfn.XLOOKUP(A17,'on-grade with berm calcs'!$A$34:$A$60,'on-grade with berm calcs'!$CV$34:$CV$60)</f>
        <v>#N/A</v>
      </c>
      <c r="M17" s="111" t="e">
        <f>_xlfn.XLOOKUP(A17,'on-grade with berm calcs'!$A$34:$A$60,'on-grade with berm calcs'!$CV$34:$CV$60)</f>
        <v>#N/A</v>
      </c>
      <c r="N17" s="2" t="str">
        <f>IF('Inputs-Results'!E22="sag",'Sag Calculations'!$L$4,"")</f>
        <v/>
      </c>
      <c r="O17" s="2" t="str">
        <f>IF('Inputs-Results'!E22="sag",'Sag Calculations'!$L$5,"")</f>
        <v/>
      </c>
    </row>
    <row r="18" spans="1:15" x14ac:dyDescent="0.25">
      <c r="A18" s="2">
        <f>'Inputs-Results'!A23</f>
        <v>0</v>
      </c>
      <c r="B18" s="109" t="e">
        <f>_xlfn.XLOOKUP($A18,'On-grade Calculations'!$A$3:$A$29,'On-grade Calculations'!$B$3:$B$29)</f>
        <v>#N/A</v>
      </c>
      <c r="C18" s="109" t="e">
        <f>_xlfn.XLOOKUP($A18,'On-grade Calculations'!$A$3:$A$29,'On-grade Calculations'!$J$3:$J$29)</f>
        <v>#N/A</v>
      </c>
      <c r="D18" s="109" t="e">
        <f>_xlfn.XLOOKUP($A18,'On-grade Calculations'!$A$3:$A$29,'On-grade Calculations'!$K$3:$K$29)</f>
        <v>#N/A</v>
      </c>
      <c r="E18" s="110" t="e">
        <f>_xlfn.XLOOKUP($A18,'On-grade Calculations'!$A$3:$A$29,'On-grade Calculations'!$B$3:$B$29)</f>
        <v>#N/A</v>
      </c>
      <c r="F18" s="110" t="e">
        <f>_xlfn.XLOOKUP($A18,'On-grade Calculations'!$A$34:$A$60,'On-grade Calculations'!AO$34:AO$60)</f>
        <v>#N/A</v>
      </c>
      <c r="G18" s="110" t="e">
        <f>_xlfn.XLOOKUP($A18,'On-grade Calculations'!$A$34:$A$60,'On-grade Calculations'!AP$34:AP$60)</f>
        <v>#N/A</v>
      </c>
      <c r="H18" s="109" t="e">
        <f>IF(_xlfn.XLOOKUP(A18,'on-grade with berm calcs'!$A$3:$A$29,'on-grade with berm calcs'!$AI$3:$AI$29)=0,"HGL below berm",_xlfn.XLOOKUP(A18,'on-grade with berm calcs'!$A$3:$A$29,'on-grade with berm calcs'!$AI$3:$AI$29))</f>
        <v>#N/A</v>
      </c>
      <c r="I18" s="109" t="e">
        <f>_xlfn.XLOOKUP(A18,'on-grade with berm calcs'!$A$3:$A$29,'on-grade with berm calcs'!$AG$3:$AG$29)-_xlfn.XLOOKUP(A18,'on-grade with berm calcs'!$A$3:$A$29,'on-grade with berm calcs'!$AH$3:$AH$29)</f>
        <v>#N/A</v>
      </c>
      <c r="J18" s="109" t="e">
        <f>_xlfn.XLOOKUP(A18,'on-grade with berm calcs'!$A$3:$A$29,'on-grade with berm calcs'!$AH$3:$AH$29)</f>
        <v>#N/A</v>
      </c>
      <c r="K18" s="111" t="e">
        <f>IF(_xlfn.XLOOKUP(A18,'on-grade with berm calcs'!$A$34:$A$60,'on-grade with berm calcs'!$CW$34:$CW$60)=0,"HGL below berm",_xlfn.XLOOKUP(A18,'on-grade with berm calcs'!$A$34:$A$60,'on-grade with berm calcs'!$CW$34:$CW$60))</f>
        <v>#N/A</v>
      </c>
      <c r="L18" s="111" t="e">
        <f>_xlfn.XLOOKUP(A18,'on-grade with berm calcs'!$A$34:$A$60,'on-grade with berm calcs'!$CU$34:$CU$60)-_xlfn.XLOOKUP(A18,'on-grade with berm calcs'!$A$34:$A$60,'on-grade with berm calcs'!$CV$34:$CV$60)</f>
        <v>#N/A</v>
      </c>
      <c r="M18" s="111" t="e">
        <f>_xlfn.XLOOKUP(A18,'on-grade with berm calcs'!$A$34:$A$60,'on-grade with berm calcs'!$CV$34:$CV$60)</f>
        <v>#N/A</v>
      </c>
      <c r="N18" s="2" t="str">
        <f>IF('Inputs-Results'!E23="sag",'Sag Calculations'!$L$4,"")</f>
        <v/>
      </c>
      <c r="O18" s="2" t="str">
        <f>IF('Inputs-Results'!E23="sag",'Sag Calculations'!$L$5,"")</f>
        <v/>
      </c>
    </row>
    <row r="19" spans="1:15" x14ac:dyDescent="0.25">
      <c r="A19" s="2">
        <f>'Inputs-Results'!A24</f>
        <v>0</v>
      </c>
      <c r="B19" s="109" t="e">
        <f>_xlfn.XLOOKUP($A19,'On-grade Calculations'!$A$3:$A$29,'On-grade Calculations'!$B$3:$B$29)</f>
        <v>#N/A</v>
      </c>
      <c r="C19" s="109" t="e">
        <f>_xlfn.XLOOKUP($A19,'On-grade Calculations'!$A$3:$A$29,'On-grade Calculations'!$J$3:$J$29)</f>
        <v>#N/A</v>
      </c>
      <c r="D19" s="109" t="e">
        <f>_xlfn.XLOOKUP($A19,'On-grade Calculations'!$A$3:$A$29,'On-grade Calculations'!$K$3:$K$29)</f>
        <v>#N/A</v>
      </c>
      <c r="E19" s="110" t="e">
        <f>_xlfn.XLOOKUP($A19,'On-grade Calculations'!$A$3:$A$29,'On-grade Calculations'!$B$3:$B$29)</f>
        <v>#N/A</v>
      </c>
      <c r="F19" s="110" t="e">
        <f>_xlfn.XLOOKUP($A19,'On-grade Calculations'!$A$34:$A$60,'On-grade Calculations'!AO$34:AO$60)</f>
        <v>#N/A</v>
      </c>
      <c r="G19" s="110" t="e">
        <f>_xlfn.XLOOKUP($A19,'On-grade Calculations'!$A$34:$A$60,'On-grade Calculations'!AP$34:AP$60)</f>
        <v>#N/A</v>
      </c>
      <c r="H19" s="109" t="e">
        <f>IF(_xlfn.XLOOKUP(A19,'on-grade with berm calcs'!$A$3:$A$29,'on-grade with berm calcs'!$AI$3:$AI$29)=0,"HGL below berm",_xlfn.XLOOKUP(A19,'on-grade with berm calcs'!$A$3:$A$29,'on-grade with berm calcs'!$AI$3:$AI$29))</f>
        <v>#N/A</v>
      </c>
      <c r="I19" s="109" t="e">
        <f>_xlfn.XLOOKUP(A19,'on-grade with berm calcs'!$A$3:$A$29,'on-grade with berm calcs'!$AG$3:$AG$29)-_xlfn.XLOOKUP(A19,'on-grade with berm calcs'!$A$3:$A$29,'on-grade with berm calcs'!$AH$3:$AH$29)</f>
        <v>#N/A</v>
      </c>
      <c r="J19" s="109" t="e">
        <f>_xlfn.XLOOKUP(A19,'on-grade with berm calcs'!$A$3:$A$29,'on-grade with berm calcs'!$AH$3:$AH$29)</f>
        <v>#N/A</v>
      </c>
      <c r="K19" s="111" t="e">
        <f>IF(_xlfn.XLOOKUP(A19,'on-grade with berm calcs'!$A$34:$A$60,'on-grade with berm calcs'!$CW$34:$CW$60)=0,"HGL below berm",_xlfn.XLOOKUP(A19,'on-grade with berm calcs'!$A$34:$A$60,'on-grade with berm calcs'!$CW$34:$CW$60))</f>
        <v>#N/A</v>
      </c>
      <c r="L19" s="111" t="e">
        <f>_xlfn.XLOOKUP(A19,'on-grade with berm calcs'!$A$34:$A$60,'on-grade with berm calcs'!$CU$34:$CU$60)-_xlfn.XLOOKUP(A19,'on-grade with berm calcs'!$A$34:$A$60,'on-grade with berm calcs'!$CV$34:$CV$60)</f>
        <v>#N/A</v>
      </c>
      <c r="M19" s="111" t="e">
        <f>_xlfn.XLOOKUP(A19,'on-grade with berm calcs'!$A$34:$A$60,'on-grade with berm calcs'!$CV$34:$CV$60)</f>
        <v>#N/A</v>
      </c>
      <c r="N19" s="2" t="str">
        <f>IF('Inputs-Results'!E24="sag",'Sag Calculations'!$L$4,"")</f>
        <v/>
      </c>
      <c r="O19" s="2" t="str">
        <f>IF('Inputs-Results'!E24="sag",'Sag Calculations'!$L$5,"")</f>
        <v/>
      </c>
    </row>
    <row r="20" spans="1:15" x14ac:dyDescent="0.25">
      <c r="A20" s="2">
        <f>'Inputs-Results'!A25</f>
        <v>0</v>
      </c>
      <c r="B20" s="109" t="e">
        <f>_xlfn.XLOOKUP($A20,'On-grade Calculations'!$A$3:$A$29,'On-grade Calculations'!$B$3:$B$29)</f>
        <v>#N/A</v>
      </c>
      <c r="C20" s="109" t="e">
        <f>_xlfn.XLOOKUP($A20,'On-grade Calculations'!$A$3:$A$29,'On-grade Calculations'!$J$3:$J$29)</f>
        <v>#N/A</v>
      </c>
      <c r="D20" s="109" t="e">
        <f>_xlfn.XLOOKUP($A20,'On-grade Calculations'!$A$3:$A$29,'On-grade Calculations'!$K$3:$K$29)</f>
        <v>#N/A</v>
      </c>
      <c r="E20" s="110" t="e">
        <f>_xlfn.XLOOKUP($A20,'On-grade Calculations'!$A$3:$A$29,'On-grade Calculations'!$B$3:$B$29)</f>
        <v>#N/A</v>
      </c>
      <c r="F20" s="110" t="e">
        <f>_xlfn.XLOOKUP($A20,'On-grade Calculations'!$A$34:$A$60,'On-grade Calculations'!AO$34:AO$60)</f>
        <v>#N/A</v>
      </c>
      <c r="G20" s="110" t="e">
        <f>_xlfn.XLOOKUP($A20,'On-grade Calculations'!$A$34:$A$60,'On-grade Calculations'!AP$34:AP$60)</f>
        <v>#N/A</v>
      </c>
      <c r="H20" s="109" t="e">
        <f>IF(_xlfn.XLOOKUP(A20,'on-grade with berm calcs'!$A$3:$A$29,'on-grade with berm calcs'!$AI$3:$AI$29)=0,"HGL below berm",_xlfn.XLOOKUP(A20,'on-grade with berm calcs'!$A$3:$A$29,'on-grade with berm calcs'!$AI$3:$AI$29))</f>
        <v>#N/A</v>
      </c>
      <c r="I20" s="109" t="e">
        <f>_xlfn.XLOOKUP(A20,'on-grade with berm calcs'!$A$3:$A$29,'on-grade with berm calcs'!$AG$3:$AG$29)-_xlfn.XLOOKUP(A20,'on-grade with berm calcs'!$A$3:$A$29,'on-grade with berm calcs'!$AH$3:$AH$29)</f>
        <v>#N/A</v>
      </c>
      <c r="J20" s="109" t="e">
        <f>_xlfn.XLOOKUP(A20,'on-grade with berm calcs'!$A$3:$A$29,'on-grade with berm calcs'!$AH$3:$AH$29)</f>
        <v>#N/A</v>
      </c>
      <c r="K20" s="111" t="e">
        <f>IF(_xlfn.XLOOKUP(A20,'on-grade with berm calcs'!$A$34:$A$60,'on-grade with berm calcs'!$CW$34:$CW$60)=0,"HGL below berm",_xlfn.XLOOKUP(A20,'on-grade with berm calcs'!$A$34:$A$60,'on-grade with berm calcs'!$CW$34:$CW$60))</f>
        <v>#N/A</v>
      </c>
      <c r="L20" s="111" t="e">
        <f>_xlfn.XLOOKUP(A20,'on-grade with berm calcs'!$A$34:$A$60,'on-grade with berm calcs'!$CU$34:$CU$60)-_xlfn.XLOOKUP(A20,'on-grade with berm calcs'!$A$34:$A$60,'on-grade with berm calcs'!$CV$34:$CV$60)</f>
        <v>#N/A</v>
      </c>
      <c r="M20" s="111" t="e">
        <f>_xlfn.XLOOKUP(A20,'on-grade with berm calcs'!$A$34:$A$60,'on-grade with berm calcs'!$CV$34:$CV$60)</f>
        <v>#N/A</v>
      </c>
      <c r="N20" s="2" t="str">
        <f>IF('Inputs-Results'!E25="sag",'Sag Calculations'!$L$4,"")</f>
        <v/>
      </c>
      <c r="O20" s="2" t="str">
        <f>IF('Inputs-Results'!E25="sag",'Sag Calculations'!$L$5,"")</f>
        <v/>
      </c>
    </row>
    <row r="21" spans="1:15" x14ac:dyDescent="0.25">
      <c r="A21" s="2">
        <f>'Inputs-Results'!A26</f>
        <v>0</v>
      </c>
      <c r="B21" s="109" t="e">
        <f>_xlfn.XLOOKUP($A21,'On-grade Calculations'!$A$3:$A$29,'On-grade Calculations'!$B$3:$B$29)</f>
        <v>#N/A</v>
      </c>
      <c r="C21" s="109" t="e">
        <f>_xlfn.XLOOKUP($A21,'On-grade Calculations'!$A$3:$A$29,'On-grade Calculations'!$J$3:$J$29)</f>
        <v>#N/A</v>
      </c>
      <c r="D21" s="109" t="e">
        <f>_xlfn.XLOOKUP($A21,'On-grade Calculations'!$A$3:$A$29,'On-grade Calculations'!$K$3:$K$29)</f>
        <v>#N/A</v>
      </c>
      <c r="E21" s="110" t="e">
        <f>_xlfn.XLOOKUP($A21,'On-grade Calculations'!$A$3:$A$29,'On-grade Calculations'!$B$3:$B$29)</f>
        <v>#N/A</v>
      </c>
      <c r="F21" s="110" t="e">
        <f>_xlfn.XLOOKUP($A21,'On-grade Calculations'!$A$34:$A$60,'On-grade Calculations'!AO$34:AO$60)</f>
        <v>#N/A</v>
      </c>
      <c r="G21" s="110" t="e">
        <f>_xlfn.XLOOKUP($A21,'On-grade Calculations'!$A$34:$A$60,'On-grade Calculations'!AP$34:AP$60)</f>
        <v>#N/A</v>
      </c>
      <c r="H21" s="109" t="e">
        <f>IF(_xlfn.XLOOKUP(A21,'on-grade with berm calcs'!$A$3:$A$29,'on-grade with berm calcs'!$AI$3:$AI$29)=0,"HGL below berm",_xlfn.XLOOKUP(A21,'on-grade with berm calcs'!$A$3:$A$29,'on-grade with berm calcs'!$AI$3:$AI$29))</f>
        <v>#N/A</v>
      </c>
      <c r="I21" s="109" t="e">
        <f>_xlfn.XLOOKUP(A21,'on-grade with berm calcs'!$A$3:$A$29,'on-grade with berm calcs'!$AG$3:$AG$29)-_xlfn.XLOOKUP(A21,'on-grade with berm calcs'!$A$3:$A$29,'on-grade with berm calcs'!$AH$3:$AH$29)</f>
        <v>#N/A</v>
      </c>
      <c r="J21" s="109" t="e">
        <f>_xlfn.XLOOKUP(A21,'on-grade with berm calcs'!$A$3:$A$29,'on-grade with berm calcs'!$AH$3:$AH$29)</f>
        <v>#N/A</v>
      </c>
      <c r="K21" s="111" t="e">
        <f>IF(_xlfn.XLOOKUP(A21,'on-grade with berm calcs'!$A$34:$A$60,'on-grade with berm calcs'!$CW$34:$CW$60)=0,"HGL below berm",_xlfn.XLOOKUP(A21,'on-grade with berm calcs'!$A$34:$A$60,'on-grade with berm calcs'!$CW$34:$CW$60))</f>
        <v>#N/A</v>
      </c>
      <c r="L21" s="111" t="e">
        <f>_xlfn.XLOOKUP(A21,'on-grade with berm calcs'!$A$34:$A$60,'on-grade with berm calcs'!$CU$34:$CU$60)-_xlfn.XLOOKUP(A21,'on-grade with berm calcs'!$A$34:$A$60,'on-grade with berm calcs'!$CV$34:$CV$60)</f>
        <v>#N/A</v>
      </c>
      <c r="M21" s="111" t="e">
        <f>_xlfn.XLOOKUP(A21,'on-grade with berm calcs'!$A$34:$A$60,'on-grade with berm calcs'!$CV$34:$CV$60)</f>
        <v>#N/A</v>
      </c>
      <c r="N21" s="2" t="str">
        <f>IF('Inputs-Results'!E26="sag",'Sag Calculations'!$L$4,"")</f>
        <v/>
      </c>
      <c r="O21" s="2" t="str">
        <f>IF('Inputs-Results'!E26="sag",'Sag Calculations'!$L$5,"")</f>
        <v/>
      </c>
    </row>
    <row r="22" spans="1:15" x14ac:dyDescent="0.25">
      <c r="A22" s="2">
        <f>'Inputs-Results'!A27</f>
        <v>0</v>
      </c>
      <c r="B22" s="109" t="e">
        <f>_xlfn.XLOOKUP($A22,'On-grade Calculations'!$A$3:$A$29,'On-grade Calculations'!$B$3:$B$29)</f>
        <v>#N/A</v>
      </c>
      <c r="C22" s="109" t="e">
        <f>_xlfn.XLOOKUP($A22,'On-grade Calculations'!$A$3:$A$29,'On-grade Calculations'!$J$3:$J$29)</f>
        <v>#N/A</v>
      </c>
      <c r="D22" s="109" t="e">
        <f>_xlfn.XLOOKUP($A22,'On-grade Calculations'!$A$3:$A$29,'On-grade Calculations'!$K$3:$K$29)</f>
        <v>#N/A</v>
      </c>
      <c r="E22" s="110" t="e">
        <f>_xlfn.XLOOKUP($A22,'On-grade Calculations'!$A$3:$A$29,'On-grade Calculations'!$B$3:$B$29)</f>
        <v>#N/A</v>
      </c>
      <c r="F22" s="110" t="e">
        <f>_xlfn.XLOOKUP($A22,'On-grade Calculations'!$A$34:$A$60,'On-grade Calculations'!AO$34:AO$60)</f>
        <v>#N/A</v>
      </c>
      <c r="G22" s="110" t="e">
        <f>_xlfn.XLOOKUP($A22,'On-grade Calculations'!$A$34:$A$60,'On-grade Calculations'!AP$34:AP$60)</f>
        <v>#N/A</v>
      </c>
      <c r="H22" s="109" t="e">
        <f>IF(_xlfn.XLOOKUP(A22,'on-grade with berm calcs'!$A$3:$A$29,'on-grade with berm calcs'!$AI$3:$AI$29)=0,"HGL below berm",_xlfn.XLOOKUP(A22,'on-grade with berm calcs'!$A$3:$A$29,'on-grade with berm calcs'!$AI$3:$AI$29))</f>
        <v>#N/A</v>
      </c>
      <c r="I22" s="109" t="e">
        <f>_xlfn.XLOOKUP(A22,'on-grade with berm calcs'!$A$3:$A$29,'on-grade with berm calcs'!$AG$3:$AG$29)-_xlfn.XLOOKUP(A22,'on-grade with berm calcs'!$A$3:$A$29,'on-grade with berm calcs'!$AH$3:$AH$29)</f>
        <v>#N/A</v>
      </c>
      <c r="J22" s="109" t="e">
        <f>_xlfn.XLOOKUP(A22,'on-grade with berm calcs'!$A$3:$A$29,'on-grade with berm calcs'!$AH$3:$AH$29)</f>
        <v>#N/A</v>
      </c>
      <c r="K22" s="111" t="e">
        <f>IF(_xlfn.XLOOKUP(A22,'on-grade with berm calcs'!$A$34:$A$60,'on-grade with berm calcs'!$CW$34:$CW$60)=0,"HGL below berm",_xlfn.XLOOKUP(A22,'on-grade with berm calcs'!$A$34:$A$60,'on-grade with berm calcs'!$CW$34:$CW$60))</f>
        <v>#N/A</v>
      </c>
      <c r="L22" s="111" t="e">
        <f>_xlfn.XLOOKUP(A22,'on-grade with berm calcs'!$A$34:$A$60,'on-grade with berm calcs'!$CU$34:$CU$60)-_xlfn.XLOOKUP(A22,'on-grade with berm calcs'!$A$34:$A$60,'on-grade with berm calcs'!$CV$34:$CV$60)</f>
        <v>#N/A</v>
      </c>
      <c r="M22" s="111" t="e">
        <f>_xlfn.XLOOKUP(A22,'on-grade with berm calcs'!$A$34:$A$60,'on-grade with berm calcs'!$CV$34:$CV$60)</f>
        <v>#N/A</v>
      </c>
      <c r="N22" s="2" t="str">
        <f>IF('Inputs-Results'!E27="sag",'Sag Calculations'!$L$4,"")</f>
        <v/>
      </c>
      <c r="O22" s="2" t="str">
        <f>IF('Inputs-Results'!E27="sag",'Sag Calculations'!$L$5,"")</f>
        <v/>
      </c>
    </row>
    <row r="23" spans="1:15" x14ac:dyDescent="0.25">
      <c r="A23" s="2">
        <f>'Inputs-Results'!A28</f>
        <v>0</v>
      </c>
      <c r="B23" s="109" t="e">
        <f>_xlfn.XLOOKUP($A23,'On-grade Calculations'!$A$3:$A$29,'On-grade Calculations'!$B$3:$B$29)</f>
        <v>#N/A</v>
      </c>
      <c r="C23" s="109" t="e">
        <f>_xlfn.XLOOKUP($A23,'On-grade Calculations'!$A$3:$A$29,'On-grade Calculations'!$J$3:$J$29)</f>
        <v>#N/A</v>
      </c>
      <c r="D23" s="109" t="e">
        <f>_xlfn.XLOOKUP($A23,'On-grade Calculations'!$A$3:$A$29,'On-grade Calculations'!$K$3:$K$29)</f>
        <v>#N/A</v>
      </c>
      <c r="E23" s="110" t="e">
        <f>_xlfn.XLOOKUP($A23,'On-grade Calculations'!$A$3:$A$29,'On-grade Calculations'!$B$3:$B$29)</f>
        <v>#N/A</v>
      </c>
      <c r="F23" s="110" t="e">
        <f>_xlfn.XLOOKUP($A23,'On-grade Calculations'!$A$34:$A$60,'On-grade Calculations'!AO$34:AO$60)</f>
        <v>#N/A</v>
      </c>
      <c r="G23" s="110" t="e">
        <f>_xlfn.XLOOKUP($A23,'On-grade Calculations'!$A$34:$A$60,'On-grade Calculations'!AP$34:AP$60)</f>
        <v>#N/A</v>
      </c>
      <c r="H23" s="109" t="e">
        <f>IF(_xlfn.XLOOKUP(A23,'on-grade with berm calcs'!$A$3:$A$29,'on-grade with berm calcs'!$AI$3:$AI$29)=0,"HGL below berm",_xlfn.XLOOKUP(A23,'on-grade with berm calcs'!$A$3:$A$29,'on-grade with berm calcs'!$AI$3:$AI$29))</f>
        <v>#N/A</v>
      </c>
      <c r="I23" s="109" t="e">
        <f>_xlfn.XLOOKUP(A23,'on-grade with berm calcs'!$A$3:$A$29,'on-grade with berm calcs'!$AG$3:$AG$29)-_xlfn.XLOOKUP(A23,'on-grade with berm calcs'!$A$3:$A$29,'on-grade with berm calcs'!$AH$3:$AH$29)</f>
        <v>#N/A</v>
      </c>
      <c r="J23" s="109" t="e">
        <f>_xlfn.XLOOKUP(A23,'on-grade with berm calcs'!$A$3:$A$29,'on-grade with berm calcs'!$AH$3:$AH$29)</f>
        <v>#N/A</v>
      </c>
      <c r="K23" s="111" t="e">
        <f>IF(_xlfn.XLOOKUP(A23,'on-grade with berm calcs'!$A$34:$A$60,'on-grade with berm calcs'!$CW$34:$CW$60)=0,"HGL below berm",_xlfn.XLOOKUP(A23,'on-grade with berm calcs'!$A$34:$A$60,'on-grade with berm calcs'!$CW$34:$CW$60))</f>
        <v>#N/A</v>
      </c>
      <c r="L23" s="111" t="e">
        <f>_xlfn.XLOOKUP(A23,'on-grade with berm calcs'!$A$34:$A$60,'on-grade with berm calcs'!$CU$34:$CU$60)-_xlfn.XLOOKUP(A23,'on-grade with berm calcs'!$A$34:$A$60,'on-grade with berm calcs'!$CV$34:$CV$60)</f>
        <v>#N/A</v>
      </c>
      <c r="M23" s="111" t="e">
        <f>_xlfn.XLOOKUP(A23,'on-grade with berm calcs'!$A$34:$A$60,'on-grade with berm calcs'!$CV$34:$CV$60)</f>
        <v>#N/A</v>
      </c>
      <c r="N23" s="2" t="str">
        <f>IF('Inputs-Results'!E28="sag",'Sag Calculations'!$L$4,"")</f>
        <v/>
      </c>
      <c r="O23" s="2" t="str">
        <f>IF('Inputs-Results'!E28="sag",'Sag Calculations'!$L$5,"")</f>
        <v/>
      </c>
    </row>
    <row r="24" spans="1:15" x14ac:dyDescent="0.25">
      <c r="A24" s="2">
        <f>'Inputs-Results'!A29</f>
        <v>0</v>
      </c>
      <c r="B24" s="109" t="e">
        <f>_xlfn.XLOOKUP($A24,'On-grade Calculations'!$A$3:$A$29,'On-grade Calculations'!$B$3:$B$29)</f>
        <v>#N/A</v>
      </c>
      <c r="C24" s="109" t="e">
        <f>_xlfn.XLOOKUP($A24,'On-grade Calculations'!$A$3:$A$29,'On-grade Calculations'!$J$3:$J$29)</f>
        <v>#N/A</v>
      </c>
      <c r="D24" s="109" t="e">
        <f>_xlfn.XLOOKUP($A24,'On-grade Calculations'!$A$3:$A$29,'On-grade Calculations'!$K$3:$K$29)</f>
        <v>#N/A</v>
      </c>
      <c r="E24" s="110" t="e">
        <f>_xlfn.XLOOKUP($A24,'On-grade Calculations'!$A$3:$A$29,'On-grade Calculations'!$B$3:$B$29)</f>
        <v>#N/A</v>
      </c>
      <c r="F24" s="110" t="e">
        <f>_xlfn.XLOOKUP($A24,'On-grade Calculations'!$A$34:$A$60,'On-grade Calculations'!AO$34:AO$60)</f>
        <v>#N/A</v>
      </c>
      <c r="G24" s="110" t="e">
        <f>_xlfn.XLOOKUP($A24,'On-grade Calculations'!$A$34:$A$60,'On-grade Calculations'!AP$34:AP$60)</f>
        <v>#N/A</v>
      </c>
      <c r="H24" s="109" t="e">
        <f>IF(_xlfn.XLOOKUP(A24,'on-grade with berm calcs'!$A$3:$A$29,'on-grade with berm calcs'!$AI$3:$AI$29)=0,"HGL below berm",_xlfn.XLOOKUP(A24,'on-grade with berm calcs'!$A$3:$A$29,'on-grade with berm calcs'!$AI$3:$AI$29))</f>
        <v>#N/A</v>
      </c>
      <c r="I24" s="109" t="e">
        <f>_xlfn.XLOOKUP(A24,'on-grade with berm calcs'!$A$3:$A$29,'on-grade with berm calcs'!$AG$3:$AG$29)-_xlfn.XLOOKUP(A24,'on-grade with berm calcs'!$A$3:$A$29,'on-grade with berm calcs'!$AH$3:$AH$29)</f>
        <v>#N/A</v>
      </c>
      <c r="J24" s="109" t="e">
        <f>_xlfn.XLOOKUP(A24,'on-grade with berm calcs'!$A$3:$A$29,'on-grade with berm calcs'!$AH$3:$AH$29)</f>
        <v>#N/A</v>
      </c>
      <c r="K24" s="111" t="e">
        <f>IF(_xlfn.XLOOKUP(A24,'on-grade with berm calcs'!$A$34:$A$60,'on-grade with berm calcs'!$CW$34:$CW$60)=0,"HGL below berm",_xlfn.XLOOKUP(A24,'on-grade with berm calcs'!$A$34:$A$60,'on-grade with berm calcs'!$CW$34:$CW$60))</f>
        <v>#N/A</v>
      </c>
      <c r="L24" s="111" t="e">
        <f>_xlfn.XLOOKUP(A24,'on-grade with berm calcs'!$A$34:$A$60,'on-grade with berm calcs'!$CU$34:$CU$60)-_xlfn.XLOOKUP(A24,'on-grade with berm calcs'!$A$34:$A$60,'on-grade with berm calcs'!$CV$34:$CV$60)</f>
        <v>#N/A</v>
      </c>
      <c r="M24" s="111" t="e">
        <f>_xlfn.XLOOKUP(A24,'on-grade with berm calcs'!$A$34:$A$60,'on-grade with berm calcs'!$CV$34:$CV$60)</f>
        <v>#N/A</v>
      </c>
      <c r="N24" s="2" t="str">
        <f>IF('Inputs-Results'!E29="sag",'Sag Calculations'!$L$4,"")</f>
        <v/>
      </c>
      <c r="O24" s="2" t="str">
        <f>IF('Inputs-Results'!E29="sag",'Sag Calculations'!$L$5,"")</f>
        <v/>
      </c>
    </row>
    <row r="25" spans="1:15" x14ac:dyDescent="0.25">
      <c r="A25" s="2">
        <f>'Inputs-Results'!A30</f>
        <v>0</v>
      </c>
      <c r="B25" s="109" t="e">
        <f>_xlfn.XLOOKUP($A25,'On-grade Calculations'!$A$3:$A$29,'On-grade Calculations'!$B$3:$B$29)</f>
        <v>#N/A</v>
      </c>
      <c r="C25" s="109" t="e">
        <f>_xlfn.XLOOKUP($A25,'On-grade Calculations'!$A$3:$A$29,'On-grade Calculations'!$J$3:$J$29)</f>
        <v>#N/A</v>
      </c>
      <c r="D25" s="109" t="e">
        <f>_xlfn.XLOOKUP($A25,'On-grade Calculations'!$A$3:$A$29,'On-grade Calculations'!$K$3:$K$29)</f>
        <v>#N/A</v>
      </c>
      <c r="E25" s="110" t="e">
        <f>_xlfn.XLOOKUP($A25,'On-grade Calculations'!$A$3:$A$29,'On-grade Calculations'!$B$3:$B$29)</f>
        <v>#N/A</v>
      </c>
      <c r="F25" s="110" t="e">
        <f>_xlfn.XLOOKUP($A25,'On-grade Calculations'!$A$34:$A$60,'On-grade Calculations'!AO$34:AO$60)</f>
        <v>#N/A</v>
      </c>
      <c r="G25" s="110" t="e">
        <f>_xlfn.XLOOKUP($A25,'On-grade Calculations'!$A$34:$A$60,'On-grade Calculations'!AP$34:AP$60)</f>
        <v>#N/A</v>
      </c>
      <c r="H25" s="109" t="e">
        <f>IF(_xlfn.XLOOKUP(A25,'on-grade with berm calcs'!$A$3:$A$29,'on-grade with berm calcs'!$AI$3:$AI$29)=0,"HGL below berm",_xlfn.XLOOKUP(A25,'on-grade with berm calcs'!$A$3:$A$29,'on-grade with berm calcs'!$AI$3:$AI$29))</f>
        <v>#N/A</v>
      </c>
      <c r="I25" s="109" t="e">
        <f>_xlfn.XLOOKUP(A25,'on-grade with berm calcs'!$A$3:$A$29,'on-grade with berm calcs'!$AG$3:$AG$29)-_xlfn.XLOOKUP(A25,'on-grade with berm calcs'!$A$3:$A$29,'on-grade with berm calcs'!$AH$3:$AH$29)</f>
        <v>#N/A</v>
      </c>
      <c r="J25" s="109" t="e">
        <f>_xlfn.XLOOKUP(A25,'on-grade with berm calcs'!$A$3:$A$29,'on-grade with berm calcs'!$AH$3:$AH$29)</f>
        <v>#N/A</v>
      </c>
      <c r="K25" s="111" t="e">
        <f>IF(_xlfn.XLOOKUP(A25,'on-grade with berm calcs'!$A$34:$A$60,'on-grade with berm calcs'!$CW$34:$CW$60)=0,"HGL below berm",_xlfn.XLOOKUP(A25,'on-grade with berm calcs'!$A$34:$A$60,'on-grade with berm calcs'!$CW$34:$CW$60))</f>
        <v>#N/A</v>
      </c>
      <c r="L25" s="111" t="e">
        <f>_xlfn.XLOOKUP(A25,'on-grade with berm calcs'!$A$34:$A$60,'on-grade with berm calcs'!$CU$34:$CU$60)-_xlfn.XLOOKUP(A25,'on-grade with berm calcs'!$A$34:$A$60,'on-grade with berm calcs'!$CV$34:$CV$60)</f>
        <v>#N/A</v>
      </c>
      <c r="M25" s="111" t="e">
        <f>_xlfn.XLOOKUP(A25,'on-grade with berm calcs'!$A$34:$A$60,'on-grade with berm calcs'!$CV$34:$CV$60)</f>
        <v>#N/A</v>
      </c>
      <c r="N25" s="2" t="str">
        <f>IF('Inputs-Results'!E30="sag",'Sag Calculations'!$L$4,"")</f>
        <v/>
      </c>
      <c r="O25" s="2" t="str">
        <f>IF('Inputs-Results'!E30="sag",'Sag Calculations'!$L$5,"")</f>
        <v/>
      </c>
    </row>
    <row r="26" spans="1:15" x14ac:dyDescent="0.25">
      <c r="A26" s="2">
        <f>'Inputs-Results'!A31</f>
        <v>0</v>
      </c>
      <c r="B26" s="109" t="e">
        <f>_xlfn.XLOOKUP($A26,'On-grade Calculations'!$A$3:$A$29,'On-grade Calculations'!$B$3:$B$29)</f>
        <v>#N/A</v>
      </c>
      <c r="C26" s="109" t="e">
        <f>_xlfn.XLOOKUP($A26,'On-grade Calculations'!$A$3:$A$29,'On-grade Calculations'!$J$3:$J$29)</f>
        <v>#N/A</v>
      </c>
      <c r="D26" s="109" t="e">
        <f>_xlfn.XLOOKUP($A26,'On-grade Calculations'!$A$3:$A$29,'On-grade Calculations'!$K$3:$K$29)</f>
        <v>#N/A</v>
      </c>
      <c r="E26" s="110" t="e">
        <f>_xlfn.XLOOKUP($A26,'On-grade Calculations'!$A$3:$A$29,'On-grade Calculations'!$B$3:$B$29)</f>
        <v>#N/A</v>
      </c>
      <c r="F26" s="110" t="e">
        <f>_xlfn.XLOOKUP($A26,'On-grade Calculations'!$A$34:$A$60,'On-grade Calculations'!AO$34:AO$60)</f>
        <v>#N/A</v>
      </c>
      <c r="G26" s="110" t="e">
        <f>_xlfn.XLOOKUP($A26,'On-grade Calculations'!$A$34:$A$60,'On-grade Calculations'!AP$34:AP$60)</f>
        <v>#N/A</v>
      </c>
      <c r="H26" s="109" t="e">
        <f>IF(_xlfn.XLOOKUP(A26,'on-grade with berm calcs'!$A$3:$A$29,'on-grade with berm calcs'!$AI$3:$AI$29)=0,"HGL below berm",_xlfn.XLOOKUP(A26,'on-grade with berm calcs'!$A$3:$A$29,'on-grade with berm calcs'!$AI$3:$AI$29))</f>
        <v>#N/A</v>
      </c>
      <c r="I26" s="109" t="e">
        <f>_xlfn.XLOOKUP(A26,'on-grade with berm calcs'!$A$3:$A$29,'on-grade with berm calcs'!$AG$3:$AG$29)-_xlfn.XLOOKUP(A26,'on-grade with berm calcs'!$A$3:$A$29,'on-grade with berm calcs'!$AH$3:$AH$29)</f>
        <v>#N/A</v>
      </c>
      <c r="J26" s="109" t="e">
        <f>_xlfn.XLOOKUP(A26,'on-grade with berm calcs'!$A$3:$A$29,'on-grade with berm calcs'!$AH$3:$AH$29)</f>
        <v>#N/A</v>
      </c>
      <c r="K26" s="111" t="e">
        <f>IF(_xlfn.XLOOKUP(A26,'on-grade with berm calcs'!$A$34:$A$60,'on-grade with berm calcs'!$CW$34:$CW$60)=0,"HGL below berm",_xlfn.XLOOKUP(A26,'on-grade with berm calcs'!$A$34:$A$60,'on-grade with berm calcs'!$CW$34:$CW$60))</f>
        <v>#N/A</v>
      </c>
      <c r="L26" s="111" t="e">
        <f>_xlfn.XLOOKUP(A26,'on-grade with berm calcs'!$A$34:$A$60,'on-grade with berm calcs'!$CU$34:$CU$60)-_xlfn.XLOOKUP(A26,'on-grade with berm calcs'!$A$34:$A$60,'on-grade with berm calcs'!$CV$34:$CV$60)</f>
        <v>#N/A</v>
      </c>
      <c r="M26" s="111" t="e">
        <f>_xlfn.XLOOKUP(A26,'on-grade with berm calcs'!$A$34:$A$60,'on-grade with berm calcs'!$CV$34:$CV$60)</f>
        <v>#N/A</v>
      </c>
      <c r="N26" s="2" t="str">
        <f>IF('Inputs-Results'!E31="sag",'Sag Calculations'!$L$4,"")</f>
        <v/>
      </c>
      <c r="O26" s="2" t="str">
        <f>IF('Inputs-Results'!E31="sag",'Sag Calculations'!$L$5,"")</f>
        <v/>
      </c>
    </row>
    <row r="27" spans="1:15" x14ac:dyDescent="0.25">
      <c r="A27" s="2">
        <f>'Inputs-Results'!A32</f>
        <v>0</v>
      </c>
      <c r="B27" s="109" t="e">
        <f>_xlfn.XLOOKUP($A27,'On-grade Calculations'!$A$3:$A$29,'On-grade Calculations'!$B$3:$B$29)</f>
        <v>#N/A</v>
      </c>
      <c r="C27" s="109" t="e">
        <f>_xlfn.XLOOKUP($A27,'On-grade Calculations'!$A$3:$A$29,'On-grade Calculations'!$J$3:$J$29)</f>
        <v>#N/A</v>
      </c>
      <c r="D27" s="109" t="e">
        <f>_xlfn.XLOOKUP($A27,'On-grade Calculations'!$A$3:$A$29,'On-grade Calculations'!$K$3:$K$29)</f>
        <v>#N/A</v>
      </c>
      <c r="E27" s="110" t="e">
        <f>_xlfn.XLOOKUP($A27,'On-grade Calculations'!$A$3:$A$29,'On-grade Calculations'!$B$3:$B$29)</f>
        <v>#N/A</v>
      </c>
      <c r="F27" s="110" t="e">
        <f>_xlfn.XLOOKUP($A27,'On-grade Calculations'!$A$34:$A$60,'On-grade Calculations'!AO$34:AO$60)</f>
        <v>#N/A</v>
      </c>
      <c r="G27" s="110" t="e">
        <f>_xlfn.XLOOKUP($A27,'On-grade Calculations'!$A$34:$A$60,'On-grade Calculations'!AP$34:AP$60)</f>
        <v>#N/A</v>
      </c>
      <c r="H27" s="109" t="e">
        <f>IF(_xlfn.XLOOKUP(A27,'on-grade with berm calcs'!$A$3:$A$29,'on-grade with berm calcs'!$AI$3:$AI$29)=0,"HGL below berm",_xlfn.XLOOKUP(A27,'on-grade with berm calcs'!$A$3:$A$29,'on-grade with berm calcs'!$AI$3:$AI$29))</f>
        <v>#N/A</v>
      </c>
      <c r="I27" s="109" t="e">
        <f>_xlfn.XLOOKUP(A27,'on-grade with berm calcs'!$A$3:$A$29,'on-grade with berm calcs'!$AG$3:$AG$29)-_xlfn.XLOOKUP(A27,'on-grade with berm calcs'!$A$3:$A$29,'on-grade with berm calcs'!$AH$3:$AH$29)</f>
        <v>#N/A</v>
      </c>
      <c r="J27" s="109" t="e">
        <f>_xlfn.XLOOKUP(A27,'on-grade with berm calcs'!$A$3:$A$29,'on-grade with berm calcs'!$AH$3:$AH$29)</f>
        <v>#N/A</v>
      </c>
      <c r="K27" s="111" t="e">
        <f>IF(_xlfn.XLOOKUP(A27,'on-grade with berm calcs'!$A$34:$A$60,'on-grade with berm calcs'!$CW$34:$CW$60)=0,"HGL below berm",_xlfn.XLOOKUP(A27,'on-grade with berm calcs'!$A$34:$A$60,'on-grade with berm calcs'!$CW$34:$CW$60))</f>
        <v>#N/A</v>
      </c>
      <c r="L27" s="111" t="e">
        <f>_xlfn.XLOOKUP(A27,'on-grade with berm calcs'!$A$34:$A$60,'on-grade with berm calcs'!$CU$34:$CU$60)-_xlfn.XLOOKUP(A27,'on-grade with berm calcs'!$A$34:$A$60,'on-grade with berm calcs'!$CV$34:$CV$60)</f>
        <v>#N/A</v>
      </c>
      <c r="M27" s="111" t="e">
        <f>_xlfn.XLOOKUP(A27,'on-grade with berm calcs'!$A$34:$A$60,'on-grade with berm calcs'!$CV$34:$CV$60)</f>
        <v>#N/A</v>
      </c>
      <c r="N27" s="2" t="str">
        <f>IF('Inputs-Results'!E32="sag",'Sag Calculations'!$L$4,"")</f>
        <v/>
      </c>
      <c r="O27" s="2" t="str">
        <f>IF('Inputs-Results'!E32="sag",'Sag Calculations'!$L$5,"")</f>
        <v/>
      </c>
    </row>
    <row r="28" spans="1:15" x14ac:dyDescent="0.25">
      <c r="A28" s="2">
        <f>'Inputs-Results'!A33</f>
        <v>0</v>
      </c>
      <c r="B28" s="109" t="e">
        <f>_xlfn.XLOOKUP($A28,'On-grade Calculations'!$A$3:$A$29,'On-grade Calculations'!$B$3:$B$29)</f>
        <v>#N/A</v>
      </c>
      <c r="C28" s="109" t="e">
        <f>_xlfn.XLOOKUP($A28,'On-grade Calculations'!$A$3:$A$29,'On-grade Calculations'!$J$3:$J$29)</f>
        <v>#N/A</v>
      </c>
      <c r="D28" s="109" t="e">
        <f>_xlfn.XLOOKUP($A28,'On-grade Calculations'!$A$3:$A$29,'On-grade Calculations'!$K$3:$K$29)</f>
        <v>#N/A</v>
      </c>
      <c r="E28" s="110" t="e">
        <f>_xlfn.XLOOKUP($A28,'On-grade Calculations'!$A$3:$A$29,'On-grade Calculations'!$B$3:$B$29)</f>
        <v>#N/A</v>
      </c>
      <c r="F28" s="110" t="e">
        <f>_xlfn.XLOOKUP($A28,'On-grade Calculations'!$A$34:$A$60,'On-grade Calculations'!AO$34:AO$60)</f>
        <v>#N/A</v>
      </c>
      <c r="G28" s="110" t="e">
        <f>_xlfn.XLOOKUP($A28,'On-grade Calculations'!$A$34:$A$60,'On-grade Calculations'!AP$34:AP$60)</f>
        <v>#N/A</v>
      </c>
      <c r="H28" s="109" t="e">
        <f>IF(_xlfn.XLOOKUP(A28,'on-grade with berm calcs'!$A$3:$A$29,'on-grade with berm calcs'!$AI$3:$AI$29)=0,"HGL below berm",_xlfn.XLOOKUP(A28,'on-grade with berm calcs'!$A$3:$A$29,'on-grade with berm calcs'!$AI$3:$AI$29))</f>
        <v>#N/A</v>
      </c>
      <c r="I28" s="109" t="e">
        <f>_xlfn.XLOOKUP(A28,'on-grade with berm calcs'!$A$3:$A$29,'on-grade with berm calcs'!$AG$3:$AG$29)-_xlfn.XLOOKUP(A28,'on-grade with berm calcs'!$A$3:$A$29,'on-grade with berm calcs'!$AH$3:$AH$29)</f>
        <v>#N/A</v>
      </c>
      <c r="J28" s="109" t="e">
        <f>_xlfn.XLOOKUP(A28,'on-grade with berm calcs'!$A$3:$A$29,'on-grade with berm calcs'!$AH$3:$AH$29)</f>
        <v>#N/A</v>
      </c>
      <c r="K28" s="111" t="e">
        <f>IF(_xlfn.XLOOKUP(A28,'on-grade with berm calcs'!$A$34:$A$60,'on-grade with berm calcs'!$CW$34:$CW$60)=0,"HGL below berm",_xlfn.XLOOKUP(A28,'on-grade with berm calcs'!$A$34:$A$60,'on-grade with berm calcs'!$CW$34:$CW$60))</f>
        <v>#N/A</v>
      </c>
      <c r="L28" s="111" t="e">
        <f>_xlfn.XLOOKUP(A28,'on-grade with berm calcs'!$A$34:$A$60,'on-grade with berm calcs'!$CU$34:$CU$60)-_xlfn.XLOOKUP(A28,'on-grade with berm calcs'!$A$34:$A$60,'on-grade with berm calcs'!$CV$34:$CV$60)</f>
        <v>#N/A</v>
      </c>
      <c r="M28" s="111" t="e">
        <f>_xlfn.XLOOKUP(A28,'on-grade with berm calcs'!$A$34:$A$60,'on-grade with berm calcs'!$CV$34:$CV$60)</f>
        <v>#N/A</v>
      </c>
      <c r="N28" s="2" t="str">
        <f>IF('Inputs-Results'!E33="sag",'Sag Calculations'!$L$4,"")</f>
        <v/>
      </c>
      <c r="O28" s="2" t="str">
        <f>IF('Inputs-Results'!E33="sag",'Sag Calculations'!$L$5,"")</f>
        <v/>
      </c>
    </row>
    <row r="29" spans="1:15" x14ac:dyDescent="0.25">
      <c r="A29" s="2">
        <f>'Inputs-Results'!A34</f>
        <v>0</v>
      </c>
      <c r="B29" s="109" t="e">
        <f>_xlfn.XLOOKUP($A29,'On-grade Calculations'!$A$3:$A$29,'On-grade Calculations'!$B$3:$B$29)</f>
        <v>#N/A</v>
      </c>
      <c r="C29" s="109" t="e">
        <f>_xlfn.XLOOKUP($A29,'On-grade Calculations'!$A$3:$A$29,'On-grade Calculations'!$J$3:$J$29)</f>
        <v>#N/A</v>
      </c>
      <c r="D29" s="109" t="e">
        <f>_xlfn.XLOOKUP($A29,'On-grade Calculations'!$A$3:$A$29,'On-grade Calculations'!$K$3:$K$29)</f>
        <v>#N/A</v>
      </c>
      <c r="E29" s="110" t="e">
        <f>_xlfn.XLOOKUP($A29,'On-grade Calculations'!$A$3:$A$29,'On-grade Calculations'!$B$3:$B$29)</f>
        <v>#N/A</v>
      </c>
      <c r="F29" s="110" t="e">
        <f>_xlfn.XLOOKUP($A29,'On-grade Calculations'!$A$34:$A$60,'On-grade Calculations'!AO$34:AO$60)</f>
        <v>#N/A</v>
      </c>
      <c r="G29" s="110" t="e">
        <f>_xlfn.XLOOKUP($A29,'On-grade Calculations'!$A$34:$A$60,'On-grade Calculations'!AP$34:AP$60)</f>
        <v>#N/A</v>
      </c>
      <c r="H29" s="109" t="e">
        <f>IF(_xlfn.XLOOKUP(A29,'on-grade with berm calcs'!$A$3:$A$29,'on-grade with berm calcs'!$AI$3:$AI$29)=0,"HGL below berm",_xlfn.XLOOKUP(A29,'on-grade with berm calcs'!$A$3:$A$29,'on-grade with berm calcs'!$AI$3:$AI$29))</f>
        <v>#N/A</v>
      </c>
      <c r="I29" s="109" t="e">
        <f>_xlfn.XLOOKUP(A29,'on-grade with berm calcs'!$A$3:$A$29,'on-grade with berm calcs'!$AG$3:$AG$29)-_xlfn.XLOOKUP(A29,'on-grade with berm calcs'!$A$3:$A$29,'on-grade with berm calcs'!$AH$3:$AH$29)</f>
        <v>#N/A</v>
      </c>
      <c r="J29" s="109" t="e">
        <f>_xlfn.XLOOKUP(A29,'on-grade with berm calcs'!$A$3:$A$29,'on-grade with berm calcs'!$AH$3:$AH$29)</f>
        <v>#N/A</v>
      </c>
      <c r="K29" s="111" t="e">
        <f>IF(_xlfn.XLOOKUP(A29,'on-grade with berm calcs'!$A$34:$A$60,'on-grade with berm calcs'!$CW$34:$CW$60)=0,"HGL below berm",_xlfn.XLOOKUP(A29,'on-grade with berm calcs'!$A$34:$A$60,'on-grade with berm calcs'!$CW$34:$CW$60))</f>
        <v>#N/A</v>
      </c>
      <c r="L29" s="111" t="e">
        <f>_xlfn.XLOOKUP(A29,'on-grade with berm calcs'!$A$34:$A$60,'on-grade with berm calcs'!$CU$34:$CU$60)-_xlfn.XLOOKUP(A29,'on-grade with berm calcs'!$A$34:$A$60,'on-grade with berm calcs'!$CV$34:$CV$60)</f>
        <v>#N/A</v>
      </c>
      <c r="M29" s="111" t="e">
        <f>_xlfn.XLOOKUP(A29,'on-grade with berm calcs'!$A$34:$A$60,'on-grade with berm calcs'!$CV$34:$CV$60)</f>
        <v>#N/A</v>
      </c>
      <c r="N29" s="2" t="str">
        <f>IF('Inputs-Results'!E34="sag",'Sag Calculations'!$L$4,"")</f>
        <v/>
      </c>
      <c r="O29" s="2" t="str">
        <f>IF('Inputs-Results'!E34="sag",'Sag Calculations'!$L$5,"")</f>
        <v/>
      </c>
    </row>
    <row r="30" spans="1:15" x14ac:dyDescent="0.25">
      <c r="A30" s="2">
        <f>'Inputs-Results'!A35</f>
        <v>0</v>
      </c>
      <c r="B30" s="109" t="e">
        <f>_xlfn.XLOOKUP($A30,'On-grade Calculations'!$A$3:$A$29,'On-grade Calculations'!$B$3:$B$29)</f>
        <v>#N/A</v>
      </c>
      <c r="C30" s="109" t="e">
        <f>_xlfn.XLOOKUP($A30,'On-grade Calculations'!$A$3:$A$29,'On-grade Calculations'!$J$3:$J$29)</f>
        <v>#N/A</v>
      </c>
      <c r="D30" s="109" t="e">
        <f>_xlfn.XLOOKUP($A30,'On-grade Calculations'!$A$3:$A$29,'On-grade Calculations'!$K$3:$K$29)</f>
        <v>#N/A</v>
      </c>
      <c r="E30" s="110" t="e">
        <f>_xlfn.XLOOKUP($A30,'On-grade Calculations'!$A$3:$A$29,'On-grade Calculations'!$B$3:$B$29)</f>
        <v>#N/A</v>
      </c>
      <c r="F30" s="110" t="e">
        <f>_xlfn.XLOOKUP($A30,'On-grade Calculations'!$A$34:$A$60,'On-grade Calculations'!AO$34:AO$60)</f>
        <v>#N/A</v>
      </c>
      <c r="G30" s="110" t="e">
        <f>_xlfn.XLOOKUP($A30,'On-grade Calculations'!$A$34:$A$60,'On-grade Calculations'!AP$34:AP$60)</f>
        <v>#N/A</v>
      </c>
      <c r="H30" s="109" t="e">
        <f>IF(_xlfn.XLOOKUP(A30,'on-grade with berm calcs'!$A$3:$A$29,'on-grade with berm calcs'!$AI$3:$AI$29)=0,"HGL below berm",_xlfn.XLOOKUP(A30,'on-grade with berm calcs'!$A$3:$A$29,'on-grade with berm calcs'!$AI$3:$AI$29))</f>
        <v>#N/A</v>
      </c>
      <c r="I30" s="109" t="e">
        <f>_xlfn.XLOOKUP(A30,'on-grade with berm calcs'!$A$3:$A$29,'on-grade with berm calcs'!$AG$3:$AG$29)-_xlfn.XLOOKUP(A30,'on-grade with berm calcs'!$A$3:$A$29,'on-grade with berm calcs'!$AH$3:$AH$29)</f>
        <v>#N/A</v>
      </c>
      <c r="J30" s="109" t="e">
        <f>_xlfn.XLOOKUP(A30,'on-grade with berm calcs'!$A$3:$A$29,'on-grade with berm calcs'!$AH$3:$AH$29)</f>
        <v>#N/A</v>
      </c>
      <c r="K30" s="111" t="e">
        <f>IF(_xlfn.XLOOKUP(A30,'on-grade with berm calcs'!$A$34:$A$60,'on-grade with berm calcs'!$CW$34:$CW$60)=0,"HGL below berm",_xlfn.XLOOKUP(A30,'on-grade with berm calcs'!$A$34:$A$60,'on-grade with berm calcs'!$CW$34:$CW$60))</f>
        <v>#N/A</v>
      </c>
      <c r="L30" s="111" t="e">
        <f>_xlfn.XLOOKUP(A30,'on-grade with berm calcs'!$A$34:$A$60,'on-grade with berm calcs'!$CU$34:$CU$60)-_xlfn.XLOOKUP(A30,'on-grade with berm calcs'!$A$34:$A$60,'on-grade with berm calcs'!$CV$34:$CV$60)</f>
        <v>#N/A</v>
      </c>
      <c r="M30" s="111" t="e">
        <f>_xlfn.XLOOKUP(A30,'on-grade with berm calcs'!$A$34:$A$60,'on-grade with berm calcs'!$CV$34:$CV$60)</f>
        <v>#N/A</v>
      </c>
      <c r="N30" s="2" t="str">
        <f>IF('Inputs-Results'!E35="sag",'Sag Calculations'!$L$4,"")</f>
        <v/>
      </c>
      <c r="O30" s="2" t="str">
        <f>IF('Inputs-Results'!E35="sag",'Sag Calculations'!$L$5,"")</f>
        <v/>
      </c>
    </row>
  </sheetData>
  <mergeCells count="7">
    <mergeCell ref="N1:O1"/>
    <mergeCell ref="H2:J2"/>
    <mergeCell ref="K2:M2"/>
    <mergeCell ref="H1:M1"/>
    <mergeCell ref="B2:D2"/>
    <mergeCell ref="E2:G2"/>
    <mergeCell ref="B1:G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6EDF1-2BFE-4B1F-9E4A-DEDD7CBBC4B3}">
  <dimension ref="A1:B28"/>
  <sheetViews>
    <sheetView workbookViewId="0">
      <selection activeCell="B3" sqref="B3"/>
    </sheetView>
  </sheetViews>
  <sheetFormatPr defaultRowHeight="15" x14ac:dyDescent="0.25"/>
  <cols>
    <col min="1" max="1" width="16.28515625" bestFit="1" customWidth="1"/>
  </cols>
  <sheetData>
    <row r="1" spans="1:2" x14ac:dyDescent="0.25">
      <c r="A1" t="s">
        <v>58</v>
      </c>
      <c r="B1" t="s">
        <v>59</v>
      </c>
    </row>
    <row r="2" spans="1:2" x14ac:dyDescent="0.25">
      <c r="A2">
        <f>'Inputs-Results'!A9</f>
        <v>0</v>
      </c>
      <c r="B2">
        <f>SUMIF('Inputs-Results'!$F$9:$F$35,Bypass!A2,'Inputs-Results'!$AJ$9:$AJ$35)</f>
        <v>0</v>
      </c>
    </row>
    <row r="3" spans="1:2" x14ac:dyDescent="0.25">
      <c r="A3">
        <f>'Inputs-Results'!A10</f>
        <v>0</v>
      </c>
      <c r="B3">
        <f>SUMIF('Inputs-Results'!$F$9:$F$35,Bypass!A3,'Inputs-Results'!$AJ$9:$AJ$35)</f>
        <v>0</v>
      </c>
    </row>
    <row r="4" spans="1:2" x14ac:dyDescent="0.25">
      <c r="A4">
        <f>'Inputs-Results'!A11</f>
        <v>0</v>
      </c>
      <c r="B4">
        <f>SUMIF('Inputs-Results'!$F$9:$F$35,Bypass!A4,'Inputs-Results'!$AJ$9:$AJ$35)</f>
        <v>0</v>
      </c>
    </row>
    <row r="5" spans="1:2" x14ac:dyDescent="0.25">
      <c r="A5">
        <f>'Inputs-Results'!A12</f>
        <v>0</v>
      </c>
      <c r="B5">
        <f>SUMIF('Inputs-Results'!$F$9:$F$35,Bypass!A5,'Inputs-Results'!$AJ$9:$AJ$35)</f>
        <v>0</v>
      </c>
    </row>
    <row r="6" spans="1:2" x14ac:dyDescent="0.25">
      <c r="A6">
        <f>'Inputs-Results'!A13</f>
        <v>0</v>
      </c>
      <c r="B6">
        <f>SUMIF('Inputs-Results'!$F$9:$F$35,Bypass!A6,'Inputs-Results'!$AJ$9:$AJ$35)</f>
        <v>0</v>
      </c>
    </row>
    <row r="7" spans="1:2" x14ac:dyDescent="0.25">
      <c r="A7">
        <f>'Inputs-Results'!A14</f>
        <v>0</v>
      </c>
      <c r="B7">
        <f>SUMIF('Inputs-Results'!$F$9:$F$35,Bypass!A7,'Inputs-Results'!$AJ$9:$AJ$35)</f>
        <v>0</v>
      </c>
    </row>
    <row r="8" spans="1:2" x14ac:dyDescent="0.25">
      <c r="A8">
        <f>'Inputs-Results'!A15</f>
        <v>0</v>
      </c>
      <c r="B8">
        <f>SUMIF('Inputs-Results'!$F$9:$F$35,Bypass!A8,'Inputs-Results'!$AJ$9:$AJ$35)</f>
        <v>0</v>
      </c>
    </row>
    <row r="9" spans="1:2" x14ac:dyDescent="0.25">
      <c r="A9">
        <f>'Inputs-Results'!A16</f>
        <v>0</v>
      </c>
      <c r="B9">
        <f>SUMIF('Inputs-Results'!$F$9:$F$35,Bypass!A9,'Inputs-Results'!$AJ$9:$AJ$35)</f>
        <v>0</v>
      </c>
    </row>
    <row r="10" spans="1:2" x14ac:dyDescent="0.25">
      <c r="A10">
        <f>'Inputs-Results'!A17</f>
        <v>0</v>
      </c>
      <c r="B10">
        <f>SUMIF('Inputs-Results'!$F$9:$F$35,Bypass!A10,'Inputs-Results'!$AJ$9:$AJ$35)</f>
        <v>0</v>
      </c>
    </row>
    <row r="11" spans="1:2" x14ac:dyDescent="0.25">
      <c r="A11">
        <f>'Inputs-Results'!A18</f>
        <v>0</v>
      </c>
      <c r="B11">
        <f>SUMIF('Inputs-Results'!$F$9:$F$35,Bypass!A11,'Inputs-Results'!$AJ$9:$AJ$35)</f>
        <v>0</v>
      </c>
    </row>
    <row r="12" spans="1:2" x14ac:dyDescent="0.25">
      <c r="A12">
        <f>'Inputs-Results'!A19</f>
        <v>0</v>
      </c>
      <c r="B12">
        <f>SUMIF('Inputs-Results'!$F$9:$F$35,Bypass!A12,'Inputs-Results'!$AJ$9:$AJ$35)</f>
        <v>0</v>
      </c>
    </row>
    <row r="13" spans="1:2" x14ac:dyDescent="0.25">
      <c r="A13">
        <f>'Inputs-Results'!A20</f>
        <v>0</v>
      </c>
      <c r="B13">
        <f>SUMIF('Inputs-Results'!$F$9:$F$35,Bypass!A13,'Inputs-Results'!$AJ$9:$AJ$35)</f>
        <v>0</v>
      </c>
    </row>
    <row r="14" spans="1:2" x14ac:dyDescent="0.25">
      <c r="A14">
        <f>'Inputs-Results'!A21</f>
        <v>0</v>
      </c>
      <c r="B14">
        <f>SUMIF('Inputs-Results'!$F$9:$F$35,Bypass!A14,'Inputs-Results'!$AJ$9:$AJ$35)</f>
        <v>0</v>
      </c>
    </row>
    <row r="15" spans="1:2" x14ac:dyDescent="0.25">
      <c r="A15">
        <f>'Inputs-Results'!A22</f>
        <v>0</v>
      </c>
      <c r="B15">
        <f>SUMIF('Inputs-Results'!$F$9:$F$35,Bypass!A15,'Inputs-Results'!$AJ$9:$AJ$35)</f>
        <v>0</v>
      </c>
    </row>
    <row r="16" spans="1:2" x14ac:dyDescent="0.25">
      <c r="A16">
        <f>'Inputs-Results'!A23</f>
        <v>0</v>
      </c>
      <c r="B16">
        <f>SUMIF('Inputs-Results'!$F$9:$F$35,Bypass!A16,'Inputs-Results'!$AJ$9:$AJ$35)</f>
        <v>0</v>
      </c>
    </row>
    <row r="17" spans="1:2" x14ac:dyDescent="0.25">
      <c r="A17">
        <f>'Inputs-Results'!A24</f>
        <v>0</v>
      </c>
      <c r="B17">
        <f>SUMIF('Inputs-Results'!$F$9:$F$35,Bypass!A17,'Inputs-Results'!$AJ$9:$AJ$35)</f>
        <v>0</v>
      </c>
    </row>
    <row r="18" spans="1:2" x14ac:dyDescent="0.25">
      <c r="A18">
        <f>'Inputs-Results'!A25</f>
        <v>0</v>
      </c>
      <c r="B18">
        <f>SUMIF('Inputs-Results'!$F$9:$F$35,Bypass!A18,'Inputs-Results'!$AJ$9:$AJ$35)</f>
        <v>0</v>
      </c>
    </row>
    <row r="19" spans="1:2" x14ac:dyDescent="0.25">
      <c r="A19">
        <f>'Inputs-Results'!A26</f>
        <v>0</v>
      </c>
      <c r="B19">
        <f>SUMIF('Inputs-Results'!$F$9:$F$35,Bypass!A19,'Inputs-Results'!$AJ$9:$AJ$35)</f>
        <v>0</v>
      </c>
    </row>
    <row r="20" spans="1:2" x14ac:dyDescent="0.25">
      <c r="A20">
        <f>'Inputs-Results'!A27</f>
        <v>0</v>
      </c>
      <c r="B20">
        <f>SUMIF('Inputs-Results'!$F$9:$F$35,Bypass!A20,'Inputs-Results'!$AJ$9:$AJ$35)</f>
        <v>0</v>
      </c>
    </row>
    <row r="21" spans="1:2" x14ac:dyDescent="0.25">
      <c r="A21">
        <f>'Inputs-Results'!A28</f>
        <v>0</v>
      </c>
      <c r="B21">
        <f>SUMIF('Inputs-Results'!$F$9:$F$35,Bypass!A21,'Inputs-Results'!$AJ$9:$AJ$35)</f>
        <v>0</v>
      </c>
    </row>
    <row r="22" spans="1:2" x14ac:dyDescent="0.25">
      <c r="A22">
        <f>'Inputs-Results'!A29</f>
        <v>0</v>
      </c>
      <c r="B22">
        <f>SUMIF('Inputs-Results'!$F$9:$F$35,Bypass!A22,'Inputs-Results'!$AJ$9:$AJ$35)</f>
        <v>0</v>
      </c>
    </row>
    <row r="23" spans="1:2" x14ac:dyDescent="0.25">
      <c r="A23">
        <f>'Inputs-Results'!A30</f>
        <v>0</v>
      </c>
      <c r="B23">
        <f>SUMIF('Inputs-Results'!$F$9:$F$35,Bypass!A23,'Inputs-Results'!$AJ$9:$AJ$35)</f>
        <v>0</v>
      </c>
    </row>
    <row r="24" spans="1:2" x14ac:dyDescent="0.25">
      <c r="A24">
        <f>'Inputs-Results'!A31</f>
        <v>0</v>
      </c>
      <c r="B24">
        <f>SUMIF('Inputs-Results'!$F$9:$F$35,Bypass!A24,'Inputs-Results'!$AJ$9:$AJ$35)</f>
        <v>0</v>
      </c>
    </row>
    <row r="25" spans="1:2" x14ac:dyDescent="0.25">
      <c r="A25">
        <f>'Inputs-Results'!A32</f>
        <v>0</v>
      </c>
      <c r="B25">
        <f>SUMIF('Inputs-Results'!$F$9:$F$35,Bypass!A25,'Inputs-Results'!$AJ$9:$AJ$35)</f>
        <v>0</v>
      </c>
    </row>
    <row r="26" spans="1:2" x14ac:dyDescent="0.25">
      <c r="A26">
        <f>'Inputs-Results'!A33</f>
        <v>0</v>
      </c>
      <c r="B26">
        <f>SUMIF('Inputs-Results'!$F$9:$F$35,Bypass!A26,'Inputs-Results'!$AJ$9:$AJ$35)</f>
        <v>0</v>
      </c>
    </row>
    <row r="27" spans="1:2" x14ac:dyDescent="0.25">
      <c r="A27">
        <f>'Inputs-Results'!A34</f>
        <v>0</v>
      </c>
      <c r="B27">
        <f>SUMIF('Inputs-Results'!$F$9:$F$35,Bypass!A27,'Inputs-Results'!$AJ$9:$AJ$35)</f>
        <v>0</v>
      </c>
    </row>
    <row r="28" spans="1:2" x14ac:dyDescent="0.25">
      <c r="A28">
        <f>'Inputs-Results'!A35</f>
        <v>0</v>
      </c>
      <c r="B28">
        <f>SUMIF('Inputs-Results'!$F$9:$F$35,Bypass!A28,'Inputs-Results'!$AJ$9:$AJ$35)</f>
        <v>0</v>
      </c>
    </row>
  </sheetData>
  <pageMargins left="0.7" right="0.7" top="0.75" bottom="0.75" header="0.3" footer="0.3"/>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Inputs-Results</vt:lpstr>
      <vt:lpstr>Summary Table</vt:lpstr>
      <vt:lpstr>Standard Data</vt:lpstr>
      <vt:lpstr>Ditch Calculations</vt:lpstr>
      <vt:lpstr>On-grade Calculations</vt:lpstr>
      <vt:lpstr>on-grade with berm calcs</vt:lpstr>
      <vt:lpstr>Sag Calculations</vt:lpstr>
      <vt:lpstr>Flow and depth summary</vt:lpstr>
      <vt:lpstr>Bypass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Schwinghamer, Alex</dc:creator>
  <cp:lastModifiedBy>Schwinghamer, Alex</cp:lastModifiedBy>
  <dcterms:created xsi:type="dcterms:W3CDTF">2025-07-09T18:01:20Z</dcterms:created>
  <dcterms:modified xsi:type="dcterms:W3CDTF">2026-03-20T17:38:29Z</dcterms:modified>
</cp:coreProperties>
</file>