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ingov-my.sharepoint.com/personal/grwest_indot_in_gov/Documents/Master Documents/"/>
    </mc:Choice>
  </mc:AlternateContent>
  <xr:revisionPtr revIDLastSave="0" documentId="8_{DFC910AD-A5F7-4B00-9035-AF468C65CA6F}" xr6:coauthVersionLast="47" xr6:coauthVersionMax="47" xr10:uidLastSave="{00000000-0000-0000-0000-000000000000}"/>
  <bookViews>
    <workbookView xWindow="-120" yWindow="-120" windowWidth="29040" windowHeight="15225" xr2:uid="{406E0C30-905D-452D-B09B-C82324FDBDDE}"/>
  </bookViews>
  <sheets>
    <sheet name="Rates" sheetId="1" r:id="rId1"/>
  </sheets>
  <externalReferences>
    <externalReference r:id="rId2"/>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M29" i="1"/>
  <c r="L29" i="1"/>
  <c r="J29" i="1"/>
  <c r="I29" i="1"/>
  <c r="H29" i="1"/>
  <c r="G29" i="1"/>
  <c r="C47" i="1"/>
  <c r="D47" i="1" s="1"/>
  <c r="C46" i="1"/>
  <c r="D46" i="1" s="1"/>
  <c r="C45" i="1"/>
  <c r="D45" i="1" s="1"/>
  <c r="C44" i="1"/>
  <c r="D44" i="1" s="1"/>
  <c r="C43" i="1"/>
  <c r="D43" i="1" s="1"/>
  <c r="F7" i="1" l="1"/>
  <c r="F2" i="1"/>
  <c r="I19" i="1"/>
  <c r="I20" i="1"/>
  <c r="I21" i="1"/>
  <c r="I22" i="1"/>
  <c r="I23" i="1"/>
  <c r="I24" i="1"/>
  <c r="I25" i="1"/>
  <c r="I26" i="1"/>
  <c r="I27" i="1"/>
  <c r="I28" i="1"/>
  <c r="I30" i="1"/>
  <c r="I18" i="1"/>
  <c r="M14" i="1"/>
  <c r="M15" i="1"/>
  <c r="M16" i="1"/>
  <c r="M17" i="1"/>
  <c r="H8" i="1"/>
  <c r="B8" i="1"/>
  <c r="N28" i="1"/>
  <c r="M28" i="1"/>
  <c r="L28" i="1"/>
  <c r="J28" i="1"/>
  <c r="H28" i="1"/>
  <c r="G28" i="1"/>
  <c r="G30" i="1"/>
  <c r="G18" i="1"/>
  <c r="G19" i="1"/>
  <c r="G20" i="1"/>
  <c r="G21" i="1"/>
  <c r="G22" i="1"/>
  <c r="G23" i="1"/>
  <c r="G24" i="1"/>
  <c r="G25" i="1"/>
  <c r="G26" i="1"/>
  <c r="G27" i="1"/>
  <c r="H27" i="1"/>
  <c r="J27" i="1"/>
  <c r="L27" i="1"/>
  <c r="M27" i="1"/>
  <c r="N27" i="1"/>
  <c r="N14" i="1"/>
  <c r="N15" i="1"/>
  <c r="N16" i="1"/>
  <c r="N17" i="1"/>
  <c r="N18" i="1"/>
  <c r="N30" i="1"/>
  <c r="L14" i="1"/>
  <c r="L15" i="1"/>
  <c r="L16" i="1"/>
  <c r="L17" i="1"/>
  <c r="L18" i="1"/>
  <c r="L30" i="1"/>
  <c r="M18" i="1"/>
  <c r="M30" i="1"/>
  <c r="H18" i="1"/>
  <c r="H30" i="1"/>
  <c r="J18" i="1"/>
  <c r="J30" i="1"/>
  <c r="C8" i="1"/>
  <c r="D8" i="1" s="1"/>
  <c r="H3" i="1"/>
  <c r="B3" i="1"/>
  <c r="C3" i="1" s="1"/>
  <c r="D3" i="1" s="1"/>
  <c r="E8" i="1" l="1"/>
  <c r="F8" i="1" s="1"/>
  <c r="G8" i="1" s="1"/>
  <c r="I8" i="1" s="1"/>
  <c r="I9" i="1" s="1"/>
  <c r="E3" i="1"/>
  <c r="F3" i="1" s="1"/>
  <c r="G3" i="1" s="1"/>
  <c r="I3" i="1" s="1"/>
  <c r="I5" i="1" s="1"/>
  <c r="G11" i="1" s="1"/>
  <c r="I17" i="1" l="1"/>
  <c r="I15" i="1"/>
  <c r="I13" i="1"/>
  <c r="M13" i="1" s="1"/>
  <c r="I14" i="1"/>
  <c r="I16" i="1"/>
  <c r="G17" i="1"/>
  <c r="H17" i="1" s="1"/>
  <c r="G15" i="1"/>
  <c r="H15" i="1" s="1"/>
  <c r="G16" i="1"/>
  <c r="H16" i="1" s="1"/>
  <c r="G13" i="1"/>
  <c r="H13" i="1" s="1"/>
  <c r="G14" i="1"/>
  <c r="H14" i="1" s="1"/>
  <c r="J14" i="1" l="1"/>
  <c r="J13" i="1"/>
  <c r="L13" i="1"/>
  <c r="N13" i="1" s="1"/>
  <c r="N31" i="1" s="1"/>
  <c r="J16" i="1"/>
  <c r="J15" i="1"/>
  <c r="J17" i="1"/>
  <c r="J31" i="1" l="1"/>
</calcChain>
</file>

<file path=xl/sharedStrings.xml><?xml version="1.0" encoding="utf-8"?>
<sst xmlns="http://schemas.openxmlformats.org/spreadsheetml/2006/main" count="79" uniqueCount="57">
  <si>
    <t>Direct Labor</t>
  </si>
  <si>
    <t>O/H Rate</t>
  </si>
  <si>
    <t>DL</t>
  </si>
  <si>
    <t>ECI</t>
  </si>
  <si>
    <t>D/L, O/H</t>
  </si>
  <si>
    <t>Profit</t>
  </si>
  <si>
    <t>D/L, OH,</t>
  </si>
  <si>
    <t>FCCM</t>
  </si>
  <si>
    <t>Billing</t>
  </si>
  <si>
    <t>Overhead</t>
  </si>
  <si>
    <t>OH Factor</t>
  </si>
  <si>
    <t>Advertised Profit %</t>
  </si>
  <si>
    <t>Audited Profit %</t>
  </si>
  <si>
    <t>&amp; OH</t>
  </si>
  <si>
    <t>&amp; ECI</t>
  </si>
  <si>
    <t>ECI &amp; Fee</t>
  </si>
  <si>
    <t>Rate</t>
  </si>
  <si>
    <t>&gt;190%</t>
  </si>
  <si>
    <t>&gt;180% &amp; &lt;=190%</t>
  </si>
  <si>
    <t>% Escalation of the Labor Rate</t>
  </si>
  <si>
    <t>&gt;160% &amp; &lt;=180%</t>
  </si>
  <si>
    <t>&gt;120% &amp; &lt;=160%</t>
  </si>
  <si>
    <t>&lt;=120%</t>
  </si>
  <si>
    <t>Max Billing Rate</t>
  </si>
  <si>
    <t>Y</t>
  </si>
  <si>
    <t>N</t>
  </si>
  <si>
    <t>Notes:</t>
  </si>
  <si>
    <t>Use the most current payroll rates. If this payroll is different from what was provided to INDOT previously, please submit new payroll with the proposal to support rates in the above table.</t>
  </si>
  <si>
    <t xml:space="preserve">Replace the data in the yellow cells with the appropriate data for the firm. </t>
  </si>
  <si>
    <t>Senior Engineer - Example</t>
  </si>
  <si>
    <t>Project Engineer - Example</t>
  </si>
  <si>
    <t>Designer - Example</t>
  </si>
  <si>
    <t>Cadd Technician - Example</t>
  </si>
  <si>
    <t>Certified Payroll Labor Classification or Project Classification</t>
  </si>
  <si>
    <t>Certified Hourly Pay</t>
  </si>
  <si>
    <t>Audited Certified Hourly Pay</t>
  </si>
  <si>
    <t>Escalation Rate</t>
  </si>
  <si>
    <t>Proposed Billing Rate</t>
  </si>
  <si>
    <t>Audited Billing Rate</t>
  </si>
  <si>
    <t>Proposed vs Audited Difference</t>
  </si>
  <si>
    <t>Premium Overtime Rate</t>
  </si>
  <si>
    <t>Audited Premium Overtime Rate</t>
  </si>
  <si>
    <t>Premium Overtime Qualified? 
(Y or N)</t>
  </si>
  <si>
    <t>Cap Waiver Approved? 
(Y or N)</t>
  </si>
  <si>
    <t>Specialist - Example</t>
  </si>
  <si>
    <t>Audited Escalation rate</t>
  </si>
  <si>
    <t>Proposed Escalation rate</t>
  </si>
  <si>
    <t>Proposed Date of Certified Paid Hourly Rates</t>
  </si>
  <si>
    <t>Audited Date of Certified Paid Hourly Rates</t>
  </si>
  <si>
    <t>Filled by Consultant</t>
  </si>
  <si>
    <t>Filled by Auditor</t>
  </si>
  <si>
    <t>New payroll should show all employees, employee pay rates, grouped by classification with calculated average for each classification, dated and signed by company official. Ensure that rates are capped prior to calculating average for each classification</t>
  </si>
  <si>
    <t>Please submit this form in .xlsx</t>
  </si>
  <si>
    <t>Advertised Profit %=</t>
  </si>
  <si>
    <t>Add additional classifications as needed using Copy (Col A-N) then Insert Copied Cells command and shift cells down</t>
  </si>
  <si>
    <t>Proposed 
vs 
Audited Difference</t>
  </si>
  <si>
    <t>Rate Limit for Contracts Signed 7/1/2024 - 6/30/2025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</si>
</sst>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9" x14ac:knownFonts="1">
    <font>
      <sz val="11"/>
      <color theme="1"/>
      <name val="Calibri"/>
      <family val="2"/>
      <scheme val="minor"/>
    </font>
    <font>
      <sz val="11"/>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10" fontId="2" fillId="2" borderId="2" xfId="2" applyNumberFormat="1" applyFont="1" applyFill="1" applyBorder="1" applyAlignment="1">
      <alignment horizontal="center"/>
    </xf>
    <xf numFmtId="44" fontId="2" fillId="2" borderId="6" xfId="1" applyFont="1" applyFill="1" applyBorder="1" applyAlignment="1">
      <alignment horizontal="center"/>
    </xf>
    <xf numFmtId="10" fontId="2" fillId="3" borderId="7" xfId="2" applyNumberFormat="1" applyFont="1" applyFill="1" applyBorder="1" applyAlignment="1">
      <alignment horizontal="center"/>
    </xf>
    <xf numFmtId="10" fontId="2" fillId="2" borderId="0" xfId="2" applyNumberFormat="1" applyFont="1" applyFill="1" applyBorder="1" applyAlignment="1">
      <alignment horizontal="center"/>
    </xf>
    <xf numFmtId="0" fontId="2" fillId="2" borderId="0" xfId="0" applyFont="1" applyFill="1" applyAlignment="1">
      <alignment horizontal="center"/>
    </xf>
    <xf numFmtId="0" fontId="2" fillId="0" borderId="9" xfId="0" applyFont="1" applyBorder="1"/>
    <xf numFmtId="44" fontId="2" fillId="0" borderId="10" xfId="1" applyFont="1" applyBorder="1"/>
    <xf numFmtId="44" fontId="2" fillId="0" borderId="10" xfId="0" applyNumberFormat="1" applyFont="1" applyBorder="1"/>
    <xf numFmtId="44" fontId="2" fillId="0" borderId="0" xfId="1" applyFont="1" applyBorder="1"/>
    <xf numFmtId="44" fontId="2" fillId="0" borderId="0" xfId="0" applyNumberFormat="1" applyFont="1"/>
    <xf numFmtId="0" fontId="2" fillId="0" borderId="0" xfId="0" applyFont="1" applyAlignment="1">
      <alignment horizontal="right"/>
    </xf>
    <xf numFmtId="0" fontId="2" fillId="0" borderId="7" xfId="0" applyFont="1" applyBorder="1"/>
    <xf numFmtId="14" fontId="2" fillId="3" borderId="7" xfId="0" applyNumberFormat="1" applyFont="1" applyFill="1" applyBorder="1"/>
    <xf numFmtId="14" fontId="2" fillId="0" borderId="0" xfId="0" applyNumberFormat="1" applyFont="1"/>
    <xf numFmtId="0" fontId="2" fillId="0" borderId="0" xfId="0" applyFont="1"/>
    <xf numFmtId="8" fontId="5" fillId="0" borderId="0" xfId="0" applyNumberFormat="1" applyFont="1"/>
    <xf numFmtId="8" fontId="2" fillId="0" borderId="0" xfId="0" applyNumberFormat="1" applyFont="1"/>
    <xf numFmtId="44" fontId="2" fillId="3" borderId="17" xfId="1" applyFont="1" applyFill="1" applyBorder="1"/>
    <xf numFmtId="10" fontId="2" fillId="0" borderId="17" xfId="0" applyNumberFormat="1" applyFont="1" applyBorder="1"/>
    <xf numFmtId="44" fontId="2" fillId="3" borderId="7" xfId="1" applyFont="1" applyFill="1" applyBorder="1"/>
    <xf numFmtId="44" fontId="2" fillId="0" borderId="21" xfId="0" applyNumberFormat="1" applyFont="1" applyBorder="1"/>
    <xf numFmtId="0" fontId="7" fillId="0" borderId="0" xfId="0" applyFont="1"/>
    <xf numFmtId="0" fontId="0" fillId="0" borderId="0" xfId="0" applyAlignment="1">
      <alignment wrapText="1"/>
    </xf>
    <xf numFmtId="10" fontId="2" fillId="2" borderId="7" xfId="2" applyNumberFormat="1" applyFont="1" applyFill="1" applyBorder="1" applyAlignment="1">
      <alignment horizontal="center"/>
    </xf>
    <xf numFmtId="0" fontId="2" fillId="3" borderId="16" xfId="0" applyFont="1" applyFill="1" applyBorder="1" applyAlignment="1">
      <alignment horizontal="center"/>
    </xf>
    <xf numFmtId="0" fontId="2" fillId="3" borderId="18" xfId="0" applyFont="1" applyFill="1" applyBorder="1" applyAlignment="1">
      <alignment horizontal="center"/>
    </xf>
    <xf numFmtId="0" fontId="2" fillId="3" borderId="18" xfId="0" applyFont="1" applyFill="1" applyBorder="1"/>
    <xf numFmtId="0" fontId="0" fillId="3" borderId="19" xfId="0" applyFill="1" applyBorder="1"/>
    <xf numFmtId="0" fontId="0" fillId="3" borderId="20" xfId="0" applyFill="1" applyBorder="1"/>
    <xf numFmtId="44" fontId="2" fillId="4" borderId="17" xfId="1" applyFont="1" applyFill="1" applyBorder="1"/>
    <xf numFmtId="44" fontId="2" fillId="4" borderId="7" xfId="1" applyFont="1" applyFill="1" applyBorder="1"/>
    <xf numFmtId="44" fontId="2" fillId="0" borderId="17" xfId="0" applyNumberFormat="1" applyFont="1" applyBorder="1"/>
    <xf numFmtId="44" fontId="2" fillId="0" borderId="17" xfId="1" applyFont="1" applyFill="1" applyBorder="1"/>
    <xf numFmtId="44" fontId="2" fillId="0" borderId="22" xfId="0" applyNumberFormat="1" applyFont="1" applyBorder="1"/>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center" wrapText="1"/>
    </xf>
    <xf numFmtId="0" fontId="2" fillId="5" borderId="3" xfId="0" applyFont="1" applyFill="1" applyBorder="1" applyAlignment="1">
      <alignment horizontal="center" wrapText="1"/>
    </xf>
    <xf numFmtId="0" fontId="2" fillId="5" borderId="5" xfId="0" applyFont="1" applyFill="1" applyBorder="1" applyAlignment="1">
      <alignment horizontal="center" wrapText="1"/>
    </xf>
    <xf numFmtId="44" fontId="2" fillId="5" borderId="0" xfId="1" applyFont="1" applyFill="1"/>
    <xf numFmtId="0" fontId="4" fillId="0" borderId="12" xfId="0" applyFont="1" applyBorder="1"/>
    <xf numFmtId="0" fontId="2" fillId="0" borderId="24" xfId="0" applyFont="1" applyBorder="1"/>
    <xf numFmtId="0" fontId="2" fillId="4" borderId="1" xfId="0" applyFont="1" applyFill="1" applyBorder="1" applyAlignment="1">
      <alignment horizontal="center"/>
    </xf>
    <xf numFmtId="0" fontId="2" fillId="4" borderId="2" xfId="0" applyFont="1" applyFill="1" applyBorder="1" applyAlignment="1">
      <alignment horizontal="center"/>
    </xf>
    <xf numFmtId="10" fontId="2" fillId="4" borderId="2" xfId="2" applyNumberFormat="1" applyFont="1" applyFill="1" applyBorder="1" applyAlignment="1">
      <alignment horizontal="center"/>
    </xf>
    <xf numFmtId="44" fontId="2" fillId="4" borderId="6" xfId="1" applyFont="1" applyFill="1" applyBorder="1" applyAlignment="1">
      <alignment horizontal="center"/>
    </xf>
    <xf numFmtId="10" fontId="2" fillId="4" borderId="7" xfId="2" applyNumberFormat="1" applyFont="1" applyFill="1" applyBorder="1" applyAlignment="1">
      <alignment horizontal="center"/>
    </xf>
    <xf numFmtId="10" fontId="2" fillId="4" borderId="0" xfId="2" applyNumberFormat="1" applyFont="1" applyFill="1" applyBorder="1" applyAlignment="1">
      <alignment horizontal="center"/>
    </xf>
    <xf numFmtId="0" fontId="2" fillId="4" borderId="0" xfId="0" applyFont="1" applyFill="1" applyAlignment="1">
      <alignment horizontal="center"/>
    </xf>
    <xf numFmtId="0" fontId="2" fillId="4" borderId="9" xfId="0" applyFont="1" applyFill="1" applyBorder="1"/>
    <xf numFmtId="44" fontId="2" fillId="4" borderId="10" xfId="1" applyFont="1" applyFill="1" applyBorder="1"/>
    <xf numFmtId="44" fontId="2" fillId="4" borderId="10" xfId="0" applyNumberFormat="1" applyFont="1" applyFill="1" applyBorder="1"/>
    <xf numFmtId="0" fontId="4" fillId="4" borderId="6" xfId="0" applyFont="1" applyFill="1" applyBorder="1"/>
    <xf numFmtId="44" fontId="2" fillId="4" borderId="0" xfId="1" applyFont="1" applyFill="1" applyBorder="1"/>
    <xf numFmtId="44" fontId="2" fillId="4" borderId="0" xfId="0" applyNumberFormat="1" applyFont="1" applyFill="1"/>
    <xf numFmtId="0" fontId="2" fillId="4" borderId="0" xfId="0" applyFont="1" applyFill="1" applyAlignment="1">
      <alignment horizontal="right"/>
    </xf>
    <xf numFmtId="0" fontId="2" fillId="4" borderId="25" xfId="0" applyFont="1" applyFill="1" applyBorder="1"/>
    <xf numFmtId="14" fontId="2" fillId="4" borderId="15" xfId="0" applyNumberFormat="1" applyFont="1" applyFill="1" applyBorder="1"/>
    <xf numFmtId="0" fontId="2" fillId="4" borderId="10" xfId="0" applyFont="1" applyFill="1" applyBorder="1"/>
    <xf numFmtId="0" fontId="2" fillId="4" borderId="10" xfId="0" applyFont="1" applyFill="1" applyBorder="1" applyAlignment="1">
      <alignment horizontal="right"/>
    </xf>
    <xf numFmtId="10" fontId="4" fillId="4" borderId="0" xfId="2" applyNumberFormat="1" applyFont="1" applyFill="1" applyBorder="1"/>
    <xf numFmtId="10" fontId="4" fillId="0" borderId="0" xfId="2" applyNumberFormat="1" applyFont="1" applyBorder="1"/>
    <xf numFmtId="0" fontId="7" fillId="0" borderId="0" xfId="0" applyFont="1" applyProtection="1">
      <protection locked="0"/>
    </xf>
    <xf numFmtId="0" fontId="2" fillId="0" borderId="0" xfId="0" applyFont="1" applyProtection="1">
      <protection locked="0"/>
    </xf>
    <xf numFmtId="44" fontId="2" fillId="0" borderId="0" xfId="0" applyNumberFormat="1" applyFont="1" applyProtection="1">
      <protection locked="0"/>
    </xf>
    <xf numFmtId="0" fontId="0" fillId="0" borderId="0" xfId="0" applyProtection="1">
      <protection locked="0"/>
    </xf>
    <xf numFmtId="0" fontId="0" fillId="0" borderId="0" xfId="0" applyAlignment="1" applyProtection="1">
      <alignment wrapText="1"/>
      <protection locked="0"/>
    </xf>
    <xf numFmtId="0" fontId="8" fillId="0" borderId="0" xfId="0" applyFont="1" applyProtection="1">
      <protection locked="0"/>
    </xf>
    <xf numFmtId="10" fontId="2" fillId="3" borderId="29" xfId="2" applyNumberFormat="1" applyFont="1" applyFill="1" applyBorder="1" applyAlignment="1" applyProtection="1">
      <protection locked="0"/>
    </xf>
    <xf numFmtId="10" fontId="0" fillId="0" borderId="0" xfId="2" applyNumberFormat="1" applyFont="1" applyFill="1" applyBorder="1" applyAlignment="1" applyProtection="1">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Protection="1">
      <protection locked="0"/>
    </xf>
    <xf numFmtId="10" fontId="2" fillId="2" borderId="17" xfId="2" applyNumberFormat="1" applyFont="1" applyFill="1" applyBorder="1" applyAlignment="1" applyProtection="1">
      <alignment horizontal="center"/>
      <protection locked="0"/>
    </xf>
    <xf numFmtId="10" fontId="4" fillId="2" borderId="8" xfId="2" applyNumberFormat="1" applyFont="1" applyFill="1" applyBorder="1" applyAlignment="1" applyProtection="1">
      <alignment horizontal="center"/>
      <protection locked="0"/>
    </xf>
    <xf numFmtId="10" fontId="2" fillId="2" borderId="7" xfId="2" applyNumberFormat="1" applyFont="1" applyFill="1" applyBorder="1" applyAlignment="1" applyProtection="1">
      <alignment horizontal="center"/>
      <protection locked="0"/>
    </xf>
    <xf numFmtId="0" fontId="0" fillId="0" borderId="9" xfId="0" applyBorder="1" applyProtection="1">
      <protection locked="0"/>
    </xf>
    <xf numFmtId="164" fontId="0" fillId="0" borderId="10" xfId="0" applyNumberFormat="1" applyBorder="1" applyAlignment="1" applyProtection="1">
      <alignment horizontal="center"/>
      <protection locked="0"/>
    </xf>
    <xf numFmtId="10" fontId="2" fillId="2" borderId="15" xfId="2" applyNumberFormat="1" applyFont="1" applyFill="1" applyBorder="1" applyAlignment="1" applyProtection="1">
      <alignment horizontal="center"/>
      <protection locked="0"/>
    </xf>
    <xf numFmtId="10" fontId="4" fillId="2" borderId="11" xfId="2" applyNumberFormat="1" applyFont="1" applyFill="1" applyBorder="1" applyAlignment="1" applyProtection="1">
      <alignment horizontal="center"/>
      <protection locked="0"/>
    </xf>
    <xf numFmtId="164" fontId="0" fillId="0" borderId="0" xfId="0" applyNumberFormat="1" applyAlignment="1" applyProtection="1">
      <alignment horizontal="center"/>
      <protection locked="0"/>
    </xf>
    <xf numFmtId="164" fontId="0" fillId="0" borderId="0" xfId="0" applyNumberFormat="1" applyAlignment="1">
      <alignment horizontal="center"/>
    </xf>
    <xf numFmtId="2" fontId="2" fillId="0" borderId="0" xfId="0" applyNumberFormat="1" applyFont="1" applyAlignment="1">
      <alignment horizontal="center"/>
    </xf>
    <xf numFmtId="10" fontId="4" fillId="0" borderId="0" xfId="2" applyNumberFormat="1" applyFont="1" applyFill="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3" borderId="16" xfId="0" applyFont="1" applyFill="1" applyBorder="1"/>
    <xf numFmtId="0" fontId="0" fillId="3" borderId="13" xfId="0" applyFill="1" applyBorder="1"/>
    <xf numFmtId="0" fontId="0" fillId="3" borderId="14" xfId="0" applyFill="1" applyBorder="1"/>
    <xf numFmtId="0" fontId="2" fillId="3" borderId="18" xfId="0" applyFont="1" applyFill="1" applyBorder="1"/>
    <xf numFmtId="0" fontId="0" fillId="3" borderId="19" xfId="0" applyFill="1" applyBorder="1"/>
    <xf numFmtId="0" fontId="0" fillId="3" borderId="20" xfId="0" applyFill="1" applyBorder="1"/>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10" xfId="0" applyFont="1" applyBorder="1" applyAlignment="1">
      <alignment horizontal="center" wrapText="1"/>
    </xf>
    <xf numFmtId="0" fontId="0" fillId="0" borderId="6" xfId="0" applyBorder="1" applyAlignment="1">
      <alignment wrapText="1"/>
    </xf>
    <xf numFmtId="0" fontId="0" fillId="0" borderId="0" xfId="0" applyAlignment="1">
      <alignment wrapText="1"/>
    </xf>
    <xf numFmtId="0" fontId="2" fillId="3" borderId="19" xfId="0" applyFont="1" applyFill="1" applyBorder="1"/>
    <xf numFmtId="0" fontId="2" fillId="3" borderId="20" xfId="0" applyFont="1" applyFill="1" applyBorder="1"/>
    <xf numFmtId="0" fontId="0" fillId="0" borderId="0" xfId="0"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75-D6B3-44CB-99F1-1E34D200CF70}">
  <dimension ref="A1:N49"/>
  <sheetViews>
    <sheetView tabSelected="1" view="pageLayout" zoomScaleNormal="100" zoomScaleSheetLayoutView="120" workbookViewId="0">
      <selection activeCell="M6" sqref="M6"/>
    </sheetView>
  </sheetViews>
  <sheetFormatPr defaultRowHeight="15" x14ac:dyDescent="0.25"/>
  <cols>
    <col min="1" max="1" width="36.28515625" customWidth="1"/>
    <col min="2" max="2" width="10.85546875" bestFit="1" customWidth="1"/>
    <col min="3" max="3" width="9.28515625" customWidth="1"/>
    <col min="4" max="6" width="10.7109375" customWidth="1"/>
    <col min="7" max="7" width="9" customWidth="1"/>
    <col min="8" max="9" width="10.7109375" customWidth="1"/>
    <col min="10" max="10" width="13.28515625" customWidth="1"/>
    <col min="11" max="14" width="10.7109375" customWidth="1"/>
  </cols>
  <sheetData>
    <row r="1" spans="1:14" x14ac:dyDescent="0.25">
      <c r="A1" s="1" t="s">
        <v>0</v>
      </c>
      <c r="B1" s="2" t="s">
        <v>1</v>
      </c>
      <c r="C1" s="2" t="s">
        <v>2</v>
      </c>
      <c r="D1" s="2" t="s">
        <v>3</v>
      </c>
      <c r="E1" s="3" t="s">
        <v>4</v>
      </c>
      <c r="F1" s="2" t="s">
        <v>5</v>
      </c>
      <c r="G1" s="2" t="s">
        <v>6</v>
      </c>
      <c r="H1" s="2" t="s">
        <v>7</v>
      </c>
      <c r="I1" s="2" t="s">
        <v>8</v>
      </c>
      <c r="J1" s="101" t="s">
        <v>49</v>
      </c>
    </row>
    <row r="2" spans="1:14" x14ac:dyDescent="0.25">
      <c r="A2" s="4">
        <v>1</v>
      </c>
      <c r="B2" s="5">
        <v>1.2</v>
      </c>
      <c r="C2" s="6" t="s">
        <v>13</v>
      </c>
      <c r="D2" s="26">
        <v>0</v>
      </c>
      <c r="E2" s="7" t="s">
        <v>14</v>
      </c>
      <c r="F2" s="26">
        <f>SUM(D43:D470)</f>
        <v>0.11799999999999999</v>
      </c>
      <c r="G2" s="7" t="s">
        <v>15</v>
      </c>
      <c r="H2" s="5">
        <v>0</v>
      </c>
      <c r="I2" s="7" t="s">
        <v>16</v>
      </c>
      <c r="J2" s="102"/>
    </row>
    <row r="3" spans="1:14" ht="15.75" thickBot="1" x14ac:dyDescent="0.3">
      <c r="A3" s="8"/>
      <c r="B3" s="9">
        <f>+$A2*B2</f>
        <v>1.2</v>
      </c>
      <c r="C3" s="9">
        <f>IF(A2=0," ",A2+B3)</f>
        <v>2.2000000000000002</v>
      </c>
      <c r="D3" s="9">
        <f>IF(A2=0," ",(C3)*D2)</f>
        <v>0</v>
      </c>
      <c r="E3" s="10">
        <f>IF(A2=0," ",A2+B3+D3)</f>
        <v>2.2000000000000002</v>
      </c>
      <c r="F3" s="9">
        <f>IF(A2=0," ",(E3)*F2)</f>
        <v>0.2596</v>
      </c>
      <c r="G3" s="10">
        <f>IF(A2=0," ",A2+B3+D3+F3)</f>
        <v>2.4596</v>
      </c>
      <c r="H3" s="10">
        <f>$A2*H2</f>
        <v>0</v>
      </c>
      <c r="I3" s="9">
        <f>G3+H3</f>
        <v>2.4596</v>
      </c>
      <c r="J3" s="102"/>
    </row>
    <row r="4" spans="1:14" x14ac:dyDescent="0.25">
      <c r="A4" s="14" t="s">
        <v>47</v>
      </c>
      <c r="B4" s="15"/>
      <c r="C4" s="11"/>
      <c r="D4" s="11"/>
      <c r="E4" s="12"/>
      <c r="F4" s="11"/>
      <c r="G4" s="12"/>
      <c r="H4" s="12"/>
      <c r="I4" s="11"/>
      <c r="J4" s="102"/>
    </row>
    <row r="5" spans="1:14" ht="15.75" thickBot="1" x14ac:dyDescent="0.3">
      <c r="A5" s="43" t="s">
        <v>46</v>
      </c>
      <c r="B5" s="11"/>
      <c r="C5" s="11"/>
      <c r="D5" s="11"/>
      <c r="E5" s="12"/>
      <c r="F5" s="11"/>
      <c r="G5" s="12"/>
      <c r="H5" s="13" t="s">
        <v>19</v>
      </c>
      <c r="I5" s="64">
        <f>I3/A2</f>
        <v>2.4596</v>
      </c>
      <c r="J5" s="103"/>
    </row>
    <row r="6" spans="1:14" ht="15" customHeight="1" x14ac:dyDescent="0.25">
      <c r="A6" s="45" t="s">
        <v>0</v>
      </c>
      <c r="B6" s="46" t="s">
        <v>1</v>
      </c>
      <c r="C6" s="46" t="s">
        <v>2</v>
      </c>
      <c r="D6" s="46" t="s">
        <v>3</v>
      </c>
      <c r="E6" s="47" t="s">
        <v>4</v>
      </c>
      <c r="F6" s="46" t="s">
        <v>5</v>
      </c>
      <c r="G6" s="46" t="s">
        <v>6</v>
      </c>
      <c r="H6" s="46" t="s">
        <v>7</v>
      </c>
      <c r="I6" s="46" t="s">
        <v>8</v>
      </c>
      <c r="J6" s="98" t="s">
        <v>50</v>
      </c>
    </row>
    <row r="7" spans="1:14" x14ac:dyDescent="0.25">
      <c r="A7" s="48">
        <v>1</v>
      </c>
      <c r="B7" s="49">
        <v>1.21</v>
      </c>
      <c r="C7" s="50" t="s">
        <v>13</v>
      </c>
      <c r="D7" s="49">
        <v>0</v>
      </c>
      <c r="E7" s="51" t="s">
        <v>14</v>
      </c>
      <c r="F7" s="49">
        <f>SUM(D43:D47)</f>
        <v>0.11799999999999999</v>
      </c>
      <c r="G7" s="51" t="s">
        <v>15</v>
      </c>
      <c r="H7" s="49">
        <v>0</v>
      </c>
      <c r="I7" s="51" t="s">
        <v>16</v>
      </c>
      <c r="J7" s="99"/>
    </row>
    <row r="8" spans="1:14" ht="15.75" thickBot="1" x14ac:dyDescent="0.3">
      <c r="A8" s="52"/>
      <c r="B8" s="53">
        <f>+$A7*B7</f>
        <v>1.21</v>
      </c>
      <c r="C8" s="53">
        <f>IF(A7=0," ",A7+B8)</f>
        <v>2.21</v>
      </c>
      <c r="D8" s="53">
        <f>IF(A7=0," ",(C8)*D7)</f>
        <v>0</v>
      </c>
      <c r="E8" s="54">
        <f>IF(A7=0," ",A7+B8+D8)</f>
        <v>2.21</v>
      </c>
      <c r="F8" s="53">
        <f>IF(A7=0," ",(E8)*F7)</f>
        <v>0.26077999999999996</v>
      </c>
      <c r="G8" s="54">
        <f>IF(A7=0," ",A7+B8+D8+F8)</f>
        <v>2.47078</v>
      </c>
      <c r="H8" s="54">
        <f>$A7*H7</f>
        <v>0</v>
      </c>
      <c r="I8" s="53">
        <f>G8+H8</f>
        <v>2.47078</v>
      </c>
      <c r="J8" s="99"/>
    </row>
    <row r="9" spans="1:14" x14ac:dyDescent="0.25">
      <c r="A9" s="55" t="s">
        <v>45</v>
      </c>
      <c r="B9" s="56"/>
      <c r="C9" s="56"/>
      <c r="D9" s="56"/>
      <c r="E9" s="57"/>
      <c r="F9" s="56"/>
      <c r="G9" s="57"/>
      <c r="H9" s="58" t="s">
        <v>19</v>
      </c>
      <c r="I9" s="63">
        <f>I8/A7</f>
        <v>2.47078</v>
      </c>
      <c r="J9" s="99"/>
    </row>
    <row r="10" spans="1:14" ht="15.75" thickBot="1" x14ac:dyDescent="0.3">
      <c r="A10" s="59" t="s">
        <v>48</v>
      </c>
      <c r="B10" s="60"/>
      <c r="C10" s="61"/>
      <c r="D10" s="61"/>
      <c r="E10" s="61"/>
      <c r="F10" s="61"/>
      <c r="G10" s="62"/>
      <c r="H10" s="62"/>
      <c r="I10" s="61"/>
      <c r="J10" s="100"/>
    </row>
    <row r="11" spans="1:14" ht="22.5" customHeight="1" thickBot="1" x14ac:dyDescent="0.3">
      <c r="A11" s="44" t="s">
        <v>56</v>
      </c>
      <c r="B11" s="16"/>
      <c r="C11" s="17"/>
      <c r="D11" s="18">
        <v>82.34</v>
      </c>
      <c r="E11" s="104" t="s">
        <v>23</v>
      </c>
      <c r="F11" s="104"/>
      <c r="G11" s="19">
        <f>D11*I5</f>
        <v>202.52346400000002</v>
      </c>
      <c r="I11" s="17"/>
    </row>
    <row r="12" spans="1:14" ht="54.95" customHeight="1" thickBot="1" x14ac:dyDescent="0.3">
      <c r="A12" s="89" t="s">
        <v>33</v>
      </c>
      <c r="B12" s="90"/>
      <c r="C12" s="91"/>
      <c r="D12" s="38" t="s">
        <v>34</v>
      </c>
      <c r="E12" s="40" t="s">
        <v>35</v>
      </c>
      <c r="F12" s="38" t="s">
        <v>43</v>
      </c>
      <c r="G12" s="38" t="s">
        <v>36</v>
      </c>
      <c r="H12" s="37" t="s">
        <v>37</v>
      </c>
      <c r="I12" s="40" t="s">
        <v>38</v>
      </c>
      <c r="J12" s="41" t="s">
        <v>55</v>
      </c>
      <c r="K12" s="39" t="s">
        <v>42</v>
      </c>
      <c r="L12" s="39" t="s">
        <v>40</v>
      </c>
      <c r="M12" s="40" t="s">
        <v>41</v>
      </c>
      <c r="N12" s="41" t="s">
        <v>39</v>
      </c>
    </row>
    <row r="13" spans="1:14" x14ac:dyDescent="0.25">
      <c r="A13" s="92" t="s">
        <v>32</v>
      </c>
      <c r="B13" s="93"/>
      <c r="C13" s="94"/>
      <c r="D13" s="20">
        <v>42.25</v>
      </c>
      <c r="E13" s="32">
        <v>43</v>
      </c>
      <c r="F13" s="27" t="s">
        <v>25</v>
      </c>
      <c r="G13" s="21">
        <f>IF(A13=""," ",I$5)</f>
        <v>2.4596</v>
      </c>
      <c r="H13" s="35">
        <f>IF(D13=0," ",IF(D13&lt;=$D$11,D13*G13,IF(F13="Y",D13*G13,$D$11*G13)))</f>
        <v>103.9181</v>
      </c>
      <c r="I13" s="32">
        <f>IF($E13=0," ",IF($E13&lt;=$D$11,$E13*$I$9,IF($F13="Y",$E13*$I$9,$D$11*$I$9)))</f>
        <v>106.24354</v>
      </c>
      <c r="J13" s="42">
        <f>IF(D13=0," ",H13-I13)</f>
        <v>-2.3254400000000004</v>
      </c>
      <c r="K13" s="27" t="s">
        <v>24</v>
      </c>
      <c r="L13" s="34">
        <f>IF(K13="Y",H13+(D13*0.5),"")</f>
        <v>125.0431</v>
      </c>
      <c r="M13" s="32">
        <f>IF(K13="Y",I13+(E13*0.5),"")</f>
        <v>127.74354</v>
      </c>
      <c r="N13" s="42">
        <f>IF(OR(K13="N",K13="")," ",L13-M13)</f>
        <v>-2.7004400000000004</v>
      </c>
    </row>
    <row r="14" spans="1:14" x14ac:dyDescent="0.25">
      <c r="A14" s="95" t="s">
        <v>31</v>
      </c>
      <c r="B14" s="96"/>
      <c r="C14" s="97"/>
      <c r="D14" s="22">
        <v>50</v>
      </c>
      <c r="E14" s="33">
        <v>50</v>
      </c>
      <c r="F14" s="28" t="s">
        <v>25</v>
      </c>
      <c r="G14" s="21">
        <f t="shared" ref="G14:G27" si="0">IF(A14=""," ",I$5)</f>
        <v>2.4596</v>
      </c>
      <c r="H14" s="35">
        <f t="shared" ref="H14:H18" si="1">IF(D14=0," ",IF(D14&lt;=$D$11,D14*G14,IF(F14="Y",D14*G14,$D$11*G14)))</f>
        <v>122.98</v>
      </c>
      <c r="I14" s="32">
        <f t="shared" ref="I14:I30" si="2">IF($E14=0," ",IF($E14&lt;=$D$11,$E14*$I$9,IF($F14="Y",$E14*$I$9,$D$11*$I$9)))</f>
        <v>123.539</v>
      </c>
      <c r="J14" s="42">
        <f t="shared" ref="J14:J17" si="3">IF(D14=0," ",H14-I14)</f>
        <v>-0.5589999999999975</v>
      </c>
      <c r="K14" s="28" t="s">
        <v>25</v>
      </c>
      <c r="L14" s="34" t="str">
        <f t="shared" ref="L14:L30" si="4">IF(K14="Y",H14+(D14*0.5),"")</f>
        <v/>
      </c>
      <c r="M14" s="32" t="str">
        <f t="shared" ref="M14:M17" si="5">IF(K14="Y",I14+(E14*0.5),"")</f>
        <v/>
      </c>
      <c r="N14" s="42" t="str">
        <f t="shared" ref="N14:N30" si="6">IF(OR(K14="N",K14="")," ",L14-M14)</f>
        <v xml:space="preserve"> </v>
      </c>
    </row>
    <row r="15" spans="1:14" x14ac:dyDescent="0.25">
      <c r="A15" s="95" t="s">
        <v>30</v>
      </c>
      <c r="B15" s="96"/>
      <c r="C15" s="97"/>
      <c r="D15" s="22">
        <v>60</v>
      </c>
      <c r="E15" s="33">
        <v>60</v>
      </c>
      <c r="F15" s="28" t="s">
        <v>25</v>
      </c>
      <c r="G15" s="21">
        <f t="shared" si="0"/>
        <v>2.4596</v>
      </c>
      <c r="H15" s="35">
        <f t="shared" si="1"/>
        <v>147.57599999999999</v>
      </c>
      <c r="I15" s="32">
        <f t="shared" si="2"/>
        <v>148.24680000000001</v>
      </c>
      <c r="J15" s="42">
        <f t="shared" si="3"/>
        <v>-0.67080000000001405</v>
      </c>
      <c r="K15" s="28" t="s">
        <v>25</v>
      </c>
      <c r="L15" s="34" t="str">
        <f t="shared" si="4"/>
        <v/>
      </c>
      <c r="M15" s="32" t="str">
        <f t="shared" si="5"/>
        <v/>
      </c>
      <c r="N15" s="42" t="str">
        <f t="shared" si="6"/>
        <v xml:space="preserve"> </v>
      </c>
    </row>
    <row r="16" spans="1:14" x14ac:dyDescent="0.25">
      <c r="A16" s="92" t="s">
        <v>29</v>
      </c>
      <c r="B16" s="93"/>
      <c r="C16" s="94"/>
      <c r="D16" s="22">
        <v>80</v>
      </c>
      <c r="E16" s="33">
        <v>80</v>
      </c>
      <c r="F16" s="28" t="s">
        <v>25</v>
      </c>
      <c r="G16" s="21">
        <f t="shared" si="0"/>
        <v>2.4596</v>
      </c>
      <c r="H16" s="35">
        <f t="shared" si="1"/>
        <v>196.768</v>
      </c>
      <c r="I16" s="32">
        <f t="shared" si="2"/>
        <v>197.66239999999999</v>
      </c>
      <c r="J16" s="42">
        <f t="shared" si="3"/>
        <v>-0.89439999999999031</v>
      </c>
      <c r="K16" s="28" t="s">
        <v>25</v>
      </c>
      <c r="L16" s="34" t="str">
        <f t="shared" si="4"/>
        <v/>
      </c>
      <c r="M16" s="32" t="str">
        <f t="shared" si="5"/>
        <v/>
      </c>
      <c r="N16" s="42" t="str">
        <f t="shared" si="6"/>
        <v xml:space="preserve"> </v>
      </c>
    </row>
    <row r="17" spans="1:14" x14ac:dyDescent="0.25">
      <c r="A17" s="92" t="s">
        <v>44</v>
      </c>
      <c r="B17" s="93"/>
      <c r="C17" s="94"/>
      <c r="D17" s="22">
        <v>90</v>
      </c>
      <c r="E17" s="33">
        <v>89.99</v>
      </c>
      <c r="F17" s="28" t="s">
        <v>24</v>
      </c>
      <c r="G17" s="21">
        <f t="shared" si="0"/>
        <v>2.4596</v>
      </c>
      <c r="H17" s="35">
        <f t="shared" si="1"/>
        <v>221.364</v>
      </c>
      <c r="I17" s="32">
        <f t="shared" si="2"/>
        <v>222.3454922</v>
      </c>
      <c r="J17" s="42">
        <f t="shared" si="3"/>
        <v>-0.98149219999999104</v>
      </c>
      <c r="K17" s="28" t="s">
        <v>25</v>
      </c>
      <c r="L17" s="34" t="str">
        <f t="shared" si="4"/>
        <v/>
      </c>
      <c r="M17" s="32" t="str">
        <f t="shared" si="5"/>
        <v/>
      </c>
      <c r="N17" s="42" t="str">
        <f t="shared" si="6"/>
        <v xml:space="preserve"> </v>
      </c>
    </row>
    <row r="18" spans="1:14" x14ac:dyDescent="0.25">
      <c r="A18" s="95"/>
      <c r="B18" s="96"/>
      <c r="C18" s="97"/>
      <c r="D18" s="22"/>
      <c r="E18" s="33"/>
      <c r="F18" s="28"/>
      <c r="G18" s="21" t="str">
        <f t="shared" si="0"/>
        <v xml:space="preserve"> </v>
      </c>
      <c r="H18" s="35" t="str">
        <f t="shared" si="1"/>
        <v xml:space="preserve"> </v>
      </c>
      <c r="I18" s="32" t="str">
        <f t="shared" si="2"/>
        <v xml:space="preserve"> </v>
      </c>
      <c r="J18" s="42" t="str">
        <f t="shared" ref="J18" si="7">IF(D18=0," ",H18-I18)</f>
        <v xml:space="preserve"> </v>
      </c>
      <c r="K18" s="28"/>
      <c r="L18" s="34" t="str">
        <f t="shared" si="4"/>
        <v/>
      </c>
      <c r="M18" s="33" t="str">
        <f t="shared" ref="M18:M30" si="8">IF(K18="Y",I18+(E18*0.5),"")</f>
        <v/>
      </c>
      <c r="N18" s="42" t="str">
        <f t="shared" si="6"/>
        <v xml:space="preserve"> </v>
      </c>
    </row>
    <row r="19" spans="1:14" x14ac:dyDescent="0.25">
      <c r="A19" s="29"/>
      <c r="B19" s="30"/>
      <c r="C19" s="31"/>
      <c r="D19" s="22"/>
      <c r="E19" s="33"/>
      <c r="F19" s="28"/>
      <c r="G19" s="21" t="str">
        <f t="shared" si="0"/>
        <v xml:space="preserve"> </v>
      </c>
      <c r="H19" s="35"/>
      <c r="I19" s="32" t="str">
        <f t="shared" si="2"/>
        <v xml:space="preserve"> </v>
      </c>
      <c r="J19" s="42"/>
      <c r="K19" s="28"/>
      <c r="L19" s="34"/>
      <c r="M19" s="33"/>
      <c r="N19" s="42"/>
    </row>
    <row r="20" spans="1:14" x14ac:dyDescent="0.25">
      <c r="A20" s="29"/>
      <c r="B20" s="30"/>
      <c r="C20" s="31"/>
      <c r="D20" s="22"/>
      <c r="E20" s="33"/>
      <c r="F20" s="28"/>
      <c r="G20" s="21" t="str">
        <f t="shared" si="0"/>
        <v xml:space="preserve"> </v>
      </c>
      <c r="H20" s="35"/>
      <c r="I20" s="32" t="str">
        <f t="shared" si="2"/>
        <v xml:space="preserve"> </v>
      </c>
      <c r="J20" s="42"/>
      <c r="K20" s="28"/>
      <c r="L20" s="34"/>
      <c r="M20" s="33"/>
      <c r="N20" s="42"/>
    </row>
    <row r="21" spans="1:14" x14ac:dyDescent="0.25">
      <c r="A21" s="29"/>
      <c r="B21" s="30"/>
      <c r="C21" s="31"/>
      <c r="D21" s="22"/>
      <c r="E21" s="33"/>
      <c r="F21" s="28"/>
      <c r="G21" s="21" t="str">
        <f t="shared" si="0"/>
        <v xml:space="preserve"> </v>
      </c>
      <c r="H21" s="35"/>
      <c r="I21" s="32" t="str">
        <f t="shared" si="2"/>
        <v xml:space="preserve"> </v>
      </c>
      <c r="J21" s="42"/>
      <c r="K21" s="28"/>
      <c r="L21" s="34"/>
      <c r="M21" s="33"/>
      <c r="N21" s="42"/>
    </row>
    <row r="22" spans="1:14" x14ac:dyDescent="0.25">
      <c r="A22" s="29"/>
      <c r="B22" s="30"/>
      <c r="C22" s="31"/>
      <c r="D22" s="22"/>
      <c r="E22" s="33"/>
      <c r="F22" s="28"/>
      <c r="G22" s="21" t="str">
        <f t="shared" si="0"/>
        <v xml:space="preserve"> </v>
      </c>
      <c r="H22" s="35"/>
      <c r="I22" s="32" t="str">
        <f t="shared" si="2"/>
        <v xml:space="preserve"> </v>
      </c>
      <c r="J22" s="42"/>
      <c r="K22" s="28"/>
      <c r="L22" s="34"/>
      <c r="M22" s="33"/>
      <c r="N22" s="42"/>
    </row>
    <row r="23" spans="1:14" x14ac:dyDescent="0.25">
      <c r="A23" s="29"/>
      <c r="B23" s="30"/>
      <c r="C23" s="31"/>
      <c r="D23" s="22"/>
      <c r="E23" s="33"/>
      <c r="F23" s="28"/>
      <c r="G23" s="21" t="str">
        <f t="shared" si="0"/>
        <v xml:space="preserve"> </v>
      </c>
      <c r="H23" s="35"/>
      <c r="I23" s="32" t="str">
        <f t="shared" si="2"/>
        <v xml:space="preserve"> </v>
      </c>
      <c r="J23" s="42"/>
      <c r="K23" s="28"/>
      <c r="L23" s="34"/>
      <c r="M23" s="33"/>
      <c r="N23" s="42"/>
    </row>
    <row r="24" spans="1:14" x14ac:dyDescent="0.25">
      <c r="A24" s="29"/>
      <c r="B24" s="30"/>
      <c r="C24" s="31"/>
      <c r="D24" s="22"/>
      <c r="E24" s="33"/>
      <c r="F24" s="28"/>
      <c r="G24" s="21" t="str">
        <f t="shared" si="0"/>
        <v xml:space="preserve"> </v>
      </c>
      <c r="H24" s="35"/>
      <c r="I24" s="32" t="str">
        <f t="shared" si="2"/>
        <v xml:space="preserve"> </v>
      </c>
      <c r="J24" s="42"/>
      <c r="K24" s="28"/>
      <c r="L24" s="34"/>
      <c r="M24" s="33"/>
      <c r="N24" s="42"/>
    </row>
    <row r="25" spans="1:14" x14ac:dyDescent="0.25">
      <c r="A25" s="29"/>
      <c r="B25" s="30"/>
      <c r="C25" s="31"/>
      <c r="D25" s="22"/>
      <c r="E25" s="33"/>
      <c r="F25" s="28"/>
      <c r="G25" s="21" t="str">
        <f t="shared" si="0"/>
        <v xml:space="preserve"> </v>
      </c>
      <c r="H25" s="35"/>
      <c r="I25" s="32" t="str">
        <f t="shared" si="2"/>
        <v xml:space="preserve"> </v>
      </c>
      <c r="J25" s="42"/>
      <c r="K25" s="28"/>
      <c r="L25" s="34"/>
      <c r="M25" s="33"/>
      <c r="N25" s="42"/>
    </row>
    <row r="26" spans="1:14" x14ac:dyDescent="0.25">
      <c r="A26" s="29"/>
      <c r="B26" s="30"/>
      <c r="C26" s="31"/>
      <c r="D26" s="22"/>
      <c r="E26" s="33"/>
      <c r="F26" s="28"/>
      <c r="G26" s="21" t="str">
        <f t="shared" si="0"/>
        <v xml:space="preserve"> </v>
      </c>
      <c r="H26" s="35"/>
      <c r="I26" s="32" t="str">
        <f t="shared" si="2"/>
        <v xml:space="preserve"> </v>
      </c>
      <c r="J26" s="42"/>
      <c r="K26" s="28"/>
      <c r="L26" s="34"/>
      <c r="M26" s="33"/>
      <c r="N26" s="42"/>
    </row>
    <row r="27" spans="1:14" x14ac:dyDescent="0.25">
      <c r="A27" s="95"/>
      <c r="B27" s="107"/>
      <c r="C27" s="108"/>
      <c r="D27" s="22"/>
      <c r="E27" s="33"/>
      <c r="F27" s="28"/>
      <c r="G27" s="21" t="str">
        <f t="shared" si="0"/>
        <v xml:space="preserve"> </v>
      </c>
      <c r="H27" s="35" t="str">
        <f>IF(D27=0," ",IF(D27&lt;=$D$11,D27*G27,IF(F27="Y",D27*G27,$D$11*G27)))</f>
        <v xml:space="preserve"> </v>
      </c>
      <c r="I27" s="32" t="str">
        <f t="shared" si="2"/>
        <v xml:space="preserve"> </v>
      </c>
      <c r="J27" s="42" t="str">
        <f>IF(D27=0," ",H27-I27)</f>
        <v xml:space="preserve"> </v>
      </c>
      <c r="K27" s="28"/>
      <c r="L27" s="34" t="str">
        <f t="shared" si="4"/>
        <v/>
      </c>
      <c r="M27" s="33" t="str">
        <f t="shared" si="8"/>
        <v/>
      </c>
      <c r="N27" s="42" t="str">
        <f t="shared" si="6"/>
        <v xml:space="preserve"> </v>
      </c>
    </row>
    <row r="28" spans="1:14" x14ac:dyDescent="0.25">
      <c r="A28" s="95"/>
      <c r="B28" s="107"/>
      <c r="C28" s="108"/>
      <c r="D28" s="22"/>
      <c r="E28" s="33"/>
      <c r="F28" s="28"/>
      <c r="G28" s="21" t="str">
        <f t="shared" ref="G28" si="9">IF(A28=""," ",I$5)</f>
        <v xml:space="preserve"> </v>
      </c>
      <c r="H28" s="35" t="str">
        <f>IF(D28=0," ",IF(D28&lt;=$D$11,D28*G28,IF(F28="Y",D28*G28,$D$11*G28)))</f>
        <v xml:space="preserve"> </v>
      </c>
      <c r="I28" s="32" t="str">
        <f t="shared" si="2"/>
        <v xml:space="preserve"> </v>
      </c>
      <c r="J28" s="42" t="str">
        <f>IF(D28=0," ",H28-I28)</f>
        <v xml:space="preserve"> </v>
      </c>
      <c r="K28" s="28"/>
      <c r="L28" s="34" t="str">
        <f t="shared" ref="L28" si="10">IF(K28="Y",H28+(D28*0.5),"")</f>
        <v/>
      </c>
      <c r="M28" s="33" t="str">
        <f t="shared" ref="M28" si="11">IF(K28="Y",I28+(E28*0.5),"")</f>
        <v/>
      </c>
      <c r="N28" s="42" t="str">
        <f t="shared" ref="N28" si="12">IF(OR(K28="N",K28="")," ",L28-M28)</f>
        <v xml:space="preserve"> </v>
      </c>
    </row>
    <row r="29" spans="1:14" x14ac:dyDescent="0.25">
      <c r="A29" s="95"/>
      <c r="B29" s="107"/>
      <c r="C29" s="108"/>
      <c r="D29" s="22"/>
      <c r="E29" s="33"/>
      <c r="F29" s="28"/>
      <c r="G29" s="21" t="str">
        <f t="shared" ref="G29" si="13">IF(A29=""," ",I$5)</f>
        <v xml:space="preserve"> </v>
      </c>
      <c r="H29" s="35" t="str">
        <f>IF(D29=0," ",IF(D29&lt;=$D$11,D29*G29,IF(F29="Y",D29*G29,$D$11*G29)))</f>
        <v xml:space="preserve"> </v>
      </c>
      <c r="I29" s="32" t="str">
        <f t="shared" si="2"/>
        <v xml:space="preserve"> </v>
      </c>
      <c r="J29" s="42" t="str">
        <f>IF(D29=0," ",H29-I29)</f>
        <v xml:space="preserve"> </v>
      </c>
      <c r="K29" s="28"/>
      <c r="L29" s="34" t="str">
        <f t="shared" ref="L29" si="14">IF(K29="Y",H29+(D29*0.5),"")</f>
        <v/>
      </c>
      <c r="M29" s="33" t="str">
        <f t="shared" ref="M29" si="15">IF(K29="Y",I29+(E29*0.5),"")</f>
        <v/>
      </c>
      <c r="N29" s="42" t="str">
        <f t="shared" ref="N29" si="16">IF(OR(K29="N",K29="")," ",L29-M29)</f>
        <v xml:space="preserve"> </v>
      </c>
    </row>
    <row r="30" spans="1:14" x14ac:dyDescent="0.25">
      <c r="A30" s="95"/>
      <c r="B30" s="96"/>
      <c r="C30" s="97"/>
      <c r="D30" s="22"/>
      <c r="E30" s="33"/>
      <c r="F30" s="28"/>
      <c r="G30" s="21" t="str">
        <f>IF(A30=""," ",I$5)</f>
        <v xml:space="preserve"> </v>
      </c>
      <c r="H30" s="35" t="str">
        <f>IF(D30=0," ",IF(D30&lt;=$D$11,D30*G30,IF(F30="Y",D30*G30,$D$11*G30)))</f>
        <v xml:space="preserve"> </v>
      </c>
      <c r="I30" s="32" t="str">
        <f t="shared" si="2"/>
        <v xml:space="preserve"> </v>
      </c>
      <c r="J30" s="42" t="str">
        <f>IF(D30=0," ",H30-I30)</f>
        <v xml:space="preserve"> </v>
      </c>
      <c r="K30" s="28"/>
      <c r="L30" s="34" t="str">
        <f t="shared" si="4"/>
        <v/>
      </c>
      <c r="M30" s="33" t="str">
        <f t="shared" si="8"/>
        <v/>
      </c>
      <c r="N30" s="42" t="str">
        <f t="shared" si="6"/>
        <v xml:space="preserve"> </v>
      </c>
    </row>
    <row r="31" spans="1:14" ht="15.75" thickBot="1" x14ac:dyDescent="0.3">
      <c r="A31" s="17" t="s">
        <v>54</v>
      </c>
      <c r="B31" s="17"/>
      <c r="C31" s="17"/>
      <c r="D31" s="17"/>
      <c r="G31" s="17"/>
      <c r="H31" s="36"/>
      <c r="J31" s="23">
        <f>SUM(J13:J30)</f>
        <v>-5.4311321999999933</v>
      </c>
      <c r="N31" s="23">
        <f>SUM(N13:N30)</f>
        <v>-2.7004400000000004</v>
      </c>
    </row>
    <row r="32" spans="1:14" ht="15.75" thickTop="1" x14ac:dyDescent="0.25">
      <c r="A32" s="24"/>
      <c r="B32" s="17"/>
      <c r="C32" s="17"/>
      <c r="D32" s="17"/>
      <c r="E32" s="17"/>
      <c r="F32" s="12"/>
    </row>
    <row r="33" spans="1:10" ht="15" customHeight="1" x14ac:dyDescent="0.25">
      <c r="A33" s="65" t="s">
        <v>26</v>
      </c>
      <c r="B33" s="66"/>
      <c r="C33" s="66"/>
      <c r="D33" s="66"/>
      <c r="E33" s="66"/>
      <c r="F33" s="67"/>
      <c r="G33" s="68"/>
      <c r="H33" s="68"/>
      <c r="I33" s="68"/>
      <c r="J33" s="68"/>
    </row>
    <row r="34" spans="1:10" x14ac:dyDescent="0.25">
      <c r="A34" s="68" t="s">
        <v>28</v>
      </c>
      <c r="B34" s="69"/>
      <c r="C34" s="69"/>
      <c r="D34" s="69"/>
      <c r="E34" s="69"/>
      <c r="F34" s="69"/>
      <c r="G34" s="69"/>
      <c r="H34" s="69"/>
      <c r="I34" s="69"/>
      <c r="J34" s="68"/>
    </row>
    <row r="35" spans="1:10" x14ac:dyDescent="0.25">
      <c r="A35" s="109" t="s">
        <v>27</v>
      </c>
      <c r="B35" s="109"/>
      <c r="C35" s="109"/>
      <c r="D35" s="109"/>
      <c r="E35" s="109"/>
      <c r="F35" s="109"/>
      <c r="G35" s="109"/>
      <c r="H35" s="109"/>
      <c r="I35" s="109"/>
      <c r="J35" s="109"/>
    </row>
    <row r="36" spans="1:10" ht="15" customHeight="1" x14ac:dyDescent="0.25">
      <c r="A36" s="109"/>
      <c r="B36" s="109"/>
      <c r="C36" s="109"/>
      <c r="D36" s="109"/>
      <c r="E36" s="109"/>
      <c r="F36" s="109"/>
      <c r="G36" s="109"/>
      <c r="H36" s="109"/>
      <c r="I36" s="109"/>
      <c r="J36" s="109"/>
    </row>
    <row r="37" spans="1:10" x14ac:dyDescent="0.25">
      <c r="A37" s="109" t="s">
        <v>51</v>
      </c>
      <c r="B37" s="109"/>
      <c r="C37" s="109"/>
      <c r="D37" s="109"/>
      <c r="E37" s="109"/>
      <c r="F37" s="109"/>
      <c r="G37" s="109"/>
      <c r="H37" s="109"/>
      <c r="I37" s="109"/>
      <c r="J37" s="109"/>
    </row>
    <row r="38" spans="1:10" x14ac:dyDescent="0.25">
      <c r="A38" s="109"/>
      <c r="B38" s="109"/>
      <c r="C38" s="109"/>
      <c r="D38" s="109"/>
      <c r="E38" s="109"/>
      <c r="F38" s="109"/>
      <c r="G38" s="109"/>
      <c r="H38" s="109"/>
      <c r="I38" s="109"/>
      <c r="J38" s="109"/>
    </row>
    <row r="39" spans="1:10" x14ac:dyDescent="0.25">
      <c r="A39" s="68" t="s">
        <v>52</v>
      </c>
      <c r="B39" s="68"/>
      <c r="C39" s="68"/>
      <c r="D39" s="68"/>
      <c r="E39" s="68"/>
      <c r="F39" s="68"/>
      <c r="G39" s="68"/>
      <c r="H39" s="68"/>
      <c r="I39" s="68"/>
      <c r="J39" s="68"/>
    </row>
    <row r="40" spans="1:10" ht="15" customHeight="1" x14ac:dyDescent="0.25">
      <c r="A40" s="25"/>
      <c r="B40" s="25"/>
      <c r="C40" s="25"/>
      <c r="D40" s="25"/>
      <c r="E40" s="25"/>
      <c r="F40" s="25"/>
      <c r="G40" s="25"/>
      <c r="H40" s="25"/>
      <c r="I40" s="25"/>
    </row>
    <row r="41" spans="1:10" ht="15.75" thickBot="1" x14ac:dyDescent="0.3">
      <c r="A41" s="70" t="s">
        <v>53</v>
      </c>
      <c r="B41" s="71">
        <v>0.09</v>
      </c>
      <c r="C41" s="72"/>
      <c r="D41" s="72"/>
      <c r="E41" s="25"/>
      <c r="F41" s="25"/>
      <c r="G41" s="25"/>
      <c r="H41" s="25"/>
      <c r="I41" s="25"/>
    </row>
    <row r="42" spans="1:10" ht="26.25" thickBot="1" x14ac:dyDescent="0.3">
      <c r="A42" s="73" t="s">
        <v>9</v>
      </c>
      <c r="B42" s="74" t="s">
        <v>10</v>
      </c>
      <c r="C42" s="75" t="s">
        <v>11</v>
      </c>
      <c r="D42" s="76" t="s">
        <v>12</v>
      </c>
      <c r="E42" s="25"/>
      <c r="F42" s="25"/>
      <c r="G42" s="25"/>
      <c r="H42" s="25"/>
      <c r="I42" s="25"/>
    </row>
    <row r="43" spans="1:10" x14ac:dyDescent="0.25">
      <c r="A43" s="77" t="s">
        <v>17</v>
      </c>
      <c r="B43" s="85">
        <v>0</v>
      </c>
      <c r="C43" s="78" t="str">
        <f>IF($B$2&gt;1.9, $B$41,"")</f>
        <v/>
      </c>
      <c r="D43" s="79" t="str">
        <f>IF(C43="","",(B43/100)+C43)</f>
        <v/>
      </c>
    </row>
    <row r="44" spans="1:10" x14ac:dyDescent="0.25">
      <c r="A44" s="77" t="s">
        <v>18</v>
      </c>
      <c r="B44" s="85">
        <v>0.7</v>
      </c>
      <c r="C44" s="80" t="str">
        <f>IF(AND($B$2&gt;1.8, $B$2&lt;=1.9), $B$41,"")</f>
        <v/>
      </c>
      <c r="D44" s="79" t="str">
        <f t="shared" ref="D44:D45" si="17">IF(C44="","",(B44/100)+C44)</f>
        <v/>
      </c>
      <c r="E44" s="105"/>
      <c r="F44" s="106"/>
      <c r="G44" s="106"/>
      <c r="H44" s="106"/>
      <c r="I44" s="106"/>
    </row>
    <row r="45" spans="1:10" x14ac:dyDescent="0.25">
      <c r="A45" s="77" t="s">
        <v>20</v>
      </c>
      <c r="B45" s="85">
        <v>1.4</v>
      </c>
      <c r="C45" s="80" t="str">
        <f>IF(AND($B$2&gt;1.6, $B$2&lt;=1.8), $B$41,"")</f>
        <v/>
      </c>
      <c r="D45" s="79" t="str">
        <f t="shared" si="17"/>
        <v/>
      </c>
    </row>
    <row r="46" spans="1:10" x14ac:dyDescent="0.25">
      <c r="A46" s="77" t="s">
        <v>21</v>
      </c>
      <c r="B46" s="85">
        <v>2.1</v>
      </c>
      <c r="C46" s="80" t="str">
        <f>IF(AND($B$2&gt;1.2, $B$2&lt;=1.6), $B$41,"")</f>
        <v/>
      </c>
      <c r="D46" s="79" t="str">
        <f>IF(C46="","",(B46/100)+C46)</f>
        <v/>
      </c>
    </row>
    <row r="47" spans="1:10" ht="15.75" thickBot="1" x14ac:dyDescent="0.3">
      <c r="A47" s="81" t="s">
        <v>22</v>
      </c>
      <c r="B47" s="82">
        <v>2.8</v>
      </c>
      <c r="C47" s="83">
        <f>IF($B$2&lt;=1.2, $B$41,"")</f>
        <v>0.09</v>
      </c>
      <c r="D47" s="84">
        <f>IF(C47="","",(B47/100)+C47)</f>
        <v>0.11799999999999999</v>
      </c>
    </row>
    <row r="48" spans="1:10" x14ac:dyDescent="0.25">
      <c r="B48" s="86"/>
      <c r="C48" s="87"/>
      <c r="D48" s="88"/>
    </row>
    <row r="49" spans="2:4" x14ac:dyDescent="0.25">
      <c r="B49" s="86"/>
      <c r="C49" s="87"/>
      <c r="D49" s="88"/>
    </row>
  </sheetData>
  <mergeCells count="17">
    <mergeCell ref="E44:I44"/>
    <mergeCell ref="A15:C15"/>
    <mergeCell ref="A16:C16"/>
    <mergeCell ref="A17:C17"/>
    <mergeCell ref="A18:C18"/>
    <mergeCell ref="A27:C27"/>
    <mergeCell ref="A30:C30"/>
    <mergeCell ref="A28:C28"/>
    <mergeCell ref="A35:J36"/>
    <mergeCell ref="A37:J38"/>
    <mergeCell ref="A29:C29"/>
    <mergeCell ref="A12:C12"/>
    <mergeCell ref="A13:C13"/>
    <mergeCell ref="A14:C14"/>
    <mergeCell ref="J6:J10"/>
    <mergeCell ref="J1:J5"/>
    <mergeCell ref="E11:F11"/>
  </mergeCells>
  <pageMargins left="0.25" right="0.25" top="0.75" bottom="0.75" header="0.3" footer="0.3"/>
  <pageSetup scale="58" orientation="landscape" r:id="rId1"/>
  <headerFooter alignWithMargins="0">
    <oddHeader>&amp;LFirm Name:
Contract Number:&amp;CContract Description:&amp;R&amp;D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Rates</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Gretchen</dc:creator>
  <cp:lastModifiedBy>West, Gretchen</cp:lastModifiedBy>
  <cp:lastPrinted>2024-06-28T16:29:35Z</cp:lastPrinted>
  <dcterms:created xsi:type="dcterms:W3CDTF">2023-06-23T18:05:39Z</dcterms:created>
  <dcterms:modified xsi:type="dcterms:W3CDTF">2024-06-28T16:30:44Z</dcterms:modified>
</cp:coreProperties>
</file>