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howInkAnnotation="0" codeName="ThisWorkbook" defaultThemeVersion="124226"/>
  <mc:AlternateContent xmlns:mc="http://schemas.openxmlformats.org/markup-compatibility/2006">
    <mc:Choice Requires="x15">
      <x15ac:absPath xmlns:x15ac="http://schemas.microsoft.com/office/spreadsheetml/2010/11/ac" url="C:\Users\amazumder\Downloads\"/>
    </mc:Choice>
  </mc:AlternateContent>
  <xr:revisionPtr revIDLastSave="0" documentId="13_ncr:1_{274FDECF-81BF-493D-984C-84317ACF9AB5}" xr6:coauthVersionLast="47" xr6:coauthVersionMax="47" xr10:uidLastSave="{00000000-0000-0000-0000-000000000000}"/>
  <workbookProtection workbookAlgorithmName="SHA-512" workbookHashValue="orAtxBjeAa9qeqM8HgZiEagWfa5fZsVgzGt9v9Y4RTtsway/fJRbXW48HhH2p3tATQxR7rQS3OEj1Gn55v7S1g==" workbookSaltValue="nXNIQ5ub7H3IMSnzrUdyuQ==" workbookSpinCount="100000" lockStructure="1"/>
  <bookViews>
    <workbookView xWindow="-120" yWindow="-120" windowWidth="29040" windowHeight="15720" tabRatio="834" firstSheet="1" activeTab="1" xr2:uid="{00000000-000D-0000-FFFF-FFFF00000000}"/>
  </bookViews>
  <sheets>
    <sheet name="TRIAL BATCH WORKSHEET OG" sheetId="9" state="hidden" r:id="rId1"/>
    <sheet name="CMDS" sheetId="1" r:id="rId2"/>
    <sheet name="FBMD" sheetId="16" r:id="rId3"/>
    <sheet name="Gradation" sheetId="13" r:id="rId4"/>
    <sheet name="Contract Log" sheetId="18" r:id="rId5"/>
    <sheet name="TRIAL BATCH WORKSHEET" sheetId="21" r:id="rId6"/>
    <sheet name="Water-Cem Ratio &amp; Slump Limits" sheetId="20" state="hidden" r:id="rId7"/>
    <sheet name="Sheet2" sheetId="2" state="hidden" r:id="rId8"/>
    <sheet name="AGG SOURCES" sheetId="15" state="hidden" r:id="rId9"/>
    <sheet name="CEMENT &amp; POZZOLAN SOURCES" sheetId="11" state="hidden" r:id="rId10"/>
    <sheet name="ADMIXTURES" sheetId="12" state="hidden" r:id="rId11"/>
    <sheet name="Contract Approval Log" sheetId="4" state="hidden" r:id="rId12"/>
    <sheet name="Items List" sheetId="19" state="hidden" r:id="rId13"/>
  </sheets>
  <externalReferences>
    <externalReference r:id="rId14"/>
    <externalReference r:id="rId15"/>
  </externalReferences>
  <definedNames>
    <definedName name="_xlnm._FilterDatabase" localSheetId="1" hidden="1">CMDS!$A$27:$P$48</definedName>
    <definedName name="_xlnm._FilterDatabase" localSheetId="2" hidden="1">FBMD!$A$27:$P$47</definedName>
    <definedName name="Admix">'[1]SM652 English'!$AQ$68:$BA$79</definedName>
    <definedName name="Admixsrc">'[1]SM652 English'!$A$200:$BX$347</definedName>
    <definedName name="Air">'[1]SM652 English'!$A$154:$AG$195</definedName>
    <definedName name="Calcium">'[1]SM652 English'!$A$350:$N$391</definedName>
    <definedName name="calmet">#REF!</definedName>
    <definedName name="CASrc">'[1]SM652 English'!$CP$62:$IS$90</definedName>
    <definedName name="Cement">'[1]SM652 English'!$AD$67:$AN$76</definedName>
    <definedName name="Cementsrc">'[1]SM652 English'!$A$125:$AC$153</definedName>
    <definedName name="Coarse">'[1]SM652 English'!$BC$61:$BM$86</definedName>
    <definedName name="Consrc">'[1]SM652 English'!$BQ$62:$CL$111</definedName>
    <definedName name="FASrc">'[1]SM652 English'!$CP$98:$EV$117</definedName>
    <definedName name="Fine">'[1]SM652 English'!$AQ$61:$BA$66</definedName>
    <definedName name="Miscagg">'[1]SM652 (ICC)'!$AK$131:$AW$145</definedName>
    <definedName name="OLE_LINK1" localSheetId="10">ADMIXTURES!$H$324</definedName>
    <definedName name="Pozzolan">'[1]SM652 English'!$AD$61:$AN$66</definedName>
    <definedName name="Pozzsrc">'[1]SM652 English'!$A$90:$BA$124</definedName>
    <definedName name="_xlnm.Print_Area" localSheetId="1">CMDS!$A$1:$AI$60</definedName>
    <definedName name="_xlnm.Print_Area" localSheetId="11">'Contract Approval Log'!$A$1:$AG$26</definedName>
    <definedName name="_xlnm.Print_Area" localSheetId="4">'Contract Log'!$A$1:$H$85</definedName>
    <definedName name="_xlnm.Print_Area" localSheetId="2">FBMD!$A$1:$AI$57</definedName>
    <definedName name="_xlnm.Print_Area" localSheetId="3">Gradation!$A$22:$Q$89</definedName>
    <definedName name="_xlnm.Print_Area" localSheetId="7">Sheet2!$A$1:$AC$56</definedName>
    <definedName name="_xlnm.Print_Area" localSheetId="5">'TRIAL BATCH WORKSHEET'!$A$1:$AC$167</definedName>
    <definedName name="_xlnm.Print_Area" localSheetId="0">'TRIAL BATCH WORKSHEET OG'!$A$1:$AC$167</definedName>
    <definedName name="_xlnm.Print_Titles" localSheetId="4">'Contract Log'!$1:$10</definedName>
    <definedName name="VMA" localSheetId="2">FBMD!$R$7:$S$12</definedName>
    <definedName name="VMA">CMDS!$R$7:$S$12</definedName>
  </definedNames>
  <calcPr calcId="191028"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9" i="21" l="1"/>
  <c r="A55" i="21"/>
  <c r="J2" i="21"/>
  <c r="P2" i="21"/>
  <c r="B67" i="21"/>
  <c r="B66" i="21"/>
  <c r="B65" i="21"/>
  <c r="B64" i="21"/>
  <c r="B63" i="21"/>
  <c r="D56" i="21"/>
  <c r="D55" i="21"/>
  <c r="D54" i="21"/>
  <c r="D53" i="21"/>
  <c r="D52" i="21"/>
  <c r="D51" i="21"/>
  <c r="D50" i="21"/>
  <c r="D49" i="21"/>
  <c r="D48" i="21"/>
  <c r="D47" i="21"/>
  <c r="H21" i="21"/>
  <c r="H20" i="21"/>
  <c r="H18" i="21"/>
  <c r="H17" i="21"/>
  <c r="H15" i="21"/>
  <c r="H14" i="21"/>
  <c r="F4" i="21" l="1"/>
  <c r="Z75" i="21"/>
  <c r="Y167" i="21"/>
  <c r="G149" i="21"/>
  <c r="F124" i="21"/>
  <c r="T113" i="21"/>
  <c r="K113" i="21"/>
  <c r="T110" i="21"/>
  <c r="K110" i="21"/>
  <c r="T107" i="21"/>
  <c r="K107" i="21"/>
  <c r="T104" i="21"/>
  <c r="K104" i="21"/>
  <c r="T101" i="21"/>
  <c r="K101" i="21"/>
  <c r="T98" i="21"/>
  <c r="K98" i="21"/>
  <c r="T88" i="21"/>
  <c r="T89" i="21" s="1"/>
  <c r="N88" i="21"/>
  <c r="N89" i="21" s="1"/>
  <c r="H88" i="21"/>
  <c r="H89" i="21" s="1"/>
  <c r="H86" i="21"/>
  <c r="T85" i="21"/>
  <c r="T86" i="21" s="1"/>
  <c r="T91" i="21" s="1"/>
  <c r="N85" i="21"/>
  <c r="N86" i="21" s="1"/>
  <c r="N91" i="21" s="1"/>
  <c r="H85" i="21"/>
  <c r="T84" i="21"/>
  <c r="N84" i="21"/>
  <c r="H84" i="21"/>
  <c r="U67" i="21"/>
  <c r="U66" i="21"/>
  <c r="U65" i="21"/>
  <c r="U64" i="21"/>
  <c r="U63" i="21"/>
  <c r="T57" i="21"/>
  <c r="H91" i="21" s="1"/>
  <c r="N56" i="21"/>
  <c r="N55" i="21"/>
  <c r="I55" i="21"/>
  <c r="Q55" i="21" s="1"/>
  <c r="N54" i="21"/>
  <c r="N53" i="21"/>
  <c r="N52" i="21"/>
  <c r="I51" i="21"/>
  <c r="N50" i="21"/>
  <c r="I50" i="21"/>
  <c r="Q50" i="21" s="1"/>
  <c r="N49" i="21"/>
  <c r="N48" i="21"/>
  <c r="N51" i="21" s="1"/>
  <c r="W48" i="21"/>
  <c r="U33" i="21"/>
  <c r="O19" i="21" s="1"/>
  <c r="S33" i="21"/>
  <c r="O16" i="21" s="1"/>
  <c r="Q33" i="21"/>
  <c r="O33" i="21"/>
  <c r="H19" i="21" s="1"/>
  <c r="M33" i="21"/>
  <c r="H16" i="21" s="1"/>
  <c r="AC32" i="21"/>
  <c r="AA32" i="21"/>
  <c r="Y32" i="21"/>
  <c r="W32" i="21"/>
  <c r="U32" i="21"/>
  <c r="S32" i="21"/>
  <c r="Q32" i="21"/>
  <c r="O32" i="21"/>
  <c r="M32" i="21"/>
  <c r="AC30" i="21"/>
  <c r="AC33" i="21" s="1"/>
  <c r="V22" i="21" s="1"/>
  <c r="AA30" i="21"/>
  <c r="AA33" i="21" s="1"/>
  <c r="V19" i="21" s="1"/>
  <c r="Y30" i="21"/>
  <c r="Y33" i="21" s="1"/>
  <c r="V16" i="21" s="1"/>
  <c r="W30" i="21"/>
  <c r="W33" i="21" s="1"/>
  <c r="O22" i="21" s="1"/>
  <c r="U30" i="21"/>
  <c r="S30" i="21"/>
  <c r="Q30" i="21"/>
  <c r="O30" i="21"/>
  <c r="M30" i="21"/>
  <c r="H22" i="21"/>
  <c r="I54" i="21" s="1"/>
  <c r="O21" i="21"/>
  <c r="V21" i="21" s="1"/>
  <c r="O20" i="21"/>
  <c r="V20" i="21" s="1"/>
  <c r="O18" i="21"/>
  <c r="V18" i="21" s="1"/>
  <c r="O17" i="21"/>
  <c r="V17" i="21" s="1"/>
  <c r="O15" i="21"/>
  <c r="V15" i="21" s="1"/>
  <c r="O14" i="21"/>
  <c r="V14" i="21" s="1"/>
  <c r="BN16" i="1"/>
  <c r="BN17" i="1"/>
  <c r="BN15" i="1"/>
  <c r="C23" i="20"/>
  <c r="B23" i="20"/>
  <c r="C20" i="20"/>
  <c r="B20" i="20"/>
  <c r="C18" i="20"/>
  <c r="B18" i="20"/>
  <c r="C24" i="20"/>
  <c r="C22" i="20"/>
  <c r="C21" i="20"/>
  <c r="C19" i="20"/>
  <c r="C17" i="20"/>
  <c r="C16" i="20"/>
  <c r="C15" i="20"/>
  <c r="C13" i="20"/>
  <c r="C12" i="20"/>
  <c r="B24" i="20"/>
  <c r="B22" i="20"/>
  <c r="B21" i="20"/>
  <c r="B19" i="20"/>
  <c r="B17" i="20"/>
  <c r="B16" i="20"/>
  <c r="B15" i="20"/>
  <c r="B14" i="20"/>
  <c r="B13" i="20"/>
  <c r="B12" i="20"/>
  <c r="C42" i="1"/>
  <c r="E24" i="20"/>
  <c r="D24" i="20"/>
  <c r="E23" i="20"/>
  <c r="D23" i="20"/>
  <c r="E22" i="20"/>
  <c r="D22" i="20"/>
  <c r="E21" i="20"/>
  <c r="D21" i="20"/>
  <c r="E20" i="20"/>
  <c r="D20" i="20"/>
  <c r="E19" i="20"/>
  <c r="D19" i="20"/>
  <c r="E18" i="20"/>
  <c r="D18" i="20"/>
  <c r="E17" i="20"/>
  <c r="D17" i="20"/>
  <c r="E16" i="20"/>
  <c r="D16" i="20"/>
  <c r="E15" i="20"/>
  <c r="D15" i="20"/>
  <c r="D14" i="20"/>
  <c r="E13" i="20"/>
  <c r="D13" i="20"/>
  <c r="E12" i="20"/>
  <c r="D12" i="20"/>
  <c r="E11" i="20"/>
  <c r="C11" i="20" s="1"/>
  <c r="E10" i="20"/>
  <c r="C10" i="20" s="1"/>
  <c r="E9" i="20"/>
  <c r="C9" i="20" s="1"/>
  <c r="E6" i="20"/>
  <c r="C6" i="20" s="1"/>
  <c r="E5" i="20"/>
  <c r="C5" i="20" s="1"/>
  <c r="D57" i="21" l="1"/>
  <c r="I48" i="21"/>
  <c r="Q48" i="21" s="1"/>
  <c r="N81" i="21"/>
  <c r="I52" i="21"/>
  <c r="G39" i="21" s="1"/>
  <c r="I53" i="21"/>
  <c r="I39" i="21" s="1"/>
  <c r="W50" i="21"/>
  <c r="Q39" i="21"/>
  <c r="K39" i="21"/>
  <c r="Q54" i="21"/>
  <c r="W54" i="21" s="1"/>
  <c r="W39" i="21"/>
  <c r="T81" i="21"/>
  <c r="Q51" i="21"/>
  <c r="I49" i="21"/>
  <c r="Q49" i="21" s="1"/>
  <c r="W49" i="21" s="1"/>
  <c r="H81" i="21"/>
  <c r="W51" i="21"/>
  <c r="I47" i="21"/>
  <c r="BO15" i="1"/>
  <c r="AA57" i="16"/>
  <c r="Y167" i="9"/>
  <c r="Z75" i="9"/>
  <c r="H7" i="18"/>
  <c r="E5" i="18"/>
  <c r="E4" i="18"/>
  <c r="AA40" i="1"/>
  <c r="AA38" i="1"/>
  <c r="H6" i="18" s="1"/>
  <c r="O1" i="13"/>
  <c r="G85" i="18"/>
  <c r="AA34" i="1"/>
  <c r="T19" i="13"/>
  <c r="O39" i="21" l="1"/>
  <c r="U39" i="21"/>
  <c r="S39" i="21"/>
  <c r="I56" i="21"/>
  <c r="Q56" i="21" s="1"/>
  <c r="W56" i="21" s="1"/>
  <c r="M39" i="21"/>
  <c r="Q52" i="21"/>
  <c r="W52" i="21" s="1"/>
  <c r="Q53" i="21"/>
  <c r="W53" i="21" s="1"/>
  <c r="Q47" i="21"/>
  <c r="G41" i="2"/>
  <c r="G34" i="2"/>
  <c r="G27" i="2"/>
  <c r="G23" i="2"/>
  <c r="G16" i="2"/>
  <c r="G8" i="2"/>
  <c r="H5" i="18"/>
  <c r="F49" i="18"/>
  <c r="F48" i="18"/>
  <c r="F47" i="18"/>
  <c r="F46" i="18"/>
  <c r="F45" i="18"/>
  <c r="F44" i="18"/>
  <c r="F43" i="18"/>
  <c r="F42" i="18"/>
  <c r="F41" i="18"/>
  <c r="F40" i="18"/>
  <c r="F39" i="18"/>
  <c r="F38" i="18"/>
  <c r="F37" i="18"/>
  <c r="F65" i="18"/>
  <c r="F64" i="18"/>
  <c r="F63" i="18"/>
  <c r="F62" i="18"/>
  <c r="F61" i="18"/>
  <c r="F60" i="18"/>
  <c r="F59" i="18"/>
  <c r="F58" i="18"/>
  <c r="F57" i="18"/>
  <c r="F56" i="18"/>
  <c r="F55" i="18"/>
  <c r="F54" i="18"/>
  <c r="F53" i="18"/>
  <c r="F52" i="18"/>
  <c r="F51" i="18"/>
  <c r="F50" i="18"/>
  <c r="A85" i="18"/>
  <c r="F84" i="18"/>
  <c r="F83" i="18"/>
  <c r="F82" i="18"/>
  <c r="F81" i="18"/>
  <c r="F80" i="18"/>
  <c r="F79" i="18"/>
  <c r="F78" i="18"/>
  <c r="F77" i="18"/>
  <c r="F76" i="18"/>
  <c r="F75" i="18"/>
  <c r="F74" i="18"/>
  <c r="F73" i="18"/>
  <c r="F72" i="18"/>
  <c r="F71" i="18"/>
  <c r="F70" i="18"/>
  <c r="F69" i="18"/>
  <c r="F68" i="18"/>
  <c r="F67" i="18"/>
  <c r="F66" i="18"/>
  <c r="F36" i="18"/>
  <c r="F35" i="18"/>
  <c r="F34" i="18"/>
  <c r="F33" i="18"/>
  <c r="F32" i="18"/>
  <c r="F31" i="18"/>
  <c r="F30" i="18"/>
  <c r="F29" i="18"/>
  <c r="F28" i="18"/>
  <c r="F27" i="18"/>
  <c r="F26" i="18"/>
  <c r="F25" i="18"/>
  <c r="F24" i="18"/>
  <c r="F23" i="18"/>
  <c r="F22" i="18"/>
  <c r="F21" i="18"/>
  <c r="F20" i="18"/>
  <c r="F19" i="18"/>
  <c r="F18" i="18"/>
  <c r="F17" i="18"/>
  <c r="F16" i="18"/>
  <c r="F15" i="18"/>
  <c r="F14" i="18"/>
  <c r="F13" i="18"/>
  <c r="F12" i="18"/>
  <c r="F11" i="18"/>
  <c r="U24" i="1"/>
  <c r="U23" i="1"/>
  <c r="U22" i="1"/>
  <c r="U21" i="1"/>
  <c r="U20" i="1"/>
  <c r="E7" i="18"/>
  <c r="E6" i="18"/>
  <c r="E8" i="18"/>
  <c r="C4" i="18"/>
  <c r="C5" i="18"/>
  <c r="C6" i="18"/>
  <c r="C7" i="18"/>
  <c r="C8" i="18"/>
  <c r="E3" i="18"/>
  <c r="I57" i="21" l="1"/>
  <c r="O64" i="21"/>
  <c r="O66" i="21"/>
  <c r="Q57" i="21"/>
  <c r="W47" i="21"/>
  <c r="O65" i="21"/>
  <c r="O67" i="21"/>
  <c r="O63" i="21"/>
  <c r="H8" i="18"/>
  <c r="AR6" i="1"/>
  <c r="V5" i="1"/>
  <c r="N30" i="16"/>
  <c r="N31" i="16"/>
  <c r="N32" i="16"/>
  <c r="N33" i="16"/>
  <c r="N34" i="16"/>
  <c r="N35" i="16"/>
  <c r="AA41" i="16" s="1"/>
  <c r="AR115" i="16" s="1"/>
  <c r="N36" i="16"/>
  <c r="AR91" i="16" s="1"/>
  <c r="N38" i="16"/>
  <c r="N39" i="16"/>
  <c r="N41" i="16"/>
  <c r="AR99" i="16" s="1"/>
  <c r="N42" i="16"/>
  <c r="AR100" i="16" s="1"/>
  <c r="AQ117" i="16"/>
  <c r="AQ116" i="16"/>
  <c r="AQ101" i="16"/>
  <c r="AR98" i="16"/>
  <c r="AR96" i="16"/>
  <c r="AR95" i="16"/>
  <c r="AR94" i="16"/>
  <c r="AR93" i="16"/>
  <c r="AR92" i="16"/>
  <c r="AR90" i="16"/>
  <c r="AR89" i="16"/>
  <c r="AR88" i="16"/>
  <c r="AR86" i="16"/>
  <c r="AR85" i="16"/>
  <c r="AR84" i="16"/>
  <c r="AR82" i="16"/>
  <c r="AR81" i="16"/>
  <c r="AR79" i="16"/>
  <c r="AR78" i="16"/>
  <c r="AR76" i="16"/>
  <c r="AR75" i="16"/>
  <c r="AR73" i="16"/>
  <c r="AR72" i="16"/>
  <c r="AR70" i="16"/>
  <c r="AR69" i="16"/>
  <c r="AR68" i="16"/>
  <c r="AR67" i="16"/>
  <c r="AR66" i="16"/>
  <c r="AR65" i="16"/>
  <c r="AR64" i="16"/>
  <c r="AR61" i="16"/>
  <c r="AR56" i="16"/>
  <c r="AR51" i="16"/>
  <c r="AR46" i="16"/>
  <c r="M46" i="16"/>
  <c r="AA43" i="16"/>
  <c r="AR117" i="16" s="1"/>
  <c r="S43" i="16"/>
  <c r="E43" i="16"/>
  <c r="AR101" i="16" s="1"/>
  <c r="AR42" i="16"/>
  <c r="S42" i="16"/>
  <c r="AA42" i="16" s="1"/>
  <c r="AR116" i="16" s="1"/>
  <c r="AR41" i="16"/>
  <c r="AR40" i="16"/>
  <c r="AA40" i="16"/>
  <c r="AR114" i="16" s="1"/>
  <c r="AR39" i="16"/>
  <c r="AR97" i="16"/>
  <c r="AA38" i="16"/>
  <c r="AR112" i="16" s="1"/>
  <c r="AR36" i="16"/>
  <c r="AR35" i="16"/>
  <c r="AA34" i="16"/>
  <c r="AR109" i="16" s="1"/>
  <c r="AR83" i="16"/>
  <c r="AR33" i="16"/>
  <c r="AR80" i="16"/>
  <c r="AR32" i="16"/>
  <c r="AR74" i="16"/>
  <c r="AR30" i="16"/>
  <c r="AA30" i="16"/>
  <c r="AR105" i="16" s="1"/>
  <c r="AR29" i="16"/>
  <c r="AR28" i="16"/>
  <c r="AR27" i="16"/>
  <c r="AR26" i="16"/>
  <c r="AB26" i="16"/>
  <c r="Z26" i="16"/>
  <c r="V26" i="16"/>
  <c r="S26" i="16"/>
  <c r="L26" i="16"/>
  <c r="A26" i="16"/>
  <c r="X24" i="16"/>
  <c r="AR63" i="16" s="1"/>
  <c r="U24" i="16"/>
  <c r="AR62" i="16" s="1"/>
  <c r="D24" i="16"/>
  <c r="AR60" i="16" s="1"/>
  <c r="A24" i="16"/>
  <c r="AR59" i="16" s="1"/>
  <c r="X23" i="16"/>
  <c r="U23" i="16"/>
  <c r="D23" i="16"/>
  <c r="A23" i="16"/>
  <c r="AR22" i="16"/>
  <c r="X22" i="16"/>
  <c r="AR58" i="16" s="1"/>
  <c r="U22" i="16"/>
  <c r="AR57" i="16" s="1"/>
  <c r="D22" i="16"/>
  <c r="AR55" i="16" s="1"/>
  <c r="A22" i="16"/>
  <c r="AR54" i="16" s="1"/>
  <c r="AR21" i="16"/>
  <c r="X21" i="16"/>
  <c r="AR53" i="16" s="1"/>
  <c r="U21" i="16"/>
  <c r="AR52" i="16" s="1"/>
  <c r="D21" i="16"/>
  <c r="A21" i="16"/>
  <c r="AR49" i="16" s="1"/>
  <c r="AR20" i="16"/>
  <c r="X20" i="16"/>
  <c r="AR48" i="16" s="1"/>
  <c r="U20" i="16"/>
  <c r="AR47" i="16" s="1"/>
  <c r="D20" i="16"/>
  <c r="AR44" i="16" s="1"/>
  <c r="A20" i="16"/>
  <c r="AR43" i="16" s="1"/>
  <c r="AR19" i="16"/>
  <c r="AR18" i="16"/>
  <c r="A17" i="16"/>
  <c r="AR38" i="16" s="1"/>
  <c r="AR16" i="16"/>
  <c r="A16" i="16"/>
  <c r="AR34" i="16" s="1"/>
  <c r="AR15" i="16"/>
  <c r="A15" i="16"/>
  <c r="AR31" i="16" s="1"/>
  <c r="AR14" i="16"/>
  <c r="AR13" i="16"/>
  <c r="AR12" i="16"/>
  <c r="X12" i="16"/>
  <c r="S12" i="16"/>
  <c r="M12" i="16"/>
  <c r="AR10" i="16"/>
  <c r="AR9" i="16"/>
  <c r="AR8" i="16"/>
  <c r="AR7" i="16"/>
  <c r="AR6" i="16"/>
  <c r="G6" i="16"/>
  <c r="AR3" i="16" s="1"/>
  <c r="AR5" i="16"/>
  <c r="AR4" i="16"/>
  <c r="D22" i="1"/>
  <c r="D2" i="18" l="1"/>
  <c r="F4" i="9"/>
  <c r="AR77" i="16"/>
  <c r="AR102" i="16"/>
  <c r="AR87" i="16"/>
  <c r="AR71" i="16"/>
  <c r="A12" i="16"/>
  <c r="AR50" i="16"/>
  <c r="N42" i="1"/>
  <c r="Y7" i="13"/>
  <c r="Z7" i="13"/>
  <c r="Y8" i="13"/>
  <c r="Z8" i="13"/>
  <c r="Y9" i="13"/>
  <c r="Z9" i="13"/>
  <c r="Y10" i="13"/>
  <c r="Z10" i="13"/>
  <c r="Y11" i="13"/>
  <c r="Z11" i="13"/>
  <c r="Y12" i="13"/>
  <c r="Z12" i="13"/>
  <c r="Y13" i="13"/>
  <c r="Z13" i="13"/>
  <c r="Y14" i="13"/>
  <c r="Z14" i="13"/>
  <c r="Y15" i="13"/>
  <c r="Z15" i="13"/>
  <c r="Y16" i="13"/>
  <c r="Z16" i="13"/>
  <c r="Y17" i="13"/>
  <c r="Z17" i="13"/>
  <c r="Y18" i="13"/>
  <c r="Z18" i="13"/>
  <c r="Z6" i="13"/>
  <c r="Y6" i="13"/>
  <c r="X7" i="13"/>
  <c r="X8" i="13"/>
  <c r="X9" i="13"/>
  <c r="X10" i="13"/>
  <c r="X11" i="13"/>
  <c r="X12" i="13"/>
  <c r="X13" i="13"/>
  <c r="X14" i="13"/>
  <c r="X15" i="13"/>
  <c r="X16" i="13"/>
  <c r="X17" i="13"/>
  <c r="X18" i="13"/>
  <c r="X6" i="13"/>
  <c r="V7" i="13"/>
  <c r="V8" i="13"/>
  <c r="V9" i="13"/>
  <c r="V10" i="13"/>
  <c r="V11" i="13"/>
  <c r="V12" i="13"/>
  <c r="V13" i="13"/>
  <c r="V14" i="13"/>
  <c r="V15" i="13"/>
  <c r="V16" i="13"/>
  <c r="V17" i="13"/>
  <c r="V18" i="13"/>
  <c r="V6" i="13"/>
  <c r="T7" i="13"/>
  <c r="T8" i="13"/>
  <c r="T9" i="13"/>
  <c r="T10" i="13"/>
  <c r="T11" i="13"/>
  <c r="T12" i="13"/>
  <c r="T13" i="13"/>
  <c r="T14" i="13"/>
  <c r="T15" i="13"/>
  <c r="T16" i="13"/>
  <c r="T17" i="13"/>
  <c r="T18" i="13"/>
  <c r="T6" i="13"/>
  <c r="AF59" i="13"/>
  <c r="AF60" i="13" s="1"/>
  <c r="AF54" i="13"/>
  <c r="AF55" i="13" s="1"/>
  <c r="AF49" i="13"/>
  <c r="AF50" i="13" s="1"/>
  <c r="AF44" i="13"/>
  <c r="AF45" i="13" s="1"/>
  <c r="AA44" i="16" l="1"/>
  <c r="AR113" i="16"/>
  <c r="A137" i="15"/>
  <c r="A24" i="15" l="1"/>
  <c r="A23" i="15"/>
  <c r="A22" i="15"/>
  <c r="A21" i="15"/>
  <c r="A20" i="15"/>
  <c r="A19" i="15"/>
  <c r="A18" i="15"/>
  <c r="A25" i="15"/>
  <c r="A26" i="15"/>
  <c r="A27" i="15"/>
  <c r="A28" i="15"/>
  <c r="A29" i="15"/>
  <c r="A30" i="15"/>
  <c r="A31" i="15"/>
  <c r="A48" i="15" l="1"/>
  <c r="A47" i="15"/>
  <c r="A46" i="15"/>
  <c r="A45" i="15"/>
  <c r="A44" i="15"/>
  <c r="A43" i="15"/>
  <c r="A42" i="15"/>
  <c r="G149" i="9"/>
  <c r="F124" i="9"/>
  <c r="G18" i="13" l="1"/>
  <c r="I18" i="13"/>
  <c r="A4" i="15" l="1"/>
  <c r="B66" i="9"/>
  <c r="U65" i="9"/>
  <c r="B65" i="9"/>
  <c r="X23" i="1"/>
  <c r="D23" i="1"/>
  <c r="A23" i="1"/>
  <c r="A276" i="15"/>
  <c r="D21" i="1" l="1"/>
  <c r="A115" i="15"/>
  <c r="A143" i="15"/>
  <c r="A33" i="15"/>
  <c r="X24" i="1" l="1"/>
  <c r="X22" i="1"/>
  <c r="X21" i="1"/>
  <c r="X20" i="1"/>
  <c r="A24" i="1"/>
  <c r="A22" i="1"/>
  <c r="A21" i="1"/>
  <c r="A20" i="1"/>
  <c r="D24" i="1"/>
  <c r="D20" i="1"/>
  <c r="T113" i="9" l="1"/>
  <c r="T110" i="9"/>
  <c r="T107" i="9"/>
  <c r="T104" i="9"/>
  <c r="T101" i="9"/>
  <c r="T98" i="9"/>
  <c r="K113" i="9"/>
  <c r="K110" i="9"/>
  <c r="K107" i="9"/>
  <c r="K104" i="9"/>
  <c r="K101" i="9"/>
  <c r="K98" i="9"/>
  <c r="AA30" i="1" l="1"/>
  <c r="M46" i="1" l="1"/>
  <c r="A16" i="1" l="1"/>
  <c r="W30" i="9" l="1"/>
  <c r="W32" i="9"/>
  <c r="Q30" i="9"/>
  <c r="Q32" i="9"/>
  <c r="H18" i="9"/>
  <c r="H15" i="9"/>
  <c r="O15" i="9" s="1"/>
  <c r="V15" i="9" s="1"/>
  <c r="O30" i="9"/>
  <c r="O32" i="9"/>
  <c r="M30" i="9"/>
  <c r="M32" i="9"/>
  <c r="D54" i="9"/>
  <c r="D56" i="9"/>
  <c r="D52" i="9"/>
  <c r="D53" i="9"/>
  <c r="H21" i="9"/>
  <c r="O21" i="9" s="1"/>
  <c r="V21" i="9" s="1"/>
  <c r="Y30" i="9"/>
  <c r="Y32" i="9"/>
  <c r="AA30" i="9"/>
  <c r="AA32" i="9"/>
  <c r="AC30" i="9"/>
  <c r="AC32" i="9"/>
  <c r="S30" i="9"/>
  <c r="S32" i="9"/>
  <c r="U30" i="9"/>
  <c r="U32" i="9"/>
  <c r="H20" i="9"/>
  <c r="O20" i="9" s="1"/>
  <c r="V20" i="9" s="1"/>
  <c r="H17" i="9"/>
  <c r="O17" i="9" s="1"/>
  <c r="V17" i="9" s="1"/>
  <c r="H14" i="9"/>
  <c r="O14" i="9" s="1"/>
  <c r="V14" i="9" s="1"/>
  <c r="T85" i="9"/>
  <c r="N85" i="9"/>
  <c r="H85" i="9"/>
  <c r="G13" i="2"/>
  <c r="G43" i="2"/>
  <c r="G44" i="2"/>
  <c r="G31" i="2"/>
  <c r="G38" i="2"/>
  <c r="G9" i="2"/>
  <c r="T57" i="9"/>
  <c r="T84" i="9"/>
  <c r="N84" i="9"/>
  <c r="H84" i="9"/>
  <c r="D47" i="9"/>
  <c r="I47" i="9" s="1"/>
  <c r="Q47" i="9" s="1"/>
  <c r="D48" i="9"/>
  <c r="I48" i="9" s="1"/>
  <c r="D49" i="9"/>
  <c r="I49" i="9" s="1"/>
  <c r="D50" i="9"/>
  <c r="D51" i="9"/>
  <c r="I51" i="9" s="1"/>
  <c r="D55" i="9"/>
  <c r="I55" i="9" s="1"/>
  <c r="N56" i="9"/>
  <c r="N55" i="9"/>
  <c r="N54" i="9"/>
  <c r="N53" i="9"/>
  <c r="N52" i="9"/>
  <c r="T88" i="9"/>
  <c r="T89" i="9" s="1"/>
  <c r="A128" i="15"/>
  <c r="A8" i="15"/>
  <c r="A9" i="15"/>
  <c r="A10" i="15"/>
  <c r="A11" i="15"/>
  <c r="A12" i="15"/>
  <c r="A13" i="15"/>
  <c r="A17" i="15"/>
  <c r="A14" i="15"/>
  <c r="A15" i="15"/>
  <c r="A16" i="15"/>
  <c r="A112" i="15"/>
  <c r="A87" i="15"/>
  <c r="A32" i="15"/>
  <c r="A34" i="15"/>
  <c r="A35" i="15"/>
  <c r="A36" i="15"/>
  <c r="A37" i="15"/>
  <c r="A38" i="15"/>
  <c r="A39" i="15"/>
  <c r="A40" i="15"/>
  <c r="A41" i="15"/>
  <c r="A53" i="15"/>
  <c r="A61" i="15"/>
  <c r="A62" i="15"/>
  <c r="A63" i="15"/>
  <c r="A49" i="15"/>
  <c r="A64" i="15"/>
  <c r="A67" i="15"/>
  <c r="A68" i="15"/>
  <c r="A69" i="15"/>
  <c r="A72" i="15"/>
  <c r="A70" i="15"/>
  <c r="A71" i="15"/>
  <c r="A73" i="15"/>
  <c r="A50" i="15"/>
  <c r="A52" i="15"/>
  <c r="A51" i="15"/>
  <c r="A75" i="15"/>
  <c r="A76" i="15"/>
  <c r="A77" i="15"/>
  <c r="A74" i="15"/>
  <c r="A78" i="15"/>
  <c r="A251" i="15"/>
  <c r="A249" i="15"/>
  <c r="A252" i="15"/>
  <c r="A250" i="15"/>
  <c r="A253" i="15"/>
  <c r="A254" i="15"/>
  <c r="A256" i="15"/>
  <c r="A255" i="15"/>
  <c r="A257" i="15"/>
  <c r="A258" i="15"/>
  <c r="A274" i="15"/>
  <c r="A275" i="15"/>
  <c r="A79" i="15"/>
  <c r="A80" i="15"/>
  <c r="A81" i="15"/>
  <c r="A82" i="15"/>
  <c r="A83" i="15"/>
  <c r="A84" i="15"/>
  <c r="A85" i="15"/>
  <c r="A86" i="15"/>
  <c r="A89" i="15"/>
  <c r="A90" i="15"/>
  <c r="A93" i="15"/>
  <c r="A91" i="15"/>
  <c r="A94" i="15"/>
  <c r="A92" i="15"/>
  <c r="A95" i="15"/>
  <c r="A96" i="15"/>
  <c r="A97" i="15"/>
  <c r="A98" i="15"/>
  <c r="A99" i="15"/>
  <c r="A100" i="15"/>
  <c r="A101" i="15"/>
  <c r="A102" i="15"/>
  <c r="A103" i="15"/>
  <c r="A104" i="15"/>
  <c r="A105" i="15"/>
  <c r="A107" i="15"/>
  <c r="A106" i="15"/>
  <c r="A108" i="15"/>
  <c r="A109" i="15"/>
  <c r="A110" i="15"/>
  <c r="A111" i="15"/>
  <c r="A113" i="15"/>
  <c r="A114" i="15"/>
  <c r="A88" i="15"/>
  <c r="A116" i="15"/>
  <c r="A117" i="15"/>
  <c r="A118" i="15"/>
  <c r="A119" i="15"/>
  <c r="A120" i="15"/>
  <c r="A121" i="15"/>
  <c r="A122" i="15"/>
  <c r="A54" i="15"/>
  <c r="A55" i="15"/>
  <c r="A56" i="15"/>
  <c r="A57" i="15"/>
  <c r="A58" i="15"/>
  <c r="A59" i="15"/>
  <c r="A60" i="15"/>
  <c r="A65" i="15"/>
  <c r="A66" i="15"/>
  <c r="A123" i="15"/>
  <c r="A124" i="15"/>
  <c r="A125" i="15"/>
  <c r="A126" i="15"/>
  <c r="A127" i="15"/>
  <c r="A131" i="15"/>
  <c r="A132" i="15"/>
  <c r="A133" i="15"/>
  <c r="A134" i="15"/>
  <c r="A135" i="15"/>
  <c r="A136" i="15"/>
  <c r="A129" i="15"/>
  <c r="A138" i="15"/>
  <c r="A139" i="15"/>
  <c r="A140" i="15"/>
  <c r="A130" i="15"/>
  <c r="A141" i="15"/>
  <c r="A142" i="15"/>
  <c r="A144" i="15"/>
  <c r="A145" i="15"/>
  <c r="A146" i="15"/>
  <c r="A147" i="15"/>
  <c r="A149" i="15"/>
  <c r="A152" i="15"/>
  <c r="A178" i="15"/>
  <c r="A150" i="15"/>
  <c r="A179" i="15"/>
  <c r="A151" i="15"/>
  <c r="A148" i="15"/>
  <c r="A154" i="15"/>
  <c r="A159" i="15"/>
  <c r="A163" i="15"/>
  <c r="A160" i="15"/>
  <c r="A164" i="15"/>
  <c r="A161" i="15"/>
  <c r="A165" i="15"/>
  <c r="A166" i="15"/>
  <c r="A167" i="15"/>
  <c r="A168" i="15"/>
  <c r="A153" i="15"/>
  <c r="A170" i="15"/>
  <c r="A171" i="15"/>
  <c r="A173" i="15"/>
  <c r="A172" i="15"/>
  <c r="A174" i="15"/>
  <c r="A175" i="15"/>
  <c r="A176" i="15"/>
  <c r="A177" i="15"/>
  <c r="A155" i="15"/>
  <c r="A156" i="15"/>
  <c r="A157" i="15"/>
  <c r="A158" i="15"/>
  <c r="A162" i="15"/>
  <c r="A169" i="15"/>
  <c r="A180" i="15"/>
  <c r="A182" i="15"/>
  <c r="A183" i="15"/>
  <c r="A181" i="15"/>
  <c r="A184" i="15"/>
  <c r="A185" i="15"/>
  <c r="A186" i="15"/>
  <c r="A187" i="15"/>
  <c r="A188" i="15"/>
  <c r="A189" i="15"/>
  <c r="A191" i="15"/>
  <c r="A190" i="15"/>
  <c r="A192" i="15"/>
  <c r="A193" i="15"/>
  <c r="A194" i="15"/>
  <c r="A195" i="15"/>
  <c r="A196" i="15"/>
  <c r="A197" i="15"/>
  <c r="A198" i="15"/>
  <c r="A199" i="15"/>
  <c r="A200" i="15"/>
  <c r="A201" i="15"/>
  <c r="A202" i="15"/>
  <c r="A203" i="15"/>
  <c r="A204" i="15"/>
  <c r="A205" i="15"/>
  <c r="A206" i="15"/>
  <c r="A207" i="15"/>
  <c r="A208" i="15"/>
  <c r="A209" i="15"/>
  <c r="A210" i="15"/>
  <c r="A211" i="15"/>
  <c r="A214" i="15"/>
  <c r="A215" i="15"/>
  <c r="A216" i="15"/>
  <c r="A217" i="15"/>
  <c r="A218" i="15"/>
  <c r="A212" i="15"/>
  <c r="A213" i="15"/>
  <c r="A219" i="15"/>
  <c r="A220" i="15"/>
  <c r="A221" i="15"/>
  <c r="A222" i="15"/>
  <c r="A223" i="15"/>
  <c r="A224" i="15"/>
  <c r="A225" i="15"/>
  <c r="A226" i="15"/>
  <c r="A227" i="15"/>
  <c r="A228" i="15"/>
  <c r="A229" i="15"/>
  <c r="A230" i="15"/>
  <c r="A231" i="15"/>
  <c r="A232" i="15"/>
  <c r="A233" i="15"/>
  <c r="A234" i="15"/>
  <c r="A235" i="15"/>
  <c r="A236" i="15"/>
  <c r="A237" i="15"/>
  <c r="A238" i="15"/>
  <c r="A239" i="15"/>
  <c r="A240" i="15"/>
  <c r="A241" i="15"/>
  <c r="A242" i="15"/>
  <c r="A243" i="15"/>
  <c r="A244" i="15"/>
  <c r="A245" i="15"/>
  <c r="A247" i="15"/>
  <c r="A246" i="15"/>
  <c r="A248" i="15"/>
  <c r="A259" i="15"/>
  <c r="A260" i="15"/>
  <c r="A261" i="15"/>
  <c r="A262" i="15"/>
  <c r="A263" i="15"/>
  <c r="A265" i="15"/>
  <c r="A266" i="15"/>
  <c r="A267" i="15"/>
  <c r="A268" i="15"/>
  <c r="A270" i="15"/>
  <c r="A271" i="15"/>
  <c r="A272" i="15"/>
  <c r="A273" i="15"/>
  <c r="A269" i="15"/>
  <c r="A277" i="15"/>
  <c r="A264" i="15"/>
  <c r="A278" i="15"/>
  <c r="A279" i="15"/>
  <c r="A280" i="15"/>
  <c r="A281" i="15"/>
  <c r="A282" i="15"/>
  <c r="A283" i="15"/>
  <c r="A284" i="15"/>
  <c r="A7" i="15"/>
  <c r="A6" i="15"/>
  <c r="A5" i="15"/>
  <c r="A3" i="15"/>
  <c r="A2" i="15"/>
  <c r="A1" i="15"/>
  <c r="AR68" i="1"/>
  <c r="AR66" i="1"/>
  <c r="AR67" i="1"/>
  <c r="AR65" i="1"/>
  <c r="AR64" i="1"/>
  <c r="AR63" i="1"/>
  <c r="AR62" i="1"/>
  <c r="AR61" i="1"/>
  <c r="AR60" i="1"/>
  <c r="AR59" i="1"/>
  <c r="AR57" i="1"/>
  <c r="AR56" i="1"/>
  <c r="AR55" i="1"/>
  <c r="AR54" i="1"/>
  <c r="AR52" i="1"/>
  <c r="AR51" i="1"/>
  <c r="AR50" i="1"/>
  <c r="AR48" i="1"/>
  <c r="AR47" i="1"/>
  <c r="AR49" i="1"/>
  <c r="AR46" i="1"/>
  <c r="AR43" i="1"/>
  <c r="AR39" i="1"/>
  <c r="AR40" i="1"/>
  <c r="AR32" i="1"/>
  <c r="A15" i="1"/>
  <c r="AR31" i="1" s="1"/>
  <c r="AR26" i="1"/>
  <c r="AR18" i="1"/>
  <c r="AR12" i="1"/>
  <c r="AR53" i="1"/>
  <c r="AR58" i="1"/>
  <c r="A26" i="1"/>
  <c r="N30" i="1"/>
  <c r="N31" i="1"/>
  <c r="AR74" i="1" s="1"/>
  <c r="N35" i="1"/>
  <c r="N36" i="1"/>
  <c r="N41" i="1"/>
  <c r="AR99" i="1" s="1"/>
  <c r="N32" i="1"/>
  <c r="AR77" i="1" s="1"/>
  <c r="N33" i="1"/>
  <c r="AR80" i="1" s="1"/>
  <c r="N34" i="1"/>
  <c r="AR83" i="1" s="1"/>
  <c r="N38" i="1"/>
  <c r="AR95" i="1" s="1"/>
  <c r="N39" i="1"/>
  <c r="AR97" i="1" s="1"/>
  <c r="AR100" i="1"/>
  <c r="V26" i="1"/>
  <c r="L26" i="1"/>
  <c r="S26" i="1"/>
  <c r="AB26" i="1"/>
  <c r="Z26" i="1"/>
  <c r="N48" i="9"/>
  <c r="N51" i="9" s="1"/>
  <c r="N49" i="9"/>
  <c r="N50" i="9"/>
  <c r="U67" i="9"/>
  <c r="B67" i="9"/>
  <c r="A17" i="1"/>
  <c r="AR38" i="1" s="1"/>
  <c r="AR34" i="1"/>
  <c r="D11" i="13"/>
  <c r="G11" i="13"/>
  <c r="I11" i="13"/>
  <c r="C3" i="13"/>
  <c r="F3" i="13"/>
  <c r="H3" i="13"/>
  <c r="D15" i="13"/>
  <c r="G15" i="13"/>
  <c r="I15" i="13"/>
  <c r="D16" i="13"/>
  <c r="G16" i="13"/>
  <c r="I16" i="13"/>
  <c r="D17" i="13"/>
  <c r="G17" i="13"/>
  <c r="I17" i="13"/>
  <c r="D18" i="13"/>
  <c r="D13" i="13"/>
  <c r="G13" i="13"/>
  <c r="I13" i="13"/>
  <c r="D14" i="13"/>
  <c r="G14" i="13"/>
  <c r="I14" i="13"/>
  <c r="D12" i="13"/>
  <c r="E12" i="13" s="1"/>
  <c r="G12" i="13"/>
  <c r="D10" i="13"/>
  <c r="G10" i="13"/>
  <c r="I10" i="13"/>
  <c r="D6" i="13"/>
  <c r="G6" i="13"/>
  <c r="I6" i="13"/>
  <c r="D7" i="13"/>
  <c r="G7" i="13"/>
  <c r="I7" i="13"/>
  <c r="D8" i="13"/>
  <c r="G8" i="13"/>
  <c r="I8" i="13"/>
  <c r="I9" i="13"/>
  <c r="D9" i="13"/>
  <c r="G9" i="13"/>
  <c r="I12" i="13"/>
  <c r="B64" i="9"/>
  <c r="B63" i="9"/>
  <c r="Q16" i="4"/>
  <c r="E43" i="1"/>
  <c r="AR101" i="1" s="1"/>
  <c r="AR35" i="1"/>
  <c r="AR82" i="1"/>
  <c r="AR81" i="1"/>
  <c r="AR10" i="1"/>
  <c r="AR9" i="1"/>
  <c r="AQ117" i="1"/>
  <c r="AQ116" i="1"/>
  <c r="AQ101" i="1"/>
  <c r="AR98" i="1"/>
  <c r="AR96" i="1"/>
  <c r="AR94" i="1"/>
  <c r="AR93" i="1"/>
  <c r="AR92" i="1"/>
  <c r="AR90" i="1"/>
  <c r="AR89" i="1"/>
  <c r="AR88" i="1"/>
  <c r="AR86" i="1"/>
  <c r="AR85" i="1"/>
  <c r="AR84" i="1"/>
  <c r="AR79" i="1"/>
  <c r="AR78" i="1"/>
  <c r="AR76" i="1"/>
  <c r="AR75" i="1"/>
  <c r="AR73" i="1"/>
  <c r="AR72" i="1"/>
  <c r="AR70" i="1"/>
  <c r="AR69" i="1"/>
  <c r="AR42" i="1"/>
  <c r="AR41" i="1"/>
  <c r="AR36" i="1"/>
  <c r="AR33" i="1"/>
  <c r="AR30" i="1"/>
  <c r="AR29" i="1"/>
  <c r="AR28" i="1"/>
  <c r="AR27" i="1"/>
  <c r="AR22" i="1"/>
  <c r="AR21" i="1"/>
  <c r="AR20" i="1"/>
  <c r="AR19" i="1"/>
  <c r="AR16" i="1"/>
  <c r="AR15" i="1"/>
  <c r="AR14" i="1"/>
  <c r="AR13" i="1"/>
  <c r="AR8" i="1"/>
  <c r="AR7" i="1"/>
  <c r="AR5" i="1"/>
  <c r="AR4" i="1"/>
  <c r="AR3" i="1"/>
  <c r="P2" i="9"/>
  <c r="J2" i="9"/>
  <c r="N88" i="9"/>
  <c r="N89" i="9" s="1"/>
  <c r="H88" i="9"/>
  <c r="H89" i="9" s="1"/>
  <c r="A16" i="4"/>
  <c r="U16" i="4"/>
  <c r="G16" i="4"/>
  <c r="G4" i="4"/>
  <c r="H3" i="4"/>
  <c r="B79" i="9"/>
  <c r="A55" i="9"/>
  <c r="U66" i="9"/>
  <c r="G24" i="2"/>
  <c r="M16" i="4"/>
  <c r="J16" i="4"/>
  <c r="AR114" i="1"/>
  <c r="G8" i="4"/>
  <c r="G7" i="4"/>
  <c r="F5" i="4"/>
  <c r="A6" i="2"/>
  <c r="J6" i="2" s="1"/>
  <c r="A5" i="2"/>
  <c r="J5" i="2" s="1"/>
  <c r="A4" i="2"/>
  <c r="J4" i="2" s="1"/>
  <c r="A3" i="2"/>
  <c r="J3" i="2" s="1"/>
  <c r="U64" i="9"/>
  <c r="U63" i="9"/>
  <c r="A9" i="1" l="1"/>
  <c r="AR11" i="1" s="1"/>
  <c r="A11" i="1"/>
  <c r="AR25" i="1" s="1"/>
  <c r="A10" i="1"/>
  <c r="AR17" i="1" s="1"/>
  <c r="A9" i="16"/>
  <c r="AR11" i="16" s="1"/>
  <c r="A11" i="16"/>
  <c r="AR25" i="16" s="1"/>
  <c r="A10" i="16"/>
  <c r="AR17" i="16" s="1"/>
  <c r="AE6" i="13"/>
  <c r="AE2" i="13"/>
  <c r="AE3" i="13"/>
  <c r="AE7" i="13"/>
  <c r="T86" i="9"/>
  <c r="T91" i="9" s="1"/>
  <c r="H86" i="9"/>
  <c r="N86" i="9"/>
  <c r="N91" i="9" s="1"/>
  <c r="AA41" i="1"/>
  <c r="AR115" i="1" s="1"/>
  <c r="AR109" i="1"/>
  <c r="U33" i="9"/>
  <c r="O19" i="9" s="1"/>
  <c r="Y33" i="9"/>
  <c r="V16" i="9" s="1"/>
  <c r="AR71" i="1"/>
  <c r="AA33" i="9"/>
  <c r="V19" i="9" s="1"/>
  <c r="I50" i="9"/>
  <c r="Q50" i="9" s="1"/>
  <c r="W50" i="9" s="1"/>
  <c r="G18" i="2"/>
  <c r="J7" i="2"/>
  <c r="G14" i="2"/>
  <c r="Q33" i="9"/>
  <c r="H22" i="9" s="1"/>
  <c r="I54" i="9" s="1"/>
  <c r="Q39" i="9" s="1"/>
  <c r="AC33" i="9"/>
  <c r="V22" i="9" s="1"/>
  <c r="M33" i="9"/>
  <c r="H16" i="9" s="1"/>
  <c r="I52" i="9" s="1"/>
  <c r="G39" i="9" s="1"/>
  <c r="W33" i="9"/>
  <c r="O22" i="9" s="1"/>
  <c r="Q49" i="9"/>
  <c r="W49" i="9" s="1"/>
  <c r="Q55" i="9"/>
  <c r="O33" i="9"/>
  <c r="H19" i="9" s="1"/>
  <c r="I53" i="9" s="1"/>
  <c r="I39" i="9" s="1"/>
  <c r="H91" i="9"/>
  <c r="G29" i="2"/>
  <c r="G30" i="2" s="1"/>
  <c r="S33" i="9"/>
  <c r="O16" i="9" s="1"/>
  <c r="E15" i="13"/>
  <c r="AR112" i="1"/>
  <c r="Q51" i="9"/>
  <c r="W51" i="9" s="1"/>
  <c r="E17" i="13"/>
  <c r="E13" i="13"/>
  <c r="E14" i="13"/>
  <c r="E16" i="13"/>
  <c r="Q48" i="9"/>
  <c r="G10" i="2"/>
  <c r="G32" i="2"/>
  <c r="G11" i="2"/>
  <c r="G36" i="2"/>
  <c r="G37" i="2" s="1"/>
  <c r="G25" i="2"/>
  <c r="AR44" i="1"/>
  <c r="G39" i="2"/>
  <c r="G45" i="2"/>
  <c r="G20" i="2"/>
  <c r="O18" i="9"/>
  <c r="V18" i="9" s="1"/>
  <c r="W47" i="9"/>
  <c r="K7" i="13"/>
  <c r="K13" i="13"/>
  <c r="H4" i="13"/>
  <c r="N43" i="1"/>
  <c r="AA43" i="1" s="1"/>
  <c r="AR117" i="1" s="1"/>
  <c r="K8" i="13"/>
  <c r="F4" i="13"/>
  <c r="K12" i="13"/>
  <c r="K6" i="13"/>
  <c r="J16" i="13"/>
  <c r="AR91" i="1"/>
  <c r="J14" i="13"/>
  <c r="C4" i="13"/>
  <c r="K11" i="13"/>
  <c r="K16" i="13"/>
  <c r="J13" i="13"/>
  <c r="K18" i="13"/>
  <c r="J15" i="13"/>
  <c r="K15" i="13"/>
  <c r="J7" i="13"/>
  <c r="J11" i="13"/>
  <c r="K14" i="13"/>
  <c r="J9" i="13"/>
  <c r="J10" i="13"/>
  <c r="J18" i="13"/>
  <c r="J8" i="13"/>
  <c r="K9" i="13"/>
  <c r="J12" i="13"/>
  <c r="D57" i="9"/>
  <c r="J17" i="13"/>
  <c r="K17" i="13"/>
  <c r="J6" i="13"/>
  <c r="K10" i="13"/>
  <c r="AR87" i="1"/>
  <c r="AA35" i="16" l="1"/>
  <c r="AR110" i="16" s="1"/>
  <c r="AA42" i="1"/>
  <c r="AR116" i="1" s="1"/>
  <c r="AA35" i="1"/>
  <c r="AR110" i="1" s="1"/>
  <c r="AA31" i="1"/>
  <c r="AC31" i="1" s="1"/>
  <c r="AR106" i="1" s="1"/>
  <c r="AA29" i="16"/>
  <c r="AR104" i="16" s="1"/>
  <c r="AA28" i="16"/>
  <c r="AR103" i="16" s="1"/>
  <c r="G19" i="2"/>
  <c r="AA31" i="16"/>
  <c r="M15" i="13"/>
  <c r="O65" i="9"/>
  <c r="N44" i="1"/>
  <c r="H81" i="9"/>
  <c r="T81" i="9"/>
  <c r="AA28" i="1"/>
  <c r="AR103" i="1" s="1"/>
  <c r="AA29" i="1"/>
  <c r="G17" i="2"/>
  <c r="AR105" i="1" s="1"/>
  <c r="O67" i="9"/>
  <c r="W48" i="9"/>
  <c r="S39" i="9"/>
  <c r="M39" i="9"/>
  <c r="O66" i="9"/>
  <c r="Q54" i="9"/>
  <c r="W54" i="9" s="1"/>
  <c r="W39" i="9"/>
  <c r="K39" i="9"/>
  <c r="G28" i="2"/>
  <c r="N81" i="9"/>
  <c r="E20" i="13"/>
  <c r="U39" i="9"/>
  <c r="I56" i="9"/>
  <c r="Q56" i="9" s="1"/>
  <c r="W56" i="9" s="1"/>
  <c r="Q53" i="9"/>
  <c r="W53" i="9" s="1"/>
  <c r="Q52" i="9"/>
  <c r="O64" i="9"/>
  <c r="O63" i="9"/>
  <c r="O39" i="9"/>
  <c r="G12" i="2"/>
  <c r="G35" i="2"/>
  <c r="G21" i="2"/>
  <c r="AA32" i="1" s="1"/>
  <c r="M11" i="13"/>
  <c r="R11" i="13" s="1"/>
  <c r="L8" i="13"/>
  <c r="W8" i="13" s="1"/>
  <c r="L18" i="13"/>
  <c r="W18" i="13" s="1"/>
  <c r="M8" i="13"/>
  <c r="R8" i="13" s="1"/>
  <c r="M18" i="13"/>
  <c r="R18" i="13" s="1"/>
  <c r="L13" i="13"/>
  <c r="L15" i="13"/>
  <c r="W15" i="13" s="1"/>
  <c r="L9" i="13"/>
  <c r="W9" i="13" s="1"/>
  <c r="L6" i="13"/>
  <c r="W6" i="13" s="1"/>
  <c r="L11" i="13"/>
  <c r="W11" i="13" s="1"/>
  <c r="L14" i="13"/>
  <c r="W14" i="13" s="1"/>
  <c r="M16" i="13"/>
  <c r="L10" i="13"/>
  <c r="W10" i="13" s="1"/>
  <c r="M10" i="13"/>
  <c r="R10" i="13" s="1"/>
  <c r="M9" i="13"/>
  <c r="R9" i="13" s="1"/>
  <c r="M13" i="13"/>
  <c r="M17" i="13"/>
  <c r="R17" i="13" s="1"/>
  <c r="M7" i="13"/>
  <c r="R7" i="13" s="1"/>
  <c r="M12" i="13"/>
  <c r="R12" i="13" s="1"/>
  <c r="AR102" i="1"/>
  <c r="L12" i="13"/>
  <c r="W12" i="13" s="1"/>
  <c r="M6" i="13"/>
  <c r="L16" i="13"/>
  <c r="W16" i="13" s="1"/>
  <c r="L7" i="13"/>
  <c r="W7" i="13" s="1"/>
  <c r="M14" i="13"/>
  <c r="R14" i="13" s="1"/>
  <c r="L17" i="13"/>
  <c r="W17" i="13" s="1"/>
  <c r="AA39" i="1" l="1"/>
  <c r="S16" i="4" s="1"/>
  <c r="AA32" i="16"/>
  <c r="AC32" i="16" s="1"/>
  <c r="AR107" i="16" s="1"/>
  <c r="AA33" i="1"/>
  <c r="AR108" i="1" s="1"/>
  <c r="AA33" i="16"/>
  <c r="AR108" i="16" s="1"/>
  <c r="AC31" i="16"/>
  <c r="AR106" i="16" s="1"/>
  <c r="AE12" i="13"/>
  <c r="W13" i="13"/>
  <c r="AE11" i="13"/>
  <c r="D41" i="13"/>
  <c r="D43" i="13"/>
  <c r="R16" i="13"/>
  <c r="R13" i="13"/>
  <c r="R15" i="13"/>
  <c r="AR104" i="1"/>
  <c r="Q57" i="9"/>
  <c r="I57" i="9"/>
  <c r="W52" i="9"/>
  <c r="AC32" i="1"/>
  <c r="AR107" i="1" s="1"/>
  <c r="AR113" i="1" l="1"/>
  <c r="AB43" i="13"/>
  <c r="AB44" i="13"/>
  <c r="AB42" i="13"/>
  <c r="AB41" i="13"/>
  <c r="R19" i="13"/>
  <c r="AC44" i="13" l="1"/>
  <c r="AA37" i="1" s="1"/>
  <c r="AC43" i="13"/>
  <c r="AA36" i="1" s="1"/>
  <c r="AR111" i="1" s="1"/>
  <c r="AA37" i="16" l="1"/>
  <c r="AA36" i="16"/>
  <c r="AR111" i="16" s="1"/>
</calcChain>
</file>

<file path=xl/sharedStrings.xml><?xml version="1.0" encoding="utf-8"?>
<sst xmlns="http://schemas.openxmlformats.org/spreadsheetml/2006/main" count="12071" uniqueCount="5016">
  <si>
    <t>TRIAL BATCH WORKSHEET</t>
  </si>
  <si>
    <t>Date:</t>
  </si>
  <si>
    <t>Plant No.</t>
  </si>
  <si>
    <t>Location:</t>
  </si>
  <si>
    <t>Batching &amp; Mixing Equipment:</t>
  </si>
  <si>
    <t>INDOT CMD No.</t>
  </si>
  <si>
    <t>Name(s) of Contractor's Certified Technician and ACI Grade 1 Certification Number:</t>
  </si>
  <si>
    <t>Name(s) of INDOT Qualified Technician &amp; Submitter Nos.</t>
  </si>
  <si>
    <t>AGGREGATE TEST RESULTS</t>
  </si>
  <si>
    <t>Last Name of</t>
  </si>
  <si>
    <t>INDOT</t>
  </si>
  <si>
    <t>Properties</t>
  </si>
  <si>
    <t>Contractor</t>
  </si>
  <si>
    <t>ACI Certified</t>
  </si>
  <si>
    <t>INDOT Qual.</t>
  </si>
  <si>
    <t>IA</t>
  </si>
  <si>
    <t>Result</t>
  </si>
  <si>
    <t>Technician</t>
  </si>
  <si>
    <t>FA Bulk Sp. Gr. (SSD)</t>
  </si>
  <si>
    <t>NA</t>
  </si>
  <si>
    <t>FA Absorption, %</t>
  </si>
  <si>
    <t>FA Moisture, %</t>
  </si>
  <si>
    <t>CA Bulk Sp. Gr. (SSD)</t>
  </si>
  <si>
    <t>CA Absorption, %</t>
  </si>
  <si>
    <t>CA Moisture, %</t>
  </si>
  <si>
    <t>CA #2 Bulk Sp. Gr. (SSD)</t>
  </si>
  <si>
    <t>CA #2 Absorption, %</t>
  </si>
  <si>
    <t>CA #2 Moisture, %</t>
  </si>
  <si>
    <t>Agg. Correction Factor</t>
  </si>
  <si>
    <t>AGGREGATE MOISTURE RESULTS</t>
  </si>
  <si>
    <t>Procedure</t>
  </si>
  <si>
    <t>Method</t>
  </si>
  <si>
    <t>Construction</t>
  </si>
  <si>
    <t>I.A.</t>
  </si>
  <si>
    <t>Fine</t>
  </si>
  <si>
    <t>CA#1</t>
  </si>
  <si>
    <t>CA#2</t>
  </si>
  <si>
    <t>A</t>
  </si>
  <si>
    <t>Weight of wet sample &amp; pan, 0.01 lbs.</t>
  </si>
  <si>
    <t>Weigh</t>
  </si>
  <si>
    <t>B</t>
  </si>
  <si>
    <t>Weight of dried sample &amp; pan, 0.01 lbs.</t>
  </si>
  <si>
    <t>C</t>
  </si>
  <si>
    <t>Weight of water in sample, 0.01 lbs.</t>
  </si>
  <si>
    <t>A-B</t>
  </si>
  <si>
    <t>D</t>
  </si>
  <si>
    <t>Weight of pan, 0.01 lbs.</t>
  </si>
  <si>
    <t>E</t>
  </si>
  <si>
    <t>Weight of dried sample, 0.01 lbs.</t>
  </si>
  <si>
    <t>B-D</t>
  </si>
  <si>
    <t>F</t>
  </si>
  <si>
    <t>Percent Moisture, 0.01%</t>
  </si>
  <si>
    <t>(C / E) x 100</t>
  </si>
  <si>
    <t>AGGREGATE CORRECTION FACTOR WEIGHTS BASED ON CONTRACTOR MOISTURES</t>
  </si>
  <si>
    <t>BUCKET VOLUME</t>
  </si>
  <si>
    <t>EXAMPLE  0.249</t>
  </si>
  <si>
    <t>WEIGHT (lbs)</t>
  </si>
  <si>
    <t>CONCRETE BATCHING</t>
  </si>
  <si>
    <t>Total</t>
  </si>
  <si>
    <t>Design Batch</t>
  </si>
  <si>
    <t>Target Batch</t>
  </si>
  <si>
    <t>Target</t>
  </si>
  <si>
    <t>Actual</t>
  </si>
  <si>
    <t>Batching</t>
  </si>
  <si>
    <t>Allowable</t>
  </si>
  <si>
    <t>Materials</t>
  </si>
  <si>
    <t>Weights</t>
  </si>
  <si>
    <t>Batch</t>
  </si>
  <si>
    <t>Error</t>
  </si>
  <si>
    <t>(SSD Aggregate)</t>
  </si>
  <si>
    <t>(Moist Aggregates)</t>
  </si>
  <si>
    <t>Size</t>
  </si>
  <si>
    <t>lbs</t>
  </si>
  <si>
    <t>yd³</t>
  </si>
  <si>
    <t>± %</t>
  </si>
  <si>
    <t>Cement</t>
  </si>
  <si>
    <t>±1.49</t>
  </si>
  <si>
    <t>Fly Ash</t>
  </si>
  <si>
    <t>Slag Cement</t>
  </si>
  <si>
    <t>Silica Fume</t>
  </si>
  <si>
    <t>Fibers</t>
  </si>
  <si>
    <t>Aggregate</t>
  </si>
  <si>
    <t>FA</t>
  </si>
  <si>
    <t>±2.49</t>
  </si>
  <si>
    <t>CA #1</t>
  </si>
  <si>
    <t>CA #2</t>
  </si>
  <si>
    <t>Water</t>
  </si>
  <si>
    <t>Σ</t>
  </si>
  <si>
    <t>ADMIXTURE DOSAGE</t>
  </si>
  <si>
    <t>Total Req.</t>
  </si>
  <si>
    <t>Admixture Name</t>
  </si>
  <si>
    <t>Dosage</t>
  </si>
  <si>
    <t>fl oz/cwt</t>
  </si>
  <si>
    <t>fl oz</t>
  </si>
  <si>
    <t>±3.49</t>
  </si>
  <si>
    <t>Comments on Batching:</t>
  </si>
  <si>
    <t>PLASTIC CONCRETE TEST RESULTS</t>
  </si>
  <si>
    <t>Last Name</t>
  </si>
  <si>
    <t>Plastic Property</t>
  </si>
  <si>
    <t xml:space="preserve">Certifed </t>
  </si>
  <si>
    <t xml:space="preserve">of ACI </t>
  </si>
  <si>
    <t>Qualified</t>
  </si>
  <si>
    <t xml:space="preserve">of INDOT </t>
  </si>
  <si>
    <t>Certified</t>
  </si>
  <si>
    <t>Results</t>
  </si>
  <si>
    <t>Water/Cementious</t>
  </si>
  <si>
    <t>Concrete/Bucket wt.</t>
  </si>
  <si>
    <t>bucket wt.</t>
  </si>
  <si>
    <t>concrete wt</t>
  </si>
  <si>
    <t>Bucket Volume  (example 0.249)</t>
  </si>
  <si>
    <t>Unit Wt. (pcf)</t>
  </si>
  <si>
    <t>Air Content (%)</t>
  </si>
  <si>
    <t>Adjust Air Content %</t>
  </si>
  <si>
    <t>Slump (inches)</t>
  </si>
  <si>
    <t>Relative Yield</t>
  </si>
  <si>
    <t>STRENGTH TEST RESULTS                                                (BREAK SCHEDULE DETERMINED BY SPECIFICATION)</t>
  </si>
  <si>
    <t>Contractor's</t>
  </si>
  <si>
    <t>INDOT Qualified</t>
  </si>
  <si>
    <t>Lab Result</t>
  </si>
  <si>
    <t>of</t>
  </si>
  <si>
    <t>Techician Result</t>
  </si>
  <si>
    <t>Age</t>
  </si>
  <si>
    <t>psi</t>
  </si>
  <si>
    <t>Specimen</t>
  </si>
  <si>
    <t>Average</t>
  </si>
  <si>
    <t xml:space="preserve">Voids (Section 8.1)--requires a number 1, 2, 3 or 4 for each of the four sides and </t>
  </si>
  <si>
    <t xml:space="preserve"> an average is calculated.  The result must be 2 or less</t>
  </si>
  <si>
    <t>READING 1</t>
  </si>
  <si>
    <t>READING 2</t>
  </si>
  <si>
    <t>READING 3</t>
  </si>
  <si>
    <t>READING 4</t>
  </si>
  <si>
    <t xml:space="preserve">AVG. READING </t>
  </si>
  <si>
    <t>Edge Slump (Section 8.2)—Measure all four sides with a straightedge; based in Figure 5, then average your results. An average edge slump of 0.25 in. (6 mm) or less has been deemed sufficient for slip form paving applications. Report all measured edge slumps and the average.</t>
  </si>
  <si>
    <t>Comments on Test Results:</t>
  </si>
  <si>
    <t xml:space="preserve">INDOT CONCRETE MIX DESIGN SPREADSHEET </t>
  </si>
  <si>
    <t>MIX PRODUCER</t>
  </si>
  <si>
    <t>PRODUCT ID</t>
  </si>
  <si>
    <t>INDOT CMD NUMBER</t>
  </si>
  <si>
    <t>PLANT LOCATION</t>
  </si>
  <si>
    <t>INDOT DISTRICT</t>
  </si>
  <si>
    <t>305 Base Patching</t>
  </si>
  <si>
    <t>SPECIFICATION REFERENCE</t>
  </si>
  <si>
    <t>INDOT PLANT NO.</t>
  </si>
  <si>
    <t>SUBMITTAL STAGE</t>
  </si>
  <si>
    <t>501 QC/QA PCCP</t>
  </si>
  <si>
    <t>INDOT CMD NO.</t>
  </si>
  <si>
    <t>SPEC. REFERENCE</t>
  </si>
  <si>
    <t xml:space="preserve">722 Overlay (E5 Internal Cure + E5 Liquid Fly Ash) </t>
  </si>
  <si>
    <t>502 Standard Strength</t>
  </si>
  <si>
    <t>INDOT PLANT NUMBER</t>
  </si>
  <si>
    <t>Slipformed</t>
  </si>
  <si>
    <r>
      <t xml:space="preserve">FINE &amp; COARSE AGGREGATE MATERIALS                                                                                                                                                                                 </t>
    </r>
    <r>
      <rPr>
        <sz val="7"/>
        <rFont val="Arial"/>
        <family val="2"/>
      </rPr>
      <t xml:space="preserve">        (DROPDOWN LIST CHOOSE BY SUPPLIER NAME , CITY AND STATE)</t>
    </r>
  </si>
  <si>
    <t>502 High Early Strength</t>
  </si>
  <si>
    <t>Q#</t>
  </si>
  <si>
    <t>SUPPLIER NAME, CAPP NUMBER, CITY AND STATE &amp; SOURCE NUMBER</t>
  </si>
  <si>
    <r>
      <rPr>
        <sz val="8"/>
        <rFont val="Arial"/>
        <family val="2"/>
      </rPr>
      <t>DATE OF GRADATION</t>
    </r>
    <r>
      <rPr>
        <sz val="6"/>
        <rFont val="Arial"/>
        <family val="2"/>
      </rPr>
      <t xml:space="preserve"> </t>
    </r>
    <r>
      <rPr>
        <b/>
        <sz val="6"/>
        <rFont val="Arial"/>
        <family val="2"/>
      </rPr>
      <t>(WITHIN 90 DAYS OF DATE SUBMITTED</t>
    </r>
    <r>
      <rPr>
        <sz val="6"/>
        <rFont val="Arial"/>
        <family val="2"/>
      </rPr>
      <t>)</t>
    </r>
  </si>
  <si>
    <t>SIZE</t>
  </si>
  <si>
    <t>TYPE</t>
  </si>
  <si>
    <t>QUAL</t>
  </si>
  <si>
    <t>LEDGES</t>
  </si>
  <si>
    <t>502 High Early Strength Modified</t>
  </si>
  <si>
    <t>CONTRACT NUMBER</t>
  </si>
  <si>
    <t>506 Full Depth</t>
  </si>
  <si>
    <t>CONTRACTORS NAME</t>
  </si>
  <si>
    <t>506 Partial Depth</t>
  </si>
  <si>
    <t>702 Structure Concrete</t>
  </si>
  <si>
    <t>AGGREGATE #1 Q#</t>
  </si>
  <si>
    <t xml:space="preserve">702 Structure Concrete (E5 Internal Cure + Pozzolan) </t>
  </si>
  <si>
    <t>PRODUCER NAME #1</t>
  </si>
  <si>
    <t>CEMENT &amp; POZZOLAN MATERIALS</t>
  </si>
  <si>
    <t>WATER</t>
  </si>
  <si>
    <r>
      <t>702 Structure Concrete (E5 Internal Cure + E5 Liquid Fly Ash)</t>
    </r>
    <r>
      <rPr>
        <sz val="11"/>
        <rFont val="Times New Roman"/>
        <family val="1"/>
      </rPr>
      <t xml:space="preserve"> </t>
    </r>
  </si>
  <si>
    <t>SIZE #1</t>
  </si>
  <si>
    <t xml:space="preserve">W#   </t>
  </si>
  <si>
    <t>MANUFACTURER AND LOCATION</t>
  </si>
  <si>
    <t>DESCRIPTION</t>
  </si>
  <si>
    <t>SOURCE</t>
  </si>
  <si>
    <t>706 Moment Slab</t>
  </si>
  <si>
    <t>TYPE #1</t>
  </si>
  <si>
    <t>BUZZI UNICEM SALES CO GREENCASTLE, IN</t>
  </si>
  <si>
    <t>Type 1L Cement</t>
  </si>
  <si>
    <t>722 Silica Fume Overlay</t>
  </si>
  <si>
    <t>QUALITY #1</t>
  </si>
  <si>
    <t>QUALITY</t>
  </si>
  <si>
    <t>LEDGES #1</t>
  </si>
  <si>
    <t>728 Drilled Shaft</t>
  </si>
  <si>
    <t>AGGREGATE #2 Q#</t>
  </si>
  <si>
    <r>
      <t xml:space="preserve">AIR ENTRAINING AGENT, CHEMICAL ADMIXTURES, FIBERS &amp; CALCIUM CHLORIDE SOLUTION                                                                                            </t>
    </r>
    <r>
      <rPr>
        <sz val="8"/>
        <rFont val="Arial"/>
        <family val="2"/>
      </rPr>
      <t xml:space="preserve">                 </t>
    </r>
    <r>
      <rPr>
        <sz val="7"/>
        <rFont val="Arial"/>
        <family val="2"/>
      </rPr>
      <t xml:space="preserve"> (DROPDOWN LIST INCLUDE ADMIXTURES AND FIBERS CHOOSE FROM PRODUCT NAME, LAST ROW FOR CALCIUM CHLORIDE)                  </t>
    </r>
  </si>
  <si>
    <t>PRODUCER NAME #2</t>
  </si>
  <si>
    <t>W#</t>
  </si>
  <si>
    <t>MANUFACTURER</t>
  </si>
  <si>
    <t>PRODUCT NAME</t>
  </si>
  <si>
    <t>DOSAGE RANGE oz/cwt</t>
  </si>
  <si>
    <t>SIZE #2</t>
  </si>
  <si>
    <t>SIKA AEA-14</t>
  </si>
  <si>
    <t>Type 1 Cement</t>
  </si>
  <si>
    <t>TYPE #2</t>
  </si>
  <si>
    <t>Type 1a Cement</t>
  </si>
  <si>
    <t>QUALITY #2</t>
  </si>
  <si>
    <t>E5 Internal Cure</t>
  </si>
  <si>
    <t>Type II Cement</t>
  </si>
  <si>
    <t>LEDGES #2</t>
  </si>
  <si>
    <t>E5 LIQUID FLY ASH</t>
  </si>
  <si>
    <t>Type III Cement</t>
  </si>
  <si>
    <t>Type IIIa Cement</t>
  </si>
  <si>
    <t>AGGREGATE #3 Q#</t>
  </si>
  <si>
    <t>Type 1P Cement</t>
  </si>
  <si>
    <t>PRODUCER NAME #3</t>
  </si>
  <si>
    <t>BATCH PARAMETERS</t>
  </si>
  <si>
    <t>SPECIFICATION PARAMETERS</t>
  </si>
  <si>
    <t>Type 1P-A Cement</t>
  </si>
  <si>
    <t>SIZE #3</t>
  </si>
  <si>
    <t>MATERIAL</t>
  </si>
  <si>
    <t>WEIGHT</t>
  </si>
  <si>
    <t>SP GR or</t>
  </si>
  <si>
    <t xml:space="preserve">AGG. </t>
  </si>
  <si>
    <t>VOLUME</t>
  </si>
  <si>
    <t xml:space="preserve"> Amount Single SCM %</t>
  </si>
  <si>
    <t>Type 1S Cement</t>
  </si>
  <si>
    <t>TYPE #3</t>
  </si>
  <si>
    <t>Bulk (ssd)</t>
  </si>
  <si>
    <t>ABS. %</t>
  </si>
  <si>
    <t>ft³</t>
  </si>
  <si>
    <t xml:space="preserve"> Amount Two SCM's %</t>
  </si>
  <si>
    <t>Type 1SA Cement</t>
  </si>
  <si>
    <t>QUALITY #3</t>
  </si>
  <si>
    <t>Total Cementitious Content</t>
  </si>
  <si>
    <t>Type 1SM Cement</t>
  </si>
  <si>
    <t>LEDGES #3</t>
  </si>
  <si>
    <t>Fly Ash Substitution Ratio</t>
  </si>
  <si>
    <t>Class C Fly Ash</t>
  </si>
  <si>
    <t>CEMENT &amp; POZZOLAN #1 W#</t>
  </si>
  <si>
    <t>Slag Cement Substitution Ratio</t>
  </si>
  <si>
    <t>Class F Fly Ash</t>
  </si>
  <si>
    <t>MANUFACTURER/LOCATION #1</t>
  </si>
  <si>
    <t>SILICA FUME</t>
  </si>
  <si>
    <t>Cement Reduction %</t>
  </si>
  <si>
    <t>Slag Cement Gr. 100</t>
  </si>
  <si>
    <t>DESCRIPTION #1</t>
  </si>
  <si>
    <t>FIBERS</t>
  </si>
  <si>
    <t>Fly Ash Addition, %</t>
  </si>
  <si>
    <t>Slag Cement Gr. 120</t>
  </si>
  <si>
    <t>CEMENT &amp; POZZOLAN #2 W#</t>
  </si>
  <si>
    <t>Slag Cement Addition, %</t>
  </si>
  <si>
    <t>MANUFACTURER/LOCATION #2</t>
  </si>
  <si>
    <t>CA 1</t>
  </si>
  <si>
    <t>Tarantula Gradation Slip Form</t>
  </si>
  <si>
    <t>DESCRIPTION #2</t>
  </si>
  <si>
    <t>Tarantula Gradation Non-Slip Form</t>
  </si>
  <si>
    <t>CA 2</t>
  </si>
  <si>
    <t>Target W/(C+P), by wt</t>
  </si>
  <si>
    <t>CEMENT &amp; POZZOLAN #3 W#</t>
  </si>
  <si>
    <r>
      <t>Water CaCl</t>
    </r>
    <r>
      <rPr>
        <sz val="7"/>
        <rFont val="Calibri"/>
        <family val="2"/>
      </rPr>
      <t>₂</t>
    </r>
    <r>
      <rPr>
        <sz val="7"/>
        <rFont val="Arial"/>
        <family val="2"/>
      </rPr>
      <t xml:space="preserve"> / Accel Adm</t>
    </r>
  </si>
  <si>
    <t>Target Unit Weight, pcf</t>
  </si>
  <si>
    <t>AEA</t>
  </si>
  <si>
    <t>MANUFACTURER/LOCATION #3</t>
  </si>
  <si>
    <t>FA to total Agg, % by wt</t>
  </si>
  <si>
    <t>DESCRIPTION #3</t>
  </si>
  <si>
    <t>water</t>
  </si>
  <si>
    <t>FA to total Agg, % by vol</t>
  </si>
  <si>
    <t>WATER SOURCE</t>
  </si>
  <si>
    <t>air**</t>
  </si>
  <si>
    <t>WATER QUALITY</t>
  </si>
  <si>
    <t>∑</t>
  </si>
  <si>
    <t>ADMIXTURE W# #1</t>
  </si>
  <si>
    <t>Yield Results:</t>
  </si>
  <si>
    <t>Paste Content with Air, % by volume</t>
  </si>
  <si>
    <t>ADMIXTURE MANUFACTURER #1</t>
  </si>
  <si>
    <t>TARGET SLUMP (in)</t>
  </si>
  <si>
    <t xml:space="preserve">**SELECT AIR CONTENT BASED ON SPECIFICATION  </t>
  </si>
  <si>
    <t>ADMIXTURE PRODUCT NAME #1</t>
  </si>
  <si>
    <t>PRODUCER REPRESENTATIVE:</t>
  </si>
  <si>
    <t>DATE:</t>
  </si>
  <si>
    <t>G</t>
  </si>
  <si>
    <t>DATE DISTRICT FORWARDED TO M&amp;T:</t>
  </si>
  <si>
    <t>DOSAGE RATE (oz/cwt) #1</t>
  </si>
  <si>
    <t>DATE CMD NUMBER ASSIGNED:</t>
  </si>
  <si>
    <t>CaCl₂ Typ L</t>
  </si>
  <si>
    <t>ADMIXTURE W# #2</t>
  </si>
  <si>
    <t>Producer Comments:</t>
  </si>
  <si>
    <t>ADMIXTURE MANUFACTURER #2</t>
  </si>
  <si>
    <t>ADMIXTURE PRODUCT NAME #2</t>
  </si>
  <si>
    <t>ADMIXTURE TYPE #2</t>
  </si>
  <si>
    <t>DTE Notes:</t>
  </si>
  <si>
    <t>ADMIXTURE DOSAGE RANGE #2</t>
  </si>
  <si>
    <t>ADMIXTURE W# #3</t>
  </si>
  <si>
    <t>ADMIXTURE MANUFACTURER #3</t>
  </si>
  <si>
    <t>ADMIXTURE PRODUCT NAME #3</t>
  </si>
  <si>
    <t>ADMIXTURE TYPE #3</t>
  </si>
  <si>
    <t>ADMIXTURE DOSAGE RANGE #3</t>
  </si>
  <si>
    <t>ADMIXTURE W# #4</t>
  </si>
  <si>
    <t>ADMIXTURE MANUFACTURER #4</t>
  </si>
  <si>
    <t>ADMIXTURE PRODUCT NAME #4</t>
  </si>
  <si>
    <t>ADMIXTURE TYPE #4</t>
  </si>
  <si>
    <t>ADMIXTURE DOSAGE RANGE #4</t>
  </si>
  <si>
    <t>ADMIXTURE W# #5</t>
  </si>
  <si>
    <t>ADMIXTURE MANUFACTURER #5</t>
  </si>
  <si>
    <t>ADMIXTURE PRODUCT NAME #5</t>
  </si>
  <si>
    <t>ADMIXTURE TYPE #5</t>
  </si>
  <si>
    <t>ADMIXTURE DOSAGE RANGE #5</t>
  </si>
  <si>
    <t>Cement (lbs)</t>
  </si>
  <si>
    <t xml:space="preserve">Cement Specific Gravity </t>
  </si>
  <si>
    <r>
      <t>CEMENT VOLUME ft</t>
    </r>
    <r>
      <rPr>
        <sz val="10"/>
        <rFont val="Calibri"/>
        <family val="2"/>
      </rPr>
      <t>³</t>
    </r>
  </si>
  <si>
    <t>FLY ASH (lbs)</t>
  </si>
  <si>
    <t xml:space="preserve">FLY ASH Specific Gravity </t>
  </si>
  <si>
    <r>
      <t>FLY ASH VOLUME ft</t>
    </r>
    <r>
      <rPr>
        <sz val="10"/>
        <rFont val="Calibri"/>
        <family val="2"/>
      </rPr>
      <t>³</t>
    </r>
  </si>
  <si>
    <t>GGBFS (lbs)</t>
  </si>
  <si>
    <t xml:space="preserve">GGBFS Specific Gravity </t>
  </si>
  <si>
    <r>
      <t>GGBFS VOLUME ft</t>
    </r>
    <r>
      <rPr>
        <sz val="10"/>
        <rFont val="Calibri"/>
        <family val="2"/>
      </rPr>
      <t>³</t>
    </r>
  </si>
  <si>
    <t>SILICA FUME (lbs)</t>
  </si>
  <si>
    <t xml:space="preserve">SILICA FUME Specific Gravity </t>
  </si>
  <si>
    <r>
      <t>SILICA FUME VOLUME ft</t>
    </r>
    <r>
      <rPr>
        <sz val="10"/>
        <rFont val="Calibri"/>
        <family val="2"/>
      </rPr>
      <t>³</t>
    </r>
  </si>
  <si>
    <t>Fiber (lbs)</t>
  </si>
  <si>
    <t xml:space="preserve">Fiber Specific Gravity </t>
  </si>
  <si>
    <r>
      <t>Fiber Volume ft</t>
    </r>
    <r>
      <rPr>
        <sz val="10"/>
        <rFont val="Calibri"/>
        <family val="2"/>
      </rPr>
      <t>³³</t>
    </r>
  </si>
  <si>
    <t>FINE AGGREGATE (lbs)</t>
  </si>
  <si>
    <t>FA SPECIFIC GRAVITY OR BULK ABS</t>
  </si>
  <si>
    <t>FINE AGGREGATE ABSORPTION %</t>
  </si>
  <si>
    <r>
      <t>FINE AGGREGATE VOLUME (ft</t>
    </r>
    <r>
      <rPr>
        <sz val="10"/>
        <rFont val="Calibri"/>
        <family val="2"/>
      </rPr>
      <t>³</t>
    </r>
    <r>
      <rPr>
        <sz val="8.5"/>
        <rFont val="Arial"/>
        <family val="2"/>
      </rPr>
      <t>)</t>
    </r>
  </si>
  <si>
    <t>COARSE AGGREGATE #1 (lbs)</t>
  </si>
  <si>
    <t>CA SPECIFIC GRAVITY OR BULK ABS</t>
  </si>
  <si>
    <t>COARSE AGGREGATE ABSORPTION %</t>
  </si>
  <si>
    <r>
      <t>COARSE AGGREGATE VOLUME (ft</t>
    </r>
    <r>
      <rPr>
        <sz val="10"/>
        <rFont val="Calibri"/>
        <family val="2"/>
      </rPr>
      <t>³</t>
    </r>
    <r>
      <rPr>
        <sz val="8.5"/>
        <rFont val="Arial"/>
        <family val="2"/>
      </rPr>
      <t>)</t>
    </r>
  </si>
  <si>
    <t>COARSE AGGREGATE #2 (lbs)</t>
  </si>
  <si>
    <r>
      <t>COARSE AGGREGATE VOLUME (ft</t>
    </r>
    <r>
      <rPr>
        <sz val="9"/>
        <rFont val="Calibri"/>
        <family val="2"/>
      </rPr>
      <t>³</t>
    </r>
    <r>
      <rPr>
        <sz val="9"/>
        <rFont val="Arial"/>
        <family val="2"/>
      </rPr>
      <t>)</t>
    </r>
  </si>
  <si>
    <t>CACL OR ADMIXTURE WATER (lbs)</t>
  </si>
  <si>
    <t>CACL OR ADMIXTURE WATER  VOLUME %</t>
  </si>
  <si>
    <t>WATER (lbs)</t>
  </si>
  <si>
    <t xml:space="preserve"> WATER  VOLUME %</t>
  </si>
  <si>
    <t>AIR VOLUME %</t>
  </si>
  <si>
    <r>
      <t>TOTAL VOLUME (ft</t>
    </r>
    <r>
      <rPr>
        <sz val="10"/>
        <rFont val="Calibri"/>
        <family val="2"/>
      </rPr>
      <t>³</t>
    </r>
    <r>
      <rPr>
        <sz val="8.5"/>
        <rFont val="Arial"/>
        <family val="2"/>
      </rPr>
      <t>)</t>
    </r>
  </si>
  <si>
    <t>Cement/Fly Ash Ratio, by wt</t>
  </si>
  <si>
    <t>Cement/GGBFS Ratio, by wt</t>
  </si>
  <si>
    <t>Cement Reduction, %</t>
  </si>
  <si>
    <t>Fly Ash Replacement Ratio</t>
  </si>
  <si>
    <t>GGBFS Replacement Ratio</t>
  </si>
  <si>
    <t>Cement Multiplier</t>
  </si>
  <si>
    <t>GGBFS Addition, %</t>
  </si>
  <si>
    <t>Silica Fume Content, %</t>
  </si>
  <si>
    <t>Combined                     (by weight)</t>
  </si>
  <si>
    <t>Combined                   (by Volume)</t>
  </si>
  <si>
    <t>% of total agg by wt</t>
  </si>
  <si>
    <t>% of total agg by vol</t>
  </si>
  <si>
    <t>Tarantuala</t>
  </si>
  <si>
    <t>Sieve size</t>
  </si>
  <si>
    <t>% Passing</t>
  </si>
  <si>
    <t>Individual % Retained</t>
  </si>
  <si>
    <t>Cumul. % Retained</t>
  </si>
  <si>
    <t>Min</t>
  </si>
  <si>
    <t>Max</t>
  </si>
  <si>
    <t>2"</t>
  </si>
  <si>
    <t>1.5"</t>
  </si>
  <si>
    <t>1"</t>
  </si>
  <si>
    <t>3/4"</t>
  </si>
  <si>
    <t>1/2"</t>
  </si>
  <si>
    <t>3/8"</t>
  </si>
  <si>
    <t>#4</t>
  </si>
  <si>
    <t>#8</t>
  </si>
  <si>
    <t>#16</t>
  </si>
  <si>
    <t>#30</t>
  </si>
  <si>
    <t>#50</t>
  </si>
  <si>
    <t>#100</t>
  </si>
  <si>
    <t>#200</t>
  </si>
  <si>
    <t>Sum</t>
  </si>
  <si>
    <t>Fineness Mod =</t>
  </si>
  <si>
    <t>Fine Sand (#30 - #200)</t>
  </si>
  <si>
    <t>range:</t>
  </si>
  <si>
    <t>24% - 34% (slipformed)</t>
  </si>
  <si>
    <t>25% - 40% (non-slipformed)</t>
  </si>
  <si>
    <t>Coarse Sand % (#8 - #30)</t>
  </si>
  <si>
    <t>minimum:</t>
  </si>
  <si>
    <t xml:space="preserve">15% (slipformed) </t>
  </si>
  <si>
    <t xml:space="preserve">20% (non-slipformed) </t>
  </si>
  <si>
    <t>HIDDEN WORKSHEET TO CALCULATE CMD PARAMETERS</t>
  </si>
  <si>
    <t>lbs cement</t>
  </si>
  <si>
    <t>lbs fly ash</t>
  </si>
  <si>
    <t>lbs Slag Cement</t>
  </si>
  <si>
    <t>lbs silica fume</t>
  </si>
  <si>
    <t>501 Concretes</t>
  </si>
  <si>
    <t>fly ash use</t>
  </si>
  <si>
    <t>Slag Cement use</t>
  </si>
  <si>
    <t>cement / fly ash ratio</t>
  </si>
  <si>
    <t>cement / Slag Cement ratio</t>
  </si>
  <si>
    <t>silica fume use</t>
  </si>
  <si>
    <t>% silica fume</t>
  </si>
  <si>
    <t>Cement Reduction</t>
  </si>
  <si>
    <t>fly ash replace ratio</t>
  </si>
  <si>
    <t>Slag Cement replace ratio</t>
  </si>
  <si>
    <t>fly ash addition, %</t>
  </si>
  <si>
    <t>Slag Cement addition, %</t>
  </si>
  <si>
    <t>fly ash repl. Ratio</t>
  </si>
  <si>
    <t>Slag Cement repl. Ratio</t>
  </si>
  <si>
    <t>702 Class C Concrete</t>
  </si>
  <si>
    <t>Slag Cement  use</t>
  </si>
  <si>
    <t>Slag Cement  replace ratio</t>
  </si>
  <si>
    <t xml:space="preserve">% Slag Cement </t>
  </si>
  <si>
    <t>AIR CONTENT</t>
  </si>
  <si>
    <r>
      <t>CaCl</t>
    </r>
    <r>
      <rPr>
        <sz val="10"/>
        <rFont val="Calibri"/>
        <family val="2"/>
      </rPr>
      <t>₂</t>
    </r>
  </si>
  <si>
    <t>012184</t>
  </si>
  <si>
    <t>AGGREGATE INDUSTRIES</t>
  </si>
  <si>
    <t>EDWARDSBURG, MI</t>
  </si>
  <si>
    <t>032207</t>
  </si>
  <si>
    <t>AMERICAN AGGREGATES, INC.</t>
  </si>
  <si>
    <t>NILES, MI</t>
  </si>
  <si>
    <t>982128</t>
  </si>
  <si>
    <t>222300</t>
  </si>
  <si>
    <t>0151</t>
  </si>
  <si>
    <t>HENDERSON, KY</t>
  </si>
  <si>
    <t>982111</t>
  </si>
  <si>
    <t>BARRETT PAVING MATERIALS, INC.</t>
  </si>
  <si>
    <t>RICHMOND, IN.</t>
  </si>
  <si>
    <t>982116</t>
  </si>
  <si>
    <t>BEAVER MATERIALS</t>
  </si>
  <si>
    <t>NOBLESVILLE, IN.</t>
  </si>
  <si>
    <t>012195</t>
  </si>
  <si>
    <t>WAVERLY, IN</t>
  </si>
  <si>
    <t>112262</t>
  </si>
  <si>
    <t>BEEMSTERBOER SLAG CORP.</t>
  </si>
  <si>
    <t>HAMMOND, IN</t>
  </si>
  <si>
    <t>082244</t>
  </si>
  <si>
    <t>BEEMSTERBOER-SOUTH SHORE SLAG</t>
  </si>
  <si>
    <t>HAMMOMD, IN</t>
  </si>
  <si>
    <t>112260</t>
  </si>
  <si>
    <t>CLEVES, OHIO</t>
  </si>
  <si>
    <t>992158</t>
  </si>
  <si>
    <t>BUTLER MILL SERVICE</t>
  </si>
  <si>
    <t>BUTLER, IN</t>
  </si>
  <si>
    <t>982066</t>
  </si>
  <si>
    <t>CAVE QUARRIES, INC.</t>
  </si>
  <si>
    <t>PAOLI, IN.</t>
  </si>
  <si>
    <t>982094</t>
  </si>
  <si>
    <t>982099</t>
  </si>
  <si>
    <t>LIGONIER, IN</t>
  </si>
  <si>
    <t>972024</t>
  </si>
  <si>
    <t>SOUTH MILFORD, IN.</t>
  </si>
  <si>
    <t>002169</t>
  </si>
  <si>
    <t>992165</t>
  </si>
  <si>
    <t>ANGOLA, IN</t>
  </si>
  <si>
    <t>AUBURN, IN.</t>
  </si>
  <si>
    <t>KOKOMO, IN.</t>
  </si>
  <si>
    <t>982068</t>
  </si>
  <si>
    <t>ELKHART COUNTY GRAVEL, INC.</t>
  </si>
  <si>
    <t>MILFORD, IN.</t>
  </si>
  <si>
    <t>982071</t>
  </si>
  <si>
    <t>WARSAW, IN.</t>
  </si>
  <si>
    <t>042219</t>
  </si>
  <si>
    <t>ELKHART COUNTY GRAVEL-PLANT 1</t>
  </si>
  <si>
    <t>MIDDLEBURY, IN</t>
  </si>
  <si>
    <t>982112</t>
  </si>
  <si>
    <t>ELKHART COUNTY GRAVEL-PLANT 2</t>
  </si>
  <si>
    <t>MIDDLEBURY, IN.</t>
  </si>
  <si>
    <t>972063</t>
  </si>
  <si>
    <t>LOGANSPORT, IN.</t>
  </si>
  <si>
    <t>192290</t>
  </si>
  <si>
    <t>0136</t>
  </si>
  <si>
    <t>LOGANSPORT, IN</t>
  </si>
  <si>
    <t>972021</t>
  </si>
  <si>
    <t>EVANSVILLE, IN.</t>
  </si>
  <si>
    <t>972031</t>
  </si>
  <si>
    <t>972032</t>
  </si>
  <si>
    <t>972028</t>
  </si>
  <si>
    <t>972029</t>
  </si>
  <si>
    <t>982098</t>
  </si>
  <si>
    <t>072240</t>
  </si>
  <si>
    <t>HARRISON SAND AND GRAVEL CO.</t>
  </si>
  <si>
    <t>METAMORA, IN.</t>
  </si>
  <si>
    <t>982123</t>
  </si>
  <si>
    <t>2514</t>
  </si>
  <si>
    <t>NEW TRENTON, IN.</t>
  </si>
  <si>
    <t>HAYNES SAND AND GRAVEL</t>
  </si>
  <si>
    <t>FT. WAYNE, IN</t>
  </si>
  <si>
    <t>052224</t>
  </si>
  <si>
    <t>972038</t>
  </si>
  <si>
    <t>PUTNAMVILLE, IN</t>
  </si>
  <si>
    <t>982145</t>
  </si>
  <si>
    <t>ANGOLA, IN.</t>
  </si>
  <si>
    <t>962011</t>
  </si>
  <si>
    <t>032208</t>
  </si>
  <si>
    <t>SELLERSBURG, IN</t>
  </si>
  <si>
    <t>FORT WAYNE, IN.</t>
  </si>
  <si>
    <t>972041</t>
  </si>
  <si>
    <t>972023</t>
  </si>
  <si>
    <t>002179</t>
  </si>
  <si>
    <t>982143</t>
  </si>
  <si>
    <t>JEFFERSONVILLE, IN.</t>
  </si>
  <si>
    <t>992157</t>
  </si>
  <si>
    <t>BUNKER HILL, IN</t>
  </si>
  <si>
    <t>982074</t>
  </si>
  <si>
    <t>BLOCHER, IN.</t>
  </si>
  <si>
    <t>EDGERTON, IN.</t>
  </si>
  <si>
    <t>012183</t>
  </si>
  <si>
    <t>972022</t>
  </si>
  <si>
    <t>INDIANAPOLIS, IN.</t>
  </si>
  <si>
    <t>022197</t>
  </si>
  <si>
    <t>982079</t>
  </si>
  <si>
    <t>VERSAILLES, IN.</t>
  </si>
  <si>
    <t>972017</t>
  </si>
  <si>
    <t>HAYDEN, IN.</t>
  </si>
  <si>
    <t>MONON, IN</t>
  </si>
  <si>
    <t>022198</t>
  </si>
  <si>
    <t>FRANCESVILLE, IN.</t>
  </si>
  <si>
    <t>982104</t>
  </si>
  <si>
    <t>THORNTON, IL</t>
  </si>
  <si>
    <t>112258</t>
  </si>
  <si>
    <t>HERITAGE AGGREGATE</t>
  </si>
  <si>
    <t>SPRINGVILLE, IN.</t>
  </si>
  <si>
    <t>052221</t>
  </si>
  <si>
    <t>GREENWOOD, IN</t>
  </si>
  <si>
    <t>982134</t>
  </si>
  <si>
    <t>WILLAMSPORT, IN</t>
  </si>
  <si>
    <t>972062</t>
  </si>
  <si>
    <t>112256</t>
  </si>
  <si>
    <t>0063</t>
  </si>
  <si>
    <t>IRVING MATERIALS - FALL CREEK</t>
  </si>
  <si>
    <t>FORTVILLE, IN</t>
  </si>
  <si>
    <t>982067</t>
  </si>
  <si>
    <t>IRVING MATERIALS INC</t>
  </si>
  <si>
    <t>MUNCIE, IN.</t>
  </si>
  <si>
    <t>982115</t>
  </si>
  <si>
    <t>BROWNSTOWN, IN.</t>
  </si>
  <si>
    <t>952004</t>
  </si>
  <si>
    <t>952001</t>
  </si>
  <si>
    <t>IRVING MATERIALS, INC</t>
  </si>
  <si>
    <t>HUNTINGTON, IN.</t>
  </si>
  <si>
    <t>972027</t>
  </si>
  <si>
    <t>IRVING MATERIALS, INC.</t>
  </si>
  <si>
    <t>PERU, IN.</t>
  </si>
  <si>
    <t>PLYMOUTH, IN.</t>
  </si>
  <si>
    <t>SWAYZEE, IN.</t>
  </si>
  <si>
    <t>952008</t>
  </si>
  <si>
    <t>BLUFFTON, IN.</t>
  </si>
  <si>
    <t>972065</t>
  </si>
  <si>
    <t>ANDERSON, IN</t>
  </si>
  <si>
    <t>982130</t>
  </si>
  <si>
    <t>CAMBRIDGE CITY, IN.</t>
  </si>
  <si>
    <t>982132</t>
  </si>
  <si>
    <t>CONNERSVILLE, IN.</t>
  </si>
  <si>
    <t>982089</t>
  </si>
  <si>
    <t>NEW CASTLE, IN</t>
  </si>
  <si>
    <t>982075</t>
  </si>
  <si>
    <t>PENDLETON, IN.</t>
  </si>
  <si>
    <t>962009</t>
  </si>
  <si>
    <t>952005</t>
  </si>
  <si>
    <t>MONTPELIER, IN.</t>
  </si>
  <si>
    <t>982107</t>
  </si>
  <si>
    <t>982095</t>
  </si>
  <si>
    <t>972040</t>
  </si>
  <si>
    <t>SELLERSBURG, IN.</t>
  </si>
  <si>
    <t>982117</t>
  </si>
  <si>
    <t>WALESBORO, IN</t>
  </si>
  <si>
    <t>982127</t>
  </si>
  <si>
    <t>CORYDON, IN.</t>
  </si>
  <si>
    <t>202292</t>
  </si>
  <si>
    <t>0124</t>
  </si>
  <si>
    <t>972056</t>
  </si>
  <si>
    <t>VINCENNES, IN.</t>
  </si>
  <si>
    <t>152276</t>
  </si>
  <si>
    <t>0106</t>
  </si>
  <si>
    <t>LEESBURG SAND AND GRAVEL</t>
  </si>
  <si>
    <t>LEESBURG, IN.</t>
  </si>
  <si>
    <t>012192</t>
  </si>
  <si>
    <t>LINCOLN PARK STONE</t>
  </si>
  <si>
    <t>992159</t>
  </si>
  <si>
    <t>982147</t>
  </si>
  <si>
    <t>052222</t>
  </si>
  <si>
    <t>GOSPORT, IN</t>
  </si>
  <si>
    <t>982078</t>
  </si>
  <si>
    <t>CLOVERDALE, IN.</t>
  </si>
  <si>
    <t>022200</t>
  </si>
  <si>
    <t>ROSS, OH.</t>
  </si>
  <si>
    <t>962012</t>
  </si>
  <si>
    <t>MARTIN MARIETTA</t>
  </si>
  <si>
    <t>NOBLESVILLE, IN</t>
  </si>
  <si>
    <t>972064</t>
  </si>
  <si>
    <t>982072</t>
  </si>
  <si>
    <t>972049</t>
  </si>
  <si>
    <t>WAVERLY, IN.</t>
  </si>
  <si>
    <t>962010</t>
  </si>
  <si>
    <t>232301</t>
  </si>
  <si>
    <t>2985</t>
  </si>
  <si>
    <t>982083</t>
  </si>
  <si>
    <t>CARMEL, IN.</t>
  </si>
  <si>
    <t>972044</t>
  </si>
  <si>
    <t>982139</t>
  </si>
  <si>
    <t>MARTIN MARIETTA-E-TOWN S AND G</t>
  </si>
  <si>
    <t>HARRISON, OH</t>
  </si>
  <si>
    <t>202291</t>
  </si>
  <si>
    <t>0142</t>
  </si>
  <si>
    <t>0040</t>
  </si>
  <si>
    <t>CINCINNATI, OH</t>
  </si>
  <si>
    <t>CRAWFORDSVILLE, IN</t>
  </si>
  <si>
    <t>992167</t>
  </si>
  <si>
    <t>MOOSE LAKE AGGREGATE</t>
  </si>
  <si>
    <t>982110</t>
  </si>
  <si>
    <t>972052</t>
  </si>
  <si>
    <t>MULZER CRUSHED STONE</t>
  </si>
  <si>
    <t>CHARLESTOWN, IN.</t>
  </si>
  <si>
    <t>GRIFFIN, IN.</t>
  </si>
  <si>
    <t>972020</t>
  </si>
  <si>
    <t>MULZER CRUSHED STONE CO.</t>
  </si>
  <si>
    <t>LEAVENWORTH, IN.</t>
  </si>
  <si>
    <t>982084</t>
  </si>
  <si>
    <t>ENGLISH, IN.</t>
  </si>
  <si>
    <t>MULZER CRUSHED STONE I-164 PIT</t>
  </si>
  <si>
    <t>972058</t>
  </si>
  <si>
    <t>982126</t>
  </si>
  <si>
    <t>NEW POINT STONE - HARRIS CITY</t>
  </si>
  <si>
    <t>GREENSBURG, IN.</t>
  </si>
  <si>
    <t>982121</t>
  </si>
  <si>
    <t>ST. PAUL, IN.</t>
  </si>
  <si>
    <t>992162</t>
  </si>
  <si>
    <t>NEW POINT STONE CO - NAPOLEON</t>
  </si>
  <si>
    <t>BATESVILLE, IN</t>
  </si>
  <si>
    <t>952002</t>
  </si>
  <si>
    <t>NEW POINT STONE CO - NEW POINT</t>
  </si>
  <si>
    <t>GREENSBURG, IN</t>
  </si>
  <si>
    <t>972033</t>
  </si>
  <si>
    <t>NEW POINT STONE CO-DERBYSHIRE</t>
  </si>
  <si>
    <t>LAUREL, IN.</t>
  </si>
  <si>
    <t>072237</t>
  </si>
  <si>
    <t>NIBLOCK EXCAVATING AND ASPHALT</t>
  </si>
  <si>
    <t>KIMMEL, IN</t>
  </si>
  <si>
    <t>982101</t>
  </si>
  <si>
    <t>BRISTOL, IN.</t>
  </si>
  <si>
    <t>092246</t>
  </si>
  <si>
    <t>0041</t>
  </si>
  <si>
    <t>CLOVERDALE, IN</t>
  </si>
  <si>
    <t>PETERSBURG, KY</t>
  </si>
  <si>
    <t>982138</t>
  </si>
  <si>
    <t>NUGENT SAND COMPANY</t>
  </si>
  <si>
    <t>MILTON, KY.</t>
  </si>
  <si>
    <t>982070</t>
  </si>
  <si>
    <t>LOUISVILLE, KY.</t>
  </si>
  <si>
    <t>972043</t>
  </si>
  <si>
    <t>COLUMBUS, IN.</t>
  </si>
  <si>
    <t>092248</t>
  </si>
  <si>
    <t>0045</t>
  </si>
  <si>
    <t>PHOENIX SERVICES, LLC</t>
  </si>
  <si>
    <t>PORTAGE, IN.</t>
  </si>
  <si>
    <t>952003</t>
  </si>
  <si>
    <t>EAST CHICAGO, IN.</t>
  </si>
  <si>
    <t>102253</t>
  </si>
  <si>
    <t>172283</t>
  </si>
  <si>
    <t>PRO-AGR INC.</t>
  </si>
  <si>
    <t>CAYUGA, IN.</t>
  </si>
  <si>
    <t>LAFAYETTE, IN</t>
  </si>
  <si>
    <t>072238</t>
  </si>
  <si>
    <t>PURDY MATERIALS INC.</t>
  </si>
  <si>
    <t>132267</t>
  </si>
  <si>
    <t>RIETH RILEY CONSTRUCTION CO.</t>
  </si>
  <si>
    <t>SOUTH BEND, IN</t>
  </si>
  <si>
    <t>RIETH-RILEY CONSTRUCTION CO.,</t>
  </si>
  <si>
    <t>GARY, IN</t>
  </si>
  <si>
    <t>122264</t>
  </si>
  <si>
    <t>ROBERTSON CRUSHED STONE</t>
  </si>
  <si>
    <t>MILLTOWN, IN.</t>
  </si>
  <si>
    <t>142273</t>
  </si>
  <si>
    <t>0021</t>
  </si>
  <si>
    <t>ROCK CREEK STONE QUARRY</t>
  </si>
  <si>
    <t>BLUFFTON, IN</t>
  </si>
  <si>
    <t>972050</t>
  </si>
  <si>
    <t>BLOOMINGTON, IN.</t>
  </si>
  <si>
    <t>972060</t>
  </si>
  <si>
    <t>ROGERS GROUP</t>
  </si>
  <si>
    <t>KENTLAND, IN.</t>
  </si>
  <si>
    <t>972016</t>
  </si>
  <si>
    <t>MITCHELL, IN.</t>
  </si>
  <si>
    <t>132269</t>
  </si>
  <si>
    <t>ROGERS GROUP INC. JEFF.CO. ST.</t>
  </si>
  <si>
    <t>ROGERS GROUP-MORGAN CO.</t>
  </si>
  <si>
    <t>MARTINSVILLE, IN.</t>
  </si>
  <si>
    <t>022204</t>
  </si>
  <si>
    <t>ROGERS GROUP-OLDHAM CO. STONE</t>
  </si>
  <si>
    <t>CRESTWOOD, KY.</t>
  </si>
  <si>
    <t>992161</t>
  </si>
  <si>
    <t>CLINTON, IN.</t>
  </si>
  <si>
    <t>062230</t>
  </si>
  <si>
    <t>MILROY, IN.</t>
  </si>
  <si>
    <t>S AND G EXC. - MORRIS/LOMBARDI</t>
  </si>
  <si>
    <t>TERRE HAUTE, IN.</t>
  </si>
  <si>
    <t>S AND G EXCAVATING</t>
  </si>
  <si>
    <t>MONTEZUMA, IN.</t>
  </si>
  <si>
    <t>012186</t>
  </si>
  <si>
    <t>DALEVILLE, IN</t>
  </si>
  <si>
    <t>DELPHI, IN.</t>
  </si>
  <si>
    <t>982114</t>
  </si>
  <si>
    <t>SHELBY MATERIALS</t>
  </si>
  <si>
    <t>SHELBYVILLE, IN</t>
  </si>
  <si>
    <t>982122</t>
  </si>
  <si>
    <t>EDINBURG, IN.</t>
  </si>
  <si>
    <t>162278</t>
  </si>
  <si>
    <t>0057</t>
  </si>
  <si>
    <t>SOUTH LAKE STONE</t>
  </si>
  <si>
    <t>HEBRON, IN</t>
  </si>
  <si>
    <t>972046</t>
  </si>
  <si>
    <t>SPEEDWAY SAND AND GRAVEL, INC</t>
  </si>
  <si>
    <t>DISKO, IN.</t>
  </si>
  <si>
    <t>SPEEDWAY SAND AND GRAVEL, INC.</t>
  </si>
  <si>
    <t>062228</t>
  </si>
  <si>
    <t>972015</t>
  </si>
  <si>
    <t>SPRAY SAND AND GRAVEL</t>
  </si>
  <si>
    <t>SEYMOUR, IN.</t>
  </si>
  <si>
    <t>STAFFORD GRAVEL, INC.</t>
  </si>
  <si>
    <t>982091</t>
  </si>
  <si>
    <t>STOCKBERGER TRUCKING, INC</t>
  </si>
  <si>
    <t>PLYMOUTH, IN</t>
  </si>
  <si>
    <t>982085</t>
  </si>
  <si>
    <t>STONE STREET QUARRIES, INC</t>
  </si>
  <si>
    <t>POE, IN.</t>
  </si>
  <si>
    <t>982131</t>
  </si>
  <si>
    <t>DECATUR, IN.</t>
  </si>
  <si>
    <t>022201</t>
  </si>
  <si>
    <t>LINN GROVE, IN.</t>
  </si>
  <si>
    <t>002168</t>
  </si>
  <si>
    <t>LOWELL, IN.</t>
  </si>
  <si>
    <t>002181</t>
  </si>
  <si>
    <t>MONON, IN.</t>
  </si>
  <si>
    <t>972034</t>
  </si>
  <si>
    <t>972054</t>
  </si>
  <si>
    <t>972053</t>
  </si>
  <si>
    <t>972042</t>
  </si>
  <si>
    <t>162281</t>
  </si>
  <si>
    <t>THORNTOWN, IN.</t>
  </si>
  <si>
    <t>982109</t>
  </si>
  <si>
    <t>962013</t>
  </si>
  <si>
    <t>PORTLAND, IN.</t>
  </si>
  <si>
    <t>982124</t>
  </si>
  <si>
    <t>RIDGEVILLE, IN.</t>
  </si>
  <si>
    <t>972045</t>
  </si>
  <si>
    <t>972018</t>
  </si>
  <si>
    <t>FLAT ROCK, IN.</t>
  </si>
  <si>
    <t>BATTLEGROUND, IN</t>
  </si>
  <si>
    <t>2183</t>
  </si>
  <si>
    <t>142274</t>
  </si>
  <si>
    <t>0097</t>
  </si>
  <si>
    <t>LOWELL, IN</t>
  </si>
  <si>
    <t>022199</t>
  </si>
  <si>
    <t>VCNA PRAIRIE AGGREGATE, IN,INC</t>
  </si>
  <si>
    <t>BLOOMFIELD, IN</t>
  </si>
  <si>
    <t>032206</t>
  </si>
  <si>
    <t>982136</t>
  </si>
  <si>
    <t>VULCAN MATERIALS</t>
  </si>
  <si>
    <t>062235</t>
  </si>
  <si>
    <t>WARD STONE, LLC</t>
  </si>
  <si>
    <t>FLAT ROCK, IN</t>
  </si>
  <si>
    <t>032211</t>
  </si>
  <si>
    <t>WATSON GRAVEL INC - PLANT #2</t>
  </si>
  <si>
    <t>HARRISON, OH.</t>
  </si>
  <si>
    <t>122263</t>
  </si>
  <si>
    <t>0077</t>
  </si>
  <si>
    <t>WEST PLAINS MINING/KENTNER CRE</t>
  </si>
  <si>
    <t>WABASH, IN</t>
  </si>
  <si>
    <t>182287</t>
  </si>
  <si>
    <t>0125</t>
  </si>
  <si>
    <t>YELLOW CREEK GRAVEL SERVICES</t>
  </si>
  <si>
    <t>GOSHEN, IN</t>
  </si>
  <si>
    <t>ARGOS CEMENT USA   ROBERTA , AL</t>
  </si>
  <si>
    <t>068357</t>
  </si>
  <si>
    <t>ARGOS CEMENT USA  MARTINSBURG, WV</t>
  </si>
  <si>
    <t>ASH GROVE CEMENT COMPANY. MISSISSAUGA PLANT</t>
  </si>
  <si>
    <t>098351</t>
  </si>
  <si>
    <t>BUZZI UNICEM SALES CO CAPE GIRARDEAU, MO</t>
  </si>
  <si>
    <t>028368</t>
  </si>
  <si>
    <t>BUZZI UNICEM SALES CO CHATTANOOGA, TN</t>
  </si>
  <si>
    <t>048352</t>
  </si>
  <si>
    <t>BUZZI UNICEM SALES CO STOCKERTOWN, PA</t>
  </si>
  <si>
    <t>058350</t>
  </si>
  <si>
    <t>028369</t>
  </si>
  <si>
    <t>BUZZI UNICEM SALES CO  SELMA PLANT FESTUS, MO</t>
  </si>
  <si>
    <t>028371</t>
  </si>
  <si>
    <t>CEMEX CEMENT CO KNOXVILLE, TN</t>
  </si>
  <si>
    <t>228302</t>
  </si>
  <si>
    <t xml:space="preserve">CONTINENTAL CEMENT CO LLC  HANNIBAL, MO  </t>
  </si>
  <si>
    <t>088302</t>
  </si>
  <si>
    <t>CTS CEMENT GARDEN GROVE, CA</t>
  </si>
  <si>
    <t>208301</t>
  </si>
  <si>
    <t>FAIRBORN CEMENT CO  FAIRBORN, OHIO</t>
  </si>
  <si>
    <t>088301</t>
  </si>
  <si>
    <t>HEIDELBERG MATERIALS NA-FLEETWOOD, PA</t>
  </si>
  <si>
    <t>168368</t>
  </si>
  <si>
    <t>HEIDELBERG MATERIALS NA- LOGANSPORT, IN</t>
  </si>
  <si>
    <t>028354</t>
  </si>
  <si>
    <t>HEIDELBERG MATERIALS NA-MASON CITY, IA</t>
  </si>
  <si>
    <t>218300</t>
  </si>
  <si>
    <t>HEIDELBERG MATERIALS NA-MITCHELL, IN</t>
  </si>
  <si>
    <t>028367</t>
  </si>
  <si>
    <t>HEIDELBERG MATERIALS NA- PICTON PLANT ONTARIO,  CANADA</t>
  </si>
  <si>
    <t>HEIDELBERG MATERIALS NA- SPEED, IN</t>
  </si>
  <si>
    <t>028355</t>
  </si>
  <si>
    <t>HEIDELBERG MATERIALS NA-  UNION BRIDGE, MD</t>
  </si>
  <si>
    <t>HOLCIM (US)INC.  ALPENA, MI</t>
  </si>
  <si>
    <t>028362</t>
  </si>
  <si>
    <t>HOLCIM (US) INC.  JOPPA, IL</t>
  </si>
  <si>
    <t>028365</t>
  </si>
  <si>
    <t>HOLCIM (US) INC. PAULDING, OHIO</t>
  </si>
  <si>
    <t>028366</t>
  </si>
  <si>
    <t xml:space="preserve">HOLCIM (US) INC, STE. GENEVIEVE PLANT   BLOOMSDALE, MO   </t>
  </si>
  <si>
    <t>098352</t>
  </si>
  <si>
    <t>HOLCIM (US) INC  THEODORE, AL</t>
  </si>
  <si>
    <t>028360</t>
  </si>
  <si>
    <t xml:space="preserve">HOLLINGSHEAD CEMENT LLC,NUH CIMENTO PLANT -KORFEZ/KOCAELI, TURKEY </t>
  </si>
  <si>
    <t>228301</t>
  </si>
  <si>
    <t>ILLINOIS CEMENT COMPANY  LASALLE, IL</t>
  </si>
  <si>
    <t>078371</t>
  </si>
  <si>
    <t>KOSMOS CEMENT CO. KOSMOSDALE, KY</t>
  </si>
  <si>
    <t>028374</t>
  </si>
  <si>
    <t>NATIONAL CEMENT COMPANY OF ALABAMA INC    RAGLAND, AL</t>
  </si>
  <si>
    <t>OZINGA CEMENT - NUH CIMENTOS PLANT   KORFEZ/KOCAELI, TURKEY</t>
  </si>
  <si>
    <t>198305</t>
  </si>
  <si>
    <t>ST MARYS CEMENT CO  DETROIT, MI</t>
  </si>
  <si>
    <t>028350</t>
  </si>
  <si>
    <t>ST MARYS CEMENT CO BOWMANVILLE PLANT ONTARIO, CANADA</t>
  </si>
  <si>
    <t>048350</t>
  </si>
  <si>
    <t>ST MARYS CEMENT CO CHARLEVOIX, MI</t>
  </si>
  <si>
    <t>028390</t>
  </si>
  <si>
    <t>ST MARYS CEMENT CO ST MARYS PLANT ONTARIO CANADA</t>
  </si>
  <si>
    <t>098350</t>
  </si>
  <si>
    <t>--FLY ASH CLASS C--</t>
  </si>
  <si>
    <t>EM RESOURCES LLC   BALDWIN POWER PLANT, BALDWIN, IL</t>
  </si>
  <si>
    <t>028152</t>
  </si>
  <si>
    <t>EM RESOURCES LLC   ECKERT STATION, LANSING, MI</t>
  </si>
  <si>
    <t>EM RESOURCES LLC   JH CAMPBELL POWER PLANT, WEST OLIVE, MI</t>
  </si>
  <si>
    <t>088150</t>
  </si>
  <si>
    <t>EM RESOURCES LLC   LABADIE POWER PLANT, LABADIE, MO</t>
  </si>
  <si>
    <t>EM RESOURCES LLC  NEWTON POWER STATION, NEWTON, IL</t>
  </si>
  <si>
    <t>EM RESOURCES LLC   RUSH ISLAND POWER PLANT, FESTUS, MO</t>
  </si>
  <si>
    <t>EM RESOURCES LLC  SCHAHFER, UNIT 15, WHEATFIELD, IN</t>
  </si>
  <si>
    <t>028151</t>
  </si>
  <si>
    <t>EM RESOURCES LLC  WOOD RIVER STATION, ALTON, IL</t>
  </si>
  <si>
    <t>HOLCIUM (us) INC. OAK CREEK POWER PLANT, OAK CREEK, WI</t>
  </si>
  <si>
    <t>068157</t>
  </si>
  <si>
    <t>--FLY ASH CLASS F--</t>
  </si>
  <si>
    <t>CHARAH SOLUTIONS, INC CAYUGA POWER PLANT UNITS 1 &amp; 2 CAYUGA, IN</t>
  </si>
  <si>
    <t>228101</t>
  </si>
  <si>
    <t>CHARAH SOLUTIONS, INC  MIAMI FORT STATION, LLC. UNIT 7, NORTH BEND, OH</t>
  </si>
  <si>
    <t>CHARAH SOLUTIONS, INC  MIAMI FORT STATION, LLC. UNIT 8, NORTH BEND, OH</t>
  </si>
  <si>
    <t>DYNEGY, INC  MIAMI FORT STATION, LLC. UNIT 7, NORTH BEND, OH</t>
  </si>
  <si>
    <t>DYNEGY, INC  MIAMI FORT STATION, LLC. UNIT 8, NORTH BEND, OH</t>
  </si>
  <si>
    <t>EM RESOURCES LLC PRAIRIE STATE GENERATING COMPANY, UNITS 1 AND 2 MARISSA, IL</t>
  </si>
  <si>
    <t>EM RESOURCES LL   SCHAHFER, UNITS 17 &amp; 18, WHEATFIELD, IN</t>
  </si>
  <si>
    <t>HOLCIM (US) INC GHENT ROWER STATEION GHENT KY.</t>
  </si>
  <si>
    <t>208132</t>
  </si>
  <si>
    <t>HOLCIM (US) INC  MILL CREEK POWER PLANT, LOUISVILLE, KY</t>
  </si>
  <si>
    <t>208130</t>
  </si>
  <si>
    <t>OZINGA CEMENT  DALLMAN POWER STATION UNIT 4  SPRINGFIELD IL</t>
  </si>
  <si>
    <t>198130</t>
  </si>
  <si>
    <t>SEPARATION TECHNOLOGIES LLC CLIFFTY CREEK POWER STATION  UNITS 1-6 MADISON , IN</t>
  </si>
  <si>
    <t>218101</t>
  </si>
  <si>
    <t>--SILICA FUME--</t>
  </si>
  <si>
    <t>MASTER BUILDERS SOLUTIONS LLC   MASTERLIFE SF 100</t>
  </si>
  <si>
    <t>028170</t>
  </si>
  <si>
    <t>EUCLID CHEMICAL CO. EUCON MSA</t>
  </si>
  <si>
    <t>078039</t>
  </si>
  <si>
    <t>GCP APPLIED TECHNOLOGIES INC  FORCE 10,000D</t>
  </si>
  <si>
    <t>028190</t>
  </si>
  <si>
    <t>R-E-D INDUSTRIAL PRODUCTS  R-E-D FUME 102 DM</t>
  </si>
  <si>
    <t>RUSSTECH ADMIXTURES  RUSSTECH CSF</t>
  </si>
  <si>
    <t>028172</t>
  </si>
  <si>
    <t>SIKA CORPORATION  SIKACRETE 950 DP</t>
  </si>
  <si>
    <t>028173</t>
  </si>
  <si>
    <t>--SLAG CEMENT GRADE 100--</t>
  </si>
  <si>
    <t>BUZZI UNICEM USA   AUCEM,   SOUTH CHICAGO FACILITY</t>
  </si>
  <si>
    <t>128165</t>
  </si>
  <si>
    <t>BUZZI UNICEM USA  ANSHAN SLAG ANSHAN CITY, LIAONING CHINA</t>
  </si>
  <si>
    <t>CRH CANADA GROUP INC. SLAG CEMENT, MISSISSAUGA CEMENT PLANT, ONTARIO, CANADA</t>
  </si>
  <si>
    <t>HOLCIM (US), THEODORE, ALABAMA</t>
  </si>
  <si>
    <t xml:space="preserve">HOLCIUM (US) INC,  SOUTH CHICAGO  </t>
  </si>
  <si>
    <t>HEIDELBERG MATERIALS NA- ALLCEM MIDDLEBRANCH OHIO</t>
  </si>
  <si>
    <t>208151</t>
  </si>
  <si>
    <t>OZINGA CEMENT ANSHAN SLAG ANSHAN CITY, LIAONING CHINA</t>
  </si>
  <si>
    <t>SKYWAY CEMENT COMPANY LLC   CHICAGO, IL</t>
  </si>
  <si>
    <t>028165</t>
  </si>
  <si>
    <t>ST MARYS CEMENT INC. CEMPLUS,   DETROIT, MI</t>
  </si>
  <si>
    <t>ST MARYS CEMENT INC. CEMPLUS, MILWAUKEE WI</t>
  </si>
  <si>
    <t>208160</t>
  </si>
  <si>
    <t>--SLAG CEMENT GRADE 120--</t>
  </si>
  <si>
    <t>BUZZI UNICEM USA  AUCEM,  SOUTH CHICAGO</t>
  </si>
  <si>
    <t>038151</t>
  </si>
  <si>
    <t xml:space="preserve">HOLCIUM (US) INC.,  SOUTH CHICAGO </t>
  </si>
  <si>
    <t>038150</t>
  </si>
  <si>
    <t>118650</t>
  </si>
  <si>
    <t>THE EUCLID CHEMICAL CO</t>
  </si>
  <si>
    <t>TYPE C</t>
  </si>
  <si>
    <t>12.0 TO 90.0</t>
  </si>
  <si>
    <t>ACCELGUARD 80 (E)</t>
  </si>
  <si>
    <t>118660</t>
  </si>
  <si>
    <t>TYPE E</t>
  </si>
  <si>
    <t>078660</t>
  </si>
  <si>
    <t xml:space="preserve">10.0 TO 90.0 </t>
  </si>
  <si>
    <t>ACCELGUARD 90 (E)</t>
  </si>
  <si>
    <t>078661</t>
  </si>
  <si>
    <t>168641</t>
  </si>
  <si>
    <t>168665</t>
  </si>
  <si>
    <t>10.0 TO  90.0</t>
  </si>
  <si>
    <t>12.0 TO 75.0</t>
  </si>
  <si>
    <t>ACCELGUARD NCA (E)</t>
  </si>
  <si>
    <t>118661</t>
  </si>
  <si>
    <t>ADVA 140M (A)</t>
  </si>
  <si>
    <t>098610</t>
  </si>
  <si>
    <t xml:space="preserve">GCP APPLIED TECHNOLOGIES INC   </t>
  </si>
  <si>
    <t>TYPE A</t>
  </si>
  <si>
    <t xml:space="preserve">4.0 TO 9.0 </t>
  </si>
  <si>
    <t>ADVA 140M (F)</t>
  </si>
  <si>
    <t>078631</t>
  </si>
  <si>
    <t xml:space="preserve">GCP APPLIED TECHNOLOGIES INC       </t>
  </si>
  <si>
    <t>TYPE F</t>
  </si>
  <si>
    <t>ADVA 198 (A)</t>
  </si>
  <si>
    <t>178625</t>
  </si>
  <si>
    <t xml:space="preserve">GCP APPLIED TECHNOLOGIES INC     </t>
  </si>
  <si>
    <t xml:space="preserve">3.0 TO 6.0 </t>
  </si>
  <si>
    <t>ADVA 198 (F)</t>
  </si>
  <si>
    <t>158222</t>
  </si>
  <si>
    <t xml:space="preserve">GCP APPLIED TECHNOLOGIES INC      </t>
  </si>
  <si>
    <t xml:space="preserve">6.0 TO 15.0
</t>
  </si>
  <si>
    <t>ADVA CAST 575 (A)</t>
  </si>
  <si>
    <t>1.5 TO 3.0</t>
  </si>
  <si>
    <t>ADVA CAST 575 (F)</t>
  </si>
  <si>
    <t>078617</t>
  </si>
  <si>
    <t>ADVA CAST 585</t>
  </si>
  <si>
    <t>148631</t>
  </si>
  <si>
    <t xml:space="preserve">3.5 TO 10.0
</t>
  </si>
  <si>
    <t>ADVA CAST 600 (A)</t>
  </si>
  <si>
    <t xml:space="preserve">1.5 TO 3.0
</t>
  </si>
  <si>
    <t>ADVA CAST 600 (F)</t>
  </si>
  <si>
    <t>138621</t>
  </si>
  <si>
    <t xml:space="preserve">3.0 TO 10.0
</t>
  </si>
  <si>
    <t>ADVA FLEX</t>
  </si>
  <si>
    <t>078941</t>
  </si>
  <si>
    <t xml:space="preserve">4.0 TO 14.0
</t>
  </si>
  <si>
    <t>AIR PLUS (POWDER)</t>
  </si>
  <si>
    <t>8296</t>
  </si>
  <si>
    <t>FRITZ-PAK NCA</t>
  </si>
  <si>
    <t>AIRALON 7000</t>
  </si>
  <si>
    <t xml:space="preserve">GCP APPLIED TECHNOLOGIES INC    </t>
  </si>
  <si>
    <t>0.5 TO 3.0</t>
  </si>
  <si>
    <t>CHRYSO AIR 260</t>
  </si>
  <si>
    <t>118611</t>
  </si>
  <si>
    <t xml:space="preserve">CHRYSO  </t>
  </si>
  <si>
    <t xml:space="preserve">0.25 TO 5.0 </t>
  </si>
  <si>
    <t>CHRYSO AIR 260 ULTRA</t>
  </si>
  <si>
    <t>158668</t>
  </si>
  <si>
    <t xml:space="preserve">0.2 TO 5.0 </t>
  </si>
  <si>
    <t>CHRYSO AIR G 100</t>
  </si>
  <si>
    <t>8278</t>
  </si>
  <si>
    <t>CHRYSO</t>
  </si>
  <si>
    <t>0.20 TO 7.50</t>
  </si>
  <si>
    <t>CHRYSO CONTROLSET 125</t>
  </si>
  <si>
    <t>148625</t>
  </si>
  <si>
    <t xml:space="preserve">CHRYSO    </t>
  </si>
  <si>
    <t>TYPE D</t>
  </si>
  <si>
    <t xml:space="preserve">2.0 TO 7.0 </t>
  </si>
  <si>
    <t>CHRYSO ENVIROMIX 159 (A)</t>
  </si>
  <si>
    <t>118626</t>
  </si>
  <si>
    <t>CHRYSO ENVIROMIX 159 (F)</t>
  </si>
  <si>
    <t xml:space="preserve">12.0 to 20.0
</t>
  </si>
  <si>
    <t>128601</t>
  </si>
  <si>
    <t xml:space="preserve">3.0 TO 14.0
</t>
  </si>
  <si>
    <t>CHRYSO ENVIROMIX 740 (A)</t>
  </si>
  <si>
    <t>148630</t>
  </si>
  <si>
    <t xml:space="preserve">CHRYSO   </t>
  </si>
  <si>
    <t>CHRYSO ENVIROMIX 740 (F)</t>
  </si>
  <si>
    <t xml:space="preserve">10.0 TO 20.0
</t>
  </si>
  <si>
    <t>CHRYSO FLUID OPTIMA 256 EMX (A)</t>
  </si>
  <si>
    <t>118629</t>
  </si>
  <si>
    <t>2.0 TO 7.0</t>
  </si>
  <si>
    <t>CHRYSO FLUID OPTIMA 256 EMX (F)</t>
  </si>
  <si>
    <t>158666</t>
  </si>
  <si>
    <t xml:space="preserve">7.0 TO 16.0
</t>
  </si>
  <si>
    <t>CHRYSO FLUID OPTIMA 258 EMX (A)</t>
  </si>
  <si>
    <t>148621</t>
  </si>
  <si>
    <t>CHRYSO FLUID OPTIMA 258 EMX (F)</t>
  </si>
  <si>
    <t>148623</t>
  </si>
  <si>
    <t xml:space="preserve">CHRYSO     </t>
  </si>
  <si>
    <t>CHRYSO FLUID OPTIMA 100 (G)</t>
  </si>
  <si>
    <t>TYPE G</t>
  </si>
  <si>
    <t>7.0 TO 30.0</t>
  </si>
  <si>
    <t>CHRYSO FLUID PREMIA 150 (F)</t>
  </si>
  <si>
    <t>5.0 TO 40.0</t>
  </si>
  <si>
    <t>CHRYSO FLUID PREMIA 198 (A)</t>
  </si>
  <si>
    <t>CHRYSO FLUID PREMIA 198 (F)</t>
  </si>
  <si>
    <t>CHRYSO OPTMA 249 (A)</t>
  </si>
  <si>
    <t>2.0 TO 4.0</t>
  </si>
  <si>
    <t>CHRYSO TURBOCAST 650A</t>
  </si>
  <si>
    <t>078615</t>
  </si>
  <si>
    <t xml:space="preserve">8.0 TO 54.0
</t>
  </si>
  <si>
    <t>CHRYSO TURBOCAST NCT</t>
  </si>
  <si>
    <t>158672</t>
  </si>
  <si>
    <t xml:space="preserve">8.0 TO 90.0
</t>
  </si>
  <si>
    <t>CLARENA MC2000 (A)</t>
  </si>
  <si>
    <t>178633</t>
  </si>
  <si>
    <t>CLARENA MC2000 (F)</t>
  </si>
  <si>
    <t xml:space="preserve">7.0 TO 15.0
</t>
  </si>
  <si>
    <t>CONAIR</t>
  </si>
  <si>
    <t>088635</t>
  </si>
  <si>
    <t xml:space="preserve">PREMIERE CONCRETE ADMIXTURES LLC    </t>
  </si>
  <si>
    <t xml:space="preserve">0.2 TO 3.0 </t>
  </si>
  <si>
    <t>CONAIR 260</t>
  </si>
  <si>
    <t>088623</t>
  </si>
  <si>
    <t>CONAIR X</t>
  </si>
  <si>
    <t>0.5 TO 4.0</t>
  </si>
  <si>
    <t>CONCERA CP1124</t>
  </si>
  <si>
    <t>8266</t>
  </si>
  <si>
    <t>GCP APPLIED TECHNOLOGIES INC.</t>
  </si>
  <si>
    <t>6.0 TO 16.0</t>
  </si>
  <si>
    <t>CONCERA SA8080 (A)</t>
  </si>
  <si>
    <t>2.0 TO 8.0</t>
  </si>
  <si>
    <t>CONCERA SA8080 (F)</t>
  </si>
  <si>
    <t>8.0 TO 20.0</t>
  </si>
  <si>
    <t>DARASET 400</t>
  </si>
  <si>
    <t>058628</t>
  </si>
  <si>
    <t xml:space="preserve">10.0 TO 60.0 </t>
  </si>
  <si>
    <t>DARAVAIR 1400</t>
  </si>
  <si>
    <t>028617</t>
  </si>
  <si>
    <t>DAREX AEA ED</t>
  </si>
  <si>
    <t>0.5 TO 5.0</t>
  </si>
  <si>
    <t>DAREX II AEA</t>
  </si>
  <si>
    <t>028619</t>
  </si>
  <si>
    <t>0.2 TO 7.5</t>
  </si>
  <si>
    <t>DCI</t>
  </si>
  <si>
    <t>148629</t>
  </si>
  <si>
    <t xml:space="preserve">40.0 TO 120.0
</t>
  </si>
  <si>
    <t>DSA 110</t>
  </si>
  <si>
    <t>8264</t>
  </si>
  <si>
    <t>DARCOLE PRODUCTS INC</t>
  </si>
  <si>
    <t>0.25 TO 2.0</t>
  </si>
  <si>
    <t>DARNLOK 785 (A)</t>
  </si>
  <si>
    <t>6.0 TO 12.0</t>
  </si>
  <si>
    <t xml:space="preserve">9.0 TO 54.0
</t>
  </si>
  <si>
    <t>DELAY SET, STANDARD &amp; MINI</t>
  </si>
  <si>
    <t>1.0 TO 1.7 (POWDER)</t>
  </si>
  <si>
    <t>9581</t>
  </si>
  <si>
    <t>MAPEI CORPORATION</t>
  </si>
  <si>
    <t xml:space="preserve">2.0 TO 11.0
</t>
  </si>
  <si>
    <t xml:space="preserve">2.0 TO 15.0
</t>
  </si>
  <si>
    <t>ECOFLO GREEN (F)</t>
  </si>
  <si>
    <t>138627</t>
  </si>
  <si>
    <t xml:space="preserve">PREMIERE CONCRETE ADMIXTURES LLC          </t>
  </si>
  <si>
    <t xml:space="preserve">8.0 TO 16.0
</t>
  </si>
  <si>
    <t>SPECIFICATION PRODUCTS</t>
  </si>
  <si>
    <t>4.0</t>
  </si>
  <si>
    <t>8.0</t>
  </si>
  <si>
    <t>EUCON 1037</t>
  </si>
  <si>
    <t>028212</t>
  </si>
  <si>
    <t xml:space="preserve">THE EUCLID CHEMICAL CO     </t>
  </si>
  <si>
    <t xml:space="preserve">8.0 TO 25.0
</t>
  </si>
  <si>
    <t>EUCON A+</t>
  </si>
  <si>
    <t>028628</t>
  </si>
  <si>
    <t xml:space="preserve">THE EUCLID CHEMICAL CO    </t>
  </si>
  <si>
    <t xml:space="preserve">3.0 TO 18.0
</t>
  </si>
  <si>
    <t>EUCON AEA-92</t>
  </si>
  <si>
    <t>028605</t>
  </si>
  <si>
    <t xml:space="preserve">THE EUCLID CHEMICAL CO  </t>
  </si>
  <si>
    <t xml:space="preserve">0.1 TO 4.0 </t>
  </si>
  <si>
    <t>EUCON AEA-92S</t>
  </si>
  <si>
    <t>118630</t>
  </si>
  <si>
    <t xml:space="preserve">0.5 TO 2.0 </t>
  </si>
  <si>
    <t>EUCON AIR MAC12</t>
  </si>
  <si>
    <t>158661</t>
  </si>
  <si>
    <t xml:space="preserve">THE EUCLID CHEMICAL CO   </t>
  </si>
  <si>
    <t xml:space="preserve">0.10 TO 4.0 </t>
  </si>
  <si>
    <t>EUCON AIR MAC6</t>
  </si>
  <si>
    <t>168660</t>
  </si>
  <si>
    <t>EUCON CIA</t>
  </si>
  <si>
    <t>028660</t>
  </si>
  <si>
    <t xml:space="preserve">THE EUCLID CHEMICAL CO.     </t>
  </si>
  <si>
    <t>EUCON MR (A)</t>
  </si>
  <si>
    <t>028631</t>
  </si>
  <si>
    <t xml:space="preserve">4.0 TO 10.0
</t>
  </si>
  <si>
    <t>EUCON MR (F)</t>
  </si>
  <si>
    <t xml:space="preserve">10.0 TO 15.0 </t>
  </si>
  <si>
    <t>EUCON RETARDER 100 (B)</t>
  </si>
  <si>
    <t>148650</t>
  </si>
  <si>
    <t>TYPE B</t>
  </si>
  <si>
    <t xml:space="preserve">2.0 TO 6.0 </t>
  </si>
  <si>
    <t>EUCON RETARDER 100 (D)</t>
  </si>
  <si>
    <t>028670</t>
  </si>
  <si>
    <t xml:space="preserve">THE EUCLID CHEMICAL CO      </t>
  </si>
  <si>
    <t>EUCON SE (A)</t>
  </si>
  <si>
    <t xml:space="preserve">THE EUCLID CHEMICAL CO   
</t>
  </si>
  <si>
    <t xml:space="preserve">2.0 TO 4.0 </t>
  </si>
  <si>
    <t>EUCON SE (D)</t>
  </si>
  <si>
    <t>3.0 TO 5.0</t>
  </si>
  <si>
    <t xml:space="preserve">EUCON STASIS (B)
</t>
  </si>
  <si>
    <t>168653</t>
  </si>
  <si>
    <t xml:space="preserve">THE EUCLID CHEMICAL CO      
</t>
  </si>
  <si>
    <t xml:space="preserve">1.0 TO 16.0
</t>
  </si>
  <si>
    <t xml:space="preserve">EUCON STASIS (D)
</t>
  </si>
  <si>
    <t>168690</t>
  </si>
  <si>
    <t>EUCON WR (A)</t>
  </si>
  <si>
    <t>148620</t>
  </si>
  <si>
    <t>EUCON WR (B)</t>
  </si>
  <si>
    <t>148651</t>
  </si>
  <si>
    <t xml:space="preserve">5.0 TO 10.0
</t>
  </si>
  <si>
    <t>EUCON WR (D)</t>
  </si>
  <si>
    <t>148670</t>
  </si>
  <si>
    <t>EUCON WRX (A)</t>
  </si>
  <si>
    <t>5.0 TO 7.0</t>
  </si>
  <si>
    <t>EUCON WRX (F)</t>
  </si>
  <si>
    <t>7.0 TO 12.0</t>
  </si>
  <si>
    <t>EUCON WR 91 (A)</t>
  </si>
  <si>
    <t>028630</t>
  </si>
  <si>
    <t>EUCON WR 91 (B)</t>
  </si>
  <si>
    <t>118652</t>
  </si>
  <si>
    <t>EUCON WR 91 (D)</t>
  </si>
  <si>
    <t>118670</t>
  </si>
  <si>
    <t xml:space="preserve">THE EUCLID CHEMICAL CO       </t>
  </si>
  <si>
    <t>EXTENDFLO X90</t>
  </si>
  <si>
    <t>178635</t>
  </si>
  <si>
    <t xml:space="preserve">RUSSTECH ADMIXTURES   </t>
  </si>
  <si>
    <t xml:space="preserve">2.0 TO 12.0
</t>
  </si>
  <si>
    <t>FINISHEASE NC</t>
  </si>
  <si>
    <t>028641</t>
  </si>
  <si>
    <t xml:space="preserve">RUSSTECH ADMIXTURES     </t>
  </si>
  <si>
    <t>3.0 TO 7.0</t>
  </si>
  <si>
    <t>IMPEDE CNI</t>
  </si>
  <si>
    <t>138616</t>
  </si>
  <si>
    <t xml:space="preserve">PREMIERE CONCRETE ADMIXTURES LLC     </t>
  </si>
  <si>
    <t>LC-400P (A)</t>
  </si>
  <si>
    <t>028642</t>
  </si>
  <si>
    <t xml:space="preserve">3.0 TO 5.0 </t>
  </si>
  <si>
    <t>LC-400P (D)</t>
  </si>
  <si>
    <t>028677</t>
  </si>
  <si>
    <t xml:space="preserve">RUSSTECH ADMIXTURES    </t>
  </si>
  <si>
    <t xml:space="preserve">5.0 TO 8.0 </t>
  </si>
  <si>
    <t>LC-400R (D)</t>
  </si>
  <si>
    <t>028678</t>
  </si>
  <si>
    <t xml:space="preserve">RUSSTECH ADMIXTURES       </t>
  </si>
  <si>
    <t>LC-500 (A)</t>
  </si>
  <si>
    <t>028295</t>
  </si>
  <si>
    <t>LC-500 (D)</t>
  </si>
  <si>
    <t>LCNC-166 (C)</t>
  </si>
  <si>
    <t>028664</t>
  </si>
  <si>
    <t>LCNC-166 (E)</t>
  </si>
  <si>
    <t>028683</t>
  </si>
  <si>
    <t>MASTERAIR AE 200</t>
  </si>
  <si>
    <t>028611</t>
  </si>
  <si>
    <t xml:space="preserve">MASTER BUILDERS SOLUTIONS LLC
</t>
  </si>
  <si>
    <t xml:space="preserve">0.125 TO 4.0 </t>
  </si>
  <si>
    <t>MASTERAIR AE 400</t>
  </si>
  <si>
    <t>078612</t>
  </si>
  <si>
    <t xml:space="preserve">0.25 TO 4.0 </t>
  </si>
  <si>
    <t>MASTERAIR AE 90</t>
  </si>
  <si>
    <t>028608</t>
  </si>
  <si>
    <t xml:space="preserve">0.25 TO 4.0
</t>
  </si>
  <si>
    <t>MASTERAIR VR 10</t>
  </si>
  <si>
    <t>028610</t>
  </si>
  <si>
    <t xml:space="preserve">MASTERAIR VR 20 </t>
  </si>
  <si>
    <t>028609</t>
  </si>
  <si>
    <t>MASTERGLENIUM 1466 (A)</t>
  </si>
  <si>
    <t>078620</t>
  </si>
  <si>
    <t xml:space="preserve">2.0 TO 4.0
</t>
  </si>
  <si>
    <t>MASTERGLENIUM 1466 (F)</t>
  </si>
  <si>
    <t>078621</t>
  </si>
  <si>
    <t>MASTERGLENIUM 3030 (A)</t>
  </si>
  <si>
    <t>028213</t>
  </si>
  <si>
    <t xml:space="preserve">1.0 TO 6.0 </t>
  </si>
  <si>
    <t>MASTERGLENIUM 3030 (F)</t>
  </si>
  <si>
    <t>028696</t>
  </si>
  <si>
    <t xml:space="preserve">6.0 TO 18.0
</t>
  </si>
  <si>
    <t>MASTERGLENIUM 3400</t>
  </si>
  <si>
    <t>058614</t>
  </si>
  <si>
    <t>MASTERGLENIUM 7500 (A)</t>
  </si>
  <si>
    <t>088215</t>
  </si>
  <si>
    <t xml:space="preserve">2.0 TO 3.0 </t>
  </si>
  <si>
    <t>MASTERGLENIUM 7500 (F)</t>
  </si>
  <si>
    <t>088204</t>
  </si>
  <si>
    <t xml:space="preserve">3.0 TO 12.0
</t>
  </si>
  <si>
    <t>MASTERGLENIUM 7511 (A)</t>
  </si>
  <si>
    <t>118625</t>
  </si>
  <si>
    <t xml:space="preserve">2.0 TO 5.0 </t>
  </si>
  <si>
    <t>MASTERGLENIUM 7511 (F)</t>
  </si>
  <si>
    <t>118627</t>
  </si>
  <si>
    <t xml:space="preserve">5.0 TO 15.0
</t>
  </si>
  <si>
    <t>MASTERGLENIUM 7700 (F)</t>
  </si>
  <si>
    <t>088195</t>
  </si>
  <si>
    <t xml:space="preserve">4.0 TO 12.0
</t>
  </si>
  <si>
    <t>MASTERGLENIUM 7710 (F)</t>
  </si>
  <si>
    <t>158673</t>
  </si>
  <si>
    <t xml:space="preserve">5.5 TO 12.0
</t>
  </si>
  <si>
    <t>MASTERGLENIUM 7920 (A)</t>
  </si>
  <si>
    <t xml:space="preserve">2.0 TO 5.0
</t>
  </si>
  <si>
    <t>MASTERGLENIUM 7920 (F)</t>
  </si>
  <si>
    <t>148632</t>
  </si>
  <si>
    <t xml:space="preserve">3.5 TO 12.0
</t>
  </si>
  <si>
    <t>MASTERGLENIUM 7925 (A)</t>
  </si>
  <si>
    <t>MASTERGLENIUM 7925 (F)</t>
  </si>
  <si>
    <t xml:space="preserve">4.0 TO 15.0
</t>
  </si>
  <si>
    <t>MASTERLIFE CI 30</t>
  </si>
  <si>
    <t>068216</t>
  </si>
  <si>
    <t xml:space="preserve">50.0 TO 150.0
</t>
  </si>
  <si>
    <t>MASTERPOLYHEED 100 (A)</t>
  </si>
  <si>
    <t>028635</t>
  </si>
  <si>
    <t xml:space="preserve">8.0 TO 30.0
</t>
  </si>
  <si>
    <t>MASTERPOLYHEED 100 (C)</t>
  </si>
  <si>
    <t>028661</t>
  </si>
  <si>
    <t>MASTERPOLYHEED 100 (E)</t>
  </si>
  <si>
    <t>028681</t>
  </si>
  <si>
    <t>MASTERPOLYHEED 1020 (A)</t>
  </si>
  <si>
    <t>048600</t>
  </si>
  <si>
    <t>MASTERPOLYHEED 1020 (F)</t>
  </si>
  <si>
    <t>048601</t>
  </si>
  <si>
    <t xml:space="preserve">6.0 TO 12.0
</t>
  </si>
  <si>
    <t>MASTERPOLYHEED 1025 (A)</t>
  </si>
  <si>
    <t>098620</t>
  </si>
  <si>
    <t>MASTERPOLYHEED 1025 (F)</t>
  </si>
  <si>
    <t>098630</t>
  </si>
  <si>
    <t>MASTERPOLYHEED 1720 (A)</t>
  </si>
  <si>
    <t>098622</t>
  </si>
  <si>
    <t>MASTERPOLYHEED 1720 (F)</t>
  </si>
  <si>
    <t>098631</t>
  </si>
  <si>
    <t xml:space="preserve">10.0 TO 12.0 </t>
  </si>
  <si>
    <t>MASTERPOLYHEED 900</t>
  </si>
  <si>
    <t>038611</t>
  </si>
  <si>
    <t xml:space="preserve">3.0 TO 15.0
</t>
  </si>
  <si>
    <t>MASTERPOLYHEED 997 (A)</t>
  </si>
  <si>
    <t>028634</t>
  </si>
  <si>
    <t xml:space="preserve">3.0 TO 6.0
</t>
  </si>
  <si>
    <t>MASTERPOLYHEED 997 (F)</t>
  </si>
  <si>
    <t>028697</t>
  </si>
  <si>
    <t>MASTERPOZZOLITH 200 (A)</t>
  </si>
  <si>
    <t>028637</t>
  </si>
  <si>
    <t>MASTERPOZZOLITH 200 (D)</t>
  </si>
  <si>
    <t>028673</t>
  </si>
  <si>
    <t>MASTERPOZZOLITH 200 (B)</t>
  </si>
  <si>
    <t>028654</t>
  </si>
  <si>
    <t>MASTERPOZZOLITH 322 (A)</t>
  </si>
  <si>
    <t>028639</t>
  </si>
  <si>
    <t xml:space="preserve">3.0 TO 4.0 </t>
  </si>
  <si>
    <t>MASTERPOZZOLITH 322 (B)</t>
  </si>
  <si>
    <t>088656</t>
  </si>
  <si>
    <t xml:space="preserve">5.0 TO 7.0 </t>
  </si>
  <si>
    <t>MASTERPOZZOLITH 322 (D)</t>
  </si>
  <si>
    <t>088621</t>
  </si>
  <si>
    <t>MASTERPOZZOLITH 700 (A)</t>
  </si>
  <si>
    <t>128630</t>
  </si>
  <si>
    <t>MASTERPOZZOLITH 700 (D)</t>
  </si>
  <si>
    <t>128670</t>
  </si>
  <si>
    <t xml:space="preserve">5.0 TO 7.0
</t>
  </si>
  <si>
    <t>MASTERPOZZOLITH 700N</t>
  </si>
  <si>
    <t>128652</t>
  </si>
  <si>
    <t>MASTERPOZZOLITH 80 (A)</t>
  </si>
  <si>
    <t>048636</t>
  </si>
  <si>
    <t xml:space="preserve">8265
</t>
  </si>
  <si>
    <t xml:space="preserve">3.0 TO 5.0
</t>
  </si>
  <si>
    <t>MASTERPOZZOLITH 80 (B)</t>
  </si>
  <si>
    <t>058601</t>
  </si>
  <si>
    <t>MASTERPOZZOLITH 80 (D)</t>
  </si>
  <si>
    <t>048602</t>
  </si>
  <si>
    <t>MASTERRHEOBUILD 1000 (F)</t>
  </si>
  <si>
    <t>028693</t>
  </si>
  <si>
    <t xml:space="preserve">8.0 TO 20.0
</t>
  </si>
  <si>
    <t>MASTER X-SEED 66 (A)</t>
  </si>
  <si>
    <t>4.0 TO 15.0</t>
  </si>
  <si>
    <t>MASTERSET AC 534</t>
  </si>
  <si>
    <t>028662</t>
  </si>
  <si>
    <t xml:space="preserve">10.0 TO 45.0 </t>
  </si>
  <si>
    <t>MASTERSET DELVO (B)</t>
  </si>
  <si>
    <t>028657</t>
  </si>
  <si>
    <t>MASTERSET DELVO (D)</t>
  </si>
  <si>
    <t>028676</t>
  </si>
  <si>
    <t>3.0 T 5.0</t>
  </si>
  <si>
    <t>MASTERSET DELVO ESC (B)</t>
  </si>
  <si>
    <t>028656</t>
  </si>
  <si>
    <t>MASTERSET DELVO ESC (D)</t>
  </si>
  <si>
    <t>028675</t>
  </si>
  <si>
    <t xml:space="preserve">MASTERSET FP 20(C)
</t>
  </si>
  <si>
    <t>058630</t>
  </si>
  <si>
    <t xml:space="preserve">5.0 TO 90.0
</t>
  </si>
  <si>
    <t xml:space="preserve">MASTERSET FP 20(E)
</t>
  </si>
  <si>
    <t>058631</t>
  </si>
  <si>
    <t>MASTERSET R 100 (B)</t>
  </si>
  <si>
    <t>028653</t>
  </si>
  <si>
    <t xml:space="preserve">1.0 TO 4.0 </t>
  </si>
  <si>
    <t>MASTERSET R 100 (D)</t>
  </si>
  <si>
    <t>028672</t>
  </si>
  <si>
    <t>MASTERSET R 961 (B)</t>
  </si>
  <si>
    <t>MASTERSET R 961 (D)</t>
  </si>
  <si>
    <t xml:space="preserve">MIRA 110 (A)
</t>
  </si>
  <si>
    <t>108613</t>
  </si>
  <si>
    <t xml:space="preserve">3.0 TO 9.0 </t>
  </si>
  <si>
    <t xml:space="preserve">MIRA 110 (F)
</t>
  </si>
  <si>
    <t>088615</t>
  </si>
  <si>
    <t xml:space="preserve">GCP APPLIED TECHNOLOGIES INC     
</t>
  </si>
  <si>
    <t xml:space="preserve">10.0 TO 15.0
</t>
  </si>
  <si>
    <t>MIRA 62 (A)</t>
  </si>
  <si>
    <t>2.0 TO 6.0</t>
  </si>
  <si>
    <t>MIRA 62 (F)</t>
  </si>
  <si>
    <t>098615</t>
  </si>
  <si>
    <t>MIRA 95 (A)</t>
  </si>
  <si>
    <t>MIRA 95 (F)</t>
  </si>
  <si>
    <t>NCA (E)</t>
  </si>
  <si>
    <t>16.0 TO 48 (POWDER)</t>
  </si>
  <si>
    <t>NITROCAST 701</t>
  </si>
  <si>
    <t>8279</t>
  </si>
  <si>
    <t>PREMIERE CONCRETE ADMIXTURES LLC</t>
  </si>
  <si>
    <t>NITROCAST K (E)</t>
  </si>
  <si>
    <t>138661</t>
  </si>
  <si>
    <t xml:space="preserve">PREMIERE CONCRETE ADMIXTURES  LLC      </t>
  </si>
  <si>
    <t>NITROCAST NC (E)</t>
  </si>
  <si>
    <t>NUTRALSET TC</t>
  </si>
  <si>
    <t>158671</t>
  </si>
  <si>
    <t xml:space="preserve">CHRYSO      </t>
  </si>
  <si>
    <t xml:space="preserve">1.0 TO 12.0
</t>
  </si>
  <si>
    <t>OPTIFLO 100R (D)</t>
  </si>
  <si>
    <t>088622</t>
  </si>
  <si>
    <t xml:space="preserve">PREMIERE CONCRETE ADMIXTURES  LLC     </t>
  </si>
  <si>
    <t xml:space="preserve">3.0 TO 8.0 </t>
  </si>
  <si>
    <t>OPTIFLO 50 (A)</t>
  </si>
  <si>
    <t>078637</t>
  </si>
  <si>
    <t xml:space="preserve">3.0 T0 8.0
</t>
  </si>
  <si>
    <t>OPTIFLO 50 (D)</t>
  </si>
  <si>
    <t>138624</t>
  </si>
  <si>
    <t>OPTIFLO 500 (A)</t>
  </si>
  <si>
    <t>088203</t>
  </si>
  <si>
    <t xml:space="preserve">2.0 T0 3.5
</t>
  </si>
  <si>
    <t>OPTIFLO 500 (D)</t>
  </si>
  <si>
    <t>138625</t>
  </si>
  <si>
    <t xml:space="preserve">3.5 TO 8.0 </t>
  </si>
  <si>
    <t>OPTIFLO 700</t>
  </si>
  <si>
    <t>138614</t>
  </si>
  <si>
    <t xml:space="preserve">4.0 T0 10.0
</t>
  </si>
  <si>
    <t>OPTIFLO MR (A)</t>
  </si>
  <si>
    <t>088211</t>
  </si>
  <si>
    <t>OPTIFLO MR (F)</t>
  </si>
  <si>
    <t>138628</t>
  </si>
  <si>
    <t xml:space="preserve">12.0 TO 18.0 </t>
  </si>
  <si>
    <t>OPTIFLO N2A (A)</t>
  </si>
  <si>
    <t>3.0 TO 8.0</t>
  </si>
  <si>
    <t>OPTIFLO N2A (G)</t>
  </si>
  <si>
    <t>10.0 TO 15.0</t>
  </si>
  <si>
    <t>OPTIFLO PLUS</t>
  </si>
  <si>
    <t>078630</t>
  </si>
  <si>
    <t xml:space="preserve">5.0 T0 10.0
</t>
  </si>
  <si>
    <t>OZ-SET 2 ( C)</t>
  </si>
  <si>
    <t>OZINGA</t>
  </si>
  <si>
    <t>PLASTIMENT (B)</t>
  </si>
  <si>
    <t>048224</t>
  </si>
  <si>
    <t xml:space="preserve">SIKA CORPORATION     </t>
  </si>
  <si>
    <t>PLASTIMENT (D)</t>
  </si>
  <si>
    <t>048223</t>
  </si>
  <si>
    <t xml:space="preserve">SIKA CORPORATION  </t>
  </si>
  <si>
    <t>PLASTIMENT XR (B)</t>
  </si>
  <si>
    <t>158663</t>
  </si>
  <si>
    <t xml:space="preserve">SIKA CORPORATION    </t>
  </si>
  <si>
    <t>PLASTIMENT XR (D)</t>
  </si>
  <si>
    <t>158664</t>
  </si>
  <si>
    <t xml:space="preserve">SIKA CORPORATION      </t>
  </si>
  <si>
    <t>PLASTOCRETE 10N (A)</t>
  </si>
  <si>
    <t>128614</t>
  </si>
  <si>
    <t xml:space="preserve">1.5 TO 3.5 </t>
  </si>
  <si>
    <t>PLASTOCRETE 161 (A)</t>
  </si>
  <si>
    <t>068212</t>
  </si>
  <si>
    <t>2.0 TO 5.0</t>
  </si>
  <si>
    <t>PLASTOCRETE-10N (B)</t>
  </si>
  <si>
    <t>128650</t>
  </si>
  <si>
    <t xml:space="preserve">3.5 TO 5.0 </t>
  </si>
  <si>
    <t>PLASTOCRETE-10N (D)</t>
  </si>
  <si>
    <t>128620</t>
  </si>
  <si>
    <t>PLASTOCRETE-161 (D)</t>
  </si>
  <si>
    <t>178645</t>
  </si>
  <si>
    <t>PLASTOCRETE-250 (A)</t>
  </si>
  <si>
    <t>PLASTOCRETE-250 (D)</t>
  </si>
  <si>
    <t>5.0 TO 9.0</t>
  </si>
  <si>
    <t>PLASTOL 341 (F)</t>
  </si>
  <si>
    <t>078616</t>
  </si>
  <si>
    <t>PLASTOL 5700 (F)</t>
  </si>
  <si>
    <t>088202</t>
  </si>
  <si>
    <t xml:space="preserve">2.0 TO 10.0
</t>
  </si>
  <si>
    <t>PLASTOL 6400</t>
  </si>
  <si>
    <t>158662</t>
  </si>
  <si>
    <t>PLASTOL 6420 (A)</t>
  </si>
  <si>
    <t>PLASTOL 6420 (F)</t>
  </si>
  <si>
    <t xml:space="preserve">6.0 TO 10.0
</t>
  </si>
  <si>
    <t>PLASTOL 6425 (A)</t>
  </si>
  <si>
    <t>178620</t>
  </si>
  <si>
    <t>PLASTOL 6425 (F)</t>
  </si>
  <si>
    <t>158667</t>
  </si>
  <si>
    <t>PLASTOL ULTRA 209</t>
  </si>
  <si>
    <t>168673</t>
  </si>
  <si>
    <t>POLARSET</t>
  </si>
  <si>
    <t>028666</t>
  </si>
  <si>
    <t xml:space="preserve">8.0 TO 60.0
</t>
  </si>
  <si>
    <t>POLYCHEM CI (C)</t>
  </si>
  <si>
    <t xml:space="preserve">8.0 to 90.0
</t>
  </si>
  <si>
    <t>POLYCHEM SA</t>
  </si>
  <si>
    <t>0.2 To 2.0</t>
  </si>
  <si>
    <t>POLYCHEM SA-50</t>
  </si>
  <si>
    <t>POLYCHEM SPC</t>
  </si>
  <si>
    <t>POLYCHEM SUPER SET PLUS</t>
  </si>
  <si>
    <t>8.0 TO 32.0</t>
  </si>
  <si>
    <t>PROLONG L</t>
  </si>
  <si>
    <t>138653</t>
  </si>
  <si>
    <t xml:space="preserve">PREMIERE CONCRETE ADMIXTURES LLC     
</t>
  </si>
  <si>
    <t>RAE-260</t>
  </si>
  <si>
    <t>168611</t>
  </si>
  <si>
    <t>0.5 TO 2.0</t>
  </si>
  <si>
    <t>3.0 TO 12.0</t>
  </si>
  <si>
    <t>RECOVER (B)</t>
  </si>
  <si>
    <t>GCP APPLIED TECHNOLOGIES INC</t>
  </si>
  <si>
    <t>RECOVER (D)</t>
  </si>
  <si>
    <t>048214</t>
  </si>
  <si>
    <t>RSA-10</t>
  </si>
  <si>
    <t>028614</t>
  </si>
  <si>
    <t xml:space="preserve">RUSSTECH RENU
</t>
  </si>
  <si>
    <t>138623</t>
  </si>
  <si>
    <t xml:space="preserve">RUSSTECH ADMIXTURES     
</t>
  </si>
  <si>
    <t>078634</t>
  </si>
  <si>
    <t xml:space="preserve">1.0 TO 3.0 </t>
  </si>
  <si>
    <t>SIKA AIR-260</t>
  </si>
  <si>
    <t>128603</t>
  </si>
  <si>
    <t xml:space="preserve">0.1 TO 6.0 </t>
  </si>
  <si>
    <t>SIKA AIR-360</t>
  </si>
  <si>
    <t>128604</t>
  </si>
  <si>
    <t>SIKACONTROL AIR-160</t>
  </si>
  <si>
    <t>SIKA MULTI AIR 25</t>
  </si>
  <si>
    <t>108625</t>
  </si>
  <si>
    <t xml:space="preserve">0.5 TO 1.5 </t>
  </si>
  <si>
    <t>SIKA PLASTOCRETE 161FL( C)</t>
  </si>
  <si>
    <t>6.0 TO 64.0</t>
  </si>
  <si>
    <t>SIKA PLASTOCRETE 161FL €</t>
  </si>
  <si>
    <t>SIKA RAPID -1</t>
  </si>
  <si>
    <t>8.0 TO 48.0</t>
  </si>
  <si>
    <t>SIKA VISCOCRETE-1000 (A)</t>
  </si>
  <si>
    <t>138612</t>
  </si>
  <si>
    <t>SIKA VISCOCRETE-1000 (F)</t>
  </si>
  <si>
    <t>128623</t>
  </si>
  <si>
    <t xml:space="preserve">SIKA CORPORATION   </t>
  </si>
  <si>
    <t>SIKA VISCOCRETE-2100 (A)</t>
  </si>
  <si>
    <t>168610</t>
  </si>
  <si>
    <t>SIKA VISCOCRETE-2100 (F)</t>
  </si>
  <si>
    <t>068220</t>
  </si>
  <si>
    <t>SIKA VISCOCRETE-2110 (F)</t>
  </si>
  <si>
    <t>108205</t>
  </si>
  <si>
    <t>068221</t>
  </si>
  <si>
    <t>048221</t>
  </si>
  <si>
    <t>9514</t>
  </si>
  <si>
    <t>178655</t>
  </si>
  <si>
    <t>10.0 TO 120.0</t>
  </si>
  <si>
    <t>SIKAMENT AFM (A)</t>
  </si>
  <si>
    <t>178612</t>
  </si>
  <si>
    <t>SIKAMENT AFM (F)</t>
  </si>
  <si>
    <t>128622</t>
  </si>
  <si>
    <t>SIKA CORPORATION</t>
  </si>
  <si>
    <t xml:space="preserve">10.0 TO 40.0 </t>
  </si>
  <si>
    <t>SIKAMENT-475 (A)</t>
  </si>
  <si>
    <t>168613</t>
  </si>
  <si>
    <t xml:space="preserve">3.0 TO 7.0 </t>
  </si>
  <si>
    <t>SIKAMENT-475 (F)</t>
  </si>
  <si>
    <t>168615</t>
  </si>
  <si>
    <t xml:space="preserve">7.0 TO 20.0
</t>
  </si>
  <si>
    <t>SIKAMENT-686 (A)</t>
  </si>
  <si>
    <t>068213</t>
  </si>
  <si>
    <t xml:space="preserve">3.0 TO 6.5 </t>
  </si>
  <si>
    <t>SIKAMENT-686 (F)</t>
  </si>
  <si>
    <t>068219</t>
  </si>
  <si>
    <t>SIKAPLAST-200 (A)</t>
  </si>
  <si>
    <t>128613</t>
  </si>
  <si>
    <t>SIKAPLAST-200(G)</t>
  </si>
  <si>
    <t>128610</t>
  </si>
  <si>
    <t>068217</t>
  </si>
  <si>
    <t>10.0 TO  45.0</t>
  </si>
  <si>
    <t>SIKASET NC (E)</t>
  </si>
  <si>
    <t>068218</t>
  </si>
  <si>
    <t>SIKATARD 440 (B)</t>
  </si>
  <si>
    <t>128653</t>
  </si>
  <si>
    <t xml:space="preserve">2.0 TO 8.0 </t>
  </si>
  <si>
    <t>SIKATARD 440 (D)</t>
  </si>
  <si>
    <t>178650</t>
  </si>
  <si>
    <t>2.0 TO  8.0</t>
  </si>
  <si>
    <t>SUPER AIR PLUS (POWDER)</t>
  </si>
  <si>
    <t>SUPERCIZER 5</t>
  </si>
  <si>
    <t>5.0 TO 7.0 (POWDER)</t>
  </si>
  <si>
    <t>SUPERFLO 2000 RM (A)</t>
  </si>
  <si>
    <t>148610</t>
  </si>
  <si>
    <t>SUPERFLO 2000 RM (F)</t>
  </si>
  <si>
    <t>028698</t>
  </si>
  <si>
    <t xml:space="preserve">RUSSTECH ADMIXTURES      </t>
  </si>
  <si>
    <t>SUPERFLO 2000 SCC (A)</t>
  </si>
  <si>
    <t>168612</t>
  </si>
  <si>
    <t xml:space="preserve">1.0 TO 5.0 </t>
  </si>
  <si>
    <t>SUPERFLO 2000 SCC (F)</t>
  </si>
  <si>
    <t>148627</t>
  </si>
  <si>
    <t xml:space="preserve">6.0 TO 26.0
</t>
  </si>
  <si>
    <t>SUPERFLO 1443SCC (F)</t>
  </si>
  <si>
    <t xml:space="preserve">3.0 TO 26.0
</t>
  </si>
  <si>
    <t>TERAPAVE AEA</t>
  </si>
  <si>
    <t>088613</t>
  </si>
  <si>
    <t>0.5 TO 8.0</t>
  </si>
  <si>
    <t>ULTRAFLO 2000 (F)</t>
  </si>
  <si>
    <t>098613</t>
  </si>
  <si>
    <t>ULTRAFLO 5600 (F)</t>
  </si>
  <si>
    <t>138629</t>
  </si>
  <si>
    <t xml:space="preserve">7.0 TO 14.0
</t>
  </si>
  <si>
    <t>ULTRAFLO DP (F)</t>
  </si>
  <si>
    <t>078627</t>
  </si>
  <si>
    <t>WRDA 82 (A)</t>
  </si>
  <si>
    <t>028296</t>
  </si>
  <si>
    <t>WRDA 82 (D)</t>
  </si>
  <si>
    <t>178600</t>
  </si>
  <si>
    <t>ZYLA 630 (A)</t>
  </si>
  <si>
    <t>098651</t>
  </si>
  <si>
    <t>ZYLA 630 (D)</t>
  </si>
  <si>
    <t>148626</t>
  </si>
  <si>
    <t>ZYLA 640 (A)</t>
  </si>
  <si>
    <t>158612</t>
  </si>
  <si>
    <t>ZYLA 640 (D)</t>
  </si>
  <si>
    <t>148628</t>
  </si>
  <si>
    <t>4.0 TO 7.0</t>
  </si>
  <si>
    <t>ZYLA R (B)</t>
  </si>
  <si>
    <t>098251</t>
  </si>
  <si>
    <t>ZYLA R (D)</t>
  </si>
  <si>
    <t>098621</t>
  </si>
  <si>
    <t>---LATEX MODIFIERS---</t>
  </si>
  <si>
    <t>MODIFIER A/NA</t>
  </si>
  <si>
    <t>8403</t>
  </si>
  <si>
    <t>TRINSEO LLC</t>
  </si>
  <si>
    <t>LATEX</t>
  </si>
  <si>
    <t>STYROFAN 1186</t>
  </si>
  <si>
    <t>8275</t>
  </si>
  <si>
    <t>MASTER BUILDERS SOLUTION LLC</t>
  </si>
  <si>
    <t xml:space="preserve">SYNTHETIC FIBERS </t>
  </si>
  <si>
    <t>FIBERFORCE 1000 HP  (2")</t>
  </si>
  <si>
    <t>8281</t>
  </si>
  <si>
    <t xml:space="preserve">ABC POLYMER INDUSTRIES LLC  </t>
  </si>
  <si>
    <t>FIBER</t>
  </si>
  <si>
    <t xml:space="preserve">4.0 lbs/cyd   </t>
  </si>
  <si>
    <t>FIBERFORCE 650 (1.5")</t>
  </si>
  <si>
    <t xml:space="preserve">4.5 lbs/cyd   </t>
  </si>
  <si>
    <t>FORTA-FERRO ONE (2.25")</t>
  </si>
  <si>
    <t>8282</t>
  </si>
  <si>
    <t>FORTA CORPORATION</t>
  </si>
  <si>
    <t xml:space="preserve">5.0 lbs/cyd   </t>
  </si>
  <si>
    <t>STRUX 90/40 (1.55")</t>
  </si>
  <si>
    <t>MASTERFIBER MAC 360 FF (2")</t>
  </si>
  <si>
    <t>8265</t>
  </si>
  <si>
    <t>MASTERFIBER MAC MATRIX (2.1")</t>
  </si>
  <si>
    <t>SIKAFIBER ENDURO PRIME (2.17")</t>
  </si>
  <si>
    <t>TUF-STRAND SF (2")</t>
  </si>
  <si>
    <t>8268</t>
  </si>
  <si>
    <t>CONTRACT APPROVAL LOG FOR CONCRETE MIX DESIGN</t>
  </si>
  <si>
    <t>Concrete Producer Name</t>
  </si>
  <si>
    <t>INDOT Plant Number</t>
  </si>
  <si>
    <t>Spec. Reference</t>
  </si>
  <si>
    <t>Cement Content</t>
  </si>
  <si>
    <t>Pozzolan Content</t>
  </si>
  <si>
    <t>See appropriate CMDS or CMDP Worksheet for specific materials and proportioning parameters relevant to the concrete mix design</t>
  </si>
  <si>
    <t xml:space="preserve">Approved concrete mix design may only be used for the specific contract indicated on the appropriate line. </t>
  </si>
  <si>
    <t xml:space="preserve">Approval of the concrete mix design will occur when the DTE signs and dates the line corresponding to the contract.  </t>
  </si>
  <si>
    <t>Contractor Name</t>
  </si>
  <si>
    <t>Submittal</t>
  </si>
  <si>
    <t>Contract</t>
  </si>
  <si>
    <t xml:space="preserve">Date District </t>
  </si>
  <si>
    <t>Comments</t>
  </si>
  <si>
    <t>Date</t>
  </si>
  <si>
    <t>Number</t>
  </si>
  <si>
    <t>CMD Number</t>
  </si>
  <si>
    <t>W/CM</t>
  </si>
  <si>
    <t>UW %</t>
  </si>
  <si>
    <t>Forwarded to OMM</t>
  </si>
  <si>
    <t>Mortar volume (%)</t>
  </si>
  <si>
    <t>Paste volume (%)</t>
  </si>
  <si>
    <t>ACI 302 Min %</t>
  </si>
  <si>
    <t>ACI 302 Max %</t>
  </si>
  <si>
    <t>Trend</t>
  </si>
  <si>
    <t>x</t>
  </si>
  <si>
    <t>y1</t>
  </si>
  <si>
    <t>y2</t>
  </si>
  <si>
    <t>Top line</t>
  </si>
  <si>
    <t>y</t>
  </si>
  <si>
    <t>Zone I</t>
  </si>
  <si>
    <t>Zone II</t>
  </si>
  <si>
    <t>Zone II line</t>
  </si>
  <si>
    <t>Coarseness factor (%)</t>
  </si>
  <si>
    <t>Workability factor (%)</t>
  </si>
  <si>
    <t>Sieve size (in.)</t>
  </si>
  <si>
    <t>Sieve size (mm)</t>
  </si>
  <si>
    <t>Combined passing</t>
  </si>
  <si>
    <t>Sieve size for 0.45 power curve</t>
  </si>
  <si>
    <t>% passing for 0.45 power curve</t>
  </si>
  <si>
    <t>Passing boundary line</t>
  </si>
  <si>
    <t>With air content</t>
  </si>
  <si>
    <t>Without air content</t>
  </si>
  <si>
    <t>Mortar fraction w/ air (%)</t>
  </si>
  <si>
    <t>Mortar fraction w/o air (%)</t>
  </si>
  <si>
    <t>CMDS</t>
  </si>
  <si>
    <t>OZINGA CEMENT  BELLE RIVER POWER PLANT EAST CHINA, MI</t>
  </si>
  <si>
    <t>238101</t>
  </si>
  <si>
    <t xml:space="preserve">1.0 to 12.0
</t>
  </si>
  <si>
    <t>CHRYSO NUTRALSET TC (B)</t>
  </si>
  <si>
    <t>238505</t>
  </si>
  <si>
    <t>EUCON X15 (A)</t>
  </si>
  <si>
    <t>4.0 TO 8.0</t>
  </si>
  <si>
    <t xml:space="preserve">8.0 TO 15.0
</t>
  </si>
  <si>
    <t>EUCON X15 (F)</t>
  </si>
  <si>
    <t>238301</t>
  </si>
  <si>
    <t>HOLLINGSHEAD CEMENT LLC,FAJARIAH PLANT-DUBAIS, UAE</t>
  </si>
  <si>
    <t>238302</t>
  </si>
  <si>
    <t>HOLLINGSHEAD CEMENT LLC-de M’Sila Hammam Dalaa Mfg Facility-Algeria</t>
  </si>
  <si>
    <t>213 Removable Type 4-1</t>
  </si>
  <si>
    <t>213 Removable Type 4-2</t>
  </si>
  <si>
    <t>213 Non-Removable Type 5-1</t>
  </si>
  <si>
    <t>213 Non-Removable Type 5-2</t>
  </si>
  <si>
    <t xml:space="preserve">INDOT FLOWABLE FILL MIX DESIGN SPREADSHEET </t>
  </si>
  <si>
    <t>---Flowable Fill Admixtures---</t>
  </si>
  <si>
    <t>EZ FILL</t>
  </si>
  <si>
    <t>FLOW FILL</t>
  </si>
  <si>
    <t>RHEOFILL</t>
  </si>
  <si>
    <t>MASTER CELL 25</t>
  </si>
  <si>
    <t>FLOW AIR</t>
  </si>
  <si>
    <t>RUSS-FLO</t>
  </si>
  <si>
    <t>XXXXXX</t>
  </si>
  <si>
    <t>RUSSTECH ADMIXTURES</t>
  </si>
  <si>
    <t>8272</t>
  </si>
  <si>
    <t>8596</t>
  </si>
  <si>
    <t>MASTER BUILDERS SOLUTIONS LLC</t>
  </si>
  <si>
    <t>DARAFILL DRY</t>
  </si>
  <si>
    <t>GCP APPLIED TECHNOLOGIES</t>
  </si>
  <si>
    <t>CONCRETE, C, SUPERSTRUCTURE</t>
  </si>
  <si>
    <t>704-51002</t>
  </si>
  <si>
    <t>REINFORCED CONCRETE BRIDGE APPROACH, 12 IN.</t>
  </si>
  <si>
    <t>609-06259</t>
  </si>
  <si>
    <t>SIDEWALK, CONCRETE</t>
  </si>
  <si>
    <t>604-06070</t>
  </si>
  <si>
    <t>615-06505</t>
  </si>
  <si>
    <t>PATCHING CONCRETE STRUCTURES</t>
  </si>
  <si>
    <t>710-09158</t>
  </si>
  <si>
    <t>CURB RAMP, CONCRETE</t>
  </si>
  <si>
    <t>604-08086</t>
  </si>
  <si>
    <t>CONCRETE, A, SUBSTRUCTURE</t>
  </si>
  <si>
    <t>702-51005</t>
  </si>
  <si>
    <t>CURB, CONCRETE</t>
  </si>
  <si>
    <t>605-06120</t>
  </si>
  <si>
    <t>PCC BASE PATCHING, 8 IN.</t>
  </si>
  <si>
    <t>305-07463</t>
  </si>
  <si>
    <t>PCCP PATCHING, FULL DEPTH</t>
  </si>
  <si>
    <t>506-06333</t>
  </si>
  <si>
    <t>706-11620</t>
  </si>
  <si>
    <t>CONCRETE, C, SUBSTRUCTURE</t>
  </si>
  <si>
    <t>702-92857</t>
  </si>
  <si>
    <t>PCCP FOR APPROACHES, 6 IN.</t>
  </si>
  <si>
    <t>610-08446</t>
  </si>
  <si>
    <t>CONCRETE, B, FOOTINGS</t>
  </si>
  <si>
    <t>702-51015</t>
  </si>
  <si>
    <t>PCCP FOR APPROACHES, 9 IN.</t>
  </si>
  <si>
    <t>610-09108</t>
  </si>
  <si>
    <t>CURB AND GUTTER, CONCRETE</t>
  </si>
  <si>
    <t>605-06140</t>
  </si>
  <si>
    <t>SIGNAL POLE FOUNDATION, 24 IN. X 24 IN. X 36 IN.</t>
  </si>
  <si>
    <t>805-02645</t>
  </si>
  <si>
    <t>706-11621</t>
  </si>
  <si>
    <t>722-12380</t>
  </si>
  <si>
    <t>CURB AND GUTTER, CONCRETE, MODIFIED</t>
  </si>
  <si>
    <t>605-06155</t>
  </si>
  <si>
    <t>615-06510</t>
  </si>
  <si>
    <t>706-51020</t>
  </si>
  <si>
    <t>805-78925</t>
  </si>
  <si>
    <t>718-06528</t>
  </si>
  <si>
    <t>MONUMENT, SECTION CORNER</t>
  </si>
  <si>
    <t>615-06527</t>
  </si>
  <si>
    <t>706-11600</t>
  </si>
  <si>
    <t>LEVELING PAD, CONCRETE</t>
  </si>
  <si>
    <t>731-93947</t>
  </si>
  <si>
    <t>OVERLAY DAM</t>
  </si>
  <si>
    <t>722-51874</t>
  </si>
  <si>
    <t>SIGNAL POLE FOUNDATION, 36 IN. X 144 IN.</t>
  </si>
  <si>
    <t>805-01815</t>
  </si>
  <si>
    <t>702-90915</t>
  </si>
  <si>
    <t>SLOPEWALL, CONCRETE, 4 IN.</t>
  </si>
  <si>
    <t>616-51367</t>
  </si>
  <si>
    <t>BRIDGE DECK OVERLAY, SILICA FUME MODIFIED</t>
  </si>
  <si>
    <t>722-01061</t>
  </si>
  <si>
    <t>706-11601</t>
  </si>
  <si>
    <t>718-06529</t>
  </si>
  <si>
    <t>718-06531</t>
  </si>
  <si>
    <t>706-09959</t>
  </si>
  <si>
    <t>PCCP PATCHING, PARTIAL DEPTH</t>
  </si>
  <si>
    <t>506-06334</t>
  </si>
  <si>
    <t>REINFORCED CONCRETE BRIDGE APPROACH, 10 IN.</t>
  </si>
  <si>
    <t>609-06257</t>
  </si>
  <si>
    <t>CENTER CURB, D CONCRETE</t>
  </si>
  <si>
    <t>605-06255</t>
  </si>
  <si>
    <t>706-09960</t>
  </si>
  <si>
    <t>CURB, INTEGRAL CONCRETE</t>
  </si>
  <si>
    <t>605-06090</t>
  </si>
  <si>
    <t>TERMINAL JOINT, TYPE HMA</t>
  </si>
  <si>
    <t>503-12477</t>
  </si>
  <si>
    <t>CONCRETE BARRIER</t>
  </si>
  <si>
    <t>602-01064</t>
  </si>
  <si>
    <t>CURB, CONCRETE, MODIFIED</t>
  </si>
  <si>
    <t>605-06125</t>
  </si>
  <si>
    <t>PCCP, 12 IN.</t>
  </si>
  <si>
    <t>502-06329</t>
  </si>
  <si>
    <t>CURB AND GUTTER, COMBINED</t>
  </si>
  <si>
    <t>605-52807</t>
  </si>
  <si>
    <t>CURB AND GUTTER, ROLL CURB</t>
  </si>
  <si>
    <t>605-97937</t>
  </si>
  <si>
    <t>TERMINAL JOINT, TYPE PCCP</t>
  </si>
  <si>
    <t>503-12478</t>
  </si>
  <si>
    <t>701-09663</t>
  </si>
  <si>
    <t>REINFORCED CONCRETE MOMENT SLAB, 12 IN.</t>
  </si>
  <si>
    <t>706-08496</t>
  </si>
  <si>
    <t>605-06145</t>
  </si>
  <si>
    <t>605-06160</t>
  </si>
  <si>
    <t>701-09665</t>
  </si>
  <si>
    <t>706-06351</t>
  </si>
  <si>
    <t>605-06121</t>
  </si>
  <si>
    <t>PCCP, 7 IN.</t>
  </si>
  <si>
    <t>502-11564</t>
  </si>
  <si>
    <t>CURB, CONCRETE A</t>
  </si>
  <si>
    <t>605-01870</t>
  </si>
  <si>
    <t>627-09331</t>
  </si>
  <si>
    <t>CURB, INTEGRAL B CONCRETE</t>
  </si>
  <si>
    <t>605-06095</t>
  </si>
  <si>
    <t>CONCRETE FOR PATCHING BRIDGE EXPANSION JOINT</t>
  </si>
  <si>
    <t>724-12461</t>
  </si>
  <si>
    <t>805-11383</t>
  </si>
  <si>
    <t>STEPS, CONCRETE</t>
  </si>
  <si>
    <t>604-44251</t>
  </si>
  <si>
    <t>607-06335</t>
  </si>
  <si>
    <t>INLET, CAP</t>
  </si>
  <si>
    <t>720-44296</t>
  </si>
  <si>
    <t>615-06500</t>
  </si>
  <si>
    <t>715-06004</t>
  </si>
  <si>
    <t>503-12476</t>
  </si>
  <si>
    <t>706-06353</t>
  </si>
  <si>
    <t>CANTILEVER SIGN SUPPORT FOUNDATION, DRILLED SHAFT 36 IN.</t>
  </si>
  <si>
    <t>802-09581</t>
  </si>
  <si>
    <t>ITS ROADSIDE BALANCED CANTILEVER STRUCTURE FOUNDATION CONCRETE WITH GROUNDING</t>
  </si>
  <si>
    <t>802-12649</t>
  </si>
  <si>
    <t>PCCP, 4 IN.</t>
  </si>
  <si>
    <t>502-11543</t>
  </si>
  <si>
    <t>REINFORCED CONCRETE BRIDGE APPROACH, 14 IN.</t>
  </si>
  <si>
    <t>609-06262</t>
  </si>
  <si>
    <t>LIGHTING FOUNDATION</t>
  </si>
  <si>
    <t>807-04653</t>
  </si>
  <si>
    <t>REINFORCED CONCRETE BRIDGE APPROACH, 13 IN.</t>
  </si>
  <si>
    <t>609-06260</t>
  </si>
  <si>
    <t>802-12222</t>
  </si>
  <si>
    <t>601-06037</t>
  </si>
  <si>
    <t>CURB AND GUTTER, TURNOUT COMBINED</t>
  </si>
  <si>
    <t>605-08636</t>
  </si>
  <si>
    <t>PCCP, 6 IN.</t>
  </si>
  <si>
    <t>502-06627</t>
  </si>
  <si>
    <t>CONCRETE BARRIER, MODIFIED SECTION</t>
  </si>
  <si>
    <t>602-11938</t>
  </si>
  <si>
    <t>HEADWALL RECONSTRUCT</t>
  </si>
  <si>
    <t>714-96273</t>
  </si>
  <si>
    <t>724-12773</t>
  </si>
  <si>
    <t>805-11384</t>
  </si>
  <si>
    <t>CURB, TURNOUT</t>
  </si>
  <si>
    <t>605-09137</t>
  </si>
  <si>
    <t>CABLE BARRIER SYSTEM, TYPE TL-4</t>
  </si>
  <si>
    <t>627-09327</t>
  </si>
  <si>
    <t>602-91266</t>
  </si>
  <si>
    <t>715-05841</t>
  </si>
  <si>
    <t>715-05842</t>
  </si>
  <si>
    <t>SIDEWALK, CONCRETE, RECONSTRUCT</t>
  </si>
  <si>
    <t>604-02007</t>
  </si>
  <si>
    <t>607-06175</t>
  </si>
  <si>
    <t>CONCRETE, A, STRUCTURES</t>
  </si>
  <si>
    <t>702-44240</t>
  </si>
  <si>
    <t>706-11602</t>
  </si>
  <si>
    <t>BOX TRUSS SIGN STRUCTURE FOUNDATION, 36 IN. MEDIAN OR SHOULDER</t>
  </si>
  <si>
    <t>802-09537</t>
  </si>
  <si>
    <t>PCCP, 9 IN.</t>
  </si>
  <si>
    <t>502-06457</t>
  </si>
  <si>
    <t>605-06150</t>
  </si>
  <si>
    <t>ITS CONTROLLER CABINET FOUNDATION</t>
  </si>
  <si>
    <t>809-08399</t>
  </si>
  <si>
    <t>PCCP, 10 IN.</t>
  </si>
  <si>
    <t>502-06327</t>
  </si>
  <si>
    <t>CURB AND GUTTER, CONCRETE DEPRESSED</t>
  </si>
  <si>
    <t>605-96305</t>
  </si>
  <si>
    <t>701-08386</t>
  </si>
  <si>
    <t>620-01754</t>
  </si>
  <si>
    <t>CONCRETE, FOUNDATION SEAL</t>
  </si>
  <si>
    <t>702-51046</t>
  </si>
  <si>
    <t>CONCRETE</t>
  </si>
  <si>
    <t>702-76240</t>
  </si>
  <si>
    <t>718-08308</t>
  </si>
  <si>
    <t>CONCRETE, C</t>
  </si>
  <si>
    <t>702-93722</t>
  </si>
  <si>
    <t>SLOPEWALL, CONCRETE, 5 IN.</t>
  </si>
  <si>
    <t>616-51366</t>
  </si>
  <si>
    <t>STRUCTURE</t>
  </si>
  <si>
    <t>712-04784</t>
  </si>
  <si>
    <t>715-06492</t>
  </si>
  <si>
    <t>BRIDGE DECK OVERLAY, PATCHING</t>
  </si>
  <si>
    <t>722-97116</t>
  </si>
  <si>
    <t>706-09962</t>
  </si>
  <si>
    <t>706-11604</t>
  </si>
  <si>
    <t>802-12223</t>
  </si>
  <si>
    <t>FLASHER INSTALLATION, NEW, LOCATION NO.</t>
  </si>
  <si>
    <t>805-02262</t>
  </si>
  <si>
    <t>JUNCTION BOX</t>
  </si>
  <si>
    <t>807-05073</t>
  </si>
  <si>
    <t>CENTER CURB, C CONCRETE</t>
  </si>
  <si>
    <t>605-06250</t>
  </si>
  <si>
    <t>WALL</t>
  </si>
  <si>
    <t>618-06192</t>
  </si>
  <si>
    <t>FOUNDATION</t>
  </si>
  <si>
    <t>809-06101</t>
  </si>
  <si>
    <t>605-04742</t>
  </si>
  <si>
    <t>605-06215</t>
  </si>
  <si>
    <t>QC/QA-PCCP, 10 IN.</t>
  </si>
  <si>
    <t>501-06321</t>
  </si>
  <si>
    <t>605-97305</t>
  </si>
  <si>
    <t>701-09662</t>
  </si>
  <si>
    <t>PCCP, 8 IN.</t>
  </si>
  <si>
    <t>502-06999</t>
  </si>
  <si>
    <t>701-08122</t>
  </si>
  <si>
    <t>715-06357</t>
  </si>
  <si>
    <t>BOX TRUSS SIGN STRUCTURE FOUNDATION, 45 IN. CONCRETE BARRIER WALL</t>
  </si>
  <si>
    <t>802-09536</t>
  </si>
  <si>
    <t>ITS CABINET FOUNDATION</t>
  </si>
  <si>
    <t>805-07075</t>
  </si>
  <si>
    <t>805-78930</t>
  </si>
  <si>
    <t>CURB, INTEGRAL C CONCRETE</t>
  </si>
  <si>
    <t>605-06100</t>
  </si>
  <si>
    <t>CURB, ISLAND CONCRETE</t>
  </si>
  <si>
    <t>605-02493</t>
  </si>
  <si>
    <t>CURB, INTEGRAL CONCRETE, MODIFIED</t>
  </si>
  <si>
    <t>605-06105</t>
  </si>
  <si>
    <t>605-94811</t>
  </si>
  <si>
    <t>701-09826</t>
  </si>
  <si>
    <t>706-06372</t>
  </si>
  <si>
    <t>QC/QA-PCCP, 12 IN.</t>
  </si>
  <si>
    <t>501-06323</t>
  </si>
  <si>
    <t>706-09965</t>
  </si>
  <si>
    <t>PCCP FOR STRUCTURE INSTALLATION</t>
  </si>
  <si>
    <t>715-08283</t>
  </si>
  <si>
    <t>802-12224</t>
  </si>
  <si>
    <t>627-10178</t>
  </si>
  <si>
    <t>CENTER CURB, D CONCRETE, MODIFIED</t>
  </si>
  <si>
    <t>605-06235</t>
  </si>
  <si>
    <t>QC/QA-PCCP, 9.5 IN.</t>
  </si>
  <si>
    <t>501-09749</t>
  </si>
  <si>
    <t>PCCP, 14 IN.</t>
  </si>
  <si>
    <t>502-06331</t>
  </si>
  <si>
    <t>723-11203</t>
  </si>
  <si>
    <t>PCCP, 11 IN.</t>
  </si>
  <si>
    <t>502-06328</t>
  </si>
  <si>
    <t>706-94947</t>
  </si>
  <si>
    <t>MASONRY COLUMN</t>
  </si>
  <si>
    <t>710-11640</t>
  </si>
  <si>
    <t>STRUCTURE, REINFORCED CONCRETE, BOX SECTIONS, 8 FT X 4 FT</t>
  </si>
  <si>
    <t>714-11177</t>
  </si>
  <si>
    <t>CENTER CURB, B CONCRETE</t>
  </si>
  <si>
    <t>605-06245</t>
  </si>
  <si>
    <t>706-51025</t>
  </si>
  <si>
    <t>715-07626</t>
  </si>
  <si>
    <t>805-79020</t>
  </si>
  <si>
    <t>QC/QA-PCCP, 11 IN.</t>
  </si>
  <si>
    <t>501-06322</t>
  </si>
  <si>
    <t>605-06165</t>
  </si>
  <si>
    <t>CANTILEVER SIGN SUPPORT FOUNDATION, DRILLED SHAFT 48 IN.</t>
  </si>
  <si>
    <t>802-11886</t>
  </si>
  <si>
    <t>QC/QA-PCCP, 14 IN.</t>
  </si>
  <si>
    <t>501-06325</t>
  </si>
  <si>
    <t>STRUCTURE, REINFORCED CONCRETE, BOX SECTIONS, 6 FT X 3 FT</t>
  </si>
  <si>
    <t>714-11173</t>
  </si>
  <si>
    <t>BOX TRUSS SIGN STRUCTURE FOUNDATION, DMS 36 IN. HEIGHT</t>
  </si>
  <si>
    <t>802-09898</t>
  </si>
  <si>
    <t>807-12791</t>
  </si>
  <si>
    <t>STAMPED CONCRETE SIDEWALK</t>
  </si>
  <si>
    <t>604-07823</t>
  </si>
  <si>
    <t>706-09961</t>
  </si>
  <si>
    <t>INVERT, CONCRETE PAVED</t>
  </si>
  <si>
    <t>715-95325</t>
  </si>
  <si>
    <t>805-11386</t>
  </si>
  <si>
    <t>PIPE CONNECTION COLLAR AND PAD</t>
  </si>
  <si>
    <t>715-04482</t>
  </si>
  <si>
    <t>QC/QA-PCCP, 9 IN.</t>
  </si>
  <si>
    <t>501-09107</t>
  </si>
  <si>
    <t>STRUCTURE, REINFORCED CONCRETE, BOX SECTIONS, 8 FT X 3 FT</t>
  </si>
  <si>
    <t>714-11096</t>
  </si>
  <si>
    <t>CONTROLLER, LIGHTING</t>
  </si>
  <si>
    <t>807-02394</t>
  </si>
  <si>
    <t>706-11622</t>
  </si>
  <si>
    <t>STRUCTURE, REINFORCED CONCRETE, BOX SECTIONS, 8 FT X 6 FT</t>
  </si>
  <si>
    <t>714-11179</t>
  </si>
  <si>
    <t>STRUCTURE, REINFORCED CONCRETE, BOX SECTIONS, 6 FT X 4 FT</t>
  </si>
  <si>
    <t>714-11174</t>
  </si>
  <si>
    <t>STRUCTURE, REINFORCED CONCRETE, BOX SECTIONS, 7 FT X 4 FT</t>
  </si>
  <si>
    <t>714-11304</t>
  </si>
  <si>
    <t>807-93650</t>
  </si>
  <si>
    <t>PCCP, 13 IN.</t>
  </si>
  <si>
    <t>502-06330</t>
  </si>
  <si>
    <t>CURB AND GUTTER, COMBINED B, MODIFIED</t>
  </si>
  <si>
    <t>605-92800</t>
  </si>
  <si>
    <t>CONCRETE, A, SUPERSTRUCTURE</t>
  </si>
  <si>
    <t>702-51001</t>
  </si>
  <si>
    <t>CONCRETE ANCHOR, MIN. AREA 34.6 SFT</t>
  </si>
  <si>
    <t>715-07149</t>
  </si>
  <si>
    <t>715-07150</t>
  </si>
  <si>
    <t>STRUCTURE, REINFORCED CONCRETE, BOX SECTIONS, 5 FT X 3 FT</t>
  </si>
  <si>
    <t>714-11198</t>
  </si>
  <si>
    <t>715-07679</t>
  </si>
  <si>
    <t>PIPE ENCASEMENT</t>
  </si>
  <si>
    <t>715-92874</t>
  </si>
  <si>
    <t>SIGN FOUNDATION</t>
  </si>
  <si>
    <t>802-11649</t>
  </si>
  <si>
    <t>SIGNAL SUPPORT FOUNDATION, 36 IN. X 36 IN. X 96 IN.</t>
  </si>
  <si>
    <t>805-01816</t>
  </si>
  <si>
    <t>605-06210</t>
  </si>
  <si>
    <t>REINFORCED CONCRETE BRIDGE APPROACH, 16 IN.</t>
  </si>
  <si>
    <t>609-08579</t>
  </si>
  <si>
    <t>STRUCTURE, REINFORCED CONCRETE, BOX SECTIONS, 4 FT X 2 FT</t>
  </si>
  <si>
    <t>714-11193</t>
  </si>
  <si>
    <t>WIM STATION, REBUILD</t>
  </si>
  <si>
    <t>805-11763</t>
  </si>
  <si>
    <t>807-91696</t>
  </si>
  <si>
    <t>SLOPEWALL</t>
  </si>
  <si>
    <t>616-06455</t>
  </si>
  <si>
    <t>STRUCTURE, REINFORCED CONCRETE, BOX SECTIONS, 10 FT X 5 FT</t>
  </si>
  <si>
    <t>714-11182</t>
  </si>
  <si>
    <t>STRUCTURE, REINFORCED CONCRETE, BOX SECTIONS, 10 FT X 6 FT</t>
  </si>
  <si>
    <t>714-11183</t>
  </si>
  <si>
    <t>STRUCTURE, REINFORCED CONCRETE, BOX SECTIONS, 10 FT X 4 FT</t>
  </si>
  <si>
    <t>714-11303</t>
  </si>
  <si>
    <t>CONCRETE ANCHOR, MIN. AREA 10.2 SFT</t>
  </si>
  <si>
    <t>715-08179</t>
  </si>
  <si>
    <t>SLUICE GATE</t>
  </si>
  <si>
    <t>721-12504</t>
  </si>
  <si>
    <t>BRIDGE DECK OVERLAY</t>
  </si>
  <si>
    <t>722-12899</t>
  </si>
  <si>
    <t>805-01479</t>
  </si>
  <si>
    <t>PCC BASE PATCHING, 12 IN.</t>
  </si>
  <si>
    <t>305-07468</t>
  </si>
  <si>
    <t>PCC BASE, 4 IN.</t>
  </si>
  <si>
    <t>305-08445</t>
  </si>
  <si>
    <t>CENTER CURB, A CONCRETE</t>
  </si>
  <si>
    <t>605-06240</t>
  </si>
  <si>
    <t>CURB, CONCRETE, DEPRESSED</t>
  </si>
  <si>
    <t>605-90726</t>
  </si>
  <si>
    <t>714-11086</t>
  </si>
  <si>
    <t>STRUCTURE, REINFORCED CONCRETE, BOX SECTIONS, 12 FT X 6 FT</t>
  </si>
  <si>
    <t>714-11187</t>
  </si>
  <si>
    <t>802-07135</t>
  </si>
  <si>
    <t>CANTILEVER SIGN SUPPORT FOUNDATION, DRILLED SHAFT 45 IN.</t>
  </si>
  <si>
    <t>802-09580</t>
  </si>
  <si>
    <t>807-03758</t>
  </si>
  <si>
    <t>605-06205</t>
  </si>
  <si>
    <t>CURB, WALK CONCRETE</t>
  </si>
  <si>
    <t>605-92578</t>
  </si>
  <si>
    <t>607-06370</t>
  </si>
  <si>
    <t>706-92612</t>
  </si>
  <si>
    <t>CONTROLLER CABINET FOUNDATION, M MODIFY TO P1</t>
  </si>
  <si>
    <t>805-97509</t>
  </si>
  <si>
    <t>605-06144</t>
  </si>
  <si>
    <t>701-12444</t>
  </si>
  <si>
    <t>REINFORCED CONCRETE MOMENT SLAB, 14 IN.</t>
  </si>
  <si>
    <t>706-08500</t>
  </si>
  <si>
    <t>REINFORCED CONCRETE MOMENT SLAB, 15 IN.</t>
  </si>
  <si>
    <t>706-08502</t>
  </si>
  <si>
    <t>STRUCTURE, REINFORCED CONCRETE, BOX SECTIONS, 8 FT X 5 FT</t>
  </si>
  <si>
    <t>714-11178</t>
  </si>
  <si>
    <t>STRUCTURE, REINFORCED CONCRETE, BOX SECTIONS, 5 FT X 4 FT</t>
  </si>
  <si>
    <t>714-11191</t>
  </si>
  <si>
    <t>STRUCTURE, REINFORCED CONCRETE, BOX SECTIONS, 4 FT X 3 FT</t>
  </si>
  <si>
    <t>714-11192</t>
  </si>
  <si>
    <t>CONCRETE ANCHOR, MIN. AREA 8.9 SFT</t>
  </si>
  <si>
    <t>715-06501</t>
  </si>
  <si>
    <t>QC/QA-PCCP, 10.5 IN.</t>
  </si>
  <si>
    <t>501-08193</t>
  </si>
  <si>
    <t>PCCP, 15 IN.</t>
  </si>
  <si>
    <t>502-06332</t>
  </si>
  <si>
    <t>607-06340</t>
  </si>
  <si>
    <t>PCCP FOR APPROACHES, 8 IN.</t>
  </si>
  <si>
    <t>610-07713</t>
  </si>
  <si>
    <t>715-06358</t>
  </si>
  <si>
    <t>PIPE END SECTION, ENERGY DISSIPATOR</t>
  </si>
  <si>
    <t>715-11643</t>
  </si>
  <si>
    <t>CONCRETE FOUNDATION WITH GROUNDING</t>
  </si>
  <si>
    <t>807-04779</t>
  </si>
  <si>
    <t>501-12183</t>
  </si>
  <si>
    <t>STRUCTURE, REINFORCED CONCRETE, BOX SECTIONS, 12 FT X 7 FT</t>
  </si>
  <si>
    <t>714-11145</t>
  </si>
  <si>
    <t>STRUCTURE, REINFORCED CONCRETE, BOX SECTIONS, 3 FT X 2 FT</t>
  </si>
  <si>
    <t>714-11197</t>
  </si>
  <si>
    <t>CONCRETE ANCHOR, MIN. AREA 16.7 SFT</t>
  </si>
  <si>
    <t>715-07303</t>
  </si>
  <si>
    <t>CONCRETE ANCHOR, MIN. AREA 12.9 SFT</t>
  </si>
  <si>
    <t>715-07536</t>
  </si>
  <si>
    <t>PCCP, 16 IN.</t>
  </si>
  <si>
    <t>502-06929</t>
  </si>
  <si>
    <t>REINFORCED CONCRETE BRIDGE APPROACH, 15 IN.</t>
  </si>
  <si>
    <t>609-06263</t>
  </si>
  <si>
    <t>620-01753</t>
  </si>
  <si>
    <t>STRUCTURE, REINFORCED CONCRETE, BOX SECTIONS, 7 FT X 3 FT</t>
  </si>
  <si>
    <t>714-11081</t>
  </si>
  <si>
    <t>STRUCTURE, REINFORCED CONCRETE, BOX SECTIONS, 12 FT X 4 FT</t>
  </si>
  <si>
    <t>714-11186</t>
  </si>
  <si>
    <t>STRUCTURE, REINFORCED CONCRETE, BOX SECTIONS, 9 FT X 5 FT</t>
  </si>
  <si>
    <t>714-11309</t>
  </si>
  <si>
    <t>807-91694</t>
  </si>
  <si>
    <t>PCC BASE PATCHING, 7 IN.</t>
  </si>
  <si>
    <t>305-11779</t>
  </si>
  <si>
    <t>QC/QA-PCCP, 15 IN.</t>
  </si>
  <si>
    <t>501-06326</t>
  </si>
  <si>
    <t>607-06350</t>
  </si>
  <si>
    <t>FOUNTAIN, DRINKING</t>
  </si>
  <si>
    <t>618-03827</t>
  </si>
  <si>
    <t>CONCRETE, B, ABOVE FOOTINGS</t>
  </si>
  <si>
    <t>702-51010</t>
  </si>
  <si>
    <t>STRUCTURE, REINFORCED CONCRETE, BOX SECTIONS, 6 FT X 6 FT</t>
  </si>
  <si>
    <t>714-11176</t>
  </si>
  <si>
    <t>805-02079</t>
  </si>
  <si>
    <t>805-11385</t>
  </si>
  <si>
    <t>HIGH MAST TOWER WINCH DRIVE</t>
  </si>
  <si>
    <t>807-01606</t>
  </si>
  <si>
    <t>807-86832</t>
  </si>
  <si>
    <t>CENTER CURB, C CONCRETE, MODIFIED</t>
  </si>
  <si>
    <t>605-06230</t>
  </si>
  <si>
    <t>607-06375</t>
  </si>
  <si>
    <t>701-09675</t>
  </si>
  <si>
    <t>702-01724</t>
  </si>
  <si>
    <t>CONCRETE, C, SUPERSTRUCTURE, MODIFIED</t>
  </si>
  <si>
    <t>704-51006</t>
  </si>
  <si>
    <t>STRUCTURE, REINFORCED CONCRETE, BOX SECTIONS, 9 FT X 6 FT</t>
  </si>
  <si>
    <t>714-11073</t>
  </si>
  <si>
    <t>STRUCTURE, REINFORCED CONCRETE, BOX SECTIONS, 11 FT X 4 FT</t>
  </si>
  <si>
    <t>714-11089</t>
  </si>
  <si>
    <t>STRUCTURE, REINFORCED CONCRETE, BOX SECTIONS, 9 FT X 4 FT</t>
  </si>
  <si>
    <t>714-11094</t>
  </si>
  <si>
    <t>STRUCTURE, REINFORCED CONCRETE, BOX SECTIONS, 5 FT X 2 FT</t>
  </si>
  <si>
    <t>714-11102</t>
  </si>
  <si>
    <t>STRUCTURE, REINFORCED CONCRETE, BOX SECTIONS, 14 FT X 7 FT</t>
  </si>
  <si>
    <t>714-11114</t>
  </si>
  <si>
    <t>STRUCTURE, REINFORCED CONCRETE, BOX SECTIONS, 12 FT X 8 FT</t>
  </si>
  <si>
    <t>714-11188</t>
  </si>
  <si>
    <t>STRUCTURE, REINFORCED CONCRETE, BOX SECTIONS, 7 FT X 5 FT</t>
  </si>
  <si>
    <t>714-11311</t>
  </si>
  <si>
    <t>CONCRETE ANCHOR, MIN. AREA 14.7 SFT</t>
  </si>
  <si>
    <t>715-05840</t>
  </si>
  <si>
    <t>715-06691</t>
  </si>
  <si>
    <t>723-11234</t>
  </si>
  <si>
    <t>QC/QA-PCCP</t>
  </si>
  <si>
    <t>501-06914</t>
  </si>
  <si>
    <t>503-12668</t>
  </si>
  <si>
    <t>701-11344</t>
  </si>
  <si>
    <t>STRUCTURE, REINFORCED CONCRETE, BOX SECTIONS, 18 FT X 9 FT</t>
  </si>
  <si>
    <t>714-11121</t>
  </si>
  <si>
    <t>STRUCTURE, REINFORCED CONCRETE, BOX SECTIONS, 3 FT X 3 FT</t>
  </si>
  <si>
    <t>714-11194</t>
  </si>
  <si>
    <t>714-11414</t>
  </si>
  <si>
    <t>STRUCTURE, REINFORCED CONCRETE, BOX SECTIONS, 13 FT X 7 FT</t>
  </si>
  <si>
    <t>714-11444</t>
  </si>
  <si>
    <t>714-11705</t>
  </si>
  <si>
    <t>CONCRETE ANCHOR, MIN. AREA 7.4 SFT</t>
  </si>
  <si>
    <t>715-11668</t>
  </si>
  <si>
    <t>724-12776</t>
  </si>
  <si>
    <t>CONCRETE FACING</t>
  </si>
  <si>
    <t>731-03133</t>
  </si>
  <si>
    <t>BOX TRUSS SIGN STRUCTURE FOUNDATION, DMS 45 IN. HEIGHT</t>
  </si>
  <si>
    <t>802-09897</t>
  </si>
  <si>
    <t>VWIM STATION, QUARTZ</t>
  </si>
  <si>
    <t>805-09616</t>
  </si>
  <si>
    <t>NAVIGATION LIGHT, FRESNEL LENS, 180 DEGREE SECTION</t>
  </si>
  <si>
    <t>807-91698</t>
  </si>
  <si>
    <t>NAVIGATION LIGHT, FRESNEL LENS, 360 DEGREE SECTION</t>
  </si>
  <si>
    <t>807-91699</t>
  </si>
  <si>
    <t>PCC BASE PATCHING, 9 IN.</t>
  </si>
  <si>
    <t>305-07464</t>
  </si>
  <si>
    <t>QC/QA-PCCP, 13 IN.</t>
  </si>
  <si>
    <t>501-06324</t>
  </si>
  <si>
    <t>QC/QA-PCC, THIN BONDED OVERLAY, 4.5 IN.</t>
  </si>
  <si>
    <t>501-12178</t>
  </si>
  <si>
    <t>PCCP, 9.5 IN.</t>
  </si>
  <si>
    <t>502-08201</t>
  </si>
  <si>
    <t>SIDEWALK, CONCRETE, RE-LAY</t>
  </si>
  <si>
    <t>604-11975</t>
  </si>
  <si>
    <t>607-06345</t>
  </si>
  <si>
    <t>607-95337</t>
  </si>
  <si>
    <t>STRUCTURE, REINFORCED CONCRETE, BOX SECTIONS, 14 FT X 5 FT</t>
  </si>
  <si>
    <t>714-11097</t>
  </si>
  <si>
    <t>STRUCTURE, REINFORCED CONCRETE, BOX SECTIONS, 6 FT X 5 FT</t>
  </si>
  <si>
    <t>714-11175</t>
  </si>
  <si>
    <t>714-11635</t>
  </si>
  <si>
    <t>714-11682</t>
  </si>
  <si>
    <t>CONCRETE ANCHOR, MIN. AREA 11.6 SFT</t>
  </si>
  <si>
    <t>715-07090</t>
  </si>
  <si>
    <t>CONCRETE ANCHOR, MIN. AREA 5.1 SFT</t>
  </si>
  <si>
    <t>715-08069</t>
  </si>
  <si>
    <t>BOX TRUSS SIGN STRUCTURE FOUNDATION, 33 IN. CONCRETE BARRIER WALL</t>
  </si>
  <si>
    <t>802-09535</t>
  </si>
  <si>
    <t>TRI-CHORD SIGN STRUCTURE FOUNDATION, DRILLED SHAFT</t>
  </si>
  <si>
    <t>802-10194</t>
  </si>
  <si>
    <t>HIGH MAST TOWER, 120 FT E.M.H.</t>
  </si>
  <si>
    <t>807-82360</t>
  </si>
  <si>
    <t>HIGH MAST TOWER, 125 FT E.M.H.</t>
  </si>
  <si>
    <t>807-82400</t>
  </si>
  <si>
    <t>HIGH MAST TOWER, 130 FT E.M.H.</t>
  </si>
  <si>
    <t>807-82440</t>
  </si>
  <si>
    <t>HIGH MAST TOWER, 150 FT E.M.H.</t>
  </si>
  <si>
    <t>807-82600</t>
  </si>
  <si>
    <t>807-92870</t>
  </si>
  <si>
    <t>807-93651</t>
  </si>
  <si>
    <t>QC/QA-PCCP, 12.5 IN.</t>
  </si>
  <si>
    <t>501-08196</t>
  </si>
  <si>
    <t>PCCP, 10.5 IN.</t>
  </si>
  <si>
    <t>502-08202</t>
  </si>
  <si>
    <t>607-06360</t>
  </si>
  <si>
    <t>701-09677</t>
  </si>
  <si>
    <t>701-11004</t>
  </si>
  <si>
    <t>REINFORCED CONCRETE MOMENT SLAB, 18 IN.</t>
  </si>
  <si>
    <t>706-08505</t>
  </si>
  <si>
    <t>706-11623</t>
  </si>
  <si>
    <t>714-11059</t>
  </si>
  <si>
    <t>STRUCTURE, REINFORCED CONCRETE, BOX SECTIONS, 12 FT X 5 FT</t>
  </si>
  <si>
    <t>714-11087</t>
  </si>
  <si>
    <t>STRUCTURE, REINFORCED CONCRETE, BOX SECTIONS, 14 FT X 10 FT</t>
  </si>
  <si>
    <t>714-11088</t>
  </si>
  <si>
    <t>STRUCTURE, REINFORCED CONCRETE, BOX SECTIONS, 14 FT X 8 FT</t>
  </si>
  <si>
    <t>714-11093</t>
  </si>
  <si>
    <t>STRUCTURE, REINFORCED CONCRETE, BOX SECTIONS, 18 FT X 6 FT</t>
  </si>
  <si>
    <t>714-11101</t>
  </si>
  <si>
    <t>STRUCTURE, REINFORCED CONCRETE, BOX SECTIONS, 16 FT X 7 FT</t>
  </si>
  <si>
    <t>714-11103</t>
  </si>
  <si>
    <t>STRUCTURE, REINFORCED CONCRETE, BOX SECTIONS, 18 FT X 7 FT</t>
  </si>
  <si>
    <t>714-11111</t>
  </si>
  <si>
    <t>STRUCTURE EXTENSION, REINFORCED CONCRETE, BOX SECTIONS, 3 FT X 2 FT</t>
  </si>
  <si>
    <t>714-11133</t>
  </si>
  <si>
    <t>STRUCTURE, REINFORCED CONCRETE, BOX SECTIONS, 12 FT X 10 FT</t>
  </si>
  <si>
    <t>714-11189</t>
  </si>
  <si>
    <t>STRUCTURE, REINFORCED CONCRETE, BOX SECTIONS, 4 FT X 4 FT</t>
  </si>
  <si>
    <t>714-11322</t>
  </si>
  <si>
    <t>714-11343</t>
  </si>
  <si>
    <t>714-12228</t>
  </si>
  <si>
    <t>CONCRETE ANCHOR, MIN. AREA 20.5 SFT</t>
  </si>
  <si>
    <t>715-08303</t>
  </si>
  <si>
    <t>CONCRETE ANCHOR, MIN. AREA 26.0 SFT</t>
  </si>
  <si>
    <t>715-10123</t>
  </si>
  <si>
    <t>CONCRETE ANCHOR, MIN. AREA 37.0 SFT</t>
  </si>
  <si>
    <t>715-10167</t>
  </si>
  <si>
    <t>715-11446</t>
  </si>
  <si>
    <t>CONCRETE ANCHOR, MIN. AREA 8.8 SFT</t>
  </si>
  <si>
    <t>715-11509</t>
  </si>
  <si>
    <t>SIGNAL POLE FOUNDATION, 36 IN. X 36 IN. X 84 IN.</t>
  </si>
  <si>
    <t>805-02065</t>
  </si>
  <si>
    <t>HIGH MAST TOWER, 145 FT E.M.H.</t>
  </si>
  <si>
    <t>807-82560</t>
  </si>
  <si>
    <t>QC/QA-PCCP, 8.5 IN.</t>
  </si>
  <si>
    <t>501-10254</t>
  </si>
  <si>
    <t>QC/QA-PCCP, 7 IN.</t>
  </si>
  <si>
    <t>501-11930</t>
  </si>
  <si>
    <t>QC/QA CONTINUOUS REINFORCED CONCRETE PAVEMENT, 11 IN.</t>
  </si>
  <si>
    <t>501-12707</t>
  </si>
  <si>
    <t>TERMINAL JOINT, TYPE CRCP</t>
  </si>
  <si>
    <t>503-12806</t>
  </si>
  <si>
    <t>607-06390</t>
  </si>
  <si>
    <t>REINFORCED CONCRETE BRIDGE APPROACH, 11 IN.</t>
  </si>
  <si>
    <t>609-06258</t>
  </si>
  <si>
    <t>PCCP FOR APPROACHES, 12 IN.</t>
  </si>
  <si>
    <t>610-08516</t>
  </si>
  <si>
    <t>620-02119</t>
  </si>
  <si>
    <t>627-09330</t>
  </si>
  <si>
    <t>REINFORCED CONCRETE MOMENT SLAB, 13 IN.</t>
  </si>
  <si>
    <t>706-08498</t>
  </si>
  <si>
    <t>STRUCTURE, REINFORCED CONCRETE, BOX SECTIONS, 20 FT X 8 FT</t>
  </si>
  <si>
    <t>714-10249</t>
  </si>
  <si>
    <t>STRUCTURE, REINFORCED CONCRETE, BOX SECTIONS, 14 FT X 4 FT</t>
  </si>
  <si>
    <t>714-11092</t>
  </si>
  <si>
    <t>STRUCTURE, REINFORCED CONCRETE, BOX SECTIONS, 16 FT X 8 FT</t>
  </si>
  <si>
    <t>714-11099</t>
  </si>
  <si>
    <t>STRUCTURE, REINFORCED CONCRETE, BOX SECTIONS, 9 FT X 3 FT</t>
  </si>
  <si>
    <t>714-11119</t>
  </si>
  <si>
    <t>STRUCTURE EXTENSION, REINFORCED CONCRETE, BOX SECTIONS, 4 FT X 4 FT</t>
  </si>
  <si>
    <t>714-11170</t>
  </si>
  <si>
    <t>STRUCTURE, REINFORCED CONCRETE, BOX SECTIONS, 8 FT X 8 FT</t>
  </si>
  <si>
    <t>714-11181</t>
  </si>
  <si>
    <t>STRUCTURE, REINFORCED CONCRETE, BOX SECTIONS, 5 FT X 5 FT</t>
  </si>
  <si>
    <t>714-11190</t>
  </si>
  <si>
    <t>STRUCTURE, REINFORCED CONCRETE, BOX SECTIONS, 16 FT X 10 FT</t>
  </si>
  <si>
    <t>714-11445</t>
  </si>
  <si>
    <t>CONCRETE ANCHOR, MIN. AREA 58 SFT</t>
  </si>
  <si>
    <t>715-08083</t>
  </si>
  <si>
    <t>723-11201</t>
  </si>
  <si>
    <t>723-11211</t>
  </si>
  <si>
    <t>723-11346</t>
  </si>
  <si>
    <t>724-12774</t>
  </si>
  <si>
    <t>724-12779</t>
  </si>
  <si>
    <t>802-12351</t>
  </si>
  <si>
    <t>807-03970</t>
  </si>
  <si>
    <t>HIGH MAST TOWER, 100 FT E.M.H.</t>
  </si>
  <si>
    <t>807-12556</t>
  </si>
  <si>
    <t>PCC BASE, 8 IN.</t>
  </si>
  <si>
    <t>305-07456</t>
  </si>
  <si>
    <t>QC/QA-PCCP, 11.5 IN.</t>
  </si>
  <si>
    <t>501-08194</t>
  </si>
  <si>
    <t>QC/QA-PCCP, 8 IN.</t>
  </si>
  <si>
    <t>501-09606</t>
  </si>
  <si>
    <t>503-12505</t>
  </si>
  <si>
    <t>605-06200</t>
  </si>
  <si>
    <t>701-09674</t>
  </si>
  <si>
    <t>REINFORCED CONCRETE MOMENT SLAB, 20 IN.</t>
  </si>
  <si>
    <t>706-09789</t>
  </si>
  <si>
    <t>706-09966</t>
  </si>
  <si>
    <t>706-11607</t>
  </si>
  <si>
    <t>STRUCTURE, REINFORCED CONCRETE, BOX SECTIONS, 9 FT X 8 FT</t>
  </si>
  <si>
    <t>714-11076</t>
  </si>
  <si>
    <t>STRUCTURE, REINFORCED CONCRETE, BOX SECTIONS, 14 FT X 6 FT</t>
  </si>
  <si>
    <t>714-11107</t>
  </si>
  <si>
    <t>STRUCTURE, REINFORCED CONCRETE, BOX SECTIONS, 16 FT X 5 FT</t>
  </si>
  <si>
    <t>714-11109</t>
  </si>
  <si>
    <t>STRUCTURE, REINFORCED CONCRETE, BOX SECTIONS, 16 FT X 6 FT</t>
  </si>
  <si>
    <t>714-11120</t>
  </si>
  <si>
    <t>714-11143</t>
  </si>
  <si>
    <t>STRUCTURE, REINFORCED CONCRETE BOX SECTIONS, 12 FT X 9 FT</t>
  </si>
  <si>
    <t>714-11163</t>
  </si>
  <si>
    <t>STRUCTURE, REINFORCED CONCRETE, BOX SECTIONS, 10 FT X 7 FT</t>
  </si>
  <si>
    <t>714-11184</t>
  </si>
  <si>
    <t>STRUCTURE, REINFORCED CONCRETE, BOX SECTIONS, 10 FT X 8 FT</t>
  </si>
  <si>
    <t>714-11185</t>
  </si>
  <si>
    <t>STRUCTURE, REINFORCED CONCRETE, BOX SECTIONS, 10 FT X 9 FT</t>
  </si>
  <si>
    <t>714-11195</t>
  </si>
  <si>
    <t>STRUCTURE, REINFORCED CONCRETE, BOX SECTIONS, 16 FT X 9 FT</t>
  </si>
  <si>
    <t>714-11306</t>
  </si>
  <si>
    <t>STRUCTURE, REINFORCED CONCRETE, BOX SECTIONS, 7 FT X 6 FT</t>
  </si>
  <si>
    <t>714-11308</t>
  </si>
  <si>
    <t>714-11398</t>
  </si>
  <si>
    <t>714-11725</t>
  </si>
  <si>
    <t>714-11726</t>
  </si>
  <si>
    <t>714-12089</t>
  </si>
  <si>
    <t>714-12091</t>
  </si>
  <si>
    <t>STRUCTURE, REINFORCED CONCRETE, BOX SECTIONS, 15 FT X 7 FT</t>
  </si>
  <si>
    <t>714-12158</t>
  </si>
  <si>
    <t>714-12226</t>
  </si>
  <si>
    <t>CONCRETE ANCHOR, MIN. AREA 6.4 SFT</t>
  </si>
  <si>
    <t>715-06398</t>
  </si>
  <si>
    <t>CONCRETE ANCHOR, MIN. AREA 18.1 SFT</t>
  </si>
  <si>
    <t>715-06802</t>
  </si>
  <si>
    <t>CONCRETE ANCHOR, MIN. AREA 29.5 SFT</t>
  </si>
  <si>
    <t>715-06939</t>
  </si>
  <si>
    <t>715-11347</t>
  </si>
  <si>
    <t>CONCRETE ANCHOR, MIN. AREA 48 SFT</t>
  </si>
  <si>
    <t>715-11750</t>
  </si>
  <si>
    <t>715-12322</t>
  </si>
  <si>
    <t>723-11200</t>
  </si>
  <si>
    <t>723-11222</t>
  </si>
  <si>
    <t>CANTILEVER SIGN SUPPORT FOUNDATION, DRILLED SHAFT 33 IN.</t>
  </si>
  <si>
    <t>802-09579</t>
  </si>
  <si>
    <t>BOX TRUSS SIGN STRUCTURE FOUNDATION, DMS 33 IN. HEIGHT</t>
  </si>
  <si>
    <t>802-09896</t>
  </si>
  <si>
    <t>802-12581</t>
  </si>
  <si>
    <t>WIM STATION, QUARTZ</t>
  </si>
  <si>
    <t>805-09281</t>
  </si>
  <si>
    <t>SIGNAL SUPPORT FOUNDATION, 36 IN. DIAMETER X 120 IN.</t>
  </si>
  <si>
    <t>805-09366</t>
  </si>
  <si>
    <t>807-12792</t>
  </si>
  <si>
    <t>HIGH MAST TOWER, 135 FT E.M.H.</t>
  </si>
  <si>
    <t>807-82480</t>
  </si>
  <si>
    <t>HIGH MAST TOWER, 140 FT E.M.H.</t>
  </si>
  <si>
    <t>807-82520</t>
  </si>
  <si>
    <t>WIDENING WITH PCC BASE, 8 IN.</t>
  </si>
  <si>
    <t>305-07471</t>
  </si>
  <si>
    <t>PCC BASE, 6 IN.</t>
  </si>
  <si>
    <t>305-09786</t>
  </si>
  <si>
    <t>QC/QA-PCC, THIN BONDED OVERLAY, 5 IN.</t>
  </si>
  <si>
    <t>501-12179</t>
  </si>
  <si>
    <t>PCCP, 11.5 IN.</t>
  </si>
  <si>
    <t>502-08203</t>
  </si>
  <si>
    <t>PCCP, 7.5 IN.</t>
  </si>
  <si>
    <t>502-11778</t>
  </si>
  <si>
    <t>JOINTED REINFORCED CONCRETE PAVEMENT, 13 IN.</t>
  </si>
  <si>
    <t>503-12688</t>
  </si>
  <si>
    <t>CENTER CURB, B CONCRETE, MODIFIED</t>
  </si>
  <si>
    <t>605-06225</t>
  </si>
  <si>
    <t>CURB, CONCRETE, INTEGRAL, MODIFIED</t>
  </si>
  <si>
    <t>605-95635</t>
  </si>
  <si>
    <t>607-06385</t>
  </si>
  <si>
    <t>607-92007</t>
  </si>
  <si>
    <t>614-06470</t>
  </si>
  <si>
    <t>701-11790</t>
  </si>
  <si>
    <t>REINFORCED CONCRETE ENCASEMENT FOR H PILES</t>
  </si>
  <si>
    <t>701-12709</t>
  </si>
  <si>
    <t>REINFORCED CONCRETE MOMENT SLAB, 12.5 IN.</t>
  </si>
  <si>
    <t>706-08497</t>
  </si>
  <si>
    <t>REINFORCED CONCRETE MOMENT SLAB, 16 IN.</t>
  </si>
  <si>
    <t>706-08504</t>
  </si>
  <si>
    <t>706-11606</t>
  </si>
  <si>
    <t>706-12272</t>
  </si>
  <si>
    <t>STRUCTURE, REINFORCED CONCRETE, BOX SECTIONS, 20 FT X 5 FT</t>
  </si>
  <si>
    <t>714-11098</t>
  </si>
  <si>
    <t>STRUCTURE, REINFORCED CONCRETE, BOX SECTIONS, 16 FT X 4 FT</t>
  </si>
  <si>
    <t>714-11104</t>
  </si>
  <si>
    <t>STRUCTURE, REINFORCED CONCRETE, BOX SECTIONS, 13 FT X 8 FT</t>
  </si>
  <si>
    <t>714-11116</t>
  </si>
  <si>
    <t>STRUCTURE, REINFORCED CONCRETE, BOX SECTIONS, 10 FT X 3 FT</t>
  </si>
  <si>
    <t>714-11118</t>
  </si>
  <si>
    <t>STRUCTURE, REINFORCED CONCRETE, BOX SECTIONS, 20 FT X 9 FT</t>
  </si>
  <si>
    <t>714-11130</t>
  </si>
  <si>
    <t>STRUCTURE EXTENSION, REINFORCED CONCRETE, BOX SECTIONS, 5 FT X 5 FT</t>
  </si>
  <si>
    <t>714-11131</t>
  </si>
  <si>
    <t>STRUCTURE EXTENSION, REINFORCED CONCRETE, BOX SECTIONS, 4 FT X 5 FT</t>
  </si>
  <si>
    <t>714-11140</t>
  </si>
  <si>
    <t>STRUCTURE, REINFORCED CONCRETE, BOX SECTIONS, 17 FT X 7 FT</t>
  </si>
  <si>
    <t>714-11141</t>
  </si>
  <si>
    <t>STRUCTURE, REINFORCED CONCRETE, BOX SECTIONS, 14 FT X 9 FT</t>
  </si>
  <si>
    <t>714-11146</t>
  </si>
  <si>
    <t>STRUCTURE, REINFORCED CONCRETE, BOX SECTIONS, 20 FT X 12 FT</t>
  </si>
  <si>
    <t>714-11161</t>
  </si>
  <si>
    <t>714-11327</t>
  </si>
  <si>
    <t>714-11654</t>
  </si>
  <si>
    <t>714-11684</t>
  </si>
  <si>
    <t>714-12023</t>
  </si>
  <si>
    <t>714-12208</t>
  </si>
  <si>
    <t>714-12345</t>
  </si>
  <si>
    <t>714-12401</t>
  </si>
  <si>
    <t>714-12436</t>
  </si>
  <si>
    <t>STRUCTURE, COATED REINFORCED CONCRETE, BOX SECTIONS, 3 FT X 2 FT</t>
  </si>
  <si>
    <t>714-12516</t>
  </si>
  <si>
    <t>714-12518</t>
  </si>
  <si>
    <t>714-12520</t>
  </si>
  <si>
    <t>715-06816</t>
  </si>
  <si>
    <t>715-07673</t>
  </si>
  <si>
    <t>CONCRETE ANCHOR, MIN. AREA 60.5 SFT</t>
  </si>
  <si>
    <t>715-11983</t>
  </si>
  <si>
    <t>723-11215</t>
  </si>
  <si>
    <t>723-11225</t>
  </si>
  <si>
    <t>723-11228</t>
  </si>
  <si>
    <t>723-11230</t>
  </si>
  <si>
    <t>723-11254</t>
  </si>
  <si>
    <t>723-11315</t>
  </si>
  <si>
    <t>723-12012</t>
  </si>
  <si>
    <t>723-12033</t>
  </si>
  <si>
    <t>723-12131</t>
  </si>
  <si>
    <t>723-12142</t>
  </si>
  <si>
    <t>723-12332</t>
  </si>
  <si>
    <t>STRUCTURE, COATED REINFORCED CONCRETE, THREE-SIDED SECTIONS, 336 IN. X 144 IN.</t>
  </si>
  <si>
    <t>723-12338</t>
  </si>
  <si>
    <t>724-12775</t>
  </si>
  <si>
    <t>805-11387</t>
  </si>
  <si>
    <t>807-03899</t>
  </si>
  <si>
    <t>PCC BASE, 9 IN.</t>
  </si>
  <si>
    <t>305-07457</t>
  </si>
  <si>
    <t>PCC BASE PATCHING, 13 IN.</t>
  </si>
  <si>
    <t>305-07469</t>
  </si>
  <si>
    <t>WIDENING WITH PCC BASE, 14 IN.</t>
  </si>
  <si>
    <t>305-07477</t>
  </si>
  <si>
    <t>PCC BASE, 7 IN.</t>
  </si>
  <si>
    <t>305-10243</t>
  </si>
  <si>
    <t>QC/QA-PCCP, 13.5 IN.</t>
  </si>
  <si>
    <t>501-08197</t>
  </si>
  <si>
    <t>QC/QA-PCC, THIN BONDED OVERLAY, 4 IN.</t>
  </si>
  <si>
    <t>501-12177</t>
  </si>
  <si>
    <t>PCC THIN BONDED INLAY</t>
  </si>
  <si>
    <t>501-12359</t>
  </si>
  <si>
    <t>PCCP, 13.5 IN.</t>
  </si>
  <si>
    <t>502-08205</t>
  </si>
  <si>
    <t>502-12313</t>
  </si>
  <si>
    <t>506-12712</t>
  </si>
  <si>
    <t>REINFORCED CONCRETE BRIDGE APPROACH, 9 IN.</t>
  </si>
  <si>
    <t>609-11506</t>
  </si>
  <si>
    <t>PCCP FOR APPROACHES, 9.5 IN.</t>
  </si>
  <si>
    <t>610-09253</t>
  </si>
  <si>
    <t>614-06480</t>
  </si>
  <si>
    <t>FLOODWALL</t>
  </si>
  <si>
    <t>626-09276</t>
  </si>
  <si>
    <t>627-10177</t>
  </si>
  <si>
    <t>701-12311</t>
  </si>
  <si>
    <t>701-17800</t>
  </si>
  <si>
    <t>706-12767</t>
  </si>
  <si>
    <t>714-11053</t>
  </si>
  <si>
    <t>STRUCTURE, REINFORCED CONCRETE, BOX SECTIONS, 12 FT X 12 FT</t>
  </si>
  <si>
    <t>714-11077</t>
  </si>
  <si>
    <t>STRUCTURE, REINFORCED CONCRETE, BOX SECTIONS, 18 FT X 4 FT</t>
  </si>
  <si>
    <t>714-11091</t>
  </si>
  <si>
    <t>714-11108</t>
  </si>
  <si>
    <t>STRUCTURE, REINFORCED CONCRETE, BOX SECTIONS, 8 FT X 2 FT</t>
  </si>
  <si>
    <t>714-11112</t>
  </si>
  <si>
    <t>STRUCTURE, REINFORCED CONCRETE, BOX SECTIONS, 2 FT X 3 FT</t>
  </si>
  <si>
    <t>714-11113</t>
  </si>
  <si>
    <t>STRUCTURE, REINFORCED CONCRETE, BOX SECTIONS, 20 FT X 7 FT</t>
  </si>
  <si>
    <t>714-11115</t>
  </si>
  <si>
    <t>STRUCTURE, REINFORCED CONCRETE, BOX SECTIONS, 14 FT X 3 FT</t>
  </si>
  <si>
    <t>714-11122</t>
  </si>
  <si>
    <t>STRUCTURE, REINFORCED CONCRETE, BOX SECTIONS, 18 FT X 10 FT</t>
  </si>
  <si>
    <t>714-11128</t>
  </si>
  <si>
    <t>STRUCTURE EXTENSION, REINFORCED CONCRETE, BOX SECTIONS, 8 FT X 8 FT</t>
  </si>
  <si>
    <t>714-11139</t>
  </si>
  <si>
    <t>STRUCTURE, REINFORCED CONCRETE, BOX SECTIONS, 17 FT X 8 FT</t>
  </si>
  <si>
    <t>714-11151</t>
  </si>
  <si>
    <t>STRUCTURE, REINFORCED CONCRETE, BOX SECTIONS, 7 FT X 7 FT</t>
  </si>
  <si>
    <t>714-11168</t>
  </si>
  <si>
    <t>STRUCTURE, REINFORCED CONCRETE, BOX SECTIONS, 19 FT X 8 FT</t>
  </si>
  <si>
    <t>714-11169</t>
  </si>
  <si>
    <t>714-11561</t>
  </si>
  <si>
    <t>714-11580</t>
  </si>
  <si>
    <t>714-11683</t>
  </si>
  <si>
    <t>714-11956</t>
  </si>
  <si>
    <t>714-12009</t>
  </si>
  <si>
    <t>STRUCTURE EXTENSION, REINFORCED CONCRETE, BOX SECTIONS, 6 FT X 3 FT</t>
  </si>
  <si>
    <t>714-12058</t>
  </si>
  <si>
    <t>STRUCTURE, REINFORCED CONCRETE, BOX SECTIONS, 13 FT X 4 FT</t>
  </si>
  <si>
    <t>714-12114</t>
  </si>
  <si>
    <t>714-12375</t>
  </si>
  <si>
    <t>714-12376</t>
  </si>
  <si>
    <t>STRUCTURE, COATED REINFORCED CONCRETE, BOX SECTIONS, 19 FT X 7 FT</t>
  </si>
  <si>
    <t>714-12385</t>
  </si>
  <si>
    <t>STRUCTURE, COATED REINFORCED CONCRETE, BOX SECTIONS, 20 FT X 8 FT</t>
  </si>
  <si>
    <t>714-12484</t>
  </si>
  <si>
    <t>STRUCTURE, COATED REINFORCED CONCRETE, BOX SECTIONS, 5 FT X 3 FT</t>
  </si>
  <si>
    <t>714-12499</t>
  </si>
  <si>
    <t>STRUCTURE, COATED REINFORCED CONCRETE, BOX SECTIONS, 9 FT X 6 FT</t>
  </si>
  <si>
    <t>714-12519</t>
  </si>
  <si>
    <t>714-12522</t>
  </si>
  <si>
    <t>714-12545</t>
  </si>
  <si>
    <t>714-12697</t>
  </si>
  <si>
    <t>CONCRETE ANCHOR, MIN. AREA 78 SFT</t>
  </si>
  <si>
    <t>715-06806</t>
  </si>
  <si>
    <t>CONCRETE ANCHOR, MIN. AREA 30.1 SFT</t>
  </si>
  <si>
    <t>715-12056</t>
  </si>
  <si>
    <t>CONCRETE ANCHOR, MIN. AREA 40 SFT</t>
  </si>
  <si>
    <t>715-12172</t>
  </si>
  <si>
    <t>715-12491</t>
  </si>
  <si>
    <t>715-12512</t>
  </si>
  <si>
    <t>CONCRETE PAVED FLOWLINE ARCH STRUCTURAL PLATE</t>
  </si>
  <si>
    <t>717-06030</t>
  </si>
  <si>
    <t>ARCH, STRUCTURAL PLATE, MIN. AREA 18 SFT</t>
  </si>
  <si>
    <t>717-07165</t>
  </si>
  <si>
    <t>723-10168</t>
  </si>
  <si>
    <t>723-11229</t>
  </si>
  <si>
    <t>723-11242</t>
  </si>
  <si>
    <t>723-11252</t>
  </si>
  <si>
    <t>723-11253</t>
  </si>
  <si>
    <t>723-11339</t>
  </si>
  <si>
    <t>723-11454</t>
  </si>
  <si>
    <t>723-11541</t>
  </si>
  <si>
    <t>723-11577</t>
  </si>
  <si>
    <t>723-11609</t>
  </si>
  <si>
    <t>723-11660</t>
  </si>
  <si>
    <t>723-12198</t>
  </si>
  <si>
    <t>723-12450</t>
  </si>
  <si>
    <t>723-12451</t>
  </si>
  <si>
    <t>GATEWAY SIGN SYSTEM</t>
  </si>
  <si>
    <t>802-11968</t>
  </si>
  <si>
    <t>805-02392</t>
  </si>
  <si>
    <t>SIGNAL SUPPORT FOUNDATION, 2 FT 6 IN. X 2 FT 6 IN. X 6 FT</t>
  </si>
  <si>
    <t>805-02855</t>
  </si>
  <si>
    <t>DOWNGUY ANCHOR, INSTALL</t>
  </si>
  <si>
    <t>805-06956</t>
  </si>
  <si>
    <t>805-11388</t>
  </si>
  <si>
    <t>FLASHING BEACON WITH SIGNAL AHEAD SIGN, 6 IN. I BEAM AND FOUNDATION</t>
  </si>
  <si>
    <t>805-95466</t>
  </si>
  <si>
    <t>LIGHT POLE, HIGH MAST, 85 FT E.M.H.</t>
  </si>
  <si>
    <t>807-09141</t>
  </si>
  <si>
    <t>HIGH MAST TOWER, 170 FT E.M.H.</t>
  </si>
  <si>
    <t>807-12424</t>
  </si>
  <si>
    <t>HIGH MAST TOWER, 105 FT E.M.H.</t>
  </si>
  <si>
    <t>807-12557</t>
  </si>
  <si>
    <t>HIGH MAST TOWER, 110 FT E.M.H.</t>
  </si>
  <si>
    <t>807-12558</t>
  </si>
  <si>
    <t>807-12794</t>
  </si>
  <si>
    <t>PCC BASE PATCHING, 10 IN.</t>
  </si>
  <si>
    <t>305-07465</t>
  </si>
  <si>
    <t>PCC BASE PATCHING, 11 IN.</t>
  </si>
  <si>
    <t>305-07466</t>
  </si>
  <si>
    <t>WIDENING WITH PCC BASE, 9 IN.</t>
  </si>
  <si>
    <t>305-07472</t>
  </si>
  <si>
    <t>PCC BASE PATCHING, 16 IN.</t>
  </si>
  <si>
    <t>305-11423</t>
  </si>
  <si>
    <t>PCC BASE PATCHING, 21 IN.</t>
  </si>
  <si>
    <t>305-11988</t>
  </si>
  <si>
    <t>305-12395</t>
  </si>
  <si>
    <t>LEAN CONCRETE BASE, 9 IN.</t>
  </si>
  <si>
    <t>305-12695</t>
  </si>
  <si>
    <t>QC/QA-PCCP, 16 IN.</t>
  </si>
  <si>
    <t>501-08544</t>
  </si>
  <si>
    <t>501-11769</t>
  </si>
  <si>
    <t>QC/QA-PCC, THIN BONDED OVERLAY, 6 IN.</t>
  </si>
  <si>
    <t>501-12182</t>
  </si>
  <si>
    <t>QC/QA CONTINUOUS REINFORCED CONCRETE PAVEMENT, 9.5 IN.</t>
  </si>
  <si>
    <t>501-12708</t>
  </si>
  <si>
    <t>QC/QA CONTINUOUS REINFORCED CONCRETE PAVEMENT, 13 IN.</t>
  </si>
  <si>
    <t>501-12752</t>
  </si>
  <si>
    <t>501-12826</t>
  </si>
  <si>
    <t>PCCP, 18 IN.</t>
  </si>
  <si>
    <t>502-07757</t>
  </si>
  <si>
    <t>PCCP, 12.5 IN.</t>
  </si>
  <si>
    <t>502-08204</t>
  </si>
  <si>
    <t>PCCP, 14.5 IN.</t>
  </si>
  <si>
    <t>502-08206</t>
  </si>
  <si>
    <t>PCCP PRECAST, REMOVABLE</t>
  </si>
  <si>
    <t>502-12153</t>
  </si>
  <si>
    <t>503-12475</t>
  </si>
  <si>
    <t>607-06355</t>
  </si>
  <si>
    <t>607-06365</t>
  </si>
  <si>
    <t>REINFORCED CONCRETE BRIDGE APPROACH, 7 IN.</t>
  </si>
  <si>
    <t>609-12156</t>
  </si>
  <si>
    <t>REINFORCED CONCRETE BRIDGE APPROACH, 8 IN.</t>
  </si>
  <si>
    <t>609-12814</t>
  </si>
  <si>
    <t>PCCP FOR APPROACHES, 11 IN.</t>
  </si>
  <si>
    <t>610-08526</t>
  </si>
  <si>
    <t>HEADER, CEMENT CONCRETE, RECONSTRUCT</t>
  </si>
  <si>
    <t>614-06485</t>
  </si>
  <si>
    <t>CABLE BARRIER SYSTEM, TYPE TL-3</t>
  </si>
  <si>
    <t>627-09326</t>
  </si>
  <si>
    <t>701-11889</t>
  </si>
  <si>
    <t>701-11890</t>
  </si>
  <si>
    <t>701-12014</t>
  </si>
  <si>
    <t>701-12312</t>
  </si>
  <si>
    <t>701-12758</t>
  </si>
  <si>
    <t>STRUCTURE, REINFORCED CONCRETE, BOX SECTIONS, 12 FT X 3 FT</t>
  </si>
  <si>
    <t>714-11074</t>
  </si>
  <si>
    <t>STRUCTURE, REINFORCED CONCRETE, BOX SECTIONS, 11 FT X 6 FT</t>
  </si>
  <si>
    <t>714-11078</t>
  </si>
  <si>
    <t>714-11129</t>
  </si>
  <si>
    <t>STRUCTURE, REINFORCED CONCRETE, BOX SECTIONS, 6 FT X 2 FT</t>
  </si>
  <si>
    <t>714-11132</t>
  </si>
  <si>
    <t>STRUCTURE, REINFORCED CONCRETE, BOX SECTIONS, 18 FT X 8 FT</t>
  </si>
  <si>
    <t>714-11138</t>
  </si>
  <si>
    <t>714-11150</t>
  </si>
  <si>
    <t>STRUCTURE, REINFORCED CONCRETE, BOX SECTIONS, 18 FT X 5 FT</t>
  </si>
  <si>
    <t>714-11153</t>
  </si>
  <si>
    <t>STRUCTURE, REINFORCED CONCRETE, BOX SECTIONS, 16 FT X 11 FT</t>
  </si>
  <si>
    <t>714-11162</t>
  </si>
  <si>
    <t>STRUCTURE, REINFORCED CONCRETE, BOX SECTIONS, 15 FT X 4 FT</t>
  </si>
  <si>
    <t>714-11172</t>
  </si>
  <si>
    <t>STRUCTURE, REINFORCED CONCRETE, BOX SECTIONS, 15 FT X 9 FT</t>
  </si>
  <si>
    <t>714-11307</t>
  </si>
  <si>
    <t>714-11429</t>
  </si>
  <si>
    <t>714-11510</t>
  </si>
  <si>
    <t>714-11515</t>
  </si>
  <si>
    <t>714-11518</t>
  </si>
  <si>
    <t>714-11608</t>
  </si>
  <si>
    <t>714-11634</t>
  </si>
  <si>
    <t>714-11767</t>
  </si>
  <si>
    <t>714-12116</t>
  </si>
  <si>
    <t>714-12117</t>
  </si>
  <si>
    <t>STRUCTURE, REINFORCED CONCRETE, BOX SECTIONS, 9 FT X 12 FT</t>
  </si>
  <si>
    <t>714-12124</t>
  </si>
  <si>
    <t>STRUCTURE, REINFORCED CONCRETE, BOX SECTIONS, 19 FT X 12 FT</t>
  </si>
  <si>
    <t>714-12159</t>
  </si>
  <si>
    <t>STRUCTURE, COATED REINFORCED CONCRETE, BOX SECTIONS, 15 FT X 5 FT</t>
  </si>
  <si>
    <t>714-12227</t>
  </si>
  <si>
    <t>STRUCTURE, REINFORCED CONCRETE, BOX SECTIONS, 19 FT X 9 FT</t>
  </si>
  <si>
    <t>714-12268</t>
  </si>
  <si>
    <t>714-12314</t>
  </si>
  <si>
    <t>STRUCTURE, COATED REINFORCED CONCRETE, BOX SECTIONS, 13 FT X 6 FT</t>
  </si>
  <si>
    <t>714-12386</t>
  </si>
  <si>
    <t>714-12394</t>
  </si>
  <si>
    <t>STRUCTURE, COATED REINFORCED CONCRETE, BOX SECTIONS, 19 FT X 8 FT</t>
  </si>
  <si>
    <t>714-12409</t>
  </si>
  <si>
    <t>714-12423</t>
  </si>
  <si>
    <t>714-12426</t>
  </si>
  <si>
    <t>STRUCTURE, COATED REINFORCED CONCRETE, BOX SECTIONS, 4 FT X 4 FT</t>
  </si>
  <si>
    <t>714-12438</t>
  </si>
  <si>
    <t>714-12441</t>
  </si>
  <si>
    <t>714-12442</t>
  </si>
  <si>
    <t>714-12443</t>
  </si>
  <si>
    <t>714-12449</t>
  </si>
  <si>
    <t>STRUCTURE, COATED REINFORCED CONCRETE, BOX SECTIONS, 13 FT X 7 FT</t>
  </si>
  <si>
    <t>714-12462</t>
  </si>
  <si>
    <t>714-12473</t>
  </si>
  <si>
    <t>STRUCTURE, COATED REINFORCED CONCRETE, BOX SECTIONS, 3 FT X 3 FT</t>
  </si>
  <si>
    <t>714-12517</t>
  </si>
  <si>
    <t>STRUCTURE, COATED REINFORCED CONCRETE, BOX SECTIONS, 16 FT X 9 FT</t>
  </si>
  <si>
    <t>714-12572</t>
  </si>
  <si>
    <t>714-12575</t>
  </si>
  <si>
    <t>714-12631</t>
  </si>
  <si>
    <t>714-12696</t>
  </si>
  <si>
    <t>714-12722</t>
  </si>
  <si>
    <t>714-12800</t>
  </si>
  <si>
    <t>714-12807</t>
  </si>
  <si>
    <t>714-12808</t>
  </si>
  <si>
    <t>714-12809</t>
  </si>
  <si>
    <t>714-12810</t>
  </si>
  <si>
    <t>714-12815</t>
  </si>
  <si>
    <t>714-12816</t>
  </si>
  <si>
    <t>STRUCTURE, COATED REINFORCED CONCRETE, BOX SECTIONS, 11 FT X 5 FT</t>
  </si>
  <si>
    <t>714-12838</t>
  </si>
  <si>
    <t>STRUCTURE, COATED REINFORCED CONCRETE, BOX SECTIONS, 19 FT X 9 FT</t>
  </si>
  <si>
    <t>714-12853</t>
  </si>
  <si>
    <t>STRUCTURE, COATED REINFORCED CONCRETE, BOX SECTIONS, 7 FT X 7 FT</t>
  </si>
  <si>
    <t>714-12854</t>
  </si>
  <si>
    <t>714-12865</t>
  </si>
  <si>
    <t>715-07674</t>
  </si>
  <si>
    <t>CONCRETE ANCHOR, MIN. AREA 23.3 SFT</t>
  </si>
  <si>
    <t>715-09205</t>
  </si>
  <si>
    <t>CONCRETE ANCHOR, MIN. AREA 82.0 SFT</t>
  </si>
  <si>
    <t>715-11500</t>
  </si>
  <si>
    <t>CONCRETE ANCHOR, MIN. AREA 55 SFT</t>
  </si>
  <si>
    <t>715-12601</t>
  </si>
  <si>
    <t>CONCRETE ANCHOR, MIN. AREA 35.5 SFT</t>
  </si>
  <si>
    <t>715-12802</t>
  </si>
  <si>
    <t>ARCH, STRUCTURAL PLATE, MIN. AREA 116 SFT</t>
  </si>
  <si>
    <t>717-12123</t>
  </si>
  <si>
    <t>717-12162</t>
  </si>
  <si>
    <t>ARCH, STRUCTURAL PLATE, MIN. AREA 98.3 SFT</t>
  </si>
  <si>
    <t>717-12342</t>
  </si>
  <si>
    <t>721-98462</t>
  </si>
  <si>
    <t>723-10156</t>
  </si>
  <si>
    <t>723-10171</t>
  </si>
  <si>
    <t>723-11204</t>
  </si>
  <si>
    <t>723-11209</t>
  </si>
  <si>
    <t>723-11213</t>
  </si>
  <si>
    <t>723-11216</t>
  </si>
  <si>
    <t>723-11220</t>
  </si>
  <si>
    <t>723-11221</t>
  </si>
  <si>
    <t>723-11224</t>
  </si>
  <si>
    <t>723-11232</t>
  </si>
  <si>
    <t>723-11233</t>
  </si>
  <si>
    <t>723-11236</t>
  </si>
  <si>
    <t>723-11239</t>
  </si>
  <si>
    <t>723-11251</t>
  </si>
  <si>
    <t>723-11260</t>
  </si>
  <si>
    <t>723-11261</t>
  </si>
  <si>
    <t>723-11262</t>
  </si>
  <si>
    <t>723-11265</t>
  </si>
  <si>
    <t>723-11317</t>
  </si>
  <si>
    <t>723-11318</t>
  </si>
  <si>
    <t>STRUCTURE, REINFORCED CONCRETE, THREE-SIDED SECTIONS, 48 IN. X 48 IN.</t>
  </si>
  <si>
    <t>723-11322</t>
  </si>
  <si>
    <t>723-11334</t>
  </si>
  <si>
    <t>723-11511</t>
  </si>
  <si>
    <t>723-11558</t>
  </si>
  <si>
    <t>723-11559</t>
  </si>
  <si>
    <t>723-11560</t>
  </si>
  <si>
    <t>723-11578</t>
  </si>
  <si>
    <t>723-11690</t>
  </si>
  <si>
    <t>723-11748</t>
  </si>
  <si>
    <t>723-11754</t>
  </si>
  <si>
    <t>723-11984</t>
  </si>
  <si>
    <t>723-11989</t>
  </si>
  <si>
    <t>723-12062</t>
  </si>
  <si>
    <t>723-12097</t>
  </si>
  <si>
    <t>723-12102</t>
  </si>
  <si>
    <t>723-12136</t>
  </si>
  <si>
    <t>723-12143</t>
  </si>
  <si>
    <t>723-12197</t>
  </si>
  <si>
    <t>723-12302</t>
  </si>
  <si>
    <t>723-12331</t>
  </si>
  <si>
    <t>723-12356</t>
  </si>
  <si>
    <t>723-12362</t>
  </si>
  <si>
    <t>723-12368</t>
  </si>
  <si>
    <t>723-12370</t>
  </si>
  <si>
    <t>723-12402</t>
  </si>
  <si>
    <t>723-12419</t>
  </si>
  <si>
    <t>723-12645</t>
  </si>
  <si>
    <t>723-12698</t>
  </si>
  <si>
    <t>723-12699</t>
  </si>
  <si>
    <t>723-12706</t>
  </si>
  <si>
    <t>723-12765</t>
  </si>
  <si>
    <t>STRUCTURE, REINFORCED CONCRETE, THREE-SIDED SECTIONS, 504 IN. X 156 IN.</t>
  </si>
  <si>
    <t>723-12787</t>
  </si>
  <si>
    <t>723-17802</t>
  </si>
  <si>
    <t>802-12350</t>
  </si>
  <si>
    <t>SIGNAL POLE FOUNDATION, 30 IN. X 30 IN. X 84 IN.</t>
  </si>
  <si>
    <t>805-05698</t>
  </si>
  <si>
    <t>WIM STATION, 4 LANE PIEZO</t>
  </si>
  <si>
    <t>805-06974</t>
  </si>
  <si>
    <t>EXTERNAL WINCH PAD, CONCRETE</t>
  </si>
  <si>
    <t>807-01077</t>
  </si>
  <si>
    <t>LIGHT POLE, HIGH MAST, 80 FT E.M.H.</t>
  </si>
  <si>
    <t>807-03609</t>
  </si>
  <si>
    <t>HIGH MAST TOWER, 90 FT E.M.H.</t>
  </si>
  <si>
    <t>807-12555</t>
  </si>
  <si>
    <t>HIGH MAST TOWER, 175 FT E.M.H.</t>
  </si>
  <si>
    <t>807-12561</t>
  </si>
  <si>
    <t>HIGH MAST TOWER, 185 FT E.M.H.</t>
  </si>
  <si>
    <t>807-12563</t>
  </si>
  <si>
    <t>HIGH MAST TOWER, 190 FT E.M.H.</t>
  </si>
  <si>
    <t>807-12564</t>
  </si>
  <si>
    <t>HIGH MAST TOWER, 195 FT E.M.H.</t>
  </si>
  <si>
    <t>807-12565</t>
  </si>
  <si>
    <t>HIGH MAST TOWER, 200 FT E.M.H.</t>
  </si>
  <si>
    <t>807-12566</t>
  </si>
  <si>
    <t>HIGH MAST TOWER, 95 FT E.M.H.</t>
  </si>
  <si>
    <t>807-82160</t>
  </si>
  <si>
    <t>HIGH MAST TOWER, 115 FT E.M.H.</t>
  </si>
  <si>
    <t>807-82320</t>
  </si>
  <si>
    <t>HIGH MAST TOWER, 155 FT E.M.H.</t>
  </si>
  <si>
    <t>807-82640</t>
  </si>
  <si>
    <t>PCC BASE, 10 IN.</t>
  </si>
  <si>
    <t>305-07458</t>
  </si>
  <si>
    <t>PCC BASE, 11 IN.</t>
  </si>
  <si>
    <t>305-07459</t>
  </si>
  <si>
    <t>PCC BASE, 12 IN.</t>
  </si>
  <si>
    <t>305-07460</t>
  </si>
  <si>
    <t>PCC BASE, 13 IN.</t>
  </si>
  <si>
    <t>305-07461</t>
  </si>
  <si>
    <t>PCC BASE, 14 IN.</t>
  </si>
  <si>
    <t>305-07462</t>
  </si>
  <si>
    <t>PCC BASE PATCHING, 14 IN.</t>
  </si>
  <si>
    <t>305-07470</t>
  </si>
  <si>
    <t>QC/QA-PCCP, 14.5 IN.</t>
  </si>
  <si>
    <t>501-08198</t>
  </si>
  <si>
    <t>QC/QA-PCCP, 15.5 IN.</t>
  </si>
  <si>
    <t>501-08199</t>
  </si>
  <si>
    <t>503-12754</t>
  </si>
  <si>
    <t>506-12713</t>
  </si>
  <si>
    <t>506-12714</t>
  </si>
  <si>
    <t>506-12715</t>
  </si>
  <si>
    <t>607-06380</t>
  </si>
  <si>
    <t>614-06475</t>
  </si>
  <si>
    <t>701-09664</t>
  </si>
  <si>
    <t>REINFORCED CONCRETE MOMENT SLAB, 13.5 IN.</t>
  </si>
  <si>
    <t>706-08499</t>
  </si>
  <si>
    <t>REINFORCED CONCRETE MOMENT SLAB, 15.5 IN.</t>
  </si>
  <si>
    <t>706-08503</t>
  </si>
  <si>
    <t>REINFORCED CONCRETE MOMENT SLAB, 24 IN.</t>
  </si>
  <si>
    <t>706-09295</t>
  </si>
  <si>
    <t>REINFORCED CONCRETE MOMENT SLAB, 30 IN.</t>
  </si>
  <si>
    <t>706-09372</t>
  </si>
  <si>
    <t>STRUCTURE, REINFORCED CONCRETE, BOX SECTIONS, 6 FT X 7 FT</t>
  </si>
  <si>
    <t>714-11106</t>
  </si>
  <si>
    <t>STRUCTURE, REINFORCED CONCRETE, BOX SECTIONS, 34 FT X 11 FT</t>
  </si>
  <si>
    <t>714-11123</t>
  </si>
  <si>
    <t>714-11125</t>
  </si>
  <si>
    <t>714-11126</t>
  </si>
  <si>
    <t>714-11127</t>
  </si>
  <si>
    <t>STRUCTURE EXTENSION, REINFORCED CONCRETE, BOX SECTIONS, 12 FT X 12 FT</t>
  </si>
  <si>
    <t>714-11134</t>
  </si>
  <si>
    <t>714-11135</t>
  </si>
  <si>
    <t>STRUCTURE, REINFORCED CONCRETE, BOX SECTIONS, 14 FT X 12 FT</t>
  </si>
  <si>
    <t>714-11136</t>
  </si>
  <si>
    <t>STRUCTURE, REINFORCED CONCRETE, BOX SECTIONS, 15 FT X 11 FT</t>
  </si>
  <si>
    <t>714-11144</t>
  </si>
  <si>
    <t>STRUCTURE, REINFORCED CONCRETE, BOX SECTIONS, 19 FT X 11 FT</t>
  </si>
  <si>
    <t>714-11148</t>
  </si>
  <si>
    <t>STRUCTURE, REINFORCED CONCRETE, BOX SECTIONS, 13 FT X 3 FT</t>
  </si>
  <si>
    <t>714-11149</t>
  </si>
  <si>
    <t>STRUCTURE, REINFORCED CONCRETE, BOX SECTIONS, 17 FT X 5 FT</t>
  </si>
  <si>
    <t>714-11152</t>
  </si>
  <si>
    <t>STRUCTURE, REINFORCED CONCRETE, BOX SECTIONS, 19 FT X 4 FT</t>
  </si>
  <si>
    <t>714-11154</t>
  </si>
  <si>
    <t>STRUCTURE, REINFORCED CONCRETE, BOX SECTIONS, 7 FT X 8 FT</t>
  </si>
  <si>
    <t>714-11164</t>
  </si>
  <si>
    <t>STRUCTURE, REINFORCED CONCRETE, BOX SECTIONS, 6 FT X 8 FT</t>
  </si>
  <si>
    <t>714-11165</t>
  </si>
  <si>
    <t>714-11166</t>
  </si>
  <si>
    <t>STRUCTURE, REINFORCED CONCRETE, BOX SECTIONS, 13 FT X 5 FT</t>
  </si>
  <si>
    <t>714-11167</t>
  </si>
  <si>
    <t>STRUCTURE, REINFORCED CONCRETE, BOX SECTIONS, 8 FT X 7 FT</t>
  </si>
  <si>
    <t>714-11180</t>
  </si>
  <si>
    <t>714-11338</t>
  </si>
  <si>
    <t>714-11413</t>
  </si>
  <si>
    <t>714-11453</t>
  </si>
  <si>
    <t>714-11519</t>
  </si>
  <si>
    <t>714-11551</t>
  </si>
  <si>
    <t>714-11824</t>
  </si>
  <si>
    <t>CONCRETE ANCHOR, MIN. AREA 216 SFT</t>
  </si>
  <si>
    <t>715-08654</t>
  </si>
  <si>
    <t>715-08671</t>
  </si>
  <si>
    <t>723-11202</t>
  </si>
  <si>
    <t>723-11205</t>
  </si>
  <si>
    <t>723-11206</t>
  </si>
  <si>
    <t>723-11207</t>
  </si>
  <si>
    <t>723-11208</t>
  </si>
  <si>
    <t>723-11210</t>
  </si>
  <si>
    <t>723-11214</t>
  </si>
  <si>
    <t>723-11217</t>
  </si>
  <si>
    <t>723-11218</t>
  </si>
  <si>
    <t>723-11219</t>
  </si>
  <si>
    <t>723-11226</t>
  </si>
  <si>
    <t>723-11227</t>
  </si>
  <si>
    <t>723-11231</t>
  </si>
  <si>
    <t>723-11235</t>
  </si>
  <si>
    <t>723-11237</t>
  </si>
  <si>
    <t>723-11238</t>
  </si>
  <si>
    <t>723-11240</t>
  </si>
  <si>
    <t>723-11241</t>
  </si>
  <si>
    <t>723-11263</t>
  </si>
  <si>
    <t>723-11264</t>
  </si>
  <si>
    <t>723-11266</t>
  </si>
  <si>
    <t>723-11267</t>
  </si>
  <si>
    <t>723-11268</t>
  </si>
  <si>
    <t>723-11269</t>
  </si>
  <si>
    <t>723-11330</t>
  </si>
  <si>
    <t>723-11341</t>
  </si>
  <si>
    <t>723-11407</t>
  </si>
  <si>
    <t>723-11424</t>
  </si>
  <si>
    <t>723-11456</t>
  </si>
  <si>
    <t>723-11488</t>
  </si>
  <si>
    <t>723-11514</t>
  </si>
  <si>
    <t>723-11536</t>
  </si>
  <si>
    <t>723-11552</t>
  </si>
  <si>
    <t>723-11557</t>
  </si>
  <si>
    <t>723-11676</t>
  </si>
  <si>
    <t>723-11967</t>
  </si>
  <si>
    <t>TRI-CHORD SIGN STRUCTURE FOUNDATION, SPREAD FOOTING</t>
  </si>
  <si>
    <t>802-10193</t>
  </si>
  <si>
    <t>WIDENING WITH PCC BASE, 10 IN.</t>
  </si>
  <si>
    <t>305-07473</t>
  </si>
  <si>
    <t>WIDENING WITH PCC BASE, 11 IN.</t>
  </si>
  <si>
    <t>305-07474</t>
  </si>
  <si>
    <t>WIDENING WITH PCC BASE, 12 IN.</t>
  </si>
  <si>
    <t>305-07475</t>
  </si>
  <si>
    <t>WIDENING WITH PCC BASE, 13 IN.</t>
  </si>
  <si>
    <t>305-07476</t>
  </si>
  <si>
    <t>PCC BASE PATCHING, 10.5 IN.</t>
  </si>
  <si>
    <t>305-12087</t>
  </si>
  <si>
    <t>WIDENING WITH PCC BASE, 3 IN.</t>
  </si>
  <si>
    <t>305-12418</t>
  </si>
  <si>
    <t>QC/QA-PCCP, 7.5 IN.</t>
  </si>
  <si>
    <t>501-11663</t>
  </si>
  <si>
    <t>QC/QA-PCC, THIN BONDED OVERLAY, 5.5 IN.</t>
  </si>
  <si>
    <t>501-12181</t>
  </si>
  <si>
    <t>QC/QA-PCC, THIN BONDED OVERLAY, 8 IN.</t>
  </si>
  <si>
    <t>501-12221</t>
  </si>
  <si>
    <t>PCCP, 15.5 IN.</t>
  </si>
  <si>
    <t>502-08207</t>
  </si>
  <si>
    <t>PCCP FOR APPROACHES, 7 IN.</t>
  </si>
  <si>
    <t>610-12785</t>
  </si>
  <si>
    <t>701-09672</t>
  </si>
  <si>
    <t>701-09676</t>
  </si>
  <si>
    <t>701-09989</t>
  </si>
  <si>
    <t>701-17801</t>
  </si>
  <si>
    <t>REINFORCED CONCRETE MOMENT SLAB, 14.5 IN.</t>
  </si>
  <si>
    <t>706-08501</t>
  </si>
  <si>
    <t>REINFORCED CONCRETE MOMENT SLAB, 8 IN.</t>
  </si>
  <si>
    <t>706-12931</t>
  </si>
  <si>
    <t>STRUCTURE EXTENSION, REINFORCED CONCRETE, BOX SECTIONS, 8 FT X 3 FT</t>
  </si>
  <si>
    <t>714-02584</t>
  </si>
  <si>
    <t>714-10091</t>
  </si>
  <si>
    <t>STRUCTURE EXTENSION, REINFORCED CONCRETE, BOX SECTIONS, 3 FT X 2.2 FT</t>
  </si>
  <si>
    <t>714-11061</t>
  </si>
  <si>
    <t>STRUCTURE EXTENSION, REINFORCED CONCRETE, BOX SECTIONS, 6 FT X 8 FT</t>
  </si>
  <si>
    <t>714-11142</t>
  </si>
  <si>
    <t>STRUCTURE, REINFORCED CONCRETE, BOX SECTIONS, 22 FT X 6 FT</t>
  </si>
  <si>
    <t>714-11155</t>
  </si>
  <si>
    <t>STRUCTURE, REINFORCED CONCRETE, BOX SECTIONS, 17 FT X 9 FT</t>
  </si>
  <si>
    <t>714-11156</t>
  </si>
  <si>
    <t>STRUCTURE, COATED REINFORCED CONCRETE, BOX SECTIONS, 18 FT X 5 FT</t>
  </si>
  <si>
    <t>714-11157</t>
  </si>
  <si>
    <t>STRUCTURE, COATED REINFORCED CONCRETE, BOX SECTIONS, 12 FT X 7 FT</t>
  </si>
  <si>
    <t>714-11158</t>
  </si>
  <si>
    <t>STRUCTURE, REINFORCED CONCRETE, BOX SECTIONS, 8 FT X 9 FT</t>
  </si>
  <si>
    <t>714-11159</t>
  </si>
  <si>
    <t>STRUCTURE EXTENSION, REINFORCED CONCRETE, BOX SECTIONS, 6 FT X 6 FT</t>
  </si>
  <si>
    <t>714-11171</t>
  </si>
  <si>
    <t>STRUCTURE, COATED REINFORCED CONCRETE, BOX SECTIONS, 22 FT X 10 FT</t>
  </si>
  <si>
    <t>714-11326</t>
  </si>
  <si>
    <t>STRUCTURE, REINFORCED CONCRETE, BOX SECTIONS, 8 FT X 4.5 FT</t>
  </si>
  <si>
    <t>714-11331</t>
  </si>
  <si>
    <t>STRUCTURE, REINFORCED CONCRETE BOX SECTIONS, 10 FT X 12 FT</t>
  </si>
  <si>
    <t>714-11342</t>
  </si>
  <si>
    <t>STRUCTURE, REINFORCED CONCRETE, BOX SECTIONS, 19 FT X 6 FT</t>
  </si>
  <si>
    <t>714-11352</t>
  </si>
  <si>
    <t>STRUCTURE, REINFORCED CONCRETE, BOX SECTIONS, 10 FT X 7.5 FT</t>
  </si>
  <si>
    <t>714-11411</t>
  </si>
  <si>
    <t>STRUCTURE, REINFORCED CONCRETE, BOX SECTIONS, 19 FT X 5 FT</t>
  </si>
  <si>
    <t>714-11474</t>
  </si>
  <si>
    <t>STRUCTURE, REINFORCED CONCRETE, BOX SECTIONS, 20 FT X 4 FT</t>
  </si>
  <si>
    <t>714-11475</t>
  </si>
  <si>
    <t>STRUCTURE EXTENSION, COATED REINFORCED CONCRETE, BOX SECTIONS, 3 FT X 3 FT</t>
  </si>
  <si>
    <t>714-11483</t>
  </si>
  <si>
    <t>STRUCTURE EXTENSION, REINFORCED CONCRETE, BOX SECTIONS, 10 FT X 5 FT</t>
  </si>
  <si>
    <t>714-11498</t>
  </si>
  <si>
    <t>STRUCTURE, COATED REINFORCED CONCRETE, BOX SECTIONS, 9 FT X 9 FT</t>
  </si>
  <si>
    <t>714-11565</t>
  </si>
  <si>
    <t>714-11636</t>
  </si>
  <si>
    <t>STRUCTURE, REINFORCED CONCRETE, BOX SECTIONS, 18 FT X 13 FT</t>
  </si>
  <si>
    <t>714-11678</t>
  </si>
  <si>
    <t>STRUCTURE, REINFORCED CONCRETE, BOX SECTIONS, 24 FT X 9 FT</t>
  </si>
  <si>
    <t>714-11735</t>
  </si>
  <si>
    <t>STRUCTURE, REINFORCED CONCRETE, BOX SECTIONS, 15 FT X 8 FT</t>
  </si>
  <si>
    <t>714-11749</t>
  </si>
  <si>
    <t>STRUCTURE, REINFORCED CONCRETE, BOX SECTIONS, 12 FT X 11 FT</t>
  </si>
  <si>
    <t>714-11751</t>
  </si>
  <si>
    <t>STRUCTURE, REINFORCED CONCRETE, BOX SECTIONS, 11 FT X 7 FT</t>
  </si>
  <si>
    <t>714-11755</t>
  </si>
  <si>
    <t>STRUCTURE, REINFORCED CONCRETE, BOX SECTIONS, 20 FT X 6.5 FT</t>
  </si>
  <si>
    <t>714-11807</t>
  </si>
  <si>
    <t>STRUCTURE EXTENSION, REINFORCED CONCRETE, BOX SECTIONS, 14 FT X 4 FT</t>
  </si>
  <si>
    <t>714-11850</t>
  </si>
  <si>
    <t>STRUCTURE, REINFORCED CONCRETE, BOX SECTIONS, 10 FT X 13 FT</t>
  </si>
  <si>
    <t>714-11855</t>
  </si>
  <si>
    <t>STRUCTURE, REINFORCED CONCRETE, BOX SECTIONS, 24 FT X 8 FT</t>
  </si>
  <si>
    <t>714-11943</t>
  </si>
  <si>
    <t>STRUCTURE, REINFORCED CONCRETE, BOX SECTIONS, 15 FT X 6 FT</t>
  </si>
  <si>
    <t>714-11957</t>
  </si>
  <si>
    <t>714-12015</t>
  </si>
  <si>
    <t>STRUCTURE, REINFORCED CONCRETE, BOX SECTIONS, 16 FT X 12 FT</t>
  </si>
  <si>
    <t>714-12078</t>
  </si>
  <si>
    <t>STRUCTURE, REINFORCED CONCRETE, BOX SECTIONS, 9 FT X 9 FT</t>
  </si>
  <si>
    <t>714-12121</t>
  </si>
  <si>
    <t>714-12122</t>
  </si>
  <si>
    <t>STRUCTURE, REINFORCED CONCRETE, BOX SECTIONS, 10 FT X 2 FT</t>
  </si>
  <si>
    <t>714-12126</t>
  </si>
  <si>
    <t>STRUCTURE, REINFORCED CONCRETE, BOX SECTIONS, 8 FT X 7.5 FT</t>
  </si>
  <si>
    <t>714-12127</t>
  </si>
  <si>
    <t>STRUCTURE, REINFORCED CONCRETE, BOX SECTIONS, 11 FT X 2 FT</t>
  </si>
  <si>
    <t>714-12149</t>
  </si>
  <si>
    <t>714-12193</t>
  </si>
  <si>
    <t>STRUCTURE EXTENSION, REINFORCED CONCRETE, BOX SECTIONS, 6 FT X 4 FT</t>
  </si>
  <si>
    <t>714-12229</t>
  </si>
  <si>
    <t>714-12230</t>
  </si>
  <si>
    <t>714-12277</t>
  </si>
  <si>
    <t>714-12323</t>
  </si>
  <si>
    <t>STRUCTURE, REINFORCED CONCRETE, BOX SECTIONS, 19 FT X 7 FT</t>
  </si>
  <si>
    <t>714-12396</t>
  </si>
  <si>
    <t>STRUCTURE, COATED REINFORCED CONCRETE, BOX SECTIONS, 20 FT X 6 FT</t>
  </si>
  <si>
    <t>714-12455</t>
  </si>
  <si>
    <t>714-12457</t>
  </si>
  <si>
    <t>714-12489</t>
  </si>
  <si>
    <t>STRUCTURE, REINFORCED CONCRETE, BOX SECTIONS, 11 FT X 9 FT</t>
  </si>
  <si>
    <t>714-12513</t>
  </si>
  <si>
    <t>STRUCTURE, COATED REINFORCED CONCRETE, BOX SECTIONS, 10 FT X 6 FT</t>
  </si>
  <si>
    <t>714-12521</t>
  </si>
  <si>
    <t>STRUCTURE, REINFORCED CONCRETE, BOX SECTIONS, 10 FT X 10 FT</t>
  </si>
  <si>
    <t>714-12643</t>
  </si>
  <si>
    <t>714-12662</t>
  </si>
  <si>
    <t>STRUCTURE, COATED REINFORCED CONCRETE, BOX SECTIONS, 20 FT X 12 FT</t>
  </si>
  <si>
    <t>714-12669</t>
  </si>
  <si>
    <t>714-12678</t>
  </si>
  <si>
    <t>STRUCTURE, REINFORCED CONCRETE, BOX SECTIONS, 13 FT X 10 FT</t>
  </si>
  <si>
    <t>714-12725</t>
  </si>
  <si>
    <t>714-12750</t>
  </si>
  <si>
    <t>714-12751</t>
  </si>
  <si>
    <t>714-12768</t>
  </si>
  <si>
    <t>STRUCTURE EXTENSION, REINFORCED BOX SECTIONS, 10 FT X 4 FT</t>
  </si>
  <si>
    <t>714-12789</t>
  </si>
  <si>
    <t>STRUCTURE, COATED REINFORCED CONCRETE, BOX SECTIONS, 12 FT X 3 FT</t>
  </si>
  <si>
    <t>714-12819</t>
  </si>
  <si>
    <t>STRUCTURE, COATED REINFORCED CONCRETE, BOX SECTIONS, 12 FT X 10 FT</t>
  </si>
  <si>
    <t>714-12833</t>
  </si>
  <si>
    <t>STRUCTURE EXTENSION, REINFORCED CONCRETE, BOX SECTIONS, 3 FT X 2.5 FT</t>
  </si>
  <si>
    <t>714-12864</t>
  </si>
  <si>
    <t>STRUCTURE, REINFORCED CONCRETE, BOX SECTIONS, 7 FT X 3.5 FT</t>
  </si>
  <si>
    <t>714-12875</t>
  </si>
  <si>
    <t>714-12886</t>
  </si>
  <si>
    <t>STRUCTURE, REINFORCED CONCRETE, BOX SECTIONS, 21 FT X 12 FT</t>
  </si>
  <si>
    <t>714-12889</t>
  </si>
  <si>
    <t>STRUCTURE, REINFORCED CONCRETE, BOX SECTIONS, 11 FT X 8 FT</t>
  </si>
  <si>
    <t>714-12890</t>
  </si>
  <si>
    <t>714-12892</t>
  </si>
  <si>
    <t>714-12893</t>
  </si>
  <si>
    <t>STRUCTURE, REINFORCED CONCRETE, BOX SECTIONS, 11 FT X 10 FT</t>
  </si>
  <si>
    <t>714-12898</t>
  </si>
  <si>
    <t>STRUCTURE, REINFORCED CONCRETE, BOX SECTIONS, 2.5 FT X 2.5 FT</t>
  </si>
  <si>
    <t>714-12900</t>
  </si>
  <si>
    <t>STRUCTURE, COATED REINFORCED CONCRETE, BOX SECTIONS, 4 FT X 3 FT</t>
  </si>
  <si>
    <t>714-12920</t>
  </si>
  <si>
    <t>STRUCTURE EXTENSION, REINFORCED CONCRETE, BOX SECTIONS, 5 FT X 4 FT</t>
  </si>
  <si>
    <t>714-12925</t>
  </si>
  <si>
    <t>STRUCTURE EXTENSION, REINFORCED CONCRETE, BOX SECTIONS, 7 FT X 6 FT</t>
  </si>
  <si>
    <t>714-12926</t>
  </si>
  <si>
    <t>714-12932</t>
  </si>
  <si>
    <t>STRUCTURE, REINFORCED CONCRETE, BOX SECTIONS, 4 FT X 5 FT</t>
  </si>
  <si>
    <t>714-12942</t>
  </si>
  <si>
    <t>STRUCTURE EXTENSION, COATED REINFORCED CONCRETE, BOX SECTIONS, 9 FT X 4 FT</t>
  </si>
  <si>
    <t>714-12954</t>
  </si>
  <si>
    <t>STRUCTURE, REINFORCED CONCRETE, BOX SECTIONS, 22 FT X 9 FT</t>
  </si>
  <si>
    <t>714-12964</t>
  </si>
  <si>
    <t>STRUCTURE, COATED REINFORCED CONCRETE, BOX SECTIONS, 18 FT X 9 FT</t>
  </si>
  <si>
    <t>714-12966</t>
  </si>
  <si>
    <t>STRUCTURE, REINFORCED CONCRETE, BOX SECTIONS, 9 FT X 7 FT</t>
  </si>
  <si>
    <t>714-98847</t>
  </si>
  <si>
    <t>723-11212</t>
  </si>
  <si>
    <t>723-11243</t>
  </si>
  <si>
    <t>723-11244</t>
  </si>
  <si>
    <t>723-11245</t>
  </si>
  <si>
    <t>723-11246</t>
  </si>
  <si>
    <t>723-11247</t>
  </si>
  <si>
    <t>723-11248</t>
  </si>
  <si>
    <t>723-11249</t>
  </si>
  <si>
    <t>723-11250</t>
  </si>
  <si>
    <t>723-11255</t>
  </si>
  <si>
    <t>723-11256</t>
  </si>
  <si>
    <t>723-11257</t>
  </si>
  <si>
    <t>723-11258</t>
  </si>
  <si>
    <t>723-11259</t>
  </si>
  <si>
    <t>723-11270</t>
  </si>
  <si>
    <t>723-11271</t>
  </si>
  <si>
    <t>723-11272</t>
  </si>
  <si>
    <t>723-11312</t>
  </si>
  <si>
    <t>723-11313</t>
  </si>
  <si>
    <t>723-11314</t>
  </si>
  <si>
    <t>723-11316</t>
  </si>
  <si>
    <t>723-11319</t>
  </si>
  <si>
    <t>STRUCTURE, REINFORCED CONCRETE, THREE-SIDED SECTIONS, 360 IN. X 126 IN.</t>
  </si>
  <si>
    <t>723-11333</t>
  </si>
  <si>
    <t>STRUCTURE, COATED REINFORCED CONCRETE, THREE-SIDED SECTIONS, 228 IN. X 60 IN.</t>
  </si>
  <si>
    <t>723-11400</t>
  </si>
  <si>
    <t>STRUCTURE, COATED REINFORCED CONCRETE, THREE-SIDED SECTIONS, 228 IN. X 66 IN.</t>
  </si>
  <si>
    <t>723-11403</t>
  </si>
  <si>
    <t>STRUCTURE, COATED REINFORCED CONCRETE, THREE-SIDED SECTIONS, 192 IN. X 138 IN.</t>
  </si>
  <si>
    <t>723-11415</t>
  </si>
  <si>
    <t>STRUCTURE, COATED REINFORCED CONCRETE, THREE-SIDED SECTIONS, 144 IN. X 126 IN.</t>
  </si>
  <si>
    <t>723-11416</t>
  </si>
  <si>
    <t>STRUCTURE, COATED REINFORCED CONCRETE, THREE-SIDED SECTIONS, 192 IN. X 132 IN.</t>
  </si>
  <si>
    <t>723-11417</t>
  </si>
  <si>
    <t>STRUCTURE, COATED REINFORCED CONCRETE, THREE-SIDED SECTIONS, 240 IN. X 184 IN.</t>
  </si>
  <si>
    <t>723-11422</t>
  </si>
  <si>
    <t>723-11495</t>
  </si>
  <si>
    <t>STRUCTURE, COATED REINFORCED CONCRETE, THREE-SIDED SECTIONS, 288 IN. X 132 IN.</t>
  </si>
  <si>
    <t>723-11572</t>
  </si>
  <si>
    <t>STRUCTURE, COATED REINFORCED CONCRETE, THREE-SIDED SECTIONS, 312 IN. X 120 IN.</t>
  </si>
  <si>
    <t>723-11784</t>
  </si>
  <si>
    <t>STRUCTURE, COATED REINFORCED CONCRETE, THREE-SIDED SECTIONS, 312 IN. X 108 IN.</t>
  </si>
  <si>
    <t>723-11786</t>
  </si>
  <si>
    <t>STRUCTURE, COATED REINFORCED CONCRETE, THREE-SIDED SECTIONS, 288 IN. X 72 IN.</t>
  </si>
  <si>
    <t>723-11806</t>
  </si>
  <si>
    <t>723-11900</t>
  </si>
  <si>
    <t>STRUCTURE, REINFORCED CONCRETE, THREE-SIDED SECTIONS, 360 IN. X 72 IN.</t>
  </si>
  <si>
    <t>723-11910</t>
  </si>
  <si>
    <t>STRUCTURE, COATED REINFORCED CONCRETE, THREE-SIDED SECTIONS, 216 IN. X 132 IN.</t>
  </si>
  <si>
    <t>723-11919</t>
  </si>
  <si>
    <t>723-12039</t>
  </si>
  <si>
    <t>STRUCTURE, COATED REINFORCED CONCRETE, THREE-SIDED SECTIONS, 216 IN. X 144 IN.</t>
  </si>
  <si>
    <t>723-12057</t>
  </si>
  <si>
    <t>723-12067</t>
  </si>
  <si>
    <t>STRUCTURE, REINFORCED CONCRETE, THREE-SIDED SECTIONS, 132 IN. X 60 IN.</t>
  </si>
  <si>
    <t>723-12092</t>
  </si>
  <si>
    <t>STRUCTURE, REINFORCED CONCRETE, THREE-SIDED SECTIONS, 336 IN. X 108 IN.</t>
  </si>
  <si>
    <t>723-12093</t>
  </si>
  <si>
    <t>723-12104</t>
  </si>
  <si>
    <t>STRUCTURE, REINFORCED CONCRETE, THREE-SIDED SECTIONS, 456 IN. X 151 IN.</t>
  </si>
  <si>
    <t>723-12107</t>
  </si>
  <si>
    <t>STRUCTURE, REINFORCED CONCRETE, THREE-SIDED SECTIONS, 228 IN. X 144 IN.</t>
  </si>
  <si>
    <t>723-12112</t>
  </si>
  <si>
    <t>STRUCTURE, REINFORCED CONCRETE, THREE-SIDED SECTIONS, 336 IN. X 168 IN.</t>
  </si>
  <si>
    <t>723-12174</t>
  </si>
  <si>
    <t>723-12187</t>
  </si>
  <si>
    <t>723-12279</t>
  </si>
  <si>
    <t>STRUCTURE, COATED REINFORCED CONCRETE, THREE-SIDED SECTIONS, 336 IN. X 93 IN.</t>
  </si>
  <si>
    <t>723-12301</t>
  </si>
  <si>
    <t>723-12303</t>
  </si>
  <si>
    <t>STRUCTURE, REINFORCED CONCRETE, THREE-SIDED SECTIONS, 168 IN. X 96 IN.</t>
  </si>
  <si>
    <t>723-12330</t>
  </si>
  <si>
    <t>STRUCTURE, COATED REINFORCED CONCRETE, THREE-SIDED SECTIONS, 432 IN. X 144 IN.</t>
  </si>
  <si>
    <t>723-12337</t>
  </si>
  <si>
    <t>STRUCTURE, REINFORCED CONCRETE, THREE-SIDED SECTIONS, 384 IN. X 162 IN.</t>
  </si>
  <si>
    <t>723-12346</t>
  </si>
  <si>
    <t>STRUCTURE, REINFORCED CONCRETE, THREE-SIDED SECTIONS, 288 IN. X 152 IN.</t>
  </si>
  <si>
    <t>723-12366</t>
  </si>
  <si>
    <t>STRUCTURE, COATED REINFORCED CONCRETE, THREE-SIDED SECTIONS, 132 IN. X 108 IN.</t>
  </si>
  <si>
    <t>723-12367</t>
  </si>
  <si>
    <t>723-12369</t>
  </si>
  <si>
    <t>STRUCTURE, COATED REINFORCED CONCRETE, THREE-SIDED SECTIONS, 168 IN. X 162 IN.</t>
  </si>
  <si>
    <t>723-12374</t>
  </si>
  <si>
    <t>723-12378</t>
  </si>
  <si>
    <t>STRUCTURE, REINFORCED CONCRETE, THREE-SIDED SECTIONS, 720 IN. X 159 IN.</t>
  </si>
  <si>
    <t>723-12493</t>
  </si>
  <si>
    <t>STRUCTURE, COATED REINFORCED CONCRETE, THREE-SIDED SECTIONS, 240 IN. X 135 IN.</t>
  </si>
  <si>
    <t>723-12500</t>
  </si>
  <si>
    <t>723-12501</t>
  </si>
  <si>
    <t>STRUCTURE, REINFORCED CONCRETE, THREE-SIDED SECTIONS, 576 IN. X 279 IN.</t>
  </si>
  <si>
    <t>723-12502</t>
  </si>
  <si>
    <t>STRUCTURE, REINFORCED CONCRETE, THREE-SIDED SECTIONS, 144 IN. X 104 IN.</t>
  </si>
  <si>
    <t>723-12523</t>
  </si>
  <si>
    <t>STRUCTURE, COATED REINFORCED CONCRETE, THREE-SIDED SECTIONS, 360 IN. X 96 IN.</t>
  </si>
  <si>
    <t>723-12546</t>
  </si>
  <si>
    <t>STRUCTURE, COATED REINFORCED CONCRETE, THREE-SIDED SECTIONS, 360 IN. X 168 IN.</t>
  </si>
  <si>
    <t>723-12584</t>
  </si>
  <si>
    <t>STRUCTURE, REINFORCED CONCRETE, THREE-SIDED SECTIONS, 576 IN. X 285 IN.</t>
  </si>
  <si>
    <t>723-12590</t>
  </si>
  <si>
    <t>723-12597</t>
  </si>
  <si>
    <t>STRUCTURE, COATED REINFORCED CONCRETE, THREE-SIDED SECTIONS, 504 IN. X 120 IN.</t>
  </si>
  <si>
    <t>723-12599</t>
  </si>
  <si>
    <t>STRUCTURE, COATED REINFORCED CONCRETE, THREE-SIDED SECTIONS, 180 IN. X 84 IN.</t>
  </si>
  <si>
    <t>723-12603</t>
  </si>
  <si>
    <t>STRUCTURE, REINFORCED CONCRETE, THREE-SIDED SECTIONS, 120 IN. X 108 IN.</t>
  </si>
  <si>
    <t>723-12609</t>
  </si>
  <si>
    <t>STRUCTURE, COATED REINFORCED CONCRETE, THREE-SIDED SECTIONS, 120 IN. X 108 IN.</t>
  </si>
  <si>
    <t>723-12610</t>
  </si>
  <si>
    <t>STRUCTURE, REINFORCED CONCRETE, THREE-SIDED SECTIONS, 216 IN. X 136 IN.</t>
  </si>
  <si>
    <t>723-12629</t>
  </si>
  <si>
    <t>STRUCTURE, REINFORCED CONCRETE, THREE-SIDED SECTIONS, 216 IN. X 140 IN.</t>
  </si>
  <si>
    <t>723-12630</t>
  </si>
  <si>
    <t>STRUCTURE, COATED REINFORCED CONCRETE, THREE-SIDED SECTIONS, 144 IN. X 90 IN.</t>
  </si>
  <si>
    <t>723-12639</t>
  </si>
  <si>
    <t>STRUCTURE, REINFORCED CONCRETE, THREE-SIDED SECTIONS, 180 IN. X 108 IN.</t>
  </si>
  <si>
    <t>723-12653</t>
  </si>
  <si>
    <t>STRUCTURE, REINFORCED CONCRETE, THREE-SIDED SECTIONS, 312 IN. X 124 IN.</t>
  </si>
  <si>
    <t>723-12693</t>
  </si>
  <si>
    <t>STRUCTURE, REINFORCED CONCRETE, THREE-SIDED SECTIONS, 180 IN. X 120 IN.</t>
  </si>
  <si>
    <t>723-12694</t>
  </si>
  <si>
    <t>STRUCTURE, COATED REINFORCED CONCRETE, THREE-SIDED SECTIONS, 480 IN. X 180 IN.</t>
  </si>
  <si>
    <t>723-12701</t>
  </si>
  <si>
    <t>723-12720</t>
  </si>
  <si>
    <t>STRUCTURE, REINFORCED CONCRETE, THREE-SIDED SECTIONS, 274 IN. X 172 IN.</t>
  </si>
  <si>
    <t>723-12721</t>
  </si>
  <si>
    <t>STRUCTURE, REINFORCED CONCRETE, THREE-SIDED SECTIONS, 504 IN. X 144 IN.</t>
  </si>
  <si>
    <t>723-12724</t>
  </si>
  <si>
    <t>STRUCTURE, REINFORCED CONCRETE, THREE-SIDED SECTIONS, 274 IN. X 208 IN.</t>
  </si>
  <si>
    <t>723-12763</t>
  </si>
  <si>
    <t>STRUCTURE, REINFORCED CONCRETE, THREE-SIDED SECTIONS, 102 IN. X 240 IN.</t>
  </si>
  <si>
    <t>723-12770</t>
  </si>
  <si>
    <t>723-12790</t>
  </si>
  <si>
    <t>723-12799</t>
  </si>
  <si>
    <t>723-12817</t>
  </si>
  <si>
    <t>STRUCTURE, COATED REINFORCED CONCRETE, THREE-SIDED SECTIONS, 504 IN. X 162 IN.</t>
  </si>
  <si>
    <t>723-12820</t>
  </si>
  <si>
    <t>STRUCTURE, COATED REINFORCED CONCRETE, THREE-SIDED SECTIONS, 288 IN. X 162 IN.</t>
  </si>
  <si>
    <t>723-12821</t>
  </si>
  <si>
    <t>723-12837</t>
  </si>
  <si>
    <t>723-12839</t>
  </si>
  <si>
    <t>723-12840</t>
  </si>
  <si>
    <t>723-12868</t>
  </si>
  <si>
    <t>723-12895</t>
  </si>
  <si>
    <t>STRUCTURE, REINFORCED CONCRETE, THREE-SIDED SECTIONS, 168 IN. X 48 IN.</t>
  </si>
  <si>
    <t>723-12902`</t>
  </si>
  <si>
    <t>STRUCTURE, REINFORCED CONCRETE, THREE-SIDED SECTIONS, 240 IN. X 98 IN.</t>
  </si>
  <si>
    <t>723-12915</t>
  </si>
  <si>
    <t>723-12919</t>
  </si>
  <si>
    <t>STRUCTURE, REINFORCED CONCRETE, THREE-SIDED SECTIONS, 408 IN. X 148 IN.</t>
  </si>
  <si>
    <t>723-12943</t>
  </si>
  <si>
    <t>STRUCTURE, REINFORCED CONCRETE, THREE-SIDED SECTIONS, 432 IN. X 144 IN.</t>
  </si>
  <si>
    <t>723-12945</t>
  </si>
  <si>
    <t>STRUCTURE, COATED REINFORCED CONCRETE, THREE-SIDED SECTIONS, 384 IN. X 186 IN.</t>
  </si>
  <si>
    <t>723-12946</t>
  </si>
  <si>
    <t>STRUCTURE, REINFORCED CONCRETE THREE-SIDED SECTIONS, 576 IN. X 144 IN.</t>
  </si>
  <si>
    <t>723-12965</t>
  </si>
  <si>
    <t>728-11674</t>
  </si>
  <si>
    <t>728-11677</t>
  </si>
  <si>
    <t>728-11713</t>
  </si>
  <si>
    <t>728-11733</t>
  </si>
  <si>
    <t>728-11734</t>
  </si>
  <si>
    <t>728-11742</t>
  </si>
  <si>
    <t>728-11789</t>
  </si>
  <si>
    <t>728-11804</t>
  </si>
  <si>
    <t>728-11805</t>
  </si>
  <si>
    <t>728-11856</t>
  </si>
  <si>
    <t>728-11863</t>
  </si>
  <si>
    <t>728-11912</t>
  </si>
  <si>
    <t>728-12209</t>
  </si>
  <si>
    <t>728-12959</t>
  </si>
  <si>
    <t>728-12960</t>
  </si>
  <si>
    <t>802-12580</t>
  </si>
  <si>
    <t>802-12582</t>
  </si>
  <si>
    <t>HIGH MAST TOWER, 60 FT E.M.H.</t>
  </si>
  <si>
    <t>807-12551</t>
  </si>
  <si>
    <t>HIGH MAST TOWER, 65 FT E.M.H.</t>
  </si>
  <si>
    <t>807-12552</t>
  </si>
  <si>
    <t>HIGH MAST TOWER, 70 FT E.M.H.</t>
  </si>
  <si>
    <t>807-12553</t>
  </si>
  <si>
    <t>HIGH MAST TOWER, 75 FT E.M.H.</t>
  </si>
  <si>
    <t>807-12554</t>
  </si>
  <si>
    <t>HIGH MAST TOWER, 160 FT E.M.H.</t>
  </si>
  <si>
    <t>807-12559</t>
  </si>
  <si>
    <t>HIGH MAST TOWER, 165 FT E.M.H.</t>
  </si>
  <si>
    <t>807-12560</t>
  </si>
  <si>
    <t>HIGH MAST TOWER, 180 FT E.M.H.</t>
  </si>
  <si>
    <t>807-12562</t>
  </si>
  <si>
    <t>807-12793</t>
  </si>
  <si>
    <t>Contract Acceptance Log</t>
  </si>
  <si>
    <t>Producer Name:</t>
  </si>
  <si>
    <t>W/C ratio:</t>
  </si>
  <si>
    <t>Slump (in.):</t>
  </si>
  <si>
    <t>E5 (IC or LFA) Used:</t>
  </si>
  <si>
    <t>Contract 
No.</t>
  </si>
  <si>
    <t>Pay Item 
Description</t>
  </si>
  <si>
    <t>Spec
Reference</t>
  </si>
  <si>
    <t>CLN</t>
  </si>
  <si>
    <t>District Testing 
Reviewer Name</t>
  </si>
  <si>
    <t xml:space="preserve"> Review Date</t>
  </si>
  <si>
    <t>Plant Location:</t>
  </si>
  <si>
    <t xml:space="preserve">INDOT Plant No.: </t>
  </si>
  <si>
    <t>Product ID:</t>
  </si>
  <si>
    <t xml:space="preserve">INDOT CMD NO: </t>
  </si>
  <si>
    <t>Fly Ash (lbs):</t>
  </si>
  <si>
    <t>Slag Cement (lbs):</t>
  </si>
  <si>
    <t>Silica Fume (lbs):</t>
  </si>
  <si>
    <t>Fibers (lbs):</t>
  </si>
  <si>
    <t>ROOT SPEC. REFERENCE:</t>
  </si>
  <si>
    <t>501 QC/QA PCCP (Binary)</t>
  </si>
  <si>
    <t>501 QC/QA PCCP (Ternary)</t>
  </si>
  <si>
    <t>502 Standard Strength (Formed)</t>
  </si>
  <si>
    <t>502 Standard Strength (Slipformed)</t>
  </si>
  <si>
    <t>506 Full Depth Patch (Length ≤ 15-ft)</t>
  </si>
  <si>
    <t>506 Full Depth Patch (Length &gt; 15-ft)</t>
  </si>
  <si>
    <t>722 SFMC Overlay</t>
  </si>
  <si>
    <t>Cement Content (lbs):</t>
  </si>
  <si>
    <t xml:space="preserve">Root Specification: </t>
  </si>
  <si>
    <t>**AIR CONTENT SELECTED BASED ON ROOT SPECIFICATION</t>
  </si>
  <si>
    <t>CaCl₂ Type L</t>
  </si>
  <si>
    <t>Total Cementitious:</t>
  </si>
  <si>
    <t>E5</t>
  </si>
  <si>
    <t>SECTION</t>
  </si>
  <si>
    <t>ITEM</t>
  </si>
  <si>
    <t>UNIT</t>
  </si>
  <si>
    <t>COMMENTS</t>
  </si>
  <si>
    <t>MANDATORY SUPPLEMENTAL DESCRIPTION</t>
  </si>
  <si>
    <t>305</t>
  </si>
  <si>
    <t>SYS</t>
  </si>
  <si>
    <t>S</t>
  </si>
  <si>
    <t/>
  </si>
  <si>
    <t>N</t>
  </si>
  <si>
    <t>PCC BASE, 10.5 IN.</t>
  </si>
  <si>
    <t>U</t>
  </si>
  <si>
    <t>501</t>
  </si>
  <si>
    <t>THICKNESS IN SUPP DESCR</t>
  </si>
  <si>
    <t>Y</t>
  </si>
  <si>
    <t>QC/QA CONTINUOUS REINFORCED CONCRETE PAVEMENT, 11.5 IN.</t>
  </si>
  <si>
    <t>QC/QA-PCC, ADDITIONAL</t>
  </si>
  <si>
    <t>CYS</t>
  </si>
  <si>
    <t>FIXED PRICE AT $175</t>
  </si>
  <si>
    <t>QC/QA CONTINUOUS REINFORCED CONCRETE PAVEMENT, 12 IN.</t>
  </si>
  <si>
    <t>502</t>
  </si>
  <si>
    <t>PCCP, 5 IN.</t>
  </si>
  <si>
    <t>503</t>
  </si>
  <si>
    <t>JOINTED REINFORCED CONCRETE PAVEMENT, 10 IN.</t>
  </si>
  <si>
    <t>JOINTED REINFORCED CONCRETE PAVEMENT, 12 IN.</t>
  </si>
  <si>
    <t>LFT</t>
  </si>
  <si>
    <t>JOINTED REINFORCED CONCRETE PAVEMENT, 14 IN.</t>
  </si>
  <si>
    <t>JOINTED REINFORCED CONCRETE PAVEMENT, 15 IN.</t>
  </si>
  <si>
    <t>R</t>
  </si>
  <si>
    <t>JOINTED REINFORCED CONCRETE PAVEMENT, 11 IN.</t>
  </si>
  <si>
    <t>506</t>
  </si>
  <si>
    <t>PCC BONDED OVERLAY PATCHING, 4 IN.</t>
  </si>
  <si>
    <t>PCC BONDED OVERLAY PATCHING, 4.5 IN.</t>
  </si>
  <si>
    <t>PCC BONDED OVERLAY PATCHING, 5 IN.</t>
  </si>
  <si>
    <t>PCC BONDED OVERLAY PATCHING, 5.5 IN.</t>
  </si>
  <si>
    <t>601</t>
  </si>
  <si>
    <t>GUARDRAIL END TREATMENT, TYPE  I</t>
  </si>
  <si>
    <t>EACH</t>
  </si>
  <si>
    <t>602</t>
  </si>
  <si>
    <t>CONCRETE MEDIAN BARRIER, MODIFIED</t>
  </si>
  <si>
    <t>604</t>
  </si>
  <si>
    <t>605</t>
  </si>
  <si>
    <t>LS</t>
  </si>
  <si>
    <t>CURB, CONCRETE, TYPE B</t>
  </si>
  <si>
    <t>CURB AND GUTTER, TYPE A, CONCRETE</t>
  </si>
  <si>
    <t>CURB AND GUTTER, TYPE B, CONCRETE</t>
  </si>
  <si>
    <t>CURB AND GUTTER, TYPE C, CONCRETE</t>
  </si>
  <si>
    <t>CURB AND GUTTER, TYPE B, CONCRETE, MODIFIED</t>
  </si>
  <si>
    <t>CURB AND GUTTER, TYPE C, CONCRETE, MODIFIED</t>
  </si>
  <si>
    <t>CURB AND GUTTER, TURNOUT COMBINED, MODIFIED</t>
  </si>
  <si>
    <t>607</t>
  </si>
  <si>
    <t>GUTTER, CONCRETE, TYPE A</t>
  </si>
  <si>
    <t>PAVED SIDE DITCH, TYPE A</t>
  </si>
  <si>
    <t>PAVED SIDE DITCH, TYPE B</t>
  </si>
  <si>
    <t>PAVED SIDE DITCH, TYPE C</t>
  </si>
  <si>
    <t>PAVED SIDE DITCH, TYPE D</t>
  </si>
  <si>
    <t>PAVED SIDE DITCH, TYPE E</t>
  </si>
  <si>
    <t>PAVED SIDE DITCH, TYPE F</t>
  </si>
  <si>
    <t>PAVED SIDE DITCH, TYPE G</t>
  </si>
  <si>
    <t>PAVED SIDE DITCH, TYPE H</t>
  </si>
  <si>
    <t>PAVED SIDE DITCH, TYPE J</t>
  </si>
  <si>
    <t>PAVED SIDE DITCH, TYPE K</t>
  </si>
  <si>
    <t>PAVED SIDE DITCH, TYPE L</t>
  </si>
  <si>
    <t>PAVED SIDE DITCH, TYPE M</t>
  </si>
  <si>
    <t>PAVED SIDE DITCH, TYPE L, MODIFIED</t>
  </si>
  <si>
    <t>PAVED SIDE DITCH, TYPE H, MODIFIED</t>
  </si>
  <si>
    <t>609</t>
  </si>
  <si>
    <t>609-B-311</t>
  </si>
  <si>
    <t>609-B-311, APPROVAL BY BRIDGE DESIGN DIRECTOR</t>
  </si>
  <si>
    <t>610</t>
  </si>
  <si>
    <t>614</t>
  </si>
  <si>
    <t>HEADER, CEMENT CONCRETE, TYPE A</t>
  </si>
  <si>
    <t>HEADER, CEMENT CONCRETE, TYPE B</t>
  </si>
  <si>
    <t>HEADER, CEMENT CONCRETE, TYPE C</t>
  </si>
  <si>
    <t>615</t>
  </si>
  <si>
    <t>MONUMENT, TYPE A</t>
  </si>
  <si>
    <t>MONUMENT, TYPE B</t>
  </si>
  <si>
    <t>MONUMENT, TYPE C</t>
  </si>
  <si>
    <t>616</t>
  </si>
  <si>
    <t>618</t>
  </si>
  <si>
    <t>620</t>
  </si>
  <si>
    <t>SOUND BARRIER PANELS, WALL MOUNTED TYPE</t>
  </si>
  <si>
    <t>SFT</t>
  </si>
  <si>
    <t>620-R-483, 620-R-483A</t>
  </si>
  <si>
    <t>SOUND BARRIER PANELS, GROUND MOUNTED TYPE</t>
  </si>
  <si>
    <t>SOUND BARRIER PANELS, BRIDGE MOUNTED TYPE</t>
  </si>
  <si>
    <t>626</t>
  </si>
  <si>
    <t>627</t>
  </si>
  <si>
    <t>627-R-546, 627-R-546d</t>
  </si>
  <si>
    <t>SAFETY TERMINAL, TYPE TL-3</t>
  </si>
  <si>
    <t>SAFETY TERMINAL, TYPE TL-4</t>
  </si>
  <si>
    <t>CABLE BARRIER SYSTEM, TYPE TL-3, SPARE PARTS</t>
  </si>
  <si>
    <t>627-R-546, 627-R-546d, NON-PARTICIPATING</t>
  </si>
  <si>
    <t>CABLE BARRIER SYSTEM, TYPE TL-4, SPARE PARTS</t>
  </si>
  <si>
    <t>701</t>
  </si>
  <si>
    <t>PILE, STEEL PIPE, 0.375 IN., DIAMETER 14 IN.</t>
  </si>
  <si>
    <t>PILE, STEEL PIPE, 0.312 IN., DIAMETER 16 IN.</t>
  </si>
  <si>
    <t>PILE, STEEL PIPE, 0.250 IN., DIAMETER 14 IN.</t>
  </si>
  <si>
    <t>PILE, STEEL PIPE, 0.312 IN., DIAMETER 14 IN.</t>
  </si>
  <si>
    <t>PILE, STEEL PIPE, 0.344 IN., DIAMETER 14 IN.</t>
  </si>
  <si>
    <t>PILE, STEEL PIPE, EPOXY COATED, 0.184 IN., DIAMETER 14 IN.</t>
  </si>
  <si>
    <t>PILE, STEEL PIPE, EPOXY COATED, 0.250 IN., DIAMETER 14 IN.</t>
  </si>
  <si>
    <t>PILE, STEEL PIPE, EPOXY COATED, 0.312 IN., DIAMETER 14 IN.</t>
  </si>
  <si>
    <t>PILE, STEEL PIPE, EPOXY COATED, 0.344 IN., DIAMETER 14 IN.</t>
  </si>
  <si>
    <t>PILE, STEEL PIPE, EPOXY COATED, 0.375 IN., DIAMETER 14 IN.</t>
  </si>
  <si>
    <t>PILE, STEEL PIPE, 0.5 IN., DIAMETER 14 IN.</t>
  </si>
  <si>
    <t>PILE, STEEL PIPE, 0.438 IN., DIAMETER 14 IN.</t>
  </si>
  <si>
    <t>PILE, STEEL PIPE, 0.5 IN., DIAMETER 16 IN.</t>
  </si>
  <si>
    <t>PILE, STEEL PIPE, EPOXY COATED, 0.500 IN., DIAMETER 14 IN.</t>
  </si>
  <si>
    <t>PILE, STEEL PIPE, 0.500 IN., DIAMETER 24 IN.</t>
  </si>
  <si>
    <t>PILE, STEEL PIPE, 0.750 IN., DIAMETER 24 IN.</t>
  </si>
  <si>
    <t>PILE, STEEL PIPE, 0.5 IN., DIAMETER 18 IN.</t>
  </si>
  <si>
    <t>PILE, STEEL PIPE, 0.375 IN., DIAMETER 24 IN.</t>
  </si>
  <si>
    <t>PILE, STEEL PIPE, EPOXY COATED, 0.375 IN., DIAMETER 24 IN.</t>
  </si>
  <si>
    <t>PILE, STEEL PIPE, 0.375 IN., DIAMETER 16 IN.</t>
  </si>
  <si>
    <t>PILE, STEEL PIPE, EPOXY COATED, 0.375 IN., DIAMETER 16 IN.</t>
  </si>
  <si>
    <t>PILE, STEEL PIPE, 0.312 IN., DIAMETER 18 IN.</t>
  </si>
  <si>
    <t>PILE, STEEL PIPE, EPOXY COATED, 0.312 IN., DIAMETER 18 IN.</t>
  </si>
  <si>
    <t>702</t>
  </si>
  <si>
    <t>CONCRETE, C, FOOTINGS</t>
  </si>
  <si>
    <t>CONCRETE, A</t>
  </si>
  <si>
    <t>NEEDS USE IN SUPP DESCR TO BE STANDARD</t>
  </si>
  <si>
    <t>704</t>
  </si>
  <si>
    <t>706</t>
  </si>
  <si>
    <t>CONCRETE BRIDGE RAILING TRANSITION, TYPE TPF-1</t>
  </si>
  <si>
    <t>CONCRETE BRIDGE RAILING TRANSITION, TYPE TPS-1</t>
  </si>
  <si>
    <t>CONCRETE BRIDGE RAILING TRANSITION, TYPE TTX</t>
  </si>
  <si>
    <t>RAILING, CONCRETE TYPE FT</t>
  </si>
  <si>
    <t>RAILING, CONCRETE TYPE FC</t>
  </si>
  <si>
    <t>RAILING, CONCRETE TYPE PS-1</t>
  </si>
  <si>
    <t>RAILING, CONCRETE TYPE PF-1</t>
  </si>
  <si>
    <t>RAILING, CONCRETE TYPE TX</t>
  </si>
  <si>
    <t>RAILING, CONCRETE TYPE TF-2</t>
  </si>
  <si>
    <t>CONCRETE BRIDGE RAILING TRANSITION, TYPE TFC</t>
  </si>
  <si>
    <t>CONCRETE BRIDGE RAILING TRANSITION, TYPE TFT</t>
  </si>
  <si>
    <t>CONCRETE BRIDGE RAILING TRANSITION, TYPE WFC</t>
  </si>
  <si>
    <t>CONCRETE BRIDGE RAILING TRANSITION, TYPE TTF-2</t>
  </si>
  <si>
    <t>REINFORCED CONCRETE MOMENT SLAB, 10 IN.</t>
  </si>
  <si>
    <t>REINFORCED CONCRETE MOMENT SLAB, 11 IN</t>
  </si>
  <si>
    <t>RAILING, CONCRETE TYPE C</t>
  </si>
  <si>
    <t>RAILING, CONCRETE TYPE C, MODIFIED</t>
  </si>
  <si>
    <t>710</t>
  </si>
  <si>
    <t>712</t>
  </si>
  <si>
    <t>714</t>
  </si>
  <si>
    <t>STRUCTURE EXTENSION, REINFORCED, BOX SECTIONS, 10 FT 6 IN. X 6 FT</t>
  </si>
  <si>
    <t>STRUCTURE EXTENSION, REINFORCED CONCRETE, BOX SECTIONS, 10 FT X 8 FT</t>
  </si>
  <si>
    <t>STRUCTURE EXTENSION, REINFORCED CONCRETE, BOX SECTIONS, 3 FT X 3 FT</t>
  </si>
  <si>
    <t>STRUCTURE, REINFORCED CONCRETE, BOX SECTIONS</t>
  </si>
  <si>
    <t>DIMENSIONS IN SUPP DESCR</t>
  </si>
  <si>
    <t>STRUCTURE EXTENSION, REINFORCED CONCRETE, BOX SECTIONS, 6 FT X 5 FT</t>
  </si>
  <si>
    <t>STRUCTURE, REINFORCED CONCRETE, BOX SECTIONS, 4 FT X 3 FT 4 IN.</t>
  </si>
  <si>
    <t>STRUCTURE, REINFORCED CONCRETE, BOX SECTIONS, 3 FT 10 IN. X 2 FT 5 IN.</t>
  </si>
  <si>
    <t>STRUCTURE EXTENSION, REINFORCED CONCRETE, BOX SECTIONS, 3 FT 6 IN. X 3 FT 6 IN.</t>
  </si>
  <si>
    <t>STRUCTURE, REINFORCED CONCRETE, BOX SECTIONS, 5 FT X 2 FT 6 IN.</t>
  </si>
  <si>
    <t>STRUCTURE EXTENSION, REINFORCED CONCRETE, BOX SECTIONS, 12 FT X 5 FT 6 IN.</t>
  </si>
  <si>
    <t>STRUCTURE, COATED REINFORCED CONCRETE, BOX SECTIONS, 16 FT X 8 FT</t>
  </si>
  <si>
    <t>STRUCTURE, REINFORCED CONCRETE, BOX SECTIONS, 4 FT X 2 FT 6 IN.</t>
  </si>
  <si>
    <t>STRUCTURE, COATED REINFORCED CONCRETE, BOX SECTIONS, 10 FT X 10 FT</t>
  </si>
  <si>
    <t>STRUCTURE, COATED REINFORCED CONCRETE, BOX SECTIONS, 12 FT X 6 FT</t>
  </si>
  <si>
    <t>STRUCTURE, COATED REINFORCED CONCRETE, BOX SECTIONS, 16 FT X 7 FT</t>
  </si>
  <si>
    <t>STRUCTURE, COATED REINFORCED CONCRETE, BOX SECTIONS 6 FT X 3 FT</t>
  </si>
  <si>
    <t>STRUCTURE, COATED REINFORCED CONCRETE, BOX SECTIONS 18 FT X 6 FT</t>
  </si>
  <si>
    <t>STRUCTURE, COATED REINFORCED CONCRETE, BOX SECTIONS 9 FT X 7 FT</t>
  </si>
  <si>
    <t>STRUCTURE, COATED REINFORCED CONCRETE, BOX SECTIONS 9 FT X 4 FT</t>
  </si>
  <si>
    <t>STRUCTURE, COATED REINFORCED CONCRETE, BOX SECTIONS 28 FT X 10 FT</t>
  </si>
  <si>
    <t>STRUCTURE, COATED REINFORCED CONCRETE, BOX SECTIONS 14 FT X 11 FT</t>
  </si>
  <si>
    <t>STRUCTURE, COATED REINFORCED CONCRETE, BOX SECTIONS, 17 FT X 9 FT</t>
  </si>
  <si>
    <t>STRUCTURE, REINFORCED CONCRETE, BOX SECTIONS, 12 FT X 9 FT 6 IN.</t>
  </si>
  <si>
    <t>STRUCTURE, COATED REINFORCED CONCRETE, BOX SECTIONS, 8 FT X 8 FT</t>
  </si>
  <si>
    <t>STRUCTURE, COATED REINFORCED CONCRETE, BOX SECTIONS, 12 FT X 8 FT</t>
  </si>
  <si>
    <t>STRUCTURE, REINFORCED CONCRETE, BOX SECTIONS, 10 FT X 8 FT 6 IN.</t>
  </si>
  <si>
    <t>STRUCTURE, COATED REINFORCED CONCRETE, BOX SECTIONS, 20 FT X 5 FT</t>
  </si>
  <si>
    <t>STRUCTURE, COATED REINFORCED CONCRETE, BOX SECTIONS, 10 FT X 4 FT</t>
  </si>
  <si>
    <t>STRUCTURE, COATED REINFORCED CONCRETE, BOX SECTIONS, 18 FT X 4 FT</t>
  </si>
  <si>
    <t>STRUCTURE, COATED REINFORCED CONCRETE, BOX SECTIONS, 15 FT X 4 FT</t>
  </si>
  <si>
    <t>STRUCTURE, COATED REINFORCED CONCRETE, BOX SECTIONS, 12 FT X 5 FT</t>
  </si>
  <si>
    <t>STRUCTURE, REINFORCED CONCRETE, BOX SECTIONS, 13 FT X 6 FT</t>
  </si>
  <si>
    <t>STRUCTURE, COATED REINFORCED CONCRETE, BOX SECTIONS, 14 FT X 7 FT</t>
  </si>
  <si>
    <t>STRUCTURE, COATED REINFORCED CONCRETE, BOX SECTIONS, 6 FT X 4 FT</t>
  </si>
  <si>
    <t>STRUCTURE, COATED REINFORCED CONCRETE, BOX SECTIONS, 9 FT X 5 FT</t>
  </si>
  <si>
    <t>STRUCTURE, COATED REINFORCED CONCRETE, BOX SECTIONS, 14 FT X 6 FT</t>
  </si>
  <si>
    <t>STRUCTURE, COATED REINFORCED CONCRETE, BOX SECTIONS, 8 FT X 4 FT</t>
  </si>
  <si>
    <t>STRUCTURE, COATED REINFORCED CONCRETE, BOX SECTIONS, 16 FT X 10 FT</t>
  </si>
  <si>
    <t>STRUCTURE, COATED REINFORCED CONCRETE, BOX SECTIONS, 10 FT X 8 FT</t>
  </si>
  <si>
    <t>STRUCTURE, COATED REINFORCED CONCRETE, BOX SECTIONS, 10 FT X 5 FT</t>
  </si>
  <si>
    <t>STRUCTURE, COATED REINFORCED CONCRETE, BOX SECTIONS, 12 FT X 4 FT</t>
  </si>
  <si>
    <t>STRUCTURE, COATED REINFORCED CONCRETE, BOX SECTIONS, 10 FT X 9 FT</t>
  </si>
  <si>
    <t>STRUCTURE, COATED REINFORCED CONCRETE, BOX SECTIONS, 10 FT X 3 FT</t>
  </si>
  <si>
    <t>STRUCTURE, COATED REINFORCED CONCRETE, BOX SECTIONS, 14 FT X 8 FT</t>
  </si>
  <si>
    <t>STRUCTURE, COATED REINFORCED CONCRETE, BOX SECTIONS, 14 FT X 5 FT</t>
  </si>
  <si>
    <t>STRUCTURE, COATED REINFORCED CONCRETE, BOX SECTIONS, 4 FT X 2 FT</t>
  </si>
  <si>
    <t>STRUCTURE, COATED REINFORCED CONCRETE, BOX SECTIONS, 7 FT X 4 FT</t>
  </si>
  <si>
    <t>STRUCTURE, COATED REINFORCED CONCRETE, BOX SECTIONS, 14 FT X 8.5 FT</t>
  </si>
  <si>
    <t>STRUCTURE, COATED REINFORCED CONCRETE, BOX SECTIONS, 16 FT X 9.5 FT</t>
  </si>
  <si>
    <t>STRUCTURE, COATED REINFORCED CONCRETE, BOX SECTIONS, 14 FT X 9.5 FT</t>
  </si>
  <si>
    <t>STRUCTURE, REINFORCED CONCRETE, BOX SECTIONS, 8 FT X 3.5 FT</t>
  </si>
  <si>
    <t>STRUCTURE, COATED REINFORCED CONCRETE, BOX SECTIONS, 16 FT X 4 FT</t>
  </si>
  <si>
    <t>STRUCTURE, COATED REINFORCED CONCRETE, BOX SECTIONS, 16 FT X 5 FT</t>
  </si>
  <si>
    <t>STRUCTURE, COATED REINFORCED CONCRETE, BOX SECTIONS, 6 FT X 5 FT</t>
  </si>
  <si>
    <t>STRUCTURE EXTENSION, COATED REINFORCED CONCRETE, BOX SECTIONS, 3 FT X 2 FT</t>
  </si>
  <si>
    <t>STRUCTURE, REINFORCED CONCRETE, BOX SECTIONS, 7 FT X 2 FT</t>
  </si>
  <si>
    <t>STRUCTURE EXTENSION, COATED REINFORCED CONCRETE, BOX SECTIONS, 6 FT X 4 FT</t>
  </si>
  <si>
    <t>STRUCTURE, REINFORCED CONCRETE, BOX SECTIONS, 9 FT X 2 FT</t>
  </si>
  <si>
    <t>STRUCTURE, COATED REINFORCED CONCRETE, BOX SECTIONS, 16 FT X 6 FT</t>
  </si>
  <si>
    <t>STRUCTURE, COATED REINFORCED CONCRETE, BOX SECTIONS, 8 FT X 3 FT</t>
  </si>
  <si>
    <t>STRUCTURE, COATED REINFORCED CONCRETE, BOX SECTIONS, 5 FT X 5 FT</t>
  </si>
  <si>
    <t>STRUCTURE, COATED REINFORCED CONCRETE, BOX SECTIONS, 19 FT X 10 FT</t>
  </si>
  <si>
    <t>STRUCTURE, COATED REINFORCED CONCRETE, BOX SECTIONS, 6 FT X 6 FT</t>
  </si>
  <si>
    <t>STRUCTURE, COATED REINFORCED CONCRETE, BOX SECTIONS, 12 FT X 12 FT</t>
  </si>
  <si>
    <t>STRUCTURE EXTENSION, REINFORCED CONCRETE, BOX SECTIONS, 13.5 FT X 8.5 FT</t>
  </si>
  <si>
    <t>STRUCTURE, COATED REINFORCED CONCRETE, BOX SECTIONS, 7 FT X 5 FT</t>
  </si>
  <si>
    <t>STRUCTURE, COATED REINFORCED CONCRETE, BOX SECTIONS, 19 FT X 4 FT</t>
  </si>
  <si>
    <t>STRUCTURE, COATED REINFORCED CONCRETE, BOX SECTIONS, 5 FT X 2 FT</t>
  </si>
  <si>
    <t>STRUCTURE EXTENSION, REINFORCED CONCRETE, BOX SECTIONS, 16 FT X 8 FT</t>
  </si>
  <si>
    <t>STRUCTURE, COATED REINFORCED CONCRETE, BOX SECTIONS, 21 FT X 7 FT</t>
  </si>
  <si>
    <t>STRUCTURE, REINFORCED CONCRETE, BOX SECTIONS, 20 FT X 6 FT</t>
  </si>
  <si>
    <t>STRUCTURE, COATED REINFORCED CONCRETE, BOX SECTIONS, 11 FT X 6 FT</t>
  </si>
  <si>
    <t>STRUCTURE EXTENSION, REINFORCED CONCRETE, BOX SECTIONS, 5 FT X 3 FT</t>
  </si>
  <si>
    <t>STRUCTURE, COATED REINFORCED CONCRETE, BOX SECTIONS, 7 FT X 3 FT</t>
  </si>
  <si>
    <t>STRUCTURE, COATED REINFORCED CONCRETE, BOX SECTIONS, 14 FT X 4 FT</t>
  </si>
  <si>
    <t>STRUCTURE, COATED REINFORCED CONCRETE, BOX SECTIONS, 11 FT X 4 FT</t>
  </si>
  <si>
    <t>STRUCTURE, COATED REINFORCED CONCRETE, BOX SECTIONS, 18 FT X 8 FT</t>
  </si>
  <si>
    <t>STRUCTURE EXTENSION, REINFORCED CONCRETE, BOX SECTIONS, 4 FT X 3 FT</t>
  </si>
  <si>
    <t>STRUCTURE, COATED REINFORCED CONCRETE, BOX SECTIONS, 14 FT X 10 FT</t>
  </si>
  <si>
    <t>STRUCTURE EXTENSION, COATED REINFORCED CONCRETE, BOX SECTIONS, 5 FT X 4 FT</t>
  </si>
  <si>
    <t>STRUCTURE EXTENSION, COATED REINFORCED CONCRETE, BOX SECTIONS, 11 FT X 8 FT</t>
  </si>
  <si>
    <t>STRUCTURE, COATED REINFORCED CONCRETE, BOX SECTIONS, 11 FT X 8 FT</t>
  </si>
  <si>
    <t>STRUCTURE, COATED REINFORCED CONCRETE, BOX SECTIONS, 15 FT X 7 FT</t>
  </si>
  <si>
    <t>STRUCTURE, COATED REINFORCED CONCRETE, BOX SECTIONS, 8 FT X 6 FT</t>
  </si>
  <si>
    <t>STRUCTURE, COATED REINFORCED CONCRETE, BOX SECTIONS, 19 FT X 5 FT</t>
  </si>
  <si>
    <t>STRUCTURE, COATED REINFORCED CONCRETE, BOX SECTIONS, 15 FT X 6 FT</t>
  </si>
  <si>
    <t>STRUCTURE, REINFORCED CONCRETE, BOX SECTIONS, 17 FT X 4 FT</t>
  </si>
  <si>
    <t>STRUCTURE, REINFORCED CONCRETE, BOX SECTIONS, 20 FT X 10 FT</t>
  </si>
  <si>
    <t>STRUCTURE, COATED REINFORCED CONCRETE, BOX SECTIONS, 5 FT X 4 FT</t>
  </si>
  <si>
    <t>STRUCTURE, COATED REINFORCED CONCRETE, BOX SECTIONS, 24 FT X 11 FT</t>
  </si>
  <si>
    <t>STRUCTURE, COATED REINFORCED CONCRETE, BOX SECTIONS, 22 FT X 8 FT</t>
  </si>
  <si>
    <t>STRUCTURE EXTENSION, REINFORCED CONCRETE, BOX SECTIONS, 11 FT X 9 FT</t>
  </si>
  <si>
    <t>STRUCTURE, REINFORCED CONCRETE, BOX SECTIONS, 13 FT X 9 FT</t>
  </si>
  <si>
    <t>STRUCTURE, COATED REINFORCED CONCRETE, BOX SECTIONS, 18 FT X 7 FT</t>
  </si>
  <si>
    <t>STRUCTURE, COATED REINFORCED CONCRETE, BOX SECTIONS, 20 FT X 10 FT</t>
  </si>
  <si>
    <t>STRUCTURE EXTENSION, REINFORCED CONCRETE, BOX SECTIONS, 4 FT X 2 FT</t>
  </si>
  <si>
    <t>STRUCTURE EXTENSION, REINFORCED CONCRETE, BOX SECTIONS, 5 FT X 2.5 FT</t>
  </si>
  <si>
    <t>STRUCTURE, REINFORCED CONCRETE, BOX SECTIONS, 6 FT X 3.5 FT</t>
  </si>
  <si>
    <t>STRUCTURE, COATED REINFORCED CONCRETE, BOX SECTIONS, 15 FT X 10 FT</t>
  </si>
  <si>
    <t>STRUCTURE, COATED REINFORCED CONCRETE, THREE-SIDED SECTIONS, 432 IN. X 96 IN.</t>
  </si>
  <si>
    <t>715</t>
  </si>
  <si>
    <t>CONCRETE ANCHOR, DIAMETER 60 IN.</t>
  </si>
  <si>
    <t>CONCRETE ANCHOR, DIAMETER 42 IN.</t>
  </si>
  <si>
    <t>CONCRETE ANCHOR, DIAMETER 48 IN.</t>
  </si>
  <si>
    <t>CONCRETE ANCHOR, DIAMETER 72 IN.</t>
  </si>
  <si>
    <t>CONCRETE ANCHOR, DIAMETER 78 IN.</t>
  </si>
  <si>
    <t>CONCRETE ANCHOR, DIAMETER 54 IN.</t>
  </si>
  <si>
    <t>CONCRETE ANCHOR, DIAMETER 96 IN.</t>
  </si>
  <si>
    <t>CONCRETE ANCHOR, DIAMETER 120 IN.</t>
  </si>
  <si>
    <t>CONCRETE ANCHOR, DIAMETER 84 IN.</t>
  </si>
  <si>
    <t>CONCRETE ANCHOR, DIAMETER 66 IN.</t>
  </si>
  <si>
    <t>CONCRETE ANCHOR, DIAMETER 90 IN.</t>
  </si>
  <si>
    <t>CONCRETE ANCHOR, DIAMETER 114 IN.</t>
  </si>
  <si>
    <t>CONCRETE ANCHOR, DIAMETER 36 IN.</t>
  </si>
  <si>
    <t>CONCRETE ANCHOR, DIAMETER 27 IN.</t>
  </si>
  <si>
    <t>CONCRETE ANCHOR, DIAMETER 132 IN.</t>
  </si>
  <si>
    <t>CONCRETE ANCHOR, DIAMETER 24 IN.</t>
  </si>
  <si>
    <t>CONCRETE ANCHOR, MIN. AREA 42.4 SFT</t>
  </si>
  <si>
    <t>CONCRETE ANCHOR, DIAMETER 108 IN.</t>
  </si>
  <si>
    <t>CONCRETE ANCHOR, DIAMETER 30 IN.</t>
  </si>
  <si>
    <t>717</t>
  </si>
  <si>
    <t>ARCH, STRUCTURAL PLATE, MIN. AREA 48.9 SFT</t>
  </si>
  <si>
    <t>718</t>
  </si>
  <si>
    <t>OUTLET PROTECTOR, TYPE 1</t>
  </si>
  <si>
    <t>OUTLET PROTECTOR, TYPE 2</t>
  </si>
  <si>
    <t>OUTLET PROTECTOR, TYPE 3</t>
  </si>
  <si>
    <t>UNDERDRAIN, PATCHING</t>
  </si>
  <si>
    <t>720</t>
  </si>
  <si>
    <t>721</t>
  </si>
  <si>
    <t>SLUICE GATE, 60 IN X 60 IN.</t>
  </si>
  <si>
    <t>722</t>
  </si>
  <si>
    <t>BRIDGE DECK OVERLAY BUDGET</t>
  </si>
  <si>
    <t>DOL</t>
  </si>
  <si>
    <t>LOCK AND FIXED COST</t>
  </si>
  <si>
    <t>723</t>
  </si>
  <si>
    <t>STRUCTURE, REINFORCED CONCRETE, THREE-SIDED SECTIONS, 228 IN. X 120 IN.</t>
  </si>
  <si>
    <t>STRUCTURE, REINFORCED CONCRETE, THREE-SIDED SECTIONS, 240 IN. X 138 IN.</t>
  </si>
  <si>
    <t>STRUCTURE, REINFORCED CONCRETE, THREE-SIDED SECTIONS, 384 IN. X 140 IN.</t>
  </si>
  <si>
    <t>STRUCTURE, REINFORCED CONCRETE, THREE-SIDED SECTIONS, 216 IN. X 108 IN.</t>
  </si>
  <si>
    <t>STRUCTURE, REINFORCED CONCRETE, THREE-SIDED SECTIONS, 288 IN. X 120 IN.</t>
  </si>
  <si>
    <t>STRUCTURE, REINFORCED CONCRETE, THREE-SIDED SECTIONS, 336 IN. X 132 IN.</t>
  </si>
  <si>
    <t>STRUCTURE, REINFORCED CONCRETE, THREE-SIDED SECTIONS</t>
  </si>
  <si>
    <t>STRUCTURE, REINFORCED CONCRETE, THREE-SIDED SECTIONS, 192 IN. X 84 IN.</t>
  </si>
  <si>
    <t>STRUCTURE, REINFORCED CONCRETE, THREE-SIDED SECTIONS, 504 IN. X 256 IN.</t>
  </si>
  <si>
    <t>STRUCTURE, REINFORCED CONCRETE, THREE-SIDED SECTIONS, 216 IN. X 120 IN.</t>
  </si>
  <si>
    <t>STRUCTURE, REINFORCED CONCRETE, THREE-SIDED SECTIONS, 312 IN. X 120 IN.</t>
  </si>
  <si>
    <t>STRUCTURE, REINFORCED CONCRETE, THREE-SIDED SECTIONS, 384 IN. X 120 IN.</t>
  </si>
  <si>
    <t>STRUCTURE, REINFORCED CONCRETE, THREE-SIDED SECTIONS, 240 IN. X 84 IN.</t>
  </si>
  <si>
    <t>STRUCTURE, REINFORCED CONCRETE, THREE-SIDED SECTIONS, 192 IN. X 108 IN.</t>
  </si>
  <si>
    <t>STRUCTURE, REINFORCED CONCRETE, THREE-SIDED SECTIONS, 240 IN. X 120 IN.</t>
  </si>
  <si>
    <t>STRUCTURE, REINFORCED CONCRETE, THREE-SIDED SECTIONS, 240 IN. X 72 IN.</t>
  </si>
  <si>
    <t>STRUCTURE, REINFORCED CONCRETE, THREE-SIDED SECTIONS, 336 IN. X 128 IN.</t>
  </si>
  <si>
    <t>STRUCTURE, REINFORCED CONCRETE, THREE-SIDED SECTIONS, 192 IN. X 132 IN.</t>
  </si>
  <si>
    <t>STRUCTURE, REINFORCED CONCRETE, THREE-SIDED SECTIONS, 168 IN. X 120 IN.</t>
  </si>
  <si>
    <t>STRUCTURE, REINFORCED CONCRETE, THREE-SIDED SECTIONS, 192 IN. X 96 IN.</t>
  </si>
  <si>
    <t>STRUCTURE, REINFORCED CONCRETE, THREE-SIDED SECTIONS, 336 IN. X 72 IN.</t>
  </si>
  <si>
    <t>STRUCTURE, REINFORCED CONCRETE, THREE-SIDED SECTIONS, 240 IN. X 124 IN.</t>
  </si>
  <si>
    <t>STRUCTURE, REINFORCED CONCRETE, THREE-SIDED SECTIONS, 216 IN. X 132 IN.</t>
  </si>
  <si>
    <t>STRUCTURE, REINFORCED CONCRETE, THREE-SIDED SECTIONS, 168 IN. X 84 IN.</t>
  </si>
  <si>
    <t>STRUCTURE, REINFORCED CONCRETE, THREE-SIDED SECTIONS, 384 IN. X 132 IN.</t>
  </si>
  <si>
    <t>STRUCTURE, REINFORCED CONCRETE, THREE-SIDED SECTIONS, 192 IN. X 120 IN.</t>
  </si>
  <si>
    <t>STRUCTURE, REINFORCED CONCRETE, THREE-SIDED SECTIONS, 288 IN. X 144 IN.</t>
  </si>
  <si>
    <t>STRUCTURE, REINFORCED CONCRETE, THREE-SIDED SECTIONS, 192 IN. X 72 IN.</t>
  </si>
  <si>
    <t>STRUCTURE, REINFORCED CONCRETE, THREE-SIDED SECTIONS, 288 IN. X 96 IN.</t>
  </si>
  <si>
    <t>STRUCTURE, REINFORCED CONCRETE, THREE-SIDED SECTIONS, 252 IN. X 96 IN.</t>
  </si>
  <si>
    <t>STRUCTURE, REINFORCED CONCRETE, THREE-SIDED SECTIONS, 240 IN. X 132 IN.</t>
  </si>
  <si>
    <t>STRUCTURE, REINFORCED CONCRETE, THREE-SIDED SECTIONS, 288 IN. X 132 IN.</t>
  </si>
  <si>
    <t>STRUCTURE, REINFORCED CONCRETE, THREE-SIDED SECTIONS, 288 IN. X 108 IN.</t>
  </si>
  <si>
    <t>STRUCTURE, REINFORCED CONCRETE, THREE-SIDED SECTIONS, 144 IN. X 132 IN.</t>
  </si>
  <si>
    <t>STRUCTURE, REINFORCED CONCRETE, THREE-SIDED SECTIONS, 144 IN. X 120 IN.</t>
  </si>
  <si>
    <t>STRUCTURE, REINFORCED CONCRETE, THREE-SIDED SECTIONS, 216 IN. X 84 IN.</t>
  </si>
  <si>
    <t>STRUCTURE, REINFORCED CONCRETE, THREE-SIDED SECTIONS, 240 IN. X 144 IN.</t>
  </si>
  <si>
    <t>STRUCTURE, REINFORCED CONCRETE, THREE-SIDED SECTIONS, 240 IN. X 108 IN.</t>
  </si>
  <si>
    <t>STRUCTURE, REINFORCED CONCRETE, THREE-SIDED SECTIONS, 144 IN. X 84 IN.</t>
  </si>
  <si>
    <t>STRUCTURE, REINFORCED CONCRETE, THREE-SIDED SECTIONS, 408 IN. X 168 IN.</t>
  </si>
  <si>
    <t>STRUCTURE, REINFORCED CONCRETE, THREE-SIDED SECTIONS, 312 IN. X 108 IN.</t>
  </si>
  <si>
    <t>STRUCTURE, REINFORCED CONCRETE, THREE-SIDED SECTIONS, 144 IN. X 60 IN.</t>
  </si>
  <si>
    <t>STRUCTURE, REINFORCED CONCRETE, THREE-SIDED SECTIONS, 264 IN. X 132 IN.</t>
  </si>
  <si>
    <t>STRUCTURE, REINFORCED CONCRETE, THREE-SIDED SECTIONS, 144 IN. X 162 IN.</t>
  </si>
  <si>
    <t>STRUCTURE, REINFORCED CONCRETE, THREE-SIDED SECTIONS, 384 IN. X 144 IN.</t>
  </si>
  <si>
    <t>STRUCTURE, REINFORCED CONCRETE, THREE-SIDED SECTIONS, 120 IN. X 120 IN.</t>
  </si>
  <si>
    <t>STRUCTURE, REINFORCED CONCRETE, THREE-SIDED SECTIONS, 312 IN. X 146 IN.</t>
  </si>
  <si>
    <t>STRUCTURE, REINFORCED CONCRETE, THREE-SIDED SECTIONS, 365.5 IN. X 84 IN.</t>
  </si>
  <si>
    <t>STRUCTURE, REINFORCED CONCRETE, THREE-SIDED SECTIONS, 504 IN. X 168 IN.</t>
  </si>
  <si>
    <t>STRUCTURE, REINFORCED CONCRETE, THREE-SIDED SECTIONS, 312 IN. X 180 IN.</t>
  </si>
  <si>
    <t>STRUCTURE, REINFORCED CONCRETE, THREE-SIDED SECTIONS, 312 IN. X 150 IN.</t>
  </si>
  <si>
    <t>STRUCTURE, REINFORCED CONCRETE, THREE-SIDED SECTIONS, 360 IN. X 79 IN.</t>
  </si>
  <si>
    <t>STRUCTURE, REINFORCED CONCRETE, THREE-SIDED SECTIONS, 168 IN. X 87 IN.</t>
  </si>
  <si>
    <t>STRUCTURE, REINFORCED CONCRETE, THREE-SIDED SECTIONS, 84 IN. X 74 IN.</t>
  </si>
  <si>
    <t>STRUCTURE, REINFORCED CONCRETE, THREE-SIDED SECTIONS, 120 IN. X 48 IN.</t>
  </si>
  <si>
    <t>STRUCTURE, REINFORCED CONCRETE, THREE-SIDED SECTIONS, 144 IN. X 96 IN.</t>
  </si>
  <si>
    <t>STRUCTURE, REINFORCED CONCRETE, THREE-SIDED SECTIONS, 144 IN. X 108 IN.</t>
  </si>
  <si>
    <t>STRUCTURE, REINFORCED CONCRETE, THREE-SIDED SECTIONS, 432 IN. X 84 IN.</t>
  </si>
  <si>
    <t>STRUCTURE, REINFORCED CONCRETE, THREE-SIDED SECTIONS, 312 IN. X 168 IN.</t>
  </si>
  <si>
    <t>STRUCTURE, REINFORCED CONCRETE, THREE-SIDED SECTIONS, 186 IN. X 132 IN.</t>
  </si>
  <si>
    <t>STRUCTURE, REINFORCED CONCRETE, THREE-SIDED SECTIONS, 384 IN. X 128 IN.</t>
  </si>
  <si>
    <t>STRUCTURE, REINFORCED CONCRETE, THREE-SIDED SECTIONS, 384 IN. X 168 IN.</t>
  </si>
  <si>
    <t>STRUCTURE, REINFORCED CONCRETE, THREE-SIDED SECTIONS, 192 IN. X 192 IN.</t>
  </si>
  <si>
    <t>STRUCTURE, REINFORCED CONCRETE, THREE-SIDED SECTIONS, 336 IN. X 156 IN.</t>
  </si>
  <si>
    <t>STRUCTURE, REINFORCED CONCRETE, THREE-SIDED SECTIONS, 288 IN. X 168 IN.</t>
  </si>
  <si>
    <t>STRUCTURE, REINFORCED CONCRETE, THREE-SIDED SECTIONS, 264 IN. X 128 IN.</t>
  </si>
  <si>
    <t>STRUCTURE, REINFORCED CONCRETE, THREE-SIDED SECTIONS, 312 IN. X 96 IN.</t>
  </si>
  <si>
    <t>STRUCTURE, REINFORCED CONCRETE, THREE-SIDED SECTIONS, 336 IN. X 84 IN.</t>
  </si>
  <si>
    <t>STRUCTURE, REINFORCED CONCRETE, THREE-SIDED SECTIONS, 384 IN. X 84 IN.</t>
  </si>
  <si>
    <t>STRUCTURE, REINFORCED CONCRETE, THREE-SIDED SECTIONS, 384 IN. X 96 IN.</t>
  </si>
  <si>
    <t>STRUCTURE, REINFORCED CONCRETE, THREE-SIDED SECTIONS, 384 IN. X 108 IN.</t>
  </si>
  <si>
    <t>STRUCTURE, REINFORCED CONCRETE, THREE-SIDED SECTIONS, 204 IN. X 96 IN.</t>
  </si>
  <si>
    <t>STRUCTURE, REINFORCED CONCRETE, THREE-SIDED SECTIONS, 312 IN. X 144 IN.</t>
  </si>
  <si>
    <t>STRUCTURE, REINFORCED CONCRETE, THREE-SIDED SECTIONS, 264 IN. X 149 IN.</t>
  </si>
  <si>
    <t>STRUCTURE, REINFORCED CONCRETE, THREE-SIDED SECTIONS, 216 IN. X 72 IN.</t>
  </si>
  <si>
    <t>STRUCTURE, REINFORCED CONCRETE, THREE-SIDED SECTIONS, 264 IN. X 150 IN.</t>
  </si>
  <si>
    <t>STRUCTURE, REINFORCED CONCRETE, THREE-SIDED SECTIONS, 192 IN. X 138 IN.</t>
  </si>
  <si>
    <t>STRUCTURE, REINFORCED CONCRETE, THREE-SIDED SECTIONS, 336 IN. X 180 IN.</t>
  </si>
  <si>
    <t>STRUCTURE, REINFORCED CONCRETE, THREE-SIDED SECTIONS, 216 IN. X 96 IN.</t>
  </si>
  <si>
    <t>STRUCTURE, REINFORCED CONCRETE, THREE-SIDED SECTIONS, 192 IN. X 60 IN.</t>
  </si>
  <si>
    <t>STRUCTURE, REINFORCED CONCRETE, THREE-SIDED SECTIONS, 240 IN. X 184 IN.</t>
  </si>
  <si>
    <t>STRUCTURE, REINFORCED CONCRETE, THREE-SIDED SECTIONS, 384 IN. X 192 IN.</t>
  </si>
  <si>
    <t>STRUCTURE, REINFORCED CONCRETE, THREE-SIDED SECTIONS, 144 IN. X 126 IN.</t>
  </si>
  <si>
    <t>STRUCTURE, REINFORCED CONCRETE, THREE-SIDED SECTIONS, 240 IN. X 96 IN.</t>
  </si>
  <si>
    <t>STRUCTURE, COATED REINFORCED CONCRETE, THREE-SIDED SECTIONS, 240 IN. X 132 IN.</t>
  </si>
  <si>
    <t>STRUCTURE, COATED REINFORCED CONCRETE, THREE-SIDED SECTIONS, 240 IN. X 120 IN.</t>
  </si>
  <si>
    <t>STRUCTURE, COATED REINFORCED CONCRETE, THREE-SIDED SECTIONS, 240 IN. X 96 IN.</t>
  </si>
  <si>
    <t>STRUCTURE, REINFORCED CONCRETE, THREE-SIDED SECTIONS, 336 IN. X 120 IN.</t>
  </si>
  <si>
    <t>STRUCTURE, COATED REINFORCED CONCRETE, THREE-SIDED SECTIONS, 228 IN. X 120 IN.</t>
  </si>
  <si>
    <t>STRUCTURE, COATED REINFORCED CONCRETE, THREE-SIDED SECTIONS, 384 IN. X 96 IN.</t>
  </si>
  <si>
    <t>STRUCTURE, COATED REINFORCED CONCRETE, THREE-SIDED SECTIONS, 240 IN. X 108 IN.</t>
  </si>
  <si>
    <t>STRUCTURE, COATED REINFORCED CONCRETE, THREE-SIDED SECTIONS, 312 IN. X 150 IN.</t>
  </si>
  <si>
    <t>STRUCTURE, REINFORCED CONCRETE, THREE-SIDED SECTIONS, 144 IN. X 140 IN.</t>
  </si>
  <si>
    <t>STRUCTURE, COATED REINFORCED CONCRETE, THREE-SIDED SECTIONS, 240 IN. X 180 IN.</t>
  </si>
  <si>
    <t>STRUCTURE, COATED REINFORCED CONCRETE, THREE-SIDED SECTIONS, 288 IN. X 84 IN.</t>
  </si>
  <si>
    <t>STRUCTURE, REINFORCED CONCRETE, THREE-SIDED SECTIONS, 324 IN. X 167 IN.</t>
  </si>
  <si>
    <t>STRUCTURE, REINFORCED CONCRETE, THREE-SIDED SECTIONS, 264 IN. X 84 IN.</t>
  </si>
  <si>
    <t>STRUCTURE, REINFORCED CONCRETE, THREE-SIDED SECTIONS, 264 IN. X 120 IN.</t>
  </si>
  <si>
    <t>STRUCTURE, REINFORCED CONCRETE, THREE-SIDED SECTIONS, 240 IN. X 66 IN.</t>
  </si>
  <si>
    <t>STRUCTURE, REINFORCED CONCRETE, THREE-SIDED SECTIONS, 192 IN. X 66 IN.</t>
  </si>
  <si>
    <t>STRUCTURE, REINFORCED CONCRETE, THREE-SIDED SECTIONS, 144 IN. X 93 IN.</t>
  </si>
  <si>
    <t>STRUCTURE, REINFORCED CONCRETE, THREE-SIDED SECTIONS, 144 IN. X 99 IN.</t>
  </si>
  <si>
    <t>STRUCTURE, REINFORCED CONCRETE, THREE-SIDED SECTIONS, 240 IN. X 135 IN.</t>
  </si>
  <si>
    <t>STRUCTURE, COATED REINFORCED CONCRETE, THREE-SIDED SECTIONS, 144 IN. X 108 IN.</t>
  </si>
  <si>
    <t>STRUCTURE, REINFORCED CONCRETE, THREE-SIDED SECTIONS, 192 IN. X 114 IN.</t>
  </si>
  <si>
    <t>STRUCTURE, COATED REINFORCED CONCRETE, THREE-SIDED SECTIONS, 336 IN. X 108 IN.</t>
  </si>
  <si>
    <t>STRUCTURE, REINFORCED CONCRETE, THREE-SIDED SECTIONS, 168 IN. X 72 IN.</t>
  </si>
  <si>
    <t>STRUCTURE, REINFORCED CONCRETE, THREE-SIDED SECTIONS, 288 IN. X 72 IN.</t>
  </si>
  <si>
    <t>STRUCTURE, COATED REINFORCED CONCRETE, THREE-SIDED SECTIONS, 108 IN. X 78 IN.</t>
  </si>
  <si>
    <t>STRUCTURE, COATED REINFORCED CONCRETE, THREE-SIDED SECTIONS, 312 IN. X 132 IN.</t>
  </si>
  <si>
    <t>STRUCTURE, REINFORCED CONCRETE, THREE-SIDED SECTIONS, 144 IN. X 72 IN.</t>
  </si>
  <si>
    <t>STRUCTURE, COATED REINFORCED CONCRETE, THREE-SIDED SECTIONS, 120 IN. X 96 IN.</t>
  </si>
  <si>
    <t>STRUCTURE, REINFORCED CONCRETE, THREE-SIDED SECTIONS, 156 IN. X 84 IN.</t>
  </si>
  <si>
    <t>STRUCTURE, COATED REINFORCED CONCRETE, THREE-SIDED SECTIONS, 240 IN. X 174 IN.</t>
  </si>
  <si>
    <t>STRUCTURE, COATED REINFORCED CONCRETE, THREE-SIDED SECTIONS, 216 IN. X 108 IN.</t>
  </si>
  <si>
    <t>STRUCTURE, COATED REINFORCED CONCRETE, THREE-SIDED SECTIONS, 216 IN. X 120 IN.</t>
  </si>
  <si>
    <t>STRUCTURE, REINFORCED CONCRETE, THREE-SIDED SECTIONS, 216 IN. X 144 IN.</t>
  </si>
  <si>
    <t>STRUCTURE, REINFORCED CONCRETE, THREE-SIDED SECTIONS, 576 IN. X 148 IN.</t>
  </si>
  <si>
    <t>STRUCTURE, REINFORCED CONCRETE, THREE-SIDED SECTIONS, 144 IN. X 51 IN.</t>
  </si>
  <si>
    <t>STRUCTURE, COATED REINFORCED CONCRETE, THREE-SIDED SECTIONS, 384 IN. X 108 IN.</t>
  </si>
  <si>
    <t>STRUCTURE, REINFORCED CONCRETE, THREE-SIDED SECTIONS, 600 IN. X 96 IN.</t>
  </si>
  <si>
    <t>STRUCTURE, REINFORCED CONCRETE, THREE-SIDED SECTIONS, 144 IN. X 48 IN.</t>
  </si>
  <si>
    <t>STRUCTURE, REINFORCED CONCRETE, THREE-SIDED SECTIONS, 480 IN. X 132 IN.</t>
  </si>
  <si>
    <t>STRUCTURE, COATED REINFORCED CONCRETE, THREE-SIDED SECTIONS, 384 IN. X 120 IN.</t>
  </si>
  <si>
    <t>STRUCTURE, REINFORCED CONCRETE, THREE-SIDED SECTIONS, 168 IN. X 108 IN.</t>
  </si>
  <si>
    <t>STRUCTURE, REINFORCED CONCRETE, THREE-SIDED SECTIONS, 192 IN. X 204 IN.</t>
  </si>
  <si>
    <t>STRUCTURE, COATED REINFORCED CONCRETE, THREE-SIDED SECTIONS, 168 IN. X 156 IN.</t>
  </si>
  <si>
    <t>STRUCTURE, COATED REINFORCED CONCRETE, THREE-SIDED SECTIONS, 168 IN. X 120 IN.</t>
  </si>
  <si>
    <t>STRUCTURE, COATED REINFORCED CONCRETE, THREE-SIDED SECTIONS, 204 IN. X 96 IN.</t>
  </si>
  <si>
    <t>STRUCTURE, COATED REINFORCED CONCRETE, THREE-SIDED SECTIONS, 168 IN. X 108 IN.</t>
  </si>
  <si>
    <t>STRUCTURE, COATED REINFORCED CONCRETE, THREE-SIDED SECTIONS, 336 IN. X 168 IN.</t>
  </si>
  <si>
    <t>STRUCTURE, COATED REINFORCED CONCRETE, THREE-SIDED SECTIONS, 192 IN. X 108 IN.</t>
  </si>
  <si>
    <t>STRUCTURE, REINFORCED CONCRETE, THREE-SIDED SECTIONS, 96 IN. X 48 IN.</t>
  </si>
  <si>
    <t>STRUCTURE, COATED REINFORCED CONCRETE, THREE-SIDED SECTIONS, 216 IN. X 72 IN.</t>
  </si>
  <si>
    <t>STRUCTURE, COATED REINFORCED CONCRETE, THREE-SIDED SECTIONS, 384 IN. X 128 IN.</t>
  </si>
  <si>
    <t>STRUCTURE, REINFORCED CONCRETE, THREE-SIDED SECTIONS, 168 IN. X 174 IN.</t>
  </si>
  <si>
    <t>STRUCTURE, COATED REINFORCED CONCRETE, THREE-SIDED SECTIONS, 264 IN. X 108 IN.</t>
  </si>
  <si>
    <t>STRUCTURE, REINFORCED CONCRETE, THREE-SIDED SECTIONS, 162 IN. X 96 IN.</t>
  </si>
  <si>
    <t>STRUCTURE, REINFORCED CONCRETE, THREE-SIDED SECTIONS, 96 IN. X 72 IN.</t>
  </si>
  <si>
    <t>STRUCTURE, COATED REINFORCED CONCRETE, THREE-SIDED SECTIONS, 264 IN. X 98 IN.</t>
  </si>
  <si>
    <t>STRUCTURE, COATED REINFORCED CONCRETE, THREE-SIDED SECTIONS, 264 IN. X 96 IN.</t>
  </si>
  <si>
    <t>STRUCTURE, COATED REINFORCED CONCRETE, THREE-SIDED SECTIONS, 144 IN. X 54 IN.</t>
  </si>
  <si>
    <t>STRUCTURE, REINFORCED CONCRETE, THREE-SIDED SECTIONS, 432 IN. X 169 IN.</t>
  </si>
  <si>
    <t>STRUCTURE, REINFORCED CONCRETE, THREE-SIDED SECTIONS, 432 IN. X 165 IN.</t>
  </si>
  <si>
    <t>STRUCTURE, COATED REINFORCED CONCRETE, THREE-SIDED SECTIONS, 240 IN. X 156 IN.</t>
  </si>
  <si>
    <t>STRUCTURE, COATED REINFORCED CONCRETE, THREE-SIDED SECTIONS, 228 IN. X 132 IN.</t>
  </si>
  <si>
    <t>STRUCTURE, REINFORCED CONCRETE, THREE-SIDED SECTIONS, 240 IN. X 128 IN.</t>
  </si>
  <si>
    <t>STRUCTURE, REINFORCED CONCRETE, THREE-SIDED SECTIONS, 240 IN. X 188 IN.</t>
  </si>
  <si>
    <t>STRUCTURE, COATED REINFORCED CONCRETE, THREE-SIDED SECTIONS, 240 IN. X 192 IN.</t>
  </si>
  <si>
    <t>STRUCTURE, REINFORCED CONCRETE, THREE-SIDED SECTIONS, 240 IN. X 156 IN.</t>
  </si>
  <si>
    <t>STRUCTURE EXTENSION, REINFORCED CONCRETE, THREE-SIDED SECTIONS, 156 IN. X 84 IN.</t>
  </si>
  <si>
    <t>STRUCTURE, REINFORCED CONCRETE, THREE-SIDED SECTIONS, 432 IN. X 120 IN.</t>
  </si>
  <si>
    <t>STRUCTURE, REINFORCED CONCRETE, THREE-SIDED SECTIONS, 276 IN. X 192 IN.</t>
  </si>
  <si>
    <t>STRUCTURE, REINFORCED CONCRETE, THREE-SIDED SECTIONS, 504 IN. X 162 IN.</t>
  </si>
  <si>
    <t>STRUCTURE, REINFORCED CONCRETE, THREE-SIDED SECTIONS, 480 IN. X 180 IN.</t>
  </si>
  <si>
    <t>STRUCTURE, REINFORCED CONCRETE, THREE-SIDED SECTIONS, 480 IN. X 102 IN.</t>
  </si>
  <si>
    <t>STRUCTURE, REINFORCED CONCRETE, THREE-SIDED SECTIONS, 444 IN. X 208 IN.</t>
  </si>
  <si>
    <t>STRUCTURE, REINFORCED CONCRETE, THREE-SIDED SECTIONS, 360 IN. X 144 IN.</t>
  </si>
  <si>
    <t>STRUCTURE, REINFORCED CONCRETE, THREE-SIDED SECTIONS, 288 IN. X 195 IN.</t>
  </si>
  <si>
    <t>STRUCTURE EXTENSION, REINFORCED CONCRETE, THREE-SIDED SECTIONS, 240 IN. X 120 IN.</t>
  </si>
  <si>
    <t>STRUCTURE EXTENSION, REINFORCED CONCRETE, THREE-SIDED SECTIONS, 120 IN. X 96 IN.</t>
  </si>
  <si>
    <t>STRUCTURE, REINFORCED CONCRETE, THREE-SIDED SECTIONS, 156 IN. X 120 IN.</t>
  </si>
  <si>
    <t>724</t>
  </si>
  <si>
    <t>BRIDGE EXPANSION JOINT, TYPE PCF</t>
  </si>
  <si>
    <t>BRIDGE EXPANSION JOINT, TYPE SS, REPLACE</t>
  </si>
  <si>
    <t>BRIDGE EXPANSION JOINT, TYPE M, REPLACE</t>
  </si>
  <si>
    <t>BRIDGE EXPANSION JOINT, TYPE PCF, REPLACE</t>
  </si>
  <si>
    <t>BRIDGE EXPANSION JOINT SEAL, TYPE PCF, REPLACE</t>
  </si>
  <si>
    <t>728</t>
  </si>
  <si>
    <t>DRILLED SHAFT, DIAMETER 48 IN.</t>
  </si>
  <si>
    <t>728-B-203</t>
  </si>
  <si>
    <t>DRILLED SHAFT, DIAMETER 84 IN.</t>
  </si>
  <si>
    <t>DRILLED SHAFT, DIAMETER 36 IN.</t>
  </si>
  <si>
    <t>DRILLED SHAFT, DIAMETER 72 IN.</t>
  </si>
  <si>
    <t>DRILLED SHAFT, DIAMETER 78 IN.</t>
  </si>
  <si>
    <t>DRILLED SHAFT, DIAMETER 24 IN.</t>
  </si>
  <si>
    <t>DRILLED SHAFT, DIAMETER 42 IN.</t>
  </si>
  <si>
    <t>DRILLED SHAFT, DIAMETER 63 IN.</t>
  </si>
  <si>
    <t>DRILLED SHAFT, DIAMETER 69 IN.</t>
  </si>
  <si>
    <t>DRILLED SHAFT, DIAMETER 60 IN.</t>
  </si>
  <si>
    <t>DRILLED SHAFT, DIAMETER 54 IN.</t>
  </si>
  <si>
    <t>DRILLED SHAFT, DIAMETER 66 IN.</t>
  </si>
  <si>
    <t>DRILLED SHAFT, DIAMETER 30 IN.</t>
  </si>
  <si>
    <t>DRILLED SHAFT DIAMETER 108 IN.</t>
  </si>
  <si>
    <t>DRILLED SHAFT DIAMETER 114 IN.</t>
  </si>
  <si>
    <t>731</t>
  </si>
  <si>
    <t>802</t>
  </si>
  <si>
    <t>CABLE SPAN SIGN STRUCTURE FOUNDATION, TYPE IV</t>
  </si>
  <si>
    <t>WIDE FLANGE SIGN POST SUPPORT FOUNDATION, TYPE A</t>
  </si>
  <si>
    <t>WIDE FLANGE SIGN POST SUPPORT FOUNDATION, TYPE B</t>
  </si>
  <si>
    <t>WIDE FLANGE SIGN POST SUPPORT FOUNDATION, TYPE C</t>
  </si>
  <si>
    <t>OVERHEAD BUTTERFLY CANTILEVER SIGN STRUCTURE FOUNDATION, DRILLED SHAFT 33 IN.</t>
  </si>
  <si>
    <t>OVERHEAD BUTTERFLY CANTILEVER SIGN STRUCTURE FOUNDATION, DRILLED SHAFT 45 IN.</t>
  </si>
  <si>
    <t>BOX TRUSS SIGN STRUCTURE FOUNDATION, 33 IN. CONCRETE BARRIER, FGH</t>
  </si>
  <si>
    <t>BOX TRUSS SIGN STRUCTURE FOUNDATION, 36 IN. MEDIAN OR SHOULDER, FGH</t>
  </si>
  <si>
    <t>BOX TRUSS SIGN STRUCTURE FOUNDATION, 45 IN. CONCRETE BARRIER WALL, FGH</t>
  </si>
  <si>
    <t>805</t>
  </si>
  <si>
    <t>CONTROLLER CABINET FOUNDATION, TYPE P1, MODIFIED</t>
  </si>
  <si>
    <t>100-C-166</t>
  </si>
  <si>
    <t>CONTROLLER CABINET FOUNDATION, TYPE A</t>
  </si>
  <si>
    <t>LOCATION NO. IN SUPP DESCR</t>
  </si>
  <si>
    <t>SIGNAL POLE FOUNDATION, 36 IN.  X 72 IN.</t>
  </si>
  <si>
    <t>SIGNAL CANTILEVER STRUCTURE, DRILLED SHAFT FOUNDATION, TYPE A</t>
  </si>
  <si>
    <t>SIGNAL CANTILEVER STRUCTURE, DRILLED SHAFT FOUNDATION, TYPE B</t>
  </si>
  <si>
    <t>SIGNAL CANTILEVER STRUCTURE, DRILLED SHAFT FOUNDATION, TYPE E</t>
  </si>
  <si>
    <t>SIGNAL CANTILEVER STRUCTURE, DRILLED SHAFT FOUNDATION, TYPE F</t>
  </si>
  <si>
    <t>SIGNAL CANTILEVER STRUCTURE, SPREAD FOOTING FOUNDATION, TYPE C</t>
  </si>
  <si>
    <t>SIGNAL CANTILEVER STRUCTURE, SPREAD FOOTING FOUNDATION, TYPE D</t>
  </si>
  <si>
    <t>CONTROLLER CABINET FOUNDATION, TYPE P1</t>
  </si>
  <si>
    <t>CONTROLLER CABINET FOUNDATION, TYPE M</t>
  </si>
  <si>
    <t>TRAFFIC SIGNAL INSTALLATION, NEW, LOCATION NO.</t>
  </si>
  <si>
    <t>807</t>
  </si>
  <si>
    <t>SEE STANDARD DRAWING 807-LTST-02</t>
  </si>
  <si>
    <t>LIGHTING FOUNDATION, CONCRETE, WITH GROUNDING, 24 IN. X 24 IN. X 96 IN.</t>
  </si>
  <si>
    <t>CONCRETE FOUNDATION, WITH GROUNDING, 20 IN. X 20 IN. X 48 IN.</t>
  </si>
  <si>
    <t>LIGHT POLE, BASE</t>
  </si>
  <si>
    <t>NEEDS TYPE TO BE STANDARD</t>
  </si>
  <si>
    <t>LIGHTING FOUNDATION, CONVENTIONAL POLE, CONCRETE, WITH GROUNDING</t>
  </si>
  <si>
    <t>LIGHTING FOUNDATION, HIGH MAST TOWER, CONCRETE, WITH GROUNDING</t>
  </si>
  <si>
    <t>LIGHTING FOUNDATION, 33 IN. BARRIER WALL, CONCRETE, WITH GROUNDING</t>
  </si>
  <si>
    <t>LIGHTING FOUNDATION, 45 IN. BARRIER WALL, CONCRETE WITH GROUND</t>
  </si>
  <si>
    <t>LIGHTING FOUNDATION, CONCRETE, WITH GROUNDING, HIGH MAST TOWER</t>
  </si>
  <si>
    <t>NAVIGATION LIGHT, PIER</t>
  </si>
  <si>
    <t>NAVIGATION LIGHT, CENTER CHANNEL</t>
  </si>
  <si>
    <t>TRANSFORMER BASE, HANDHOLE</t>
  </si>
  <si>
    <t>FOUNDATION, ANCHOR BOLTS AND REINFORCING STEEL, FOR ROADWAY LIGHT</t>
  </si>
  <si>
    <t>SET</t>
  </si>
  <si>
    <t>FOUNDATION, ANCHOR BOLTS AND REINFORCING STEEL, FOR POST TOP LIGHT</t>
  </si>
  <si>
    <t>809</t>
  </si>
  <si>
    <t>Combined for LookUp</t>
  </si>
  <si>
    <t>PCC BASE, 8 IN.  (SYS)</t>
  </si>
  <si>
    <t>PCC BASE, 9 IN.  (SYS)</t>
  </si>
  <si>
    <t>PCC BASE, 10 IN.  (SYS)</t>
  </si>
  <si>
    <t>PCC BASE, 11 IN.  (SYS)</t>
  </si>
  <si>
    <t>PCC BASE, 12 IN.  (SYS)</t>
  </si>
  <si>
    <t>PCC BASE, 13 IN.  (SYS)</t>
  </si>
  <si>
    <t>PCC BASE, 14 IN.  (SYS)</t>
  </si>
  <si>
    <t>PCC BASE PATCHING, 8 IN.  (SYS)</t>
  </si>
  <si>
    <t>PCC BASE PATCHING, 9 IN.  (SYS)</t>
  </si>
  <si>
    <t>PCC BASE PATCHING, 10 IN.  (SYS)</t>
  </si>
  <si>
    <t>PCC BASE PATCHING, 11 IN.  (SYS)</t>
  </si>
  <si>
    <t>PCC BASE PATCHING, 12 IN.  (SYS)</t>
  </si>
  <si>
    <t>PCC BASE PATCHING, 13 IN.  (SYS)</t>
  </si>
  <si>
    <t>PCC BASE PATCHING, 14 IN.  (SYS)</t>
  </si>
  <si>
    <t>WIDENING WITH PCC BASE, 8 IN.  (SYS)</t>
  </si>
  <si>
    <t>WIDENING WITH PCC BASE, 9 IN.  (SYS)</t>
  </si>
  <si>
    <t>WIDENING WITH PCC BASE, 10 IN.  (SYS)</t>
  </si>
  <si>
    <t>WIDENING WITH PCC BASE, 11 IN.  (SYS)</t>
  </si>
  <si>
    <t>WIDENING WITH PCC BASE, 12 IN.  (SYS)</t>
  </si>
  <si>
    <t>WIDENING WITH PCC BASE, 13 IN.  (SYS)</t>
  </si>
  <si>
    <t>WIDENING WITH PCC BASE, 14 IN.  (SYS)</t>
  </si>
  <si>
    <t>PCC BASE, 4 IN.  (SYS)</t>
  </si>
  <si>
    <t>PCC BASE, 6 IN.  (SYS)</t>
  </si>
  <si>
    <t>PCC BASE, 7 IN.  (SYS)</t>
  </si>
  <si>
    <t>PCC BASE PATCHING, 16 IN.  (SYS)</t>
  </si>
  <si>
    <t>PCC BASE PATCHING, 7 IN.  (SYS)</t>
  </si>
  <si>
    <t>PCC BASE PATCHING, 21 IN.  (SYS)</t>
  </si>
  <si>
    <t>PCC BASE PATCHING, 10.5 IN.  (SYS)</t>
  </si>
  <si>
    <t>PCC BASE, 10.5 IN.  (SYS)</t>
  </si>
  <si>
    <t>WIDENING WITH PCC BASE, 3 IN.  (SYS)</t>
  </si>
  <si>
    <t>LEAN CONCRETE BASE, 9 IN.  (SYS)</t>
  </si>
  <si>
    <t>QC/QA-PCCP, 10 IN.  (SYS)</t>
  </si>
  <si>
    <t>QC/QA-PCCP, 11 IN.  (SYS)</t>
  </si>
  <si>
    <t>QC/QA-PCCP, 12 IN.  (SYS)</t>
  </si>
  <si>
    <t>QC/QA-PCCP, 13 IN.  (SYS)</t>
  </si>
  <si>
    <t>QC/QA-PCCP, 14 IN.  (SYS)</t>
  </si>
  <si>
    <t>QC/QA-PCCP, 15 IN.  (SYS)</t>
  </si>
  <si>
    <t>QC/QA-PCCP  (SYS)</t>
  </si>
  <si>
    <t>QC/QA-PCCP, 10.5 IN.  (SYS)</t>
  </si>
  <si>
    <t>QC/QA-PCCP, 11.5 IN.  (SYS)</t>
  </si>
  <si>
    <t>QC/QA-PCCP, 12.5 IN.  (SYS)</t>
  </si>
  <si>
    <t>QC/QA-PCCP, 13.5 IN.  (SYS)</t>
  </si>
  <si>
    <t>QC/QA-PCCP, 14.5 IN.  (SYS)</t>
  </si>
  <si>
    <t>QC/QA-PCCP, 15.5 IN.  (SYS)</t>
  </si>
  <si>
    <t>QC/QA-PCCP, 16 IN.  (SYS)</t>
  </si>
  <si>
    <t>QC/QA-PCCP, 9 IN.  (SYS)</t>
  </si>
  <si>
    <t>QC/QA-PCCP, 8 IN.  (SYS)</t>
  </si>
  <si>
    <t>QC/QA-PCCP, 9.5 IN.  (SYS)</t>
  </si>
  <si>
    <t>QC/QA-PCCP, 8.5 IN.  (SYS)</t>
  </si>
  <si>
    <t>QC/QA-PCCP, 7.5 IN.  (SYS)</t>
  </si>
  <si>
    <t>QC/QA CONTINUOUS REINFORCED CONCRETE PAVEMENT, 11.5 IN.  (SYS)</t>
  </si>
  <si>
    <t>QC/QA-PCCP, 7 IN.  (SYS)</t>
  </si>
  <si>
    <t>QC/QA-PCC, THIN BONDED OVERLAY, 4 IN.  (SYS)</t>
  </si>
  <si>
    <t>QC/QA-PCC, THIN BONDED OVERLAY, 4.5 IN.  (SYS)</t>
  </si>
  <si>
    <t>QC/QA-PCC, THIN BONDED OVERLAY, 5 IN.  (SYS)</t>
  </si>
  <si>
    <t>QC/QA-PCC, THIN BONDED OVERLAY, 5.5 IN.  (SYS)</t>
  </si>
  <si>
    <t>QC/QA-PCC, THIN BONDED OVERLAY, 6 IN.  (SYS)</t>
  </si>
  <si>
    <t>QC/QA-PCC, ADDITIONAL  (CYS)</t>
  </si>
  <si>
    <t>QC/QA-PCC, THIN BONDED OVERLAY, 8 IN.  (SYS)</t>
  </si>
  <si>
    <t>PCC THIN BONDED INLAY  (CYS)</t>
  </si>
  <si>
    <t>QC/QA CONTINUOUS REINFORCED CONCRETE PAVEMENT, 11 IN.  (SYS)</t>
  </si>
  <si>
    <t>QC/QA CONTINUOUS REINFORCED CONCRETE PAVEMENT, 9.5 IN.  (SYS)</t>
  </si>
  <si>
    <t>QC/QA CONTINUOUS REINFORCED CONCRETE PAVEMENT, 13 IN.  (SYS)</t>
  </si>
  <si>
    <t>QC/QA CONTINUOUS REINFORCED CONCRETE PAVEMENT, 12 IN.  (SYS)</t>
  </si>
  <si>
    <t>PCCP, 10 IN.  (SYS)</t>
  </si>
  <si>
    <t>PCCP, 11 IN.  (SYS)</t>
  </si>
  <si>
    <t>PCCP, 12 IN.  (SYS)</t>
  </si>
  <si>
    <t>PCCP, 13 IN.  (SYS)</t>
  </si>
  <si>
    <t>PCCP, 14 IN.  (SYS)</t>
  </si>
  <si>
    <t>PCCP, 15 IN.  (SYS)</t>
  </si>
  <si>
    <t>PCCP, 9 IN.  (SYS)</t>
  </si>
  <si>
    <t>PCCP, 6 IN.  (SYS)</t>
  </si>
  <si>
    <t>PCCP, 16 IN.  (SYS)</t>
  </si>
  <si>
    <t>PCCP, 8 IN.  (SYS)</t>
  </si>
  <si>
    <t>PCCP, 18 IN.  (SYS)</t>
  </si>
  <si>
    <t>PCCP, 9.5 IN.  (SYS)</t>
  </si>
  <si>
    <t>PCCP, 10.5 IN.  (SYS)</t>
  </si>
  <si>
    <t>PCCP, 11.5 IN.  (SYS)</t>
  </si>
  <si>
    <t>PCCP, 12.5 IN.  (SYS)</t>
  </si>
  <si>
    <t>PCCP, 13.5 IN.  (SYS)</t>
  </si>
  <si>
    <t>PCCP, 14.5 IN.  (SYS)</t>
  </si>
  <si>
    <t>PCCP, 15.5 IN.  (SYS)</t>
  </si>
  <si>
    <t>PCCP, 4 IN.  (SYS)</t>
  </si>
  <si>
    <t>PCCP, 7 IN.  (SYS)</t>
  </si>
  <si>
    <t>PCCP, 7.5 IN.  (SYS)</t>
  </si>
  <si>
    <t>PCCP PRECAST, REMOVABLE  (SYS)</t>
  </si>
  <si>
    <t>PCCP, 5 IN.  (SYS)</t>
  </si>
  <si>
    <t>JOINTED REINFORCED CONCRETE PAVEMENT, 10 IN.  (SYS)</t>
  </si>
  <si>
    <t>JOINTED REINFORCED CONCRETE PAVEMENT, 12 IN.  (SYS)</t>
  </si>
  <si>
    <t>TERMINAL JOINT, TYPE HMA  (LFT)</t>
  </si>
  <si>
    <t>TERMINAL JOINT, TYPE PCCP  (LFT)</t>
  </si>
  <si>
    <t>JOINTED REINFORCED CONCRETE PAVEMENT, 14 IN.  (SYS)</t>
  </si>
  <si>
    <t>JOINTED REINFORCED CONCRETE PAVEMENT, 15 IN.  (SYS)</t>
  </si>
  <si>
    <t>JOINTED REINFORCED CONCRETE PAVEMENT, 13 IN.  (SYS)</t>
  </si>
  <si>
    <t>JOINTED REINFORCED CONCRETE PAVEMENT, 11 IN.  (SYS)</t>
  </si>
  <si>
    <t>TERMINAL JOINT, TYPE CRCP  (LFT)</t>
  </si>
  <si>
    <t>PCCP PATCHING, FULL DEPTH  (SYS)</t>
  </si>
  <si>
    <t>PCCP PATCHING, PARTIAL DEPTH  (SYS)</t>
  </si>
  <si>
    <t>PCC BONDED OVERLAY PATCHING, 4 IN.  (SYS)</t>
  </si>
  <si>
    <t>PCC BONDED OVERLAY PATCHING, 4.5 IN.  (SYS)</t>
  </si>
  <si>
    <t>PCC BONDED OVERLAY PATCHING, 5 IN.  (SYS)</t>
  </si>
  <si>
    <t>PCC BONDED OVERLAY PATCHING, 5.5 IN.  (SYS)</t>
  </si>
  <si>
    <t>GUARDRAIL END TREATMENT, TYPE  I  (EACH)</t>
  </si>
  <si>
    <t>CONCRETE BARRIER  (LFT)</t>
  </si>
  <si>
    <t>CONCRETE BARRIER, MODIFIED SECTION  (CYS)</t>
  </si>
  <si>
    <t>CONCRETE MEDIAN BARRIER, MODIFIED  (LFT)</t>
  </si>
  <si>
    <t>SIDEWALK, CONCRETE, RECONSTRUCT  (SYS)</t>
  </si>
  <si>
    <t>SIDEWALK, CONCRETE  (SYS)</t>
  </si>
  <si>
    <t>STAMPED CONCRETE SIDEWALK  (SYS)</t>
  </si>
  <si>
    <t>CURB RAMP, CONCRETE  (SYS)</t>
  </si>
  <si>
    <t>SIDEWALK, CONCRETE, RE-LAY  (SYS)</t>
  </si>
  <si>
    <t>STEPS, CONCRETE  (CYS)</t>
  </si>
  <si>
    <t>CURB, CONCRETE A  (LFT)</t>
  </si>
  <si>
    <t>CURB, ISLAND CONCRETE  (SYS)</t>
  </si>
  <si>
    <t>WALL  (LS)</t>
  </si>
  <si>
    <t>CURB, INTEGRAL CONCRETE  (LFT)</t>
  </si>
  <si>
    <t>CURB, INTEGRAL B CONCRETE  (LFT)</t>
  </si>
  <si>
    <t>CURB, INTEGRAL C CONCRETE  (LFT)</t>
  </si>
  <si>
    <t>CURB, INTEGRAL CONCRETE, MODIFIED  (LFT)</t>
  </si>
  <si>
    <t>CURB, CONCRETE  (LFT)</t>
  </si>
  <si>
    <t>CURB, CONCRETE, TYPE B  (LFT)</t>
  </si>
  <si>
    <t>CURB, CONCRETE, MODIFIED  (LFT)</t>
  </si>
  <si>
    <t>CURB AND GUTTER, CONCRETE  (LFT)</t>
  </si>
  <si>
    <t>CURB AND GUTTER, TYPE A, CONCRETE  (LFT)</t>
  </si>
  <si>
    <t>CURB AND GUTTER, TYPE B, CONCRETE  (LFT)</t>
  </si>
  <si>
    <t>CURB AND GUTTER, TYPE C, CONCRETE  (LFT)</t>
  </si>
  <si>
    <t>CURB AND GUTTER, CONCRETE, MODIFIED  (LFT)</t>
  </si>
  <si>
    <t>CURB AND GUTTER, TYPE B, CONCRETE, MODIFIED  (LFT)</t>
  </si>
  <si>
    <t>CURB AND GUTTER, TYPE C, CONCRETE, MODIFIED  (LFT)</t>
  </si>
  <si>
    <t>CENTER CURB, A CONCRETE  (LFT)</t>
  </si>
  <si>
    <t>CENTER CURB, B CONCRETE  (LFT)</t>
  </si>
  <si>
    <t>CENTER CURB, C CONCRETE  (LFT)</t>
  </si>
  <si>
    <t>CENTER CURB, D CONCRETE  (LFT)</t>
  </si>
  <si>
    <t>CENTER CURB, B CONCRETE, MODIFIED  (LFT)</t>
  </si>
  <si>
    <t>CENTER CURB, C CONCRETE, MODIFIED  (LFT)</t>
  </si>
  <si>
    <t>CENTER CURB, D CONCRETE, MODIFIED  (LFT)</t>
  </si>
  <si>
    <t>CENTER CURB, A CONCRETE  (SYS)</t>
  </si>
  <si>
    <t>CENTER CURB, B CONCRETE  (SYS)</t>
  </si>
  <si>
    <t>CENTER CURB, C CONCRETE  (SYS)</t>
  </si>
  <si>
    <t>CENTER CURB, D CONCRETE  (SYS)</t>
  </si>
  <si>
    <t>CURB AND GUTTER, TURNOUT COMBINED  (LFT)</t>
  </si>
  <si>
    <t>CURB, TURNOUT  (LFT)</t>
  </si>
  <si>
    <t>CURB AND GUTTER, COMBINED  (LFT)</t>
  </si>
  <si>
    <t>CURB, CONCRETE, DEPRESSED  (LFT)</t>
  </si>
  <si>
    <t>CURB, WALK CONCRETE  (SYS)</t>
  </si>
  <si>
    <t>CURB AND GUTTER, COMBINED B, MODIFIED  (LFT)</t>
  </si>
  <si>
    <t>CURB, TURNOUT  (EACH)</t>
  </si>
  <si>
    <t>CURB, CONCRETE, INTEGRAL, MODIFIED  (LFT)</t>
  </si>
  <si>
    <t>CURB AND GUTTER, CONCRETE DEPRESSED  (LFT)</t>
  </si>
  <si>
    <t>CURB AND GUTTER, TURNOUT COMBINED, MODIFIED  (EACH)</t>
  </si>
  <si>
    <t>CURB AND GUTTER, ROLL CURB  (LFT)</t>
  </si>
  <si>
    <t>GUTTER, CONCRETE, TYPE A  (LFT)</t>
  </si>
  <si>
    <t>PAVED SIDE DITCH, TYPE A  (LFT)</t>
  </si>
  <si>
    <t>PAVED SIDE DITCH, TYPE B  (LFT)</t>
  </si>
  <si>
    <t>PAVED SIDE DITCH, TYPE C  (LFT)</t>
  </si>
  <si>
    <t>PAVED SIDE DITCH, TYPE D  (LFT)</t>
  </si>
  <si>
    <t>PAVED SIDE DITCH, TYPE E  (LFT)</t>
  </si>
  <si>
    <t>PAVED SIDE DITCH, TYPE F  (LFT)</t>
  </si>
  <si>
    <t>PAVED SIDE DITCH, TYPE G  (LFT)</t>
  </si>
  <si>
    <t>PAVED SIDE DITCH, TYPE H  (LFT)</t>
  </si>
  <si>
    <t>PAVED SIDE DITCH, TYPE J  (LFT)</t>
  </si>
  <si>
    <t>PAVED SIDE DITCH, TYPE K  (LFT)</t>
  </si>
  <si>
    <t>PAVED SIDE DITCH, TYPE L  (LFT)</t>
  </si>
  <si>
    <t>PAVED SIDE DITCH, TYPE M  (LFT)</t>
  </si>
  <si>
    <t>PAVED SIDE DITCH, TYPE L, MODIFIED  (LFT)</t>
  </si>
  <si>
    <t>PAVED SIDE DITCH, TYPE H, MODIFIED  (LFT)</t>
  </si>
  <si>
    <t>REINFORCED CONCRETE BRIDGE APPROACH, 10 IN.  (SYS)</t>
  </si>
  <si>
    <t>REINFORCED CONCRETE BRIDGE APPROACH, 11 IN.  (SYS)</t>
  </si>
  <si>
    <t>REINFORCED CONCRETE BRIDGE APPROACH, 12 IN.  (SYS)</t>
  </si>
  <si>
    <t>REINFORCED CONCRETE BRIDGE APPROACH, 13 IN.  (SYS)</t>
  </si>
  <si>
    <t>REINFORCED CONCRETE BRIDGE APPROACH, 14 IN.  (SYS)</t>
  </si>
  <si>
    <t>REINFORCED CONCRETE BRIDGE APPROACH, 15 IN.  (SYS)</t>
  </si>
  <si>
    <t>REINFORCED CONCRETE BRIDGE APPROACH, 16 IN.  (SYS)</t>
  </si>
  <si>
    <t>REINFORCED CONCRETE BRIDGE APPROACH, 9 IN.  (SYS)</t>
  </si>
  <si>
    <t>REINFORCED CONCRETE BRIDGE APPROACH, 7 IN.  (SYS)</t>
  </si>
  <si>
    <t>REINFORCED CONCRETE BRIDGE APPROACH, 8 IN.  (SYS)</t>
  </si>
  <si>
    <t>PCCP FOR APPROACHES, 8 IN.  (SYS)</t>
  </si>
  <si>
    <t>PCCP FOR APPROACHES, 6 IN.  (SYS)</t>
  </si>
  <si>
    <t>PCCP FOR APPROACHES, 12 IN.  (SYS)</t>
  </si>
  <si>
    <t>PCCP FOR APPROACHES, 11 IN.  (SYS)</t>
  </si>
  <si>
    <t>PCCP FOR APPROACHES, 9 IN.  (SYS)</t>
  </si>
  <si>
    <t>PCCP FOR APPROACHES, 9.5 IN.  (SYS)</t>
  </si>
  <si>
    <t>PCCP FOR APPROACHES, 7 IN.  (SYS)</t>
  </si>
  <si>
    <t>HEADER, CEMENT CONCRETE, TYPE A  (LFT)</t>
  </si>
  <si>
    <t>HEADER, CEMENT CONCRETE, TYPE B  (LFT)</t>
  </si>
  <si>
    <t>HEADER, CEMENT CONCRETE, TYPE C  (LFT)</t>
  </si>
  <si>
    <t>HEADER, CEMENT CONCRETE, RECONSTRUCT  (LFT)</t>
  </si>
  <si>
    <t>MONUMENT, TYPE A  (EACH)</t>
  </si>
  <si>
    <t>MONUMENT, TYPE B  (EACH)</t>
  </si>
  <si>
    <t>MONUMENT, TYPE C  (EACH)</t>
  </si>
  <si>
    <t>MONUMENT, SECTION CORNER  (EACH)</t>
  </si>
  <si>
    <t>SLOPEWALL  (SYS)</t>
  </si>
  <si>
    <t>SLOPEWALL, CONCRETE, 5 IN.  (SYS)</t>
  </si>
  <si>
    <t>SLOPEWALL, CONCRETE, 4 IN.  (SYS)</t>
  </si>
  <si>
    <t>FOUNTAIN, DRINKING  (EACH)</t>
  </si>
  <si>
    <t>WALL  (LFT)</t>
  </si>
  <si>
    <t>SOUND BARRIER PANELS, WALL MOUNTED TYPE  (SFT)</t>
  </si>
  <si>
    <t>SOUND BARRIER PANELS, GROUND MOUNTED TYPE  (SFT)</t>
  </si>
  <si>
    <t>SOUND BARRIER PANELS, BRIDGE MOUNTED TYPE  (SFT)</t>
  </si>
  <si>
    <t>FLOODWALL  (LS)</t>
  </si>
  <si>
    <t>CABLE BARRIER SYSTEM, TYPE TL-3  (LFT)</t>
  </si>
  <si>
    <t>CABLE BARRIER SYSTEM, TYPE TL-4  (LFT)</t>
  </si>
  <si>
    <t>SAFETY TERMINAL, TYPE TL-3  (EACH)</t>
  </si>
  <si>
    <t>SAFETY TERMINAL, TYPE TL-4  (EACH)</t>
  </si>
  <si>
    <t>CABLE BARRIER SYSTEM, TYPE TL-3, SPARE PARTS  (LS)</t>
  </si>
  <si>
    <t>CABLE BARRIER SYSTEM, TYPE TL-4, SPARE PARTS  (LS)</t>
  </si>
  <si>
    <t>PILE, STEEL PIPE, 0.375 IN., DIAMETER 14 IN.  (LFT)</t>
  </si>
  <si>
    <t>PILE, STEEL PIPE, 0.312 IN., DIAMETER 16 IN.  (LFT)</t>
  </si>
  <si>
    <t>PILE, STEEL PIPE, 0.250 IN., DIAMETER 14 IN.  (LFT)</t>
  </si>
  <si>
    <t>PILE, STEEL PIPE, 0.312 IN., DIAMETER 14 IN.  (LFT)</t>
  </si>
  <si>
    <t>PILE, STEEL PIPE, 0.344 IN., DIAMETER 14 IN.  (LFT)</t>
  </si>
  <si>
    <t>PILE, STEEL PIPE, EPOXY COATED, 0.184 IN., DIAMETER 14 IN.  (LFT)</t>
  </si>
  <si>
    <t>PILE, STEEL PIPE, EPOXY COATED, 0.250 IN., DIAMETER 14 IN.  (LFT)</t>
  </si>
  <si>
    <t>PILE, STEEL PIPE, EPOXY COATED, 0.312 IN., DIAMETER 14 IN.  (LFT)</t>
  </si>
  <si>
    <t>PILE, STEEL PIPE, EPOXY COATED, 0.344 IN., DIAMETER 14 IN.  (LFT)</t>
  </si>
  <si>
    <t>PILE, STEEL PIPE, EPOXY COATED, 0.375 IN., DIAMETER 14 IN.  (LFT)</t>
  </si>
  <si>
    <t>PILE, STEEL PIPE, 0.5 IN., DIAMETER 14 IN.  (LFT)</t>
  </si>
  <si>
    <t>PILE, STEEL PIPE, 0.438 IN., DIAMETER 14 IN.  (LFT)</t>
  </si>
  <si>
    <t>PILE, STEEL PIPE, 0.5 IN., DIAMETER 16 IN.  (LFT)</t>
  </si>
  <si>
    <t>PILE, STEEL PIPE, EPOXY COATED, 0.500 IN., DIAMETER 14 IN.  (LFT)</t>
  </si>
  <si>
    <t>PILE, STEEL PIPE, 0.500 IN., DIAMETER 24 IN.  (LFT)</t>
  </si>
  <si>
    <t>PILE, STEEL PIPE, 0.750 IN., DIAMETER 24 IN.  (LFT)</t>
  </si>
  <si>
    <t>PILE, STEEL PIPE, 0.5 IN., DIAMETER 18 IN.  (LFT)</t>
  </si>
  <si>
    <t>PILE, STEEL PIPE, 0.375 IN., DIAMETER 24 IN.  (LFT)</t>
  </si>
  <si>
    <t>PILE, STEEL PIPE, EPOXY COATED, 0.375 IN., DIAMETER 24 IN.  (LFT)</t>
  </si>
  <si>
    <t>PILE, STEEL PIPE, 0.375 IN., DIAMETER 16 IN.  (LFT)</t>
  </si>
  <si>
    <t>REINFORCED CONCRETE ENCASEMENT FOR H PILES  (LFT)</t>
  </si>
  <si>
    <t>PILE, STEEL PIPE, EPOXY COATED, 0.375 IN., DIAMETER 16 IN.  (LFT)</t>
  </si>
  <si>
    <t>PILE, STEEL PIPE, 0.312 IN., DIAMETER 18 IN.  (LFT)</t>
  </si>
  <si>
    <t>PILE, STEEL PIPE, EPOXY COATED, 0.312 IN., DIAMETER 18 IN.  (LFT)</t>
  </si>
  <si>
    <t>CONCRETE, C, FOOTINGS  (CYS)</t>
  </si>
  <si>
    <t>CONCRETE, A, STRUCTURES  (CYS)</t>
  </si>
  <si>
    <t>CONCRETE, A, SUPERSTRUCTURE  (CYS)</t>
  </si>
  <si>
    <t>CONCRETE, A, SUBSTRUCTURE  (CYS)</t>
  </si>
  <si>
    <t>CONCRETE, B, ABOVE FOOTINGS  (CYS)</t>
  </si>
  <si>
    <t>CONCRETE, B, FOOTINGS  (CYS)</t>
  </si>
  <si>
    <t>CONCRETE, FOUNDATION SEAL  (CYS)</t>
  </si>
  <si>
    <t>CONCRETE  (CYS)</t>
  </si>
  <si>
    <t>CONCRETE, A  (CYS)</t>
  </si>
  <si>
    <t>CONCRETE, C, SUBSTRUCTURE  (CYS)</t>
  </si>
  <si>
    <t>CONCRETE, C  (CYS)</t>
  </si>
  <si>
    <t>CONCRETE, C, SUPERSTRUCTURE  (CYS)</t>
  </si>
  <si>
    <t>CONCRETE, C, SUPERSTRUCTURE, MODIFIED  (CYS)</t>
  </si>
  <si>
    <t>CONCRETE BRIDGE RAILING TRANSITION, TYPE TPF-1  (EACH)</t>
  </si>
  <si>
    <t>CONCRETE BRIDGE RAILING TRANSITION, TYPE TPS-1  (EACH)</t>
  </si>
  <si>
    <t>CONCRETE BRIDGE RAILING TRANSITION, TYPE TTX  (EACH)</t>
  </si>
  <si>
    <t>REINFORCED CONCRETE MOMENT SLAB, 12 IN.  (SYS)</t>
  </si>
  <si>
    <t>REINFORCED CONCRETE MOMENT SLAB, 12.5 IN.  (SYS)</t>
  </si>
  <si>
    <t>REINFORCED CONCRETE MOMENT SLAB, 13 IN.  (SYS)</t>
  </si>
  <si>
    <t>REINFORCED CONCRETE MOMENT SLAB, 13.5 IN.  (SYS)</t>
  </si>
  <si>
    <t>REINFORCED CONCRETE MOMENT SLAB, 14 IN.  (SYS)</t>
  </si>
  <si>
    <t>REINFORCED CONCRETE MOMENT SLAB, 14.5 IN.  (SYS)</t>
  </si>
  <si>
    <t>REINFORCED CONCRETE MOMENT SLAB, 15 IN.  (SYS)</t>
  </si>
  <si>
    <t>REINFORCED CONCRETE MOMENT SLAB, 15.5 IN.  (SYS)</t>
  </si>
  <si>
    <t>REINFORCED CONCRETE MOMENT SLAB, 16 IN.  (SYS)</t>
  </si>
  <si>
    <t>REINFORCED CONCRETE MOMENT SLAB, 18 IN.  (SYS)</t>
  </si>
  <si>
    <t>REINFORCED CONCRETE MOMENT SLAB, 24 IN.  (SYS)</t>
  </si>
  <si>
    <t>REINFORCED CONCRETE MOMENT SLAB, 30 IN.  (SYS)</t>
  </si>
  <si>
    <t>REINFORCED CONCRETE MOMENT SLAB, 20 IN.  (SYS)</t>
  </si>
  <si>
    <t>RAILING, CONCRETE TYPE FT  (LFT)</t>
  </si>
  <si>
    <t>RAILING, CONCRETE TYPE FC  (LFT)</t>
  </si>
  <si>
    <t>RAILING, CONCRETE TYPE PS-1  (LFT)</t>
  </si>
  <si>
    <t>RAILING, CONCRETE TYPE PF-1  (LFT)</t>
  </si>
  <si>
    <t>RAILING, CONCRETE TYPE TX  (LFT)</t>
  </si>
  <si>
    <t>RAILING, CONCRETE TYPE TF-2  (LFT)</t>
  </si>
  <si>
    <t>RAILING, CONCRETE TYPE FC  (CYS)</t>
  </si>
  <si>
    <t>RAILING, CONCRETE TYPE FT  (CYS)</t>
  </si>
  <si>
    <t>RAILING, CONCRETE TYPE PF-1  (CYS)</t>
  </si>
  <si>
    <t>RAILING, CONCRETE TYPE PS-1  (CYS)</t>
  </si>
  <si>
    <t>RAILING, CONCRETE TYPE TF-2  (CYS)</t>
  </si>
  <si>
    <t>RAILING, CONCRETE TYPE TX  (CYS)</t>
  </si>
  <si>
    <t>CONCRETE BRIDGE RAILING TRANSITION, TYPE TFC  (EACH)</t>
  </si>
  <si>
    <t>CONCRETE BRIDGE RAILING TRANSITION, TYPE TFT  (EACH)</t>
  </si>
  <si>
    <t>CONCRETE BRIDGE RAILING TRANSITION, TYPE WFC  (EACH)</t>
  </si>
  <si>
    <t>CONCRETE BRIDGE RAILING TRANSITION, TYPE TTF-2  (EACH)</t>
  </si>
  <si>
    <t>REINFORCED CONCRETE MOMENT SLAB, 10 IN.  (SYS)</t>
  </si>
  <si>
    <t>REINFORCED CONCRETE MOMENT SLAB, 11 IN  (SYS)</t>
  </si>
  <si>
    <t>REINFORCED CONCRETE MOMENT SLAB, 8 IN.  (SYS)</t>
  </si>
  <si>
    <t>RAILING, CONCRETE TYPE C  (CYS)</t>
  </si>
  <si>
    <t>RAILING, CONCRETE TYPE C  (LFT)</t>
  </si>
  <si>
    <t>RAILING, CONCRETE TYPE C, MODIFIED  (LFT)</t>
  </si>
  <si>
    <t>RAILING, CONCRETE TYPE C, MODIFIED  (CYS)</t>
  </si>
  <si>
    <t>PATCHING CONCRETE STRUCTURES  (SFT)</t>
  </si>
  <si>
    <t>MASONRY COLUMN  (EACH)</t>
  </si>
  <si>
    <t>STRUCTURE  (EACH)</t>
  </si>
  <si>
    <t>STRUCTURE EXTENSION, REINFORCED CONCRETE, BOX SECTIONS, 8 FT X 3 FT  (LFT)</t>
  </si>
  <si>
    <t>STRUCTURE EXTENSION, REINFORCED, BOX SECTIONS, 10 FT 6 IN. X 6 FT  (LFT)</t>
  </si>
  <si>
    <t>STRUCTURE, REINFORCED CONCRETE, BOX SECTIONS, 20 FT X 8 FT  (LFT)</t>
  </si>
  <si>
    <t>STRUCTURE EXTENSION, REINFORCED CONCRETE, BOX SECTIONS, 10 FT X 8 FT  (LFT)</t>
  </si>
  <si>
    <t>STRUCTURE EXTENSION, REINFORCED CONCRETE, BOX SECTIONS, 3 FT X 3 FT  (LFT)</t>
  </si>
  <si>
    <t>STRUCTURE EXTENSION, REINFORCED CONCRETE, BOX SECTIONS, 3 FT X 2.2 FT  (LFT)</t>
  </si>
  <si>
    <t>STRUCTURE, REINFORCED CONCRETE, BOX SECTIONS, 9 FT X 6 FT  (LFT)</t>
  </si>
  <si>
    <t>STRUCTURE, REINFORCED CONCRETE, BOX SECTIONS, 12 FT X 3 FT  (LFT)</t>
  </si>
  <si>
    <t>STRUCTURE, REINFORCED CONCRETE, BOX SECTIONS, 9 FT X 8 FT  (LFT)</t>
  </si>
  <si>
    <t>STRUCTURE, REINFORCED CONCRETE, BOX SECTIONS, 12 FT X 12 FT  (LFT)</t>
  </si>
  <si>
    <t>STRUCTURE, REINFORCED CONCRETE, BOX SECTIONS, 11 FT X 6 FT  (LFT)</t>
  </si>
  <si>
    <t>STRUCTURE, REINFORCED CONCRETE, BOX SECTIONS, 7 FT X 3 FT  (LFT)</t>
  </si>
  <si>
    <t>STRUCTURE, REINFORCED CONCRETE, BOX SECTIONS  (LFT)</t>
  </si>
  <si>
    <t>STRUCTURE, REINFORCED CONCRETE, BOX SECTIONS, 12 FT X 5 FT  (LFT)</t>
  </si>
  <si>
    <t>STRUCTURE, REINFORCED CONCRETE, BOX SECTIONS, 14 FT X 10 FT  (LFT)</t>
  </si>
  <si>
    <t>STRUCTURE, REINFORCED CONCRETE, BOX SECTIONS, 11 FT X 4 FT  (LFT)</t>
  </si>
  <si>
    <t>STRUCTURE, REINFORCED CONCRETE, BOX SECTIONS, 18 FT X 4 FT  (LFT)</t>
  </si>
  <si>
    <t>STRUCTURE, REINFORCED CONCRETE, BOX SECTIONS, 14 FT X 4 FT  (LFT)</t>
  </si>
  <si>
    <t>STRUCTURE, REINFORCED CONCRETE, BOX SECTIONS, 14 FT X 8 FT  (LFT)</t>
  </si>
  <si>
    <t>STRUCTURE, REINFORCED CONCRETE, BOX SECTIONS, 9 FT X 4 FT  (LFT)</t>
  </si>
  <si>
    <t>STRUCTURE, REINFORCED CONCRETE, BOX SECTIONS, 8 FT X 3 FT  (LFT)</t>
  </si>
  <si>
    <t>STRUCTURE, REINFORCED CONCRETE, BOX SECTIONS, 14 FT X 5 FT  (LFT)</t>
  </si>
  <si>
    <t>STRUCTURE, REINFORCED CONCRETE, BOX SECTIONS, 20 FT X 5 FT  (LFT)</t>
  </si>
  <si>
    <t>STRUCTURE, REINFORCED CONCRETE, BOX SECTIONS, 16 FT X 8 FT  (LFT)</t>
  </si>
  <si>
    <t>STRUCTURE, REINFORCED CONCRETE, BOX SECTIONS, 18 FT X 6 FT  (LFT)</t>
  </si>
  <si>
    <t>STRUCTURE, REINFORCED CONCRETE, BOX SECTIONS, 5 FT X 2 FT  (LFT)</t>
  </si>
  <si>
    <t>STRUCTURE, REINFORCED CONCRETE, BOX SECTIONS, 16 FT X 7 FT  (LFT)</t>
  </si>
  <si>
    <t>STRUCTURE, REINFORCED CONCRETE, BOX SECTIONS, 16 FT X 4 FT  (LFT)</t>
  </si>
  <si>
    <t>STRUCTURE, REINFORCED CONCRETE, BOX SECTIONS, 6 FT X 7 FT  (LFT)</t>
  </si>
  <si>
    <t>STRUCTURE, REINFORCED CONCRETE, BOX SECTIONS, 14 FT X 6 FT  (LFT)</t>
  </si>
  <si>
    <t>STRUCTURE EXTENSION, REINFORCED CONCRETE, BOX SECTIONS, 6 FT X 5 FT  (LFT)</t>
  </si>
  <si>
    <t>STRUCTURE, REINFORCED CONCRETE, BOX SECTIONS, 16 FT X 5 FT  (LFT)</t>
  </si>
  <si>
    <t>STRUCTURE, REINFORCED CONCRETE, BOX SECTIONS, 18 FT X 7 FT  (LFT)</t>
  </si>
  <si>
    <t>STRUCTURE, REINFORCED CONCRETE, BOX SECTIONS, 8 FT X 2 FT  (LFT)</t>
  </si>
  <si>
    <t>STRUCTURE, REINFORCED CONCRETE, BOX SECTIONS, 2 FT X 3 FT  (LFT)</t>
  </si>
  <si>
    <t>STRUCTURE, REINFORCED CONCRETE, BOX SECTIONS, 14 FT X 7 FT  (LFT)</t>
  </si>
  <si>
    <t>STRUCTURE, REINFORCED CONCRETE, BOX SECTIONS, 20 FT X 7 FT  (LFT)</t>
  </si>
  <si>
    <t>STRUCTURE, REINFORCED CONCRETE, BOX SECTIONS, 13 FT X 8 FT  (LFT)</t>
  </si>
  <si>
    <t>STRUCTURE, REINFORCED CONCRETE, BOX SECTIONS, 10 FT X 3 FT  (LFT)</t>
  </si>
  <si>
    <t>STRUCTURE, REINFORCED CONCRETE, BOX SECTIONS, 9 FT X 3 FT  (LFT)</t>
  </si>
  <si>
    <t>STRUCTURE, REINFORCED CONCRETE, BOX SECTIONS, 16 FT X 6 FT  (LFT)</t>
  </si>
  <si>
    <t>STRUCTURE, REINFORCED CONCRETE, BOX SECTIONS, 18 FT X 9 FT  (LFT)</t>
  </si>
  <si>
    <t>STRUCTURE, REINFORCED CONCRETE, BOX SECTIONS, 14 FT X 3 FT  (LFT)</t>
  </si>
  <si>
    <t>STRUCTURE, REINFORCED CONCRETE, BOX SECTIONS, 34 FT X 11 FT  (LFT)</t>
  </si>
  <si>
    <t>STRUCTURE, REINFORCED CONCRETE, BOX SECTIONS, 4 FT X 3 FT 4 IN.  (LFT)</t>
  </si>
  <si>
    <t>STRUCTURE, REINFORCED CONCRETE, BOX SECTIONS, 3 FT 10 IN. X 2 FT 5 IN.  (LFT)</t>
  </si>
  <si>
    <t>STRUCTURE EXTENSION, REINFORCED CONCRETE, BOX SECTIONS, 3 FT 6 IN. X 3 FT 6 IN.  (LFT)</t>
  </si>
  <si>
    <t>STRUCTURE, REINFORCED CONCRETE, BOX SECTIONS, 18 FT X 10 FT  (LFT)</t>
  </si>
  <si>
    <t>STRUCTURE, REINFORCED CONCRETE, BOX SECTIONS, 5 FT X 2 FT 6 IN.  (LFT)</t>
  </si>
  <si>
    <t>STRUCTURE, REINFORCED CONCRETE, BOX SECTIONS, 20 FT X 9 FT  (LFT)</t>
  </si>
  <si>
    <t>STRUCTURE EXTENSION, REINFORCED CONCRETE, BOX SECTIONS, 5 FT X 5 FT  (LFT)</t>
  </si>
  <si>
    <t>STRUCTURE, REINFORCED CONCRETE, BOX SECTIONS, 6 FT X 2 FT  (LFT)</t>
  </si>
  <si>
    <t>STRUCTURE EXTENSION, REINFORCED CONCRETE, BOX SECTIONS, 3 FT X 2 FT  (LFT)</t>
  </si>
  <si>
    <t>STRUCTURE EXTENSION, REINFORCED CONCRETE, BOX SECTIONS, 12 FT X 12 FT  (LFT)</t>
  </si>
  <si>
    <t>STRUCTURE EXTENSION, REINFORCED CONCRETE, BOX SECTIONS, 12 FT X 5 FT 6 IN.  (LFT)</t>
  </si>
  <si>
    <t>STRUCTURE, REINFORCED CONCRETE, BOX SECTIONS, 14 FT X 12 FT  (LFT)</t>
  </si>
  <si>
    <t>STRUCTURE, REINFORCED CONCRETE, BOX SECTIONS, 18 FT X 8 FT  (LFT)</t>
  </si>
  <si>
    <t>STRUCTURE EXTENSION, REINFORCED CONCRETE, BOX SECTIONS, 8 FT X 8 FT  (LFT)</t>
  </si>
  <si>
    <t>STRUCTURE EXTENSION, REINFORCED CONCRETE, BOX SECTIONS, 4 FT X 5 FT  (LFT)</t>
  </si>
  <si>
    <t>STRUCTURE, REINFORCED CONCRETE, BOX SECTIONS, 17 FT X 7 FT  (LFT)</t>
  </si>
  <si>
    <t>STRUCTURE EXTENSION, REINFORCED CONCRETE, BOX SECTIONS, 6 FT X 8 FT  (LFT)</t>
  </si>
  <si>
    <t>STRUCTURE, COATED REINFORCED CONCRETE, BOX SECTIONS, 16 FT X 8 FT  (LFT)</t>
  </si>
  <si>
    <t>STRUCTURE, REINFORCED CONCRETE, BOX SECTIONS, 15 FT X 11 FT  (LFT)</t>
  </si>
  <si>
    <t>STRUCTURE, REINFORCED CONCRETE, BOX SECTIONS, 12 FT X 7 FT  (LFT)</t>
  </si>
  <si>
    <t>STRUCTURE, REINFORCED CONCRETE, BOX SECTIONS, 14 FT X 9 FT  (LFT)</t>
  </si>
  <si>
    <t>STRUCTURE, REINFORCED CONCRETE, BOX SECTIONS, 19 FT X 11 FT  (LFT)</t>
  </si>
  <si>
    <t>STRUCTURE, REINFORCED CONCRETE, BOX SECTIONS, 13 FT X 3 FT  (LFT)</t>
  </si>
  <si>
    <t>STRUCTURE, REINFORCED CONCRETE, BOX SECTIONS, 4 FT X 2 FT 6 IN.  (LFT)</t>
  </si>
  <si>
    <t>STRUCTURE, REINFORCED CONCRETE, BOX SECTIONS, 17 FT X 8 FT  (LFT)</t>
  </si>
  <si>
    <t>STRUCTURE, REINFORCED CONCRETE, BOX SECTIONS, 17 FT X 5 FT  (LFT)</t>
  </si>
  <si>
    <t>STRUCTURE, REINFORCED CONCRETE, BOX SECTIONS, 18 FT X 5 FT  (LFT)</t>
  </si>
  <si>
    <t>STRUCTURE, REINFORCED CONCRETE, BOX SECTIONS, 19 FT X 4 FT  (LFT)</t>
  </si>
  <si>
    <t>STRUCTURE, REINFORCED CONCRETE, BOX SECTIONS, 22 FT X 6 FT  (LFT)</t>
  </si>
  <si>
    <t>STRUCTURE, REINFORCED CONCRETE, BOX SECTIONS, 17 FT X 9 FT  (LFT)</t>
  </si>
  <si>
    <t>STRUCTURE, COATED REINFORCED CONCRETE, BOX SECTIONS, 18 FT X 5 FT  (LFT)</t>
  </si>
  <si>
    <t>STRUCTURE, COATED REINFORCED CONCRETE, BOX SECTIONS, 12 FT X 7 FT  (LFT)</t>
  </si>
  <si>
    <t>STRUCTURE, REINFORCED CONCRETE, BOX SECTIONS, 8 FT X 9 FT  (LFT)</t>
  </si>
  <si>
    <t>STRUCTURE, REINFORCED CONCRETE, BOX SECTIONS, 20 FT X 12 FT  (LFT)</t>
  </si>
  <si>
    <t>STRUCTURE, REINFORCED CONCRETE, BOX SECTIONS, 16 FT X 11 FT  (LFT)</t>
  </si>
  <si>
    <t>STRUCTURE, REINFORCED CONCRETE BOX SECTIONS, 12 FT X 9 FT  (LFT)</t>
  </si>
  <si>
    <t>STRUCTURE, REINFORCED CONCRETE, BOX SECTIONS, 7 FT X 8 FT  (LFT)</t>
  </si>
  <si>
    <t>STRUCTURE, REINFORCED CONCRETE, BOX SECTIONS, 6 FT X 8 FT  (LFT)</t>
  </si>
  <si>
    <t>STRUCTURE, COATED REINFORCED CONCRETE, BOX SECTIONS, 10 FT X 10 FT  (LFT)</t>
  </si>
  <si>
    <t>STRUCTURE, REINFORCED CONCRETE, BOX SECTIONS, 13 FT X 5 FT  (LFT)</t>
  </si>
  <si>
    <t>STRUCTURE, REINFORCED CONCRETE, BOX SECTIONS, 7 FT X 7 FT  (LFT)</t>
  </si>
  <si>
    <t>STRUCTURE, REINFORCED CONCRETE, BOX SECTIONS, 19 FT X 8 FT  (LFT)</t>
  </si>
  <si>
    <t>STRUCTURE EXTENSION, REINFORCED CONCRETE, BOX SECTIONS, 4 FT X 4 FT  (LFT)</t>
  </si>
  <si>
    <t>STRUCTURE EXTENSION, REINFORCED CONCRETE, BOX SECTIONS, 6 FT X 6 FT  (LFT)</t>
  </si>
  <si>
    <t>STRUCTURE, REINFORCED CONCRETE, BOX SECTIONS, 15 FT X 4 FT  (LFT)</t>
  </si>
  <si>
    <t>STRUCTURE, REINFORCED CONCRETE, BOX SECTIONS, 6 FT X 3 FT  (LFT)</t>
  </si>
  <si>
    <t>STRUCTURE, REINFORCED CONCRETE, BOX SECTIONS, 6 FT X 4 FT  (LFT)</t>
  </si>
  <si>
    <t>STRUCTURE, REINFORCED CONCRETE, BOX SECTIONS, 6 FT X 5 FT  (LFT)</t>
  </si>
  <si>
    <t>STRUCTURE, REINFORCED CONCRETE, BOX SECTIONS, 6 FT X 6 FT  (LFT)</t>
  </si>
  <si>
    <t>STRUCTURE, REINFORCED CONCRETE, BOX SECTIONS, 8 FT X 4 FT  (LFT)</t>
  </si>
  <si>
    <t>STRUCTURE, REINFORCED CONCRETE, BOX SECTIONS, 8 FT X 5 FT  (LFT)</t>
  </si>
  <si>
    <t>STRUCTURE, REINFORCED CONCRETE, BOX SECTIONS, 8 FT X 6 FT  (LFT)</t>
  </si>
  <si>
    <t>STRUCTURE, REINFORCED CONCRETE, BOX SECTIONS, 8 FT X 7 FT  (LFT)</t>
  </si>
  <si>
    <t>STRUCTURE, REINFORCED CONCRETE, BOX SECTIONS, 8 FT X 8 FT  (LFT)</t>
  </si>
  <si>
    <t>STRUCTURE, REINFORCED CONCRETE, BOX SECTIONS, 10 FT X 5 FT  (LFT)</t>
  </si>
  <si>
    <t>STRUCTURE, REINFORCED CONCRETE, BOX SECTIONS, 10 FT X 6 FT  (LFT)</t>
  </si>
  <si>
    <t>STRUCTURE, REINFORCED CONCRETE, BOX SECTIONS, 10 FT X 7 FT  (LFT)</t>
  </si>
  <si>
    <t>STRUCTURE, REINFORCED CONCRETE, BOX SECTIONS, 10 FT X 8 FT  (LFT)</t>
  </si>
  <si>
    <t>STRUCTURE, REINFORCED CONCRETE, BOX SECTIONS, 12 FT X 4 FT  (LFT)</t>
  </si>
  <si>
    <t>STRUCTURE, REINFORCED CONCRETE, BOX SECTIONS, 12 FT X 6 FT  (LFT)</t>
  </si>
  <si>
    <t>STRUCTURE, REINFORCED CONCRETE, BOX SECTIONS, 12 FT X 8 FT  (LFT)</t>
  </si>
  <si>
    <t>STRUCTURE, REINFORCED CONCRETE, BOX SECTIONS, 12 FT X 10 FT  (LFT)</t>
  </si>
  <si>
    <t>STRUCTURE, REINFORCED CONCRETE, BOX SECTIONS, 5 FT X 5 FT  (LFT)</t>
  </si>
  <si>
    <t>STRUCTURE, REINFORCED CONCRETE, BOX SECTIONS, 5 FT X 4 FT  (LFT)</t>
  </si>
  <si>
    <t>STRUCTURE, REINFORCED CONCRETE, BOX SECTIONS, 4 FT X 3 FT  (LFT)</t>
  </si>
  <si>
    <t>STRUCTURE, REINFORCED CONCRETE, BOX SECTIONS, 4 FT X 2 FT  (LFT)</t>
  </si>
  <si>
    <t>STRUCTURE, REINFORCED CONCRETE, BOX SECTIONS, 3 FT X 3 FT  (LFT)</t>
  </si>
  <si>
    <t>STRUCTURE, REINFORCED CONCRETE, BOX SECTIONS, 10 FT X 9 FT  (LFT)</t>
  </si>
  <si>
    <t>STRUCTURE, REINFORCED CONCRETE, BOX SECTIONS, 3 FT X 2 FT  (LFT)</t>
  </si>
  <si>
    <t>STRUCTURE, REINFORCED CONCRETE, BOX SECTIONS, 5 FT X 3 FT  (LFT)</t>
  </si>
  <si>
    <t>STRUCTURE, REINFORCED CONCRETE, BOX SECTIONS, 10 FT X 4 FT  (LFT)</t>
  </si>
  <si>
    <t>STRUCTURE, REINFORCED CONCRETE, BOX SECTIONS, 7 FT X 4 FT  (LFT)</t>
  </si>
  <si>
    <t>STRUCTURE, REINFORCED CONCRETE, BOX SECTIONS, 16 FT X 9 FT  (LFT)</t>
  </si>
  <si>
    <t>STRUCTURE, REINFORCED CONCRETE, BOX SECTIONS, 15 FT X 9 FT  (LFT)</t>
  </si>
  <si>
    <t>STRUCTURE, REINFORCED CONCRETE, BOX SECTIONS, 7 FT X 6 FT  (LFT)</t>
  </si>
  <si>
    <t>STRUCTURE, REINFORCED CONCRETE, BOX SECTIONS, 9 FT X 5 FT  (LFT)</t>
  </si>
  <si>
    <t>STRUCTURE, REINFORCED CONCRETE, BOX SECTIONS, 7 FT X 5 FT  (LFT)</t>
  </si>
  <si>
    <t>STRUCTURE, REINFORCED CONCRETE, BOX SECTIONS, 4 FT X 4 FT  (LFT)</t>
  </si>
  <si>
    <t>STRUCTURE, COATED REINFORCED CONCRETE, BOX SECTIONS, 22 FT X 10 FT  (LFT)</t>
  </si>
  <si>
    <t>STRUCTURE, COATED REINFORCED CONCRETE, BOX SECTIONS, 12 FT X 6 FT  (LFT)</t>
  </si>
  <si>
    <t>STRUCTURE, REINFORCED CONCRETE, BOX SECTIONS, 8 FT X 4.5 FT  (LFT)</t>
  </si>
  <si>
    <t>STRUCTURE, COATED REINFORCED CONCRETE, BOX SECTIONS, 16 FT X 7 FT  (LFT)</t>
  </si>
  <si>
    <t>STRUCTURE, REINFORCED CONCRETE BOX SECTIONS, 10 FT X 12 FT  (LFT)</t>
  </si>
  <si>
    <t>STRUCTURE, COATED REINFORCED CONCRETE, BOX SECTIONS 6 FT X 3 FT  (LFT)</t>
  </si>
  <si>
    <t>STRUCTURE, REINFORCED CONCRETE, BOX SECTIONS, 19 FT X 6 FT  (LFT)</t>
  </si>
  <si>
    <t>STRUCTURE, COATED REINFORCED CONCRETE, BOX SECTIONS 18 FT X 6 FT  (LFT)</t>
  </si>
  <si>
    <t>STRUCTURE, REINFORCED CONCRETE, BOX SECTIONS, 10 FT X 7.5 FT  (LFT)</t>
  </si>
  <si>
    <t>STRUCTURE, COATED REINFORCED CONCRETE, BOX SECTIONS 9 FT X 7 FT  (LFT)</t>
  </si>
  <si>
    <t>STRUCTURE, COATED REINFORCED CONCRETE, BOX SECTIONS 9 FT X 4 FT  (LFT)</t>
  </si>
  <si>
    <t>STRUCTURE, COATED REINFORCED CONCRETE, BOX SECTIONS 28 FT X 10 FT  (LFT)</t>
  </si>
  <si>
    <t>STRUCTURE, REINFORCED CONCRETE, BOX SECTIONS, 13 FT X 7 FT  (LFT)</t>
  </si>
  <si>
    <t>STRUCTURE, REINFORCED CONCRETE, BOX SECTIONS, 16 FT X 10 FT  (LFT)</t>
  </si>
  <si>
    <t>STRUCTURE, COATED REINFORCED CONCRETE, BOX SECTIONS 14 FT X 11 FT  (LFT)</t>
  </si>
  <si>
    <t>STRUCTURE, REINFORCED CONCRETE, BOX SECTIONS, 19 FT X 5 FT  (LFT)</t>
  </si>
  <si>
    <t>STRUCTURE, REINFORCED CONCRETE, BOX SECTIONS, 20 FT X 4 FT  (LFT)</t>
  </si>
  <si>
    <t>STRUCTURE EXTENSION, COATED REINFORCED CONCRETE, BOX SECTIONS, 3 FT X 3 FT  (LFT)</t>
  </si>
  <si>
    <t>STRUCTURE EXTENSION, REINFORCED CONCRETE, BOX SECTIONS, 10 FT X 5 FT  (LFT)</t>
  </si>
  <si>
    <t>STRUCTURE, COATED REINFORCED CONCRETE, BOX SECTIONS, 17 FT X 9 FT  (LFT)</t>
  </si>
  <si>
    <t>STRUCTURE, REINFORCED CONCRETE, BOX SECTIONS, 12 FT X 9 FT 6 IN.  (LFT)</t>
  </si>
  <si>
    <t>STRUCTURE, COATED REINFORCED CONCRETE, BOX SECTIONS, 8 FT X 8 FT  (LFT)</t>
  </si>
  <si>
    <t>STRUCTURE, COATED REINFORCED CONCRETE, BOX SECTIONS, 12 FT X 8 FT  (LFT)</t>
  </si>
  <si>
    <t>STRUCTURE, REINFORCED CONCRETE, BOX SECTIONS, 10 FT X 8 FT 6 IN.  (LFT)</t>
  </si>
  <si>
    <t>STRUCTURE, COATED REINFORCED CONCRETE, BOX SECTIONS, 20 FT X 5 FT  (LFT)</t>
  </si>
  <si>
    <t>STRUCTURE, COATED REINFORCED CONCRETE, BOX SECTIONS, 9 FT X 9 FT  (LFT)</t>
  </si>
  <si>
    <t>STRUCTURE, COATED REINFORCED CONCRETE, BOX SECTIONS, 10 FT X 4 FT  (LFT)</t>
  </si>
  <si>
    <t>STRUCTURE, COATED REINFORCED CONCRETE, BOX SECTIONS, 18 FT X 4 FT  (LFT)</t>
  </si>
  <si>
    <t>STRUCTURE, COATED REINFORCED CONCRETE, BOX SECTIONS, 15 FT X 4 FT  (LFT)</t>
  </si>
  <si>
    <t>STRUCTURE, COATED REINFORCED CONCRETE, BOX SECTIONS, 12 FT X 5 FT  (LFT)</t>
  </si>
  <si>
    <t>STRUCTURE, REINFORCED CONCRETE, BOX SECTIONS, 13 FT X 6 FT  (LFT)</t>
  </si>
  <si>
    <t>STRUCTURE, COATED REINFORCED CONCRETE, BOX SECTIONS, 14 FT X 7 FT  (LFT)</t>
  </si>
  <si>
    <t>STRUCTURE, REINFORCED CONCRETE, BOX SECTIONS, 18 FT X 13 FT  (LFT)</t>
  </si>
  <si>
    <t>STRUCTURE, COATED REINFORCED CONCRETE, BOX SECTIONS, 6 FT X 4 FT  (LFT)</t>
  </si>
  <si>
    <t>STRUCTURE, COATED REINFORCED CONCRETE, BOX SECTIONS, 9 FT X 5 FT  (LFT)</t>
  </si>
  <si>
    <t>STRUCTURE, COATED REINFORCED CONCRETE, BOX SECTIONS, 14 FT X 6 FT  (LFT)</t>
  </si>
  <si>
    <t>STRUCTURE, COATED REINFORCED CONCRETE, BOX SECTIONS, 8 FT X 4 FT  (LFT)</t>
  </si>
  <si>
    <t>STRUCTURE, COATED REINFORCED CONCRETE, BOX SECTIONS, 16 FT X 10 FT  (LFT)</t>
  </si>
  <si>
    <t>STRUCTURE, COATED REINFORCED CONCRETE, BOX SECTIONS, 10 FT X 8 FT  (LFT)</t>
  </si>
  <si>
    <t>STRUCTURE, REINFORCED CONCRETE, BOX SECTIONS, 24 FT X 9 FT  (LFT)</t>
  </si>
  <si>
    <t>STRUCTURE, REINFORCED CONCRETE, BOX SECTIONS, 15 FT X 8 FT  (LFT)</t>
  </si>
  <si>
    <t>STRUCTURE, REINFORCED CONCRETE, BOX SECTIONS, 12 FT X 11 FT  (LFT)</t>
  </si>
  <si>
    <t>STRUCTURE, REINFORCED CONCRETE, BOX SECTIONS, 11 FT X 7 FT  (LFT)</t>
  </si>
  <si>
    <t>STRUCTURE, COATED REINFORCED CONCRETE, BOX SECTIONS, 10 FT X 5 FT  (LFT)</t>
  </si>
  <si>
    <t>STRUCTURE, REINFORCED CONCRETE, BOX SECTIONS, 20 FT X 6.5 FT  (LFT)</t>
  </si>
  <si>
    <t>STRUCTURE, COATED REINFORCED CONCRETE, BOX SECTIONS, 12 FT X 4 FT  (LFT)</t>
  </si>
  <si>
    <t>STRUCTURE EXTENSION, REINFORCED CONCRETE, BOX SECTIONS, 14 FT X 4 FT  (LFT)</t>
  </si>
  <si>
    <t>STRUCTURE, REINFORCED CONCRETE, BOX SECTIONS, 10 FT X 13 FT  (LFT)</t>
  </si>
  <si>
    <t>STRUCTURE, REINFORCED CONCRETE, BOX SECTIONS, 24 FT X 8 FT  (LFT)</t>
  </si>
  <si>
    <t>STRUCTURE, COATED REINFORCED CONCRETE, BOX SECTIONS, 10 FT X 9 FT  (LFT)</t>
  </si>
  <si>
    <t>STRUCTURE, REINFORCED CONCRETE, BOX SECTIONS, 15 FT X 6 FT  (LFT)</t>
  </si>
  <si>
    <t>STRUCTURE, COATED REINFORCED CONCRETE, BOX SECTIONS, 10 FT X 3 FT  (LFT)</t>
  </si>
  <si>
    <t>STRUCTURE, COATED REINFORCED CONCRETE, BOX SECTIONS, 14 FT X 8 FT  (LFT)</t>
  </si>
  <si>
    <t>STRUCTURE, COATED REINFORCED CONCRETE, BOX SECTIONS, 14 FT X 5 FT  (LFT)</t>
  </si>
  <si>
    <t>STRUCTURE EXTENSION, REINFORCED CONCRETE, BOX SECTIONS, 6 FT X 3 FT  (LFT)</t>
  </si>
  <si>
    <t>STRUCTURE, REINFORCED CONCRETE, BOX SECTIONS, 16 FT X 12 FT  (LFT)</t>
  </si>
  <si>
    <t>STRUCTURE, COATED REINFORCED CONCRETE, BOX SECTIONS, 4 FT X 2 FT  (LFT)</t>
  </si>
  <si>
    <t>STRUCTURE, COATED REINFORCED CONCRETE, BOX SECTIONS, 7 FT X 4 FT  (LFT)</t>
  </si>
  <si>
    <t>STRUCTURE, REINFORCED CONCRETE, BOX SECTIONS, 13 FT X 4 FT  (LFT)</t>
  </si>
  <si>
    <t>STRUCTURE, COATED REINFORCED CONCRETE, BOX SECTIONS, 14 FT X 8.5 FT  (LFT)</t>
  </si>
  <si>
    <t>STRUCTURE, COATED REINFORCED CONCRETE, BOX SECTIONS, 16 FT X 9.5 FT  (LFT)</t>
  </si>
  <si>
    <t>STRUCTURE, REINFORCED CONCRETE, BOX SECTIONS, 9 FT X 9 FT  (LFT)</t>
  </si>
  <si>
    <t>STRUCTURE, COATED REINFORCED CONCRETE, BOX SECTIONS, 14 FT X 9.5 FT  (LFT)</t>
  </si>
  <si>
    <t>STRUCTURE, REINFORCED CONCRETE, BOX SECTIONS, 9 FT X 12 FT  (LFT)</t>
  </si>
  <si>
    <t>STRUCTURE, REINFORCED CONCRETE, BOX SECTIONS, 10 FT X 2 FT  (LFT)</t>
  </si>
  <si>
    <t>STRUCTURE, REINFORCED CONCRETE, BOX SECTIONS, 8 FT X 7.5 FT  (LFT)</t>
  </si>
  <si>
    <t>STRUCTURE, REINFORCED CONCRETE, BOX SECTIONS, 11 FT X 2 FT  (LFT)</t>
  </si>
  <si>
    <t>STRUCTURE, REINFORCED CONCRETE, BOX SECTIONS, 15 FT X 7 FT  (LFT)</t>
  </si>
  <si>
    <t>STRUCTURE, REINFORCED CONCRETE, BOX SECTIONS, 19 FT X 12 FT  (LFT)</t>
  </si>
  <si>
    <t>STRUCTURE, REINFORCED CONCRETE, BOX SECTIONS, 8 FT X 3.5 FT  (LFT)</t>
  </si>
  <si>
    <t>STRUCTURE, COATED REINFORCED CONCRETE, BOX SECTIONS, 16 FT X 4 FT  (LFT)</t>
  </si>
  <si>
    <t>STRUCTURE, COATED REINFORCED CONCRETE, BOX SECTIONS, 16 FT X 5 FT  (LFT)</t>
  </si>
  <si>
    <t>STRUCTURE, COATED REINFORCED CONCRETE, BOX SECTIONS, 15 FT X 5 FT  (LFT)</t>
  </si>
  <si>
    <t>STRUCTURE, COATED REINFORCED CONCRETE, BOX SECTIONS, 6 FT X 5 FT  (LFT)</t>
  </si>
  <si>
    <t>STRUCTURE EXTENSION, REINFORCED CONCRETE, BOX SECTIONS, 6 FT X 4 FT  (LFT)</t>
  </si>
  <si>
    <t>STRUCTURE EXTENSION, COATED REINFORCED CONCRETE, BOX SECTIONS, 3 FT X 2 FT  (LFT)</t>
  </si>
  <si>
    <t>STRUCTURE, REINFORCED CONCRETE, BOX SECTIONS, 19 FT X 9 FT  (LFT)</t>
  </si>
  <si>
    <t>STRUCTURE, REINFORCED CONCRETE, BOX SECTIONS, 7 FT X 2 FT  (LFT)</t>
  </si>
  <si>
    <t>STRUCTURE EXTENSION, COATED REINFORCED CONCRETE, BOX SECTIONS, 6 FT X 4 FT  (LFT)</t>
  </si>
  <si>
    <t>STRUCTURE, REINFORCED CONCRETE, BOX SECTIONS, 9 FT X 2 FT  (LFT)</t>
  </si>
  <si>
    <t>STRUCTURE, COATED REINFORCED CONCRETE, BOX SECTIONS, 16 FT X 6 FT  (LFT)</t>
  </si>
  <si>
    <t>STRUCTURE, COATED REINFORCED CONCRETE, BOX SECTIONS, 8 FT X 3 FT  (LFT)</t>
  </si>
  <si>
    <t>STRUCTURE, COATED REINFORCED CONCRETE, BOX SECTIONS, 5 FT X 5 FT  (LFT)</t>
  </si>
  <si>
    <t>STRUCTURE, COATED REINFORCED CONCRETE, BOX SECTIONS, 19 FT X 7 FT  (LFT)</t>
  </si>
  <si>
    <t>STRUCTURE, COATED REINFORCED CONCRETE, BOX SECTIONS, 13 FT X 6 FT  (LFT)</t>
  </si>
  <si>
    <t>STRUCTURE, COATED REINFORCED CONCRETE, BOX SECTIONS, 19 FT X 10 FT  (LFT)</t>
  </si>
  <si>
    <t>STRUCTURE, REINFORCED CONCRETE, BOX SECTIONS, 19 FT X 7 FT  (LFT)</t>
  </si>
  <si>
    <t>STRUCTURE, COATED REINFORCED CONCRETE, BOX SECTIONS, 6 FT X 6 FT  (LFT)</t>
  </si>
  <si>
    <t>STRUCTURE, COATED REINFORCED CONCRETE, BOX SECTIONS, 19 FT X 8 FT  (LFT)</t>
  </si>
  <si>
    <t>STRUCTURE, COATED REINFORCED CONCRETE, BOX SECTIONS, 12 FT X 12 FT  (LFT)</t>
  </si>
  <si>
    <t>STRUCTURE EXTENSION, REINFORCED CONCRETE, BOX SECTIONS, 13.5 FT X 8.5 FT  (LFT)</t>
  </si>
  <si>
    <t>STRUCTURE, COATED REINFORCED CONCRETE, BOX SECTIONS, 7 FT X 5 FT  (LFT)</t>
  </si>
  <si>
    <t>STRUCTURE, COATED REINFORCED CONCRETE, BOX SECTIONS, 4 FT X 4 FT  (LFT)</t>
  </si>
  <si>
    <t>STRUCTURE, COATED REINFORCED CONCRETE, BOX SECTIONS, 19 FT X 4 FT  (LFT)</t>
  </si>
  <si>
    <t>STRUCTURE, COATED REINFORCED CONCRETE, BOX SECTIONS, 5 FT X 2 FT  (LFT)</t>
  </si>
  <si>
    <t>STRUCTURE EXTENSION, REINFORCED CONCRETE, BOX SECTIONS, 16 FT X 8 FT  (LFT)</t>
  </si>
  <si>
    <t>STRUCTURE, COATED REINFORCED CONCRETE, BOX SECTIONS, 21 FT X 7 FT  (LFT)</t>
  </si>
  <si>
    <t>STRUCTURE, COATED REINFORCED CONCRETE, BOX SECTIONS, 20 FT X 6 FT  (LFT)</t>
  </si>
  <si>
    <t>STRUCTURE, REINFORCED CONCRETE, BOX SECTIONS, 20 FT X 6 FT  (LFT)</t>
  </si>
  <si>
    <t>STRUCTURE, COATED REINFORCED CONCRETE, BOX SECTIONS, 13 FT X 7 FT  (LFT)</t>
  </si>
  <si>
    <t>STRUCTURE, COATED REINFORCED CONCRETE, BOX SECTIONS, 11 FT X 6 FT  (LFT)</t>
  </si>
  <si>
    <t>STRUCTURE, COATED REINFORCED CONCRETE, BOX SECTIONS, 20 FT X 8 FT  (LFT)</t>
  </si>
  <si>
    <t>STRUCTURE EXTENSION, REINFORCED CONCRETE, BOX SECTIONS, 5 FT X 3 FT  (LFT)</t>
  </si>
  <si>
    <t>STRUCTURE, COATED REINFORCED CONCRETE, BOX SECTIONS, 5 FT X 3 FT  (LFT)</t>
  </si>
  <si>
    <t>STRUCTURE, REINFORCED CONCRETE, BOX SECTIONS, 11 FT X 9 FT  (LFT)</t>
  </si>
  <si>
    <t>STRUCTURE, COATED REINFORCED CONCRETE, BOX SECTIONS, 3 FT X 2 FT  (LFT)</t>
  </si>
  <si>
    <t>STRUCTURE, COATED REINFORCED CONCRETE, BOX SECTIONS, 3 FT X 3 FT  (LFT)</t>
  </si>
  <si>
    <t>STRUCTURE, COATED REINFORCED CONCRETE, BOX SECTIONS, 7 FT X 3 FT  (LFT)</t>
  </si>
  <si>
    <t>STRUCTURE, COATED REINFORCED CONCRETE, BOX SECTIONS, 9 FT X 6 FT  (LFT)</t>
  </si>
  <si>
    <t>STRUCTURE, COATED REINFORCED CONCRETE, BOX SECTIONS, 14 FT X 4 FT  (LFT)</t>
  </si>
  <si>
    <t>STRUCTURE, COATED REINFORCED CONCRETE, BOX SECTIONS, 10 FT X 6 FT  (LFT)</t>
  </si>
  <si>
    <t>STRUCTURE, COATED REINFORCED CONCRETE, BOX SECTIONS, 11 FT X 4 FT  (LFT)</t>
  </si>
  <si>
    <t>STRUCTURE, COATED REINFORCED CONCRETE, BOX SECTIONS, 18 FT X 8 FT  (LFT)</t>
  </si>
  <si>
    <t>STRUCTURE, COATED REINFORCED CONCRETE, BOX SECTIONS, 16 FT X 9 FT  (LFT)</t>
  </si>
  <si>
    <t>STRUCTURE EXTENSION, REINFORCED CONCRETE, BOX SECTIONS, 4 FT X 3 FT  (LFT)</t>
  </si>
  <si>
    <t>STRUCTURE, COATED REINFORCED CONCRETE, BOX SECTIONS, 14 FT X 10 FT  (LFT)</t>
  </si>
  <si>
    <t>STRUCTURE, REINFORCED CONCRETE, BOX SECTIONS, 10 FT X 10 FT  (LFT)</t>
  </si>
  <si>
    <t>STRUCTURE EXTENSION, COATED REINFORCED CONCRETE, BOX SECTIONS, 5 FT X 4 FT  (LFT)</t>
  </si>
  <si>
    <t>STRUCTURE, COATED REINFORCED CONCRETE, BOX SECTIONS, 20 FT X 12 FT  (LFT)</t>
  </si>
  <si>
    <t>STRUCTURE EXTENSION, COATED REINFORCED CONCRETE, BOX SECTIONS, 11 FT X 8 FT  (LFT)</t>
  </si>
  <si>
    <t>STRUCTURE, COATED REINFORCED CONCRETE, BOX SECTIONS, 11 FT X 8 FT  (LFT)</t>
  </si>
  <si>
    <t>STRUCTURE, COATED REINFORCED CONCRETE, BOX SECTIONS, 15 FT X 7 FT  (LFT)</t>
  </si>
  <si>
    <t>STRUCTURE, COATED REINFORCED CONCRETE, BOX SECTIONS, 8 FT X 6 FT  (LFT)</t>
  </si>
  <si>
    <t>STRUCTURE, REINFORCED CONCRETE, BOX SECTIONS, 13 FT X 10 FT  (LFT)</t>
  </si>
  <si>
    <t>STRUCTURE, COATED REINFORCED CONCRETE, BOX SECTIONS, 19 FT X 5 FT  (LFT)</t>
  </si>
  <si>
    <t>STRUCTURE, COATED REINFORCED CONCRETE, BOX SECTIONS, 15 FT X 6 FT  (LFT)</t>
  </si>
  <si>
    <t>STRUCTURE, REINFORCED CONCRETE, BOX SECTIONS, 17 FT X 4 FT  (LFT)</t>
  </si>
  <si>
    <t>STRUCTURE EXTENSION, REINFORCED BOX SECTIONS, 10 FT X 4 FT  (LFT)</t>
  </si>
  <si>
    <t>STRUCTURE, REINFORCED CONCRETE, BOX SECTIONS, 20 FT X 10 FT  (LFT)</t>
  </si>
  <si>
    <t>STRUCTURE, COATED REINFORCED CONCRETE, BOX SECTIONS, 5 FT X 4 FT  (LFT)</t>
  </si>
  <si>
    <t>STRUCTURE, COATED REINFORCED CONCRETE, BOX SECTIONS, 24 FT X 11 FT  (LFT)</t>
  </si>
  <si>
    <t>STRUCTURE, COATED REINFORCED CONCRETE, BOX SECTIONS, 22 FT X 8 FT  (LFT)</t>
  </si>
  <si>
    <t>STRUCTURE EXTENSION, REINFORCED CONCRETE, BOX SECTIONS, 11 FT X 9 FT  (LFT)</t>
  </si>
  <si>
    <t>STRUCTURE, REINFORCED CONCRETE, BOX SECTIONS, 13 FT X 9 FT  (LFT)</t>
  </si>
  <si>
    <t>STRUCTURE, COATED REINFORCED CONCRETE, BOX SECTIONS, 18 FT X 7 FT  (LFT)</t>
  </si>
  <si>
    <t>STRUCTURE, COATED REINFORCED CONCRETE, BOX SECTIONS, 12 FT X 3 FT  (LFT)</t>
  </si>
  <si>
    <t>STRUCTURE, COATED REINFORCED CONCRETE, BOX SECTIONS, 12 FT X 10 FT  (LFT)</t>
  </si>
  <si>
    <t>STRUCTURE, COATED REINFORCED CONCRETE, BOX SECTIONS, 11 FT X 5 FT  (LFT)</t>
  </si>
  <si>
    <t>STRUCTURE, COATED REINFORCED CONCRETE, BOX SECTIONS, 19 FT X 9 FT  (LFT)</t>
  </si>
  <si>
    <t>STRUCTURE, COATED REINFORCED CONCRETE, BOX SECTIONS, 7 FT X 7 FT  (LFT)</t>
  </si>
  <si>
    <t>STRUCTURE EXTENSION, REINFORCED CONCRETE, BOX SECTIONS, 3 FT X 2.5 FT  (LFT)</t>
  </si>
  <si>
    <t>STRUCTURE, COATED REINFORCED CONCRETE, BOX SECTIONS, 20 FT X 10 FT  (LFT)</t>
  </si>
  <si>
    <t>STRUCTURE, REINFORCED CONCRETE, BOX SECTIONS, 7 FT X 3.5 FT  (LFT)</t>
  </si>
  <si>
    <t>STRUCTURE EXTENSION, REINFORCED CONCRETE, BOX SECTIONS, 4 FT X 2 FT  (LFT)</t>
  </si>
  <si>
    <t>STRUCTURE, REINFORCED CONCRETE, BOX SECTIONS, 21 FT X 12 FT  (LFT)</t>
  </si>
  <si>
    <t>STRUCTURE, REINFORCED CONCRETE, BOX SECTIONS, 11 FT X 8 FT  (LFT)</t>
  </si>
  <si>
    <t>STRUCTURE EXTENSION, REINFORCED CONCRETE, BOX SECTIONS, 5 FT X 2.5 FT  (LFT)</t>
  </si>
  <si>
    <t>STRUCTURE, REINFORCED CONCRETE, BOX SECTIONS, 6 FT X 3.5 FT  (LFT)</t>
  </si>
  <si>
    <t>STRUCTURE, REINFORCED CONCRETE, BOX SECTIONS, 11 FT X 10 FT  (LFT)</t>
  </si>
  <si>
    <t>STRUCTURE, REINFORCED CONCRETE, BOX SECTIONS, 2.5 FT X 2.5 FT  (LFT)</t>
  </si>
  <si>
    <t>STRUCTURE, COATED REINFORCED CONCRETE, BOX SECTIONS, 4 FT X 3 FT  (LFT)</t>
  </si>
  <si>
    <t>STRUCTURE EXTENSION, REINFORCED CONCRETE, BOX SECTIONS, 5 FT X 4 FT  (LFT)</t>
  </si>
  <si>
    <t>STRUCTURE EXTENSION, REINFORCED CONCRETE, BOX SECTIONS, 7 FT X 6 FT  (LFT)</t>
  </si>
  <si>
    <t>STRUCTURE, COATED REINFORCED CONCRETE, BOX SECTIONS, 15 FT X 10 FT  (LFT)</t>
  </si>
  <si>
    <t>STRUCTURE, REINFORCED CONCRETE, BOX SECTIONS, 4 FT X 5 FT  (LFT)</t>
  </si>
  <si>
    <t>STRUCTURE EXTENSION, COATED REINFORCED CONCRETE, BOX SECTIONS, 9 FT X 4 FT  (LFT)</t>
  </si>
  <si>
    <t>STRUCTURE, REINFORCED CONCRETE, BOX SECTIONS, 22 FT X 9 FT  (LFT)</t>
  </si>
  <si>
    <t>STRUCTURE, COATED REINFORCED CONCRETE, BOX SECTIONS, 18 FT X 9 FT  (LFT)</t>
  </si>
  <si>
    <t>HEADWALL RECONSTRUCT  (LS)</t>
  </si>
  <si>
    <t>STRUCTURE, REINFORCED CONCRETE, BOX SECTIONS, 9 FT X 7 FT  (LFT)</t>
  </si>
  <si>
    <t>STRUCTURE, COATED REINFORCED CONCRETE, THREE-SIDED SECTIONS, 432 IN. X 96 IN.  (LFT)</t>
  </si>
  <si>
    <t>STRUCTURE, REINFORCED CONCRETE, THREE-SIDED SECTIONS, 504 IN. X 144 IN.  (LFT)</t>
  </si>
  <si>
    <t>PIPE CONNECTION COLLAR AND PAD  (EACH)</t>
  </si>
  <si>
    <t>CONCRETE ANCHOR, MIN. AREA 14.7 SFT  (EACH)</t>
  </si>
  <si>
    <t>CONCRETE ANCHOR, DIAMETER 60 IN.  (EACH)</t>
  </si>
  <si>
    <t>CONCRETE ANCHOR, DIAMETER 42 IN.  (EACH)</t>
  </si>
  <si>
    <t>CONCRETE ANCHOR, DIAMETER 48 IN.  (EACH)</t>
  </si>
  <si>
    <t>CONCRETE ANCHOR, DIAMETER 72 IN.  (EACH)</t>
  </si>
  <si>
    <t>CONCRETE ANCHOR, DIAMETER 78 IN.  (EACH)</t>
  </si>
  <si>
    <t>CONCRETE ANCHOR, MIN. AREA 6.4 SFT  (EACH)</t>
  </si>
  <si>
    <t>CONCRETE ANCHOR, DIAMETER 54 IN.  (EACH)</t>
  </si>
  <si>
    <t>CONCRETE ANCHOR, MIN. AREA 8.9 SFT  (EACH)</t>
  </si>
  <si>
    <t>CONCRETE ANCHOR, DIAMETER 96 IN.  (EACH)</t>
  </si>
  <si>
    <t>CONCRETE ANCHOR, MIN. AREA 18.1 SFT  (EACH)</t>
  </si>
  <si>
    <t>CONCRETE ANCHOR, MIN. AREA 78 SFT  (EACH)</t>
  </si>
  <si>
    <t>CONCRETE ANCHOR, DIAMETER 120 IN.  (EACH)</t>
  </si>
  <si>
    <t>CONCRETE ANCHOR, MIN. AREA 29.5 SFT  (EACH)</t>
  </si>
  <si>
    <t>CONCRETE ANCHOR, MIN. AREA 11.6 SFT  (EACH)</t>
  </si>
  <si>
    <t>CONCRETE ANCHOR, MIN. AREA 34.6 SFT  (EACH)</t>
  </si>
  <si>
    <t>CONCRETE ANCHOR, DIAMETER 84 IN.  (EACH)</t>
  </si>
  <si>
    <t>CONCRETE ANCHOR, MIN. AREA 16.7 SFT  (EACH)</t>
  </si>
  <si>
    <t>CONCRETE ANCHOR, MIN. AREA 12.9 SFT  (EACH)</t>
  </si>
  <si>
    <t>CONCRETE ANCHOR, DIAMETER 66 IN.  (EACH)</t>
  </si>
  <si>
    <t>CONCRETE ANCHOR, DIAMETER 90 IN.  (EACH)</t>
  </si>
  <si>
    <t>CONCRETE ANCHOR, DIAMETER 114 IN.  (EACH)</t>
  </si>
  <si>
    <t>CONCRETE ANCHOR, DIAMETER 36 IN.  (EACH)</t>
  </si>
  <si>
    <t>CONCRETE ANCHOR, MIN. AREA 5.1 SFT  (EACH)</t>
  </si>
  <si>
    <t>CONCRETE ANCHOR, MIN. AREA 58 SFT  (EACH)</t>
  </si>
  <si>
    <t>CONCRETE ANCHOR, MIN. AREA 10.2 SFT  (EACH)</t>
  </si>
  <si>
    <t>PCCP FOR STRUCTURE INSTALLATION  (SYS)</t>
  </si>
  <si>
    <t>CONCRETE ANCHOR, MIN. AREA 20.5 SFT  (EACH)</t>
  </si>
  <si>
    <t>CONCRETE ANCHOR, MIN. AREA 216 SFT  (EACH)</t>
  </si>
  <si>
    <t>CONCRETE ANCHOR, DIAMETER 27 IN.  (EACH)</t>
  </si>
  <si>
    <t>CONCRETE ANCHOR, MIN. AREA 23.3 SFT  (EACH)</t>
  </si>
  <si>
    <t>CONCRETE ANCHOR, MIN. AREA 26.0 SFT  (EACH)</t>
  </si>
  <si>
    <t>CONCRETE ANCHOR, MIN. AREA 37.0 SFT  (EACH)</t>
  </si>
  <si>
    <t>CONCRETE ANCHOR, DIAMETER 132 IN.  (EACH)</t>
  </si>
  <si>
    <t>CONCRETE ANCHOR, DIAMETER 24 IN.  (EACH)</t>
  </si>
  <si>
    <t>CONCRETE ANCHOR, MIN. AREA 82.0 SFT  (EACH)</t>
  </si>
  <si>
    <t>CONCRETE ANCHOR, MIN. AREA 8.8 SFT  (EACH)</t>
  </si>
  <si>
    <t>PIPE END SECTION, ENERGY DISSIPATOR  (EACH)</t>
  </si>
  <si>
    <t>CONCRETE ANCHOR, MIN. AREA 7.4 SFT  (EACH)</t>
  </si>
  <si>
    <t>CONCRETE ANCHOR, MIN. AREA 48 SFT  (EACH)</t>
  </si>
  <si>
    <t>CONCRETE ANCHOR, MIN. AREA 60.5 SFT  (EACH)</t>
  </si>
  <si>
    <t>CONCRETE ANCHOR, MIN. AREA 30.1 SFT  (EACH)</t>
  </si>
  <si>
    <t>CONCRETE ANCHOR, MIN. AREA 40 SFT  (EACH)</t>
  </si>
  <si>
    <t>CONCRETE ANCHOR, MIN. AREA 42.4 SFT  (EACH)</t>
  </si>
  <si>
    <t>CONCRETE ANCHOR, DIAMETER 108 IN.  (EACH)</t>
  </si>
  <si>
    <t>CONCRETE ANCHOR, DIAMETER 30 IN.  (EACH)</t>
  </si>
  <si>
    <t>CONCRETE ANCHOR, MIN. AREA 55 SFT  (EACH)</t>
  </si>
  <si>
    <t>CONCRETE ANCHOR, MIN. AREA 35.5 SFT  (EACH)</t>
  </si>
  <si>
    <t>PIPE ENCASEMENT  (LFT)</t>
  </si>
  <si>
    <t>INVERT, CONCRETE PAVED  (LFT)</t>
  </si>
  <si>
    <t>CONCRETE PAVED FLOWLINE ARCH STRUCTURAL PLATE  (SYS)</t>
  </si>
  <si>
    <t>ARCH, STRUCTURAL PLATE, MIN. AREA 18 SFT  (LFT)</t>
  </si>
  <si>
    <t>ARCH, STRUCTURAL PLATE, MIN. AREA 116 SFT  (LFT)</t>
  </si>
  <si>
    <t>ARCH, STRUCTURAL PLATE, MIN. AREA 48.9 SFT  (LFT)</t>
  </si>
  <si>
    <t>ARCH, STRUCTURAL PLATE, MIN. AREA 98.3 SFT  (LFT)</t>
  </si>
  <si>
    <t>OUTLET PROTECTOR, TYPE 1  (EACH)</t>
  </si>
  <si>
    <t>OUTLET PROTECTOR, TYPE 2  (EACH)</t>
  </si>
  <si>
    <t>OUTLET PROTECTOR, TYPE 3  (EACH)</t>
  </si>
  <si>
    <t>UNDERDRAIN, PATCHING  (LFT)</t>
  </si>
  <si>
    <t>INLET, CAP  (EACH)</t>
  </si>
  <si>
    <t>SLUICE GATE  (EACH)</t>
  </si>
  <si>
    <t>SLUICE GATE, 60 IN X 60 IN.  (EACH)</t>
  </si>
  <si>
    <t>BRIDGE DECK OVERLAY, SILICA FUME MODIFIED  (SYS)</t>
  </si>
  <si>
    <t>BRIDGE DECK OVERLAY BUDGET  (DOL)</t>
  </si>
  <si>
    <t>BRIDGE DECK OVERLAY  (SYS)</t>
  </si>
  <si>
    <t>OVERLAY DAM  (SFT)</t>
  </si>
  <si>
    <t>BRIDGE DECK OVERLAY, PATCHING  (SFT)</t>
  </si>
  <si>
    <t>STRUCTURE, REINFORCED CONCRETE, THREE-SIDED SECTIONS, 228 IN. X 120 IN.  (LFT)</t>
  </si>
  <si>
    <t>STRUCTURE, REINFORCED CONCRETE, THREE-SIDED SECTIONS, 240 IN. X 138 IN.  (LFT)</t>
  </si>
  <si>
    <t>STRUCTURE, REINFORCED CONCRETE, THREE-SIDED SECTIONS, 384 IN. X 140 IN.  (LFT)</t>
  </si>
  <si>
    <t>STRUCTURE, REINFORCED CONCRETE, THREE-SIDED SECTIONS, 216 IN. X 108 IN.  (LFT)</t>
  </si>
  <si>
    <t>STRUCTURE, REINFORCED CONCRETE, THREE-SIDED SECTIONS, 288 IN. X 120 IN.  (LFT)</t>
  </si>
  <si>
    <t>STRUCTURE, REINFORCED CONCRETE, THREE-SIDED SECTIONS, 336 IN. X 132 IN.  (LFT)</t>
  </si>
  <si>
    <t>STRUCTURE, REINFORCED CONCRETE, THREE-SIDED SECTIONS  (LFT)</t>
  </si>
  <si>
    <t>STRUCTURE, REINFORCED CONCRETE, THREE-SIDED SECTIONS, 192 IN. X 84 IN.  (LFT)</t>
  </si>
  <si>
    <t>STRUCTURE, REINFORCED CONCRETE, THREE-SIDED SECTIONS, 504 IN. X 256 IN.  (LFT)</t>
  </si>
  <si>
    <t>STRUCTURE, REINFORCED CONCRETE, THREE-SIDED SECTIONS, 216 IN. X 120 IN.  (LFT)</t>
  </si>
  <si>
    <t>STRUCTURE, REINFORCED CONCRETE, THREE-SIDED SECTIONS, 312 IN. X 120 IN.  (LFT)</t>
  </si>
  <si>
    <t>STRUCTURE, REINFORCED CONCRETE, THREE-SIDED SECTIONS, 384 IN. X 120 IN.  (LFT)</t>
  </si>
  <si>
    <t>STRUCTURE, REINFORCED CONCRETE, THREE-SIDED SECTIONS, 240 IN. X 84 IN.  (LFT)</t>
  </si>
  <si>
    <t>STRUCTURE, REINFORCED CONCRETE, THREE-SIDED SECTIONS, 192 IN. X 108 IN.  (LFT)</t>
  </si>
  <si>
    <t>STRUCTURE, REINFORCED CONCRETE, THREE-SIDED SECTIONS, 240 IN. X 120 IN.  (LFT)</t>
  </si>
  <si>
    <t>STRUCTURE, REINFORCED CONCRETE, THREE-SIDED SECTIONS, 240 IN. X 72 IN.  (LFT)</t>
  </si>
  <si>
    <t>STRUCTURE, REINFORCED CONCRETE, THREE-SIDED SECTIONS, 336 IN. X 128 IN.  (LFT)</t>
  </si>
  <si>
    <t>STRUCTURE, REINFORCED CONCRETE, THREE-SIDED SECTIONS, 192 IN. X 132 IN.  (LFT)</t>
  </si>
  <si>
    <t>STRUCTURE, REINFORCED CONCRETE, THREE-SIDED SECTIONS, 168 IN. X 120 IN.  (LFT)</t>
  </si>
  <si>
    <t>STRUCTURE, REINFORCED CONCRETE, THREE-SIDED SECTIONS, 192 IN. X 96 IN.  (LFT)</t>
  </si>
  <si>
    <t>STRUCTURE, REINFORCED CONCRETE, THREE-SIDED SECTIONS, 336 IN. X 72 IN.  (LFT)</t>
  </si>
  <si>
    <t>STRUCTURE, REINFORCED CONCRETE, THREE-SIDED SECTIONS, 240 IN. X 124 IN.  (LFT)</t>
  </si>
  <si>
    <t>STRUCTURE, REINFORCED CONCRETE, THREE-SIDED SECTIONS, 216 IN. X 132 IN.  (LFT)</t>
  </si>
  <si>
    <t>STRUCTURE, REINFORCED CONCRETE, THREE-SIDED SECTIONS, 168 IN. X 84 IN.  (LFT)</t>
  </si>
  <si>
    <t>STRUCTURE, REINFORCED CONCRETE, THREE-SIDED SECTIONS, 384 IN. X 132 IN.  (LFT)</t>
  </si>
  <si>
    <t>STRUCTURE, REINFORCED CONCRETE, THREE-SIDED SECTIONS, 192 IN. X 120 IN.  (LFT)</t>
  </si>
  <si>
    <t>STRUCTURE, REINFORCED CONCRETE, THREE-SIDED SECTIONS, 288 IN. X 144 IN.  (LFT)</t>
  </si>
  <si>
    <t>STRUCTURE, REINFORCED CONCRETE, THREE-SIDED SECTIONS, 192 IN. X 72 IN.  (LFT)</t>
  </si>
  <si>
    <t>STRUCTURE, REINFORCED CONCRETE, THREE-SIDED SECTIONS, 288 IN. X 96 IN.  (LFT)</t>
  </si>
  <si>
    <t>STRUCTURE, REINFORCED CONCRETE, THREE-SIDED SECTIONS, 252 IN. X 96 IN.  (LFT)</t>
  </si>
  <si>
    <t>STRUCTURE, REINFORCED CONCRETE, THREE-SIDED SECTIONS, 240 IN. X 132 IN.  (LFT)</t>
  </si>
  <si>
    <t>STRUCTURE, REINFORCED CONCRETE, THREE-SIDED SECTIONS, 288 IN. X 132 IN.  (LFT)</t>
  </si>
  <si>
    <t>STRUCTURE, REINFORCED CONCRETE, THREE-SIDED SECTIONS, 288 IN. X 108 IN.  (LFT)</t>
  </si>
  <si>
    <t>STRUCTURE, REINFORCED CONCRETE, THREE-SIDED SECTIONS, 144 IN. X 132 IN.  (LFT)</t>
  </si>
  <si>
    <t>STRUCTURE, REINFORCED CONCRETE, THREE-SIDED SECTIONS, 144 IN. X 120 IN.  (LFT)</t>
  </si>
  <si>
    <t>STRUCTURE, REINFORCED CONCRETE, THREE-SIDED SECTIONS, 216 IN. X 84 IN.  (LFT)</t>
  </si>
  <si>
    <t>STRUCTURE, REINFORCED CONCRETE, THREE-SIDED SECTIONS, 240 IN. X 144 IN.  (LFT)</t>
  </si>
  <si>
    <t>STRUCTURE, REINFORCED CONCRETE, THREE-SIDED SECTIONS, 240 IN. X 108 IN.  (LFT)</t>
  </si>
  <si>
    <t>STRUCTURE, REINFORCED CONCRETE, THREE-SIDED SECTIONS, 144 IN. X 84 IN.  (LFT)</t>
  </si>
  <si>
    <t>STRUCTURE, REINFORCED CONCRETE, THREE-SIDED SECTIONS, 408 IN. X 168 IN.  (LFT)</t>
  </si>
  <si>
    <t>STRUCTURE, REINFORCED CONCRETE, THREE-SIDED SECTIONS, 312 IN. X 108 IN.  (LFT)</t>
  </si>
  <si>
    <t>STRUCTURE, REINFORCED CONCRETE, THREE-SIDED SECTIONS, 144 IN. X 60 IN.  (LFT)</t>
  </si>
  <si>
    <t>STRUCTURE, REINFORCED CONCRETE, THREE-SIDED SECTIONS, 264 IN. X 132 IN.  (LFT)</t>
  </si>
  <si>
    <t>STRUCTURE, REINFORCED CONCRETE, THREE-SIDED SECTIONS, 144 IN. X 162 IN.  (LFT)</t>
  </si>
  <si>
    <t>STRUCTURE, REINFORCED CONCRETE, THREE-SIDED SECTIONS, 384 IN. X 144 IN.  (LFT)</t>
  </si>
  <si>
    <t>STRUCTURE, REINFORCED CONCRETE, THREE-SIDED SECTIONS, 120 IN. X 120 IN.  (LFT)</t>
  </si>
  <si>
    <t>STRUCTURE, REINFORCED CONCRETE, THREE-SIDED SECTIONS, 312 IN. X 146 IN.  (LFT)</t>
  </si>
  <si>
    <t>STRUCTURE, REINFORCED CONCRETE, THREE-SIDED SECTIONS, 365.5 IN. X 84 IN.  (LFT)</t>
  </si>
  <si>
    <t>STRUCTURE, REINFORCED CONCRETE, THREE-SIDED SECTIONS, 504 IN. X 168 IN.  (LFT)</t>
  </si>
  <si>
    <t>STRUCTURE, REINFORCED CONCRETE, THREE-SIDED SECTIONS, 312 IN. X 180 IN.  (LFT)</t>
  </si>
  <si>
    <t>STRUCTURE, REINFORCED CONCRETE, THREE-SIDED SECTIONS, 312 IN. X 150 IN.  (LFT)</t>
  </si>
  <si>
    <t>STRUCTURE, REINFORCED CONCRETE, THREE-SIDED SECTIONS, 360 IN. X 79 IN.  (LFT)</t>
  </si>
  <si>
    <t>STRUCTURE, REINFORCED CONCRETE, THREE-SIDED SECTIONS, 168 IN. X 87 IN.  (LFT)</t>
  </si>
  <si>
    <t>STRUCTURE, REINFORCED CONCRETE, THREE-SIDED SECTIONS, 84 IN. X 74 IN.  (LFT)</t>
  </si>
  <si>
    <t>STRUCTURE, REINFORCED CONCRETE, THREE-SIDED SECTIONS, 120 IN. X 48 IN.  (LFT)</t>
  </si>
  <si>
    <t>STRUCTURE, REINFORCED CONCRETE, THREE-SIDED SECTIONS, 144 IN. X 96 IN.  (LFT)</t>
  </si>
  <si>
    <t>STRUCTURE, REINFORCED CONCRETE, THREE-SIDED SECTIONS, 144 IN. X 108 IN.  (LFT)</t>
  </si>
  <si>
    <t>STRUCTURE, REINFORCED CONCRETE, THREE-SIDED SECTIONS, 432 IN. X 84 IN.  (LFT)</t>
  </si>
  <si>
    <t>STRUCTURE, REINFORCED CONCRETE, THREE-SIDED SECTIONS, 312 IN. X 168 IN.  (LFT)</t>
  </si>
  <si>
    <t>STRUCTURE, REINFORCED CONCRETE, THREE-SIDED SECTIONS, 186 IN. X 132 IN.  (LFT)</t>
  </si>
  <si>
    <t>STRUCTURE, REINFORCED CONCRETE, THREE-SIDED SECTIONS, 384 IN. X 128 IN.  (LFT)</t>
  </si>
  <si>
    <t>STRUCTURE, REINFORCED CONCRETE, THREE-SIDED SECTIONS, 384 IN. X 168 IN.  (LFT)</t>
  </si>
  <si>
    <t>STRUCTURE, REINFORCED CONCRETE, THREE-SIDED SECTIONS, 192 IN. X 192 IN.  (LFT)</t>
  </si>
  <si>
    <t>STRUCTURE, REINFORCED CONCRETE, THREE-SIDED SECTIONS, 336 IN. X 156 IN.  (LFT)</t>
  </si>
  <si>
    <t>STRUCTURE, REINFORCED CONCRETE, THREE-SIDED SECTIONS, 288 IN. X 168 IN.  (LFT)</t>
  </si>
  <si>
    <t>STRUCTURE, REINFORCED CONCRETE, THREE-SIDED SECTIONS, 264 IN. X 128 IN.  (LFT)</t>
  </si>
  <si>
    <t>STRUCTURE, REINFORCED CONCRETE, THREE-SIDED SECTIONS, 312 IN. X 96 IN.  (LFT)</t>
  </si>
  <si>
    <t>STRUCTURE, REINFORCED CONCRETE, THREE-SIDED SECTIONS, 336 IN. X 84 IN.  (LFT)</t>
  </si>
  <si>
    <t>STRUCTURE, REINFORCED CONCRETE, THREE-SIDED SECTIONS, 384 IN. X 84 IN.  (LFT)</t>
  </si>
  <si>
    <t>STRUCTURE, REINFORCED CONCRETE, THREE-SIDED SECTIONS, 384 IN. X 96 IN.  (LFT)</t>
  </si>
  <si>
    <t>STRUCTURE, REINFORCED CONCRETE, THREE-SIDED SECTIONS, 384 IN. X 108 IN.  (LFT)</t>
  </si>
  <si>
    <t>STRUCTURE, REINFORCED CONCRETE, THREE-SIDED SECTIONS, 204 IN. X 96 IN.  (LFT)</t>
  </si>
  <si>
    <t>STRUCTURE, REINFORCED CONCRETE, THREE-SIDED SECTIONS, 312 IN. X 144 IN.  (LFT)</t>
  </si>
  <si>
    <t>STRUCTURE, REINFORCED CONCRETE, THREE-SIDED SECTIONS, 264 IN. X 149 IN.  (LFT)</t>
  </si>
  <si>
    <t>STRUCTURE, REINFORCED CONCRETE, THREE-SIDED SECTIONS, 216 IN. X 72 IN.  (LFT)</t>
  </si>
  <si>
    <t>STRUCTURE, REINFORCED CONCRETE, THREE-SIDED SECTIONS, 264 IN. X 150 IN.  (LFT)</t>
  </si>
  <si>
    <t>STRUCTURE, REINFORCED CONCRETE, THREE-SIDED SECTIONS, 192 IN. X 138 IN.  (LFT)</t>
  </si>
  <si>
    <t>STRUCTURE, REINFORCED CONCRETE, THREE-SIDED SECTIONS, 336 IN. X 180 IN.  (LFT)</t>
  </si>
  <si>
    <t>STRUCTURE, REINFORCED CONCRETE, THREE-SIDED SECTIONS, 216 IN. X 96 IN.  (LFT)</t>
  </si>
  <si>
    <t>STRUCTURE, REINFORCED CONCRETE, THREE-SIDED SECTIONS, 192 IN. X 60 IN.  (LFT)</t>
  </si>
  <si>
    <t>STRUCTURE, REINFORCED CONCRETE, THREE-SIDED SECTIONS, 240 IN. X 184 IN.  (LFT)</t>
  </si>
  <si>
    <t>STRUCTURE, REINFORCED CONCRETE, THREE-SIDED SECTIONS, 384 IN. X 192 IN.  (LFT)</t>
  </si>
  <si>
    <t>STRUCTURE, REINFORCED CONCRETE, THREE-SIDED SECTIONS, 144 IN. X 126 IN.  (LFT)</t>
  </si>
  <si>
    <t>STRUCTURE, REINFORCED CONCRETE, THREE-SIDED SECTIONS, 48 IN. X 48 IN.  (LFT)</t>
  </si>
  <si>
    <t>STRUCTURE, REINFORCED CONCRETE, THREE-SIDED SECTIONS, 240 IN. X 96 IN.  (LFT)</t>
  </si>
  <si>
    <t>STRUCTURE, REINFORCED CONCRETE, THREE-SIDED SECTIONS, 360 IN. X 126 IN.  (LFT)</t>
  </si>
  <si>
    <t>STRUCTURE, COATED REINFORCED CONCRETE, THREE-SIDED SECTIONS, 240 IN. X 132 IN.  (LFT)</t>
  </si>
  <si>
    <t>STRUCTURE, COATED REINFORCED CONCRETE, THREE-SIDED SECTIONS, 240 IN. X 120 IN.  (LFT)</t>
  </si>
  <si>
    <t>STRUCTURE, COATED REINFORCED CONCRETE, THREE-SIDED SECTIONS, 240 IN. X 96 IN.  (LFT)</t>
  </si>
  <si>
    <t>STRUCTURE, REINFORCED CONCRETE, THREE-SIDED SECTIONS, 336 IN. X 120 IN.  (LFT)</t>
  </si>
  <si>
    <t>STRUCTURE, COATED REINFORCED CONCRETE, THREE-SIDED SECTIONS, 228 IN. X 60 IN.  (LFT)</t>
  </si>
  <si>
    <t>STRUCTURE, COATED REINFORCED CONCRETE, THREE-SIDED SECTIONS, 228 IN. X 66 IN.  (LFT)</t>
  </si>
  <si>
    <t>STRUCTURE, COATED REINFORCED CONCRETE, THREE-SIDED SECTIONS, 228 IN. X 120 IN.  (LFT)</t>
  </si>
  <si>
    <t>STRUCTURE, COATED REINFORCED CONCRETE, THREE-SIDED SECTIONS, 192 IN. X 138 IN.  (LFT)</t>
  </si>
  <si>
    <t>STRUCTURE, COATED REINFORCED CONCRETE, THREE-SIDED SECTIONS, 144 IN. X 126 IN.  (LFT)</t>
  </si>
  <si>
    <t>STRUCTURE, COATED REINFORCED CONCRETE, THREE-SIDED SECTIONS, 192 IN. X 132 IN.  (LFT)</t>
  </si>
  <si>
    <t>STRUCTURE, COATED REINFORCED CONCRETE, THREE-SIDED SECTIONS, 240 IN. X 184 IN.  (LFT)</t>
  </si>
  <si>
    <t>STRUCTURE, COATED REINFORCED CONCRETE, THREE-SIDED SECTIONS, 384 IN. X 96 IN.  (LFT)</t>
  </si>
  <si>
    <t>STRUCTURE, COATED REINFORCED CONCRETE, THREE-SIDED SECTIONS, 240 IN. X 108 IN.  (LFT)</t>
  </si>
  <si>
    <t>STRUCTURE, COATED REINFORCED CONCRETE, THREE-SIDED SECTIONS, 312 IN. X 150 IN.  (LFT)</t>
  </si>
  <si>
    <t>STRUCTURE, REINFORCED CONCRETE, THREE-SIDED SECTIONS, 144 IN. X 140 IN.  (LFT)</t>
  </si>
  <si>
    <t>STRUCTURE, COATED REINFORCED CONCRETE, THREE-SIDED SECTIONS, 240 IN. X 180 IN.  (LFT)</t>
  </si>
  <si>
    <t>STRUCTURE, COATED REINFORCED CONCRETE, THREE-SIDED SECTIONS, 288 IN. X 84 IN.  (LFT)</t>
  </si>
  <si>
    <t>STRUCTURE, REINFORCED CONCRETE, THREE-SIDED SECTIONS, 324 IN. X 167 IN.  (LFT)</t>
  </si>
  <si>
    <t>STRUCTURE, REINFORCED CONCRETE, THREE-SIDED SECTIONS, 264 IN. X 84 IN.  (LFT)</t>
  </si>
  <si>
    <t>STRUCTURE, REINFORCED CONCRETE, THREE-SIDED SECTIONS, 264 IN. X 120 IN.  (LFT)</t>
  </si>
  <si>
    <t>STRUCTURE, REINFORCED CONCRETE, THREE-SIDED SECTIONS, 240 IN. X 66 IN.  (LFT)</t>
  </si>
  <si>
    <t>STRUCTURE, REINFORCED CONCRETE, THREE-SIDED SECTIONS, 192 IN. X 66 IN.  (LFT)</t>
  </si>
  <si>
    <t>STRUCTURE, REINFORCED CONCRETE, THREE-SIDED SECTIONS, 144 IN. X 93 IN.  (LFT)</t>
  </si>
  <si>
    <t>STRUCTURE, REINFORCED CONCRETE, THREE-SIDED SECTIONS, 144 IN. X 99 IN.  (LFT)</t>
  </si>
  <si>
    <t>STRUCTURE, REINFORCED CONCRETE, THREE-SIDED SECTIONS, 240 IN. X 135 IN.  (LFT)</t>
  </si>
  <si>
    <t>STRUCTURE, COATED REINFORCED CONCRETE, THREE-SIDED SECTIONS, 288 IN. X 132 IN.  (LFT)</t>
  </si>
  <si>
    <t>STRUCTURE, COATED REINFORCED CONCRETE, THREE-SIDED SECTIONS, 144 IN. X 108 IN.  (LFT)</t>
  </si>
  <si>
    <t>STRUCTURE, REINFORCED CONCRETE, THREE-SIDED SECTIONS, 192 IN. X 114 IN.  (LFT)</t>
  </si>
  <si>
    <t>STRUCTURE, COATED REINFORCED CONCRETE, THREE-SIDED SECTIONS, 336 IN. X 108 IN.  (LFT)</t>
  </si>
  <si>
    <t>STRUCTURE, REINFORCED CONCRETE, THREE-SIDED SECTIONS, 168 IN. X 72 IN.  (LFT)</t>
  </si>
  <si>
    <t>STRUCTURE, REINFORCED CONCRETE, THREE-SIDED SECTIONS, 288 IN. X 72 IN.  (LFT)</t>
  </si>
  <si>
    <t>STRUCTURE, COATED REINFORCED CONCRETE, THREE-SIDED SECTIONS, 108 IN. X 78 IN.  (LFT)</t>
  </si>
  <si>
    <t>STRUCTURE, COATED REINFORCED CONCRETE, THREE-SIDED SECTIONS, 312 IN. X 132 IN.  (LFT)</t>
  </si>
  <si>
    <t>STRUCTURE, REINFORCED CONCRETE, THREE-SIDED SECTIONS, 144 IN. X 72 IN.  (LFT)</t>
  </si>
  <si>
    <t>STRUCTURE, COATED REINFORCED CONCRETE, THREE-SIDED SECTIONS, 312 IN. X 120 IN.  (LFT)</t>
  </si>
  <si>
    <t>STRUCTURE, COATED REINFORCED CONCRETE, THREE-SIDED SECTIONS, 312 IN. X 108 IN.  (LFT)</t>
  </si>
  <si>
    <t>STRUCTURE, COATED REINFORCED CONCRETE, THREE-SIDED SECTIONS, 288 IN. X 72 IN.  (LFT)</t>
  </si>
  <si>
    <t>STRUCTURE, COATED REINFORCED CONCRETE, THREE-SIDED SECTIONS, 120 IN. X 96 IN.  (LFT)</t>
  </si>
  <si>
    <t>STRUCTURE, REINFORCED CONCRETE, THREE-SIDED SECTIONS, 360 IN. X 72 IN.  (LFT)</t>
  </si>
  <si>
    <t>STRUCTURE, COATED REINFORCED CONCRETE, THREE-SIDED SECTIONS, 216 IN. X 132 IN.  (LFT)</t>
  </si>
  <si>
    <t>STRUCTURE, REINFORCED CONCRETE, THREE-SIDED SECTIONS, 156 IN. X 84 IN.  (LFT)</t>
  </si>
  <si>
    <t>STRUCTURE, COATED REINFORCED CONCRETE, THREE-SIDED SECTIONS, 240 IN. X 174 IN.  (LFT)</t>
  </si>
  <si>
    <t>STRUCTURE, COATED REINFORCED CONCRETE, THREE-SIDED SECTIONS, 216 IN. X 108 IN.  (LFT)</t>
  </si>
  <si>
    <t>STRUCTURE, COATED REINFORCED CONCRETE, THREE-SIDED SECTIONS, 216 IN. X 120 IN.  (LFT)</t>
  </si>
  <si>
    <t>STRUCTURE, REINFORCED CONCRETE, THREE-SIDED SECTIONS, 216 IN. X 144 IN.  (LFT)</t>
  </si>
  <si>
    <t>STRUCTURE, REINFORCED CONCRETE, THREE-SIDED SECTIONS, 576 IN. X 148 IN.  (LFT)</t>
  </si>
  <si>
    <t>STRUCTURE, COATED REINFORCED CONCRETE, THREE-SIDED SECTIONS, 216 IN. X 144 IN.  (LFT)</t>
  </si>
  <si>
    <t>STRUCTURE, REINFORCED CONCRETE, THREE-SIDED SECTIONS, 144 IN. X 51 IN.  (LFT)</t>
  </si>
  <si>
    <t>STRUCTURE, COATED REINFORCED CONCRETE, THREE-SIDED SECTIONS, 384 IN. X 108 IN.  (LFT)</t>
  </si>
  <si>
    <t>STRUCTURE, REINFORCED CONCRETE, THREE-SIDED SECTIONS, 132 IN. X 60 IN.  (LFT)</t>
  </si>
  <si>
    <t>STRUCTURE, REINFORCED CONCRETE, THREE-SIDED SECTIONS, 336 IN. X 108 IN.  (LFT)</t>
  </si>
  <si>
    <t>STRUCTURE, REINFORCED CONCRETE, THREE-SIDED SECTIONS, 600 IN. X 96 IN.  (LFT)</t>
  </si>
  <si>
    <t>STRUCTURE, REINFORCED CONCRETE, THREE-SIDED SECTIONS, 144 IN. X 48 IN.  (LFT)</t>
  </si>
  <si>
    <t>STRUCTURE, REINFORCED CONCRETE, THREE-SIDED SECTIONS, 480 IN. X 132 IN.  (LFT)</t>
  </si>
  <si>
    <t>STRUCTURE, REINFORCED CONCRETE, THREE-SIDED SECTIONS, 456 IN. X 151 IN.  (LFT)</t>
  </si>
  <si>
    <t>STRUCTURE, REINFORCED CONCRETE, THREE-SIDED SECTIONS, 228 IN. X 144 IN.  (LFT)</t>
  </si>
  <si>
    <t>STRUCTURE, COATED REINFORCED CONCRETE, THREE-SIDED SECTIONS, 384 IN. X 120 IN.  (LFT)</t>
  </si>
  <si>
    <t>STRUCTURE, REINFORCED CONCRETE, THREE-SIDED SECTIONS, 168 IN. X 108 IN.  (LFT)</t>
  </si>
  <si>
    <t>STRUCTURE, REINFORCED CONCRETE, THREE-SIDED SECTIONS, 192 IN. X 204 IN.  (LFT)</t>
  </si>
  <si>
    <t>STRUCTURE, COATED REINFORCED CONCRETE, THREE-SIDED SECTIONS, 168 IN. X 156 IN.  (LFT)</t>
  </si>
  <si>
    <t>STRUCTURE, REINFORCED CONCRETE, THREE-SIDED SECTIONS, 336 IN. X 168 IN.  (LFT)</t>
  </si>
  <si>
    <t>STRUCTURE, COATED REINFORCED CONCRETE, THREE-SIDED SECTIONS, 168 IN. X 120 IN.  (LFT)</t>
  </si>
  <si>
    <t>STRUCTURE, COATED REINFORCED CONCRETE, THREE-SIDED SECTIONS, 204 IN. X 96 IN.  (LFT)</t>
  </si>
  <si>
    <t>STRUCTURE, COATED REINFORCED CONCRETE, THREE-SIDED SECTIONS, 168 IN. X 108 IN.  (LFT)</t>
  </si>
  <si>
    <t>STRUCTURE, COATED REINFORCED CONCRETE, THREE-SIDED SECTIONS, 336 IN. X 168 IN.  (LFT)</t>
  </si>
  <si>
    <t>STRUCTURE, COATED REINFORCED CONCRETE, THREE-SIDED SECTIONS, 336 IN. X 93 IN.  (LFT)</t>
  </si>
  <si>
    <t>STRUCTURE, COATED REINFORCED CONCRETE, THREE-SIDED SECTIONS, 192 IN. X 108 IN.  (LFT)</t>
  </si>
  <si>
    <t>STRUCTURE, REINFORCED CONCRETE, THREE-SIDED SECTIONS, 168 IN. X 96 IN.  (LFT)</t>
  </si>
  <si>
    <t>STRUCTURE, REINFORCED CONCRETE, THREE-SIDED SECTIONS, 96 IN. X 48 IN.  (LFT)</t>
  </si>
  <si>
    <t>STRUCTURE, COATED REINFORCED CONCRETE, THREE-SIDED SECTIONS, 216 IN. X 72 IN.  (LFT)</t>
  </si>
  <si>
    <t>STRUCTURE, COATED REINFORCED CONCRETE, THREE-SIDED SECTIONS, 432 IN. X 144 IN.  (LFT)</t>
  </si>
  <si>
    <t>STRUCTURE, COATED REINFORCED CONCRETE, THREE-SIDED SECTIONS, 336 IN. X 144 IN.  (LFT)</t>
  </si>
  <si>
    <t>STRUCTURE, REINFORCED CONCRETE, THREE-SIDED SECTIONS, 384 IN. X 162 IN.  (LFT)</t>
  </si>
  <si>
    <t>STRUCTURE, COATED REINFORCED CONCRETE, THREE-SIDED SECTIONS, 384 IN. X 128 IN.  (LFT)</t>
  </si>
  <si>
    <t>STRUCTURE, REINFORCED CONCRETE, THREE-SIDED SECTIONS, 168 IN. X 174 IN.  (LFT)</t>
  </si>
  <si>
    <t>STRUCTURE, REINFORCED CONCRETE, THREE-SIDED SECTIONS, 288 IN. X 152 IN.  (LFT)</t>
  </si>
  <si>
    <t>STRUCTURE, COATED REINFORCED CONCRETE, THREE-SIDED SECTIONS, 132 IN. X 108 IN.  (LFT)</t>
  </si>
  <si>
    <t>STRUCTURE, COATED REINFORCED CONCRETE, THREE-SIDED SECTIONS, 264 IN. X 108 IN.  (LFT)</t>
  </si>
  <si>
    <t>STRUCTURE, REINFORCED CONCRETE, THREE-SIDED SECTIONS, 162 IN. X 96 IN.  (LFT)</t>
  </si>
  <si>
    <t>STRUCTURE, REINFORCED CONCRETE, THREE-SIDED SECTIONS, 96 IN. X 72 IN.  (LFT)</t>
  </si>
  <si>
    <t>STRUCTURE, COATED REINFORCED CONCRETE, THREE-SIDED SECTIONS, 168 IN. X 162 IN.  (LFT)</t>
  </si>
  <si>
    <t>STRUCTURE, COATED REINFORCED CONCRETE, THREE-SIDED SECTIONS, 264 IN. X 98 IN.  (LFT)</t>
  </si>
  <si>
    <t>STRUCTURE, COATED REINFORCED CONCRETE, THREE-SIDED SECTIONS, 264 IN. X 96 IN.  (LFT)</t>
  </si>
  <si>
    <t>STRUCTURE, COATED REINFORCED CONCRETE, THREE-SIDED SECTIONS, 144 IN. X 54 IN.  (LFT)</t>
  </si>
  <si>
    <t>STRUCTURE, REINFORCED CONCRETE, THREE-SIDED SECTIONS, 432 IN. X 169 IN.  (LFT)</t>
  </si>
  <si>
    <t>STRUCTURE, REINFORCED CONCRETE, THREE-SIDED SECTIONS, 432 IN. X 165 IN.  (LFT)</t>
  </si>
  <si>
    <t>STRUCTURE, REINFORCED CONCRETE, THREE-SIDED SECTIONS, 720 IN. X 159 IN.  (LFT)</t>
  </si>
  <si>
    <t>STRUCTURE, COATED REINFORCED CONCRETE, THREE-SIDED SECTIONS, 240 IN. X 135 IN.  (LFT)</t>
  </si>
  <si>
    <t>STRUCTURE, COATED REINFORCED CONCRETE, THREE-SIDED SECTIONS, 240 IN. X 156 IN.  (LFT)</t>
  </si>
  <si>
    <t>STRUCTURE, REINFORCED CONCRETE, THREE-SIDED SECTIONS, 576 IN. X 279 IN.  (LFT)</t>
  </si>
  <si>
    <t>STRUCTURE, REINFORCED CONCRETE, THREE-SIDED SECTIONS, 144 IN. X 104 IN.  (LFT)</t>
  </si>
  <si>
    <t>STRUCTURE, COATED REINFORCED CONCRETE, THREE-SIDED SECTIONS, 360 IN. X 96 IN.  (LFT)</t>
  </si>
  <si>
    <t>STRUCTURE, COATED REINFORCED CONCRETE, THREE-SIDED SECTIONS, 360 IN. X 168 IN.  (LFT)</t>
  </si>
  <si>
    <t>STRUCTURE, REINFORCED CONCRETE, THREE-SIDED SECTIONS, 576 IN. X 285 IN.  (LFT)</t>
  </si>
  <si>
    <t>STRUCTURE, COATED REINFORCED CONCRETE, THREE-SIDED SECTIONS, 228 IN. X 132 IN.  (LFT)</t>
  </si>
  <si>
    <t>STRUCTURE, COATED REINFORCED CONCRETE, THREE-SIDED SECTIONS, 504 IN. X 120 IN.  (LFT)</t>
  </si>
  <si>
    <t>STRUCTURE, COATED REINFORCED CONCRETE, THREE-SIDED SECTIONS, 180 IN. X 84 IN.  (LFT)</t>
  </si>
  <si>
    <t>STRUCTURE, REINFORCED CONCRETE, THREE-SIDED SECTIONS, 120 IN. X 108 IN.  (LFT)</t>
  </si>
  <si>
    <t>STRUCTURE, COATED REINFORCED CONCRETE, THREE-SIDED SECTIONS, 120 IN. X 108 IN.  (LFT)</t>
  </si>
  <si>
    <t>STRUCTURE, REINFORCED CONCRETE, THREE-SIDED SECTIONS, 216 IN. X 136 IN.  (LFT)</t>
  </si>
  <si>
    <t>STRUCTURE, REINFORCED CONCRETE, THREE-SIDED SECTIONS, 216 IN. X 140 IN.  (LFT)</t>
  </si>
  <si>
    <t>STRUCTURE, COATED REINFORCED CONCRETE, THREE-SIDED SECTIONS, 144 IN. X 90 IN.  (LFT)</t>
  </si>
  <si>
    <t>STRUCTURE, REINFORCED CONCRETE, THREE-SIDED SECTIONS, 240 IN. X 128 IN.  (LFT)</t>
  </si>
  <si>
    <t>STRUCTURE, REINFORCED CONCRETE, THREE-SIDED SECTIONS, 180 IN. X 108 IN.  (LFT)</t>
  </si>
  <si>
    <t>STRUCTURE, REINFORCED CONCRETE, THREE-SIDED SECTIONS, 312 IN. X 124 IN.  (LFT)</t>
  </si>
  <si>
    <t>STRUCTURE, REINFORCED CONCRETE, THREE-SIDED SECTIONS, 180 IN. X 120 IN.  (LFT)</t>
  </si>
  <si>
    <t>STRUCTURE, REINFORCED CONCRETE, THREE-SIDED SECTIONS, 240 IN. X 188 IN.  (LFT)</t>
  </si>
  <si>
    <t>STRUCTURE, COATED REINFORCED CONCRETE, THREE-SIDED SECTIONS, 240 IN. X 192 IN.  (LFT)</t>
  </si>
  <si>
    <t>STRUCTURE, COATED REINFORCED CONCRETE, THREE-SIDED SECTIONS, 480 IN. X 180 IN.  (LFT)</t>
  </si>
  <si>
    <t>STRUCTURE, REINFORCED CONCRETE, THREE-SIDED SECTIONS, 240 IN. X 156 IN.  (LFT)</t>
  </si>
  <si>
    <t>STRUCTURE EXTENSION, REINFORCED CONCRETE, THREE-SIDED SECTIONS, 156 IN. X 84 IN.  (LFT)</t>
  </si>
  <si>
    <t>STRUCTURE, REINFORCED CONCRETE, THREE-SIDED SECTIONS, 274 IN. X 172 IN.  (LFT)</t>
  </si>
  <si>
    <t>STRUCTURE, REINFORCED CONCRETE, THREE-SIDED SECTIONS, 274 IN. X 208 IN.  (LFT)</t>
  </si>
  <si>
    <t>STRUCTURE, REINFORCED CONCRETE, THREE-SIDED SECTIONS, 432 IN. X 120 IN.  (LFT)</t>
  </si>
  <si>
    <t>STRUCTURE, REINFORCED CONCRETE, THREE-SIDED SECTIONS, 102 IN. X 240 IN.  (LFT)</t>
  </si>
  <si>
    <t>STRUCTURE, REINFORCED CONCRETE, THREE-SIDED SECTIONS, 504 IN. X 156 IN.  (LFT)</t>
  </si>
  <si>
    <t>STRUCTURE, REINFORCED CONCRETE, THREE-SIDED SECTIONS, 276 IN. X 192 IN.  (LFT)</t>
  </si>
  <si>
    <t>STRUCTURE, REINFORCED CONCRETE, THREE-SIDED SECTIONS, 504 IN. X 162 IN.  (LFT)</t>
  </si>
  <si>
    <t>STRUCTURE, REINFORCED CONCRETE, THREE-SIDED SECTIONS, 480 IN. X 180 IN.  (LFT)</t>
  </si>
  <si>
    <t>STRUCTURE, COATED REINFORCED CONCRETE, THREE-SIDED SECTIONS, 504 IN. X 162 IN.  (LFT)</t>
  </si>
  <si>
    <t>STRUCTURE, COATED REINFORCED CONCRETE, THREE-SIDED SECTIONS, 288 IN. X 162 IN.  (LFT)</t>
  </si>
  <si>
    <t>STRUCTURE, REINFORCED CONCRETE, THREE-SIDED SECTIONS, 480 IN. X 102 IN.  (LFT)</t>
  </si>
  <si>
    <t>STRUCTURE, REINFORCED CONCRETE, THREE-SIDED SECTIONS, 444 IN. X 208 IN.  (LFT)</t>
  </si>
  <si>
    <t>STRUCTURE, REINFORCED CONCRETE, THREE-SIDED SECTIONS, 360 IN. X 144 IN.  (LFT)</t>
  </si>
  <si>
    <t>STRUCTURE, REINFORCED CONCRETE, THREE-SIDED SECTIONS, 288 IN. X 195 IN.  (LFT)</t>
  </si>
  <si>
    <t>STRUCTURE EXTENSION, REINFORCED CONCRETE, THREE-SIDED SECTIONS, 240 IN. X 120 IN.  (LFT)</t>
  </si>
  <si>
    <t>STRUCTURE, REINFORCED CONCRETE, THREE-SIDED SECTIONS, 168 IN. X 48 IN.  (LFT)</t>
  </si>
  <si>
    <t>STRUCTURE, REINFORCED CONCRETE, THREE-SIDED SECTIONS, 240 IN. X 98 IN.  (LFT)</t>
  </si>
  <si>
    <t>STRUCTURE EXTENSION, REINFORCED CONCRETE, THREE-SIDED SECTIONS, 120 IN. X 96 IN.  (LFT)</t>
  </si>
  <si>
    <t>STRUCTURE, REINFORCED CONCRETE, THREE-SIDED SECTIONS, 408 IN. X 148 IN.  (LFT)</t>
  </si>
  <si>
    <t>STRUCTURE, REINFORCED CONCRETE, THREE-SIDED SECTIONS, 432 IN. X 144 IN.  (LFT)</t>
  </si>
  <si>
    <t>STRUCTURE, COATED REINFORCED CONCRETE, THREE-SIDED SECTIONS, 384 IN. X 186 IN.  (LFT)</t>
  </si>
  <si>
    <t>STRUCTURE, REINFORCED CONCRETE THREE-SIDED SECTIONS, 576 IN. X 144 IN.  (LFT)</t>
  </si>
  <si>
    <t>STRUCTURE, REINFORCED CONCRETE, THREE-SIDED SECTIONS, 156 IN. X 120 IN.  (LFT)</t>
  </si>
  <si>
    <t>CONCRETE FOR PATCHING BRIDGE EXPANSION JOINT  (SFT)</t>
  </si>
  <si>
    <t>BRIDGE EXPANSION JOINT, TYPE PCF  (LFT)</t>
  </si>
  <si>
    <t>BRIDGE EXPANSION JOINT, TYPE SS, REPLACE  (LFT)</t>
  </si>
  <si>
    <t>BRIDGE EXPANSION JOINT, TYPE M, REPLACE  (LFT)</t>
  </si>
  <si>
    <t>BRIDGE EXPANSION JOINT, TYPE PCF, REPLACE  (LFT)</t>
  </si>
  <si>
    <t>BRIDGE EXPANSION JOINT SEAL, TYPE PCF, REPLACE  (LFT)</t>
  </si>
  <si>
    <t>DRILLED SHAFT, DIAMETER 48 IN.  (LFT)</t>
  </si>
  <si>
    <t>DRILLED SHAFT, DIAMETER 84 IN.  (LFT)</t>
  </si>
  <si>
    <t>DRILLED SHAFT, DIAMETER 36 IN.  (LFT)</t>
  </si>
  <si>
    <t>DRILLED SHAFT, DIAMETER 72 IN.  (LFT)</t>
  </si>
  <si>
    <t>DRILLED SHAFT, DIAMETER 78 IN.  (LFT)</t>
  </si>
  <si>
    <t>DRILLED SHAFT, DIAMETER 24 IN.  (LFT)</t>
  </si>
  <si>
    <t>DRILLED SHAFT, DIAMETER 42 IN.  (LFT)</t>
  </si>
  <si>
    <t>DRILLED SHAFT, DIAMETER 63 IN.  (LFT)</t>
  </si>
  <si>
    <t>DRILLED SHAFT, DIAMETER 69 IN.  (LFT)</t>
  </si>
  <si>
    <t>DRILLED SHAFT, DIAMETER 60 IN.  (LFT)</t>
  </si>
  <si>
    <t>DRILLED SHAFT, DIAMETER 54 IN.  (LFT)</t>
  </si>
  <si>
    <t>DRILLED SHAFT, DIAMETER 66 IN.  (LFT)</t>
  </si>
  <si>
    <t>DRILLED SHAFT, DIAMETER 30 IN.  (LFT)</t>
  </si>
  <si>
    <t>DRILLED SHAFT DIAMETER 108 IN.  (LFT)</t>
  </si>
  <si>
    <t>DRILLED SHAFT DIAMETER 114 IN.  (LFT)</t>
  </si>
  <si>
    <t>CONCRETE FACING  (SFT)</t>
  </si>
  <si>
    <t>LEVELING PAD, CONCRETE  (LFT)</t>
  </si>
  <si>
    <t>CABLE SPAN SIGN STRUCTURE FOUNDATION, TYPE IV  (EACH)</t>
  </si>
  <si>
    <t>BOX TRUSS SIGN STRUCTURE FOUNDATION, 33 IN. CONCRETE BARRIER WALL  (EACH)</t>
  </si>
  <si>
    <t>BOX TRUSS SIGN STRUCTURE FOUNDATION, 45 IN. CONCRETE BARRIER WALL  (EACH)</t>
  </si>
  <si>
    <t>BOX TRUSS SIGN STRUCTURE FOUNDATION, 36 IN. MEDIAN OR SHOULDER  (EACH)</t>
  </si>
  <si>
    <t>CANTILEVER SIGN SUPPORT FOUNDATION, DRILLED SHAFT 33 IN.  (EACH)</t>
  </si>
  <si>
    <t>CANTILEVER SIGN SUPPORT FOUNDATION, DRILLED SHAFT 45 IN.  (EACH)</t>
  </si>
  <si>
    <t>CANTILEVER SIGN SUPPORT FOUNDATION, DRILLED SHAFT 36 IN.  (EACH)</t>
  </si>
  <si>
    <t>BOX TRUSS SIGN STRUCTURE FOUNDATION, DMS 33 IN. HEIGHT  (EACH)</t>
  </si>
  <si>
    <t>BOX TRUSS SIGN STRUCTURE FOUNDATION, DMS 45 IN. HEIGHT  (EACH)</t>
  </si>
  <si>
    <t>BOX TRUSS SIGN STRUCTURE FOUNDATION, DMS 36 IN. HEIGHT  (EACH)</t>
  </si>
  <si>
    <t>TRI-CHORD SIGN STRUCTURE FOUNDATION, SPREAD FOOTING  (EACH)</t>
  </si>
  <si>
    <t>TRI-CHORD SIGN STRUCTURE FOUNDATION, DRILLED SHAFT  (EACH)</t>
  </si>
  <si>
    <t>SIGN FOUNDATION  (EACH)</t>
  </si>
  <si>
    <t>CANTILEVER SIGN SUPPORT FOUNDATION, DRILLED SHAFT 48 IN.  (EACH)</t>
  </si>
  <si>
    <t>GATEWAY SIGN SYSTEM  (LS)</t>
  </si>
  <si>
    <t>WIDE FLANGE SIGN POST SUPPORT FOUNDATION, TYPE A  (EACH)</t>
  </si>
  <si>
    <t>WIDE FLANGE SIGN POST SUPPORT FOUNDATION, TYPE B  (EACH)</t>
  </si>
  <si>
    <t>WIDE FLANGE SIGN POST SUPPORT FOUNDATION, TYPE C  (EACH)</t>
  </si>
  <si>
    <t>OVERHEAD BUTTERFLY CANTILEVER SIGN STRUCTURE FOUNDATION, DRILLED SHAFT 33 IN.  (EACH)</t>
  </si>
  <si>
    <t>OVERHEAD BUTTERFLY CANTILEVER SIGN STRUCTURE FOUNDATION, DRILLED SHAFT 45 IN.  (EACH)</t>
  </si>
  <si>
    <t>BOX TRUSS SIGN STRUCTURE FOUNDATION, 33 IN. CONCRETE BARRIER, FGH  (EACH)</t>
  </si>
  <si>
    <t>BOX TRUSS SIGN STRUCTURE FOUNDATION, 36 IN. MEDIAN OR SHOULDER, FGH  (EACH)</t>
  </si>
  <si>
    <t>BOX TRUSS SIGN STRUCTURE FOUNDATION, 45 IN. CONCRETE BARRIER WALL, FGH  (EACH)</t>
  </si>
  <si>
    <t>ITS ROADSIDE BALANCED CANTILEVER STRUCTURE FOUNDATION CONCRETE WITH GROUNDING  (EACH)</t>
  </si>
  <si>
    <t>CONTROLLER CABINET FOUNDATION, TYPE P1, MODIFIED  (EACH)</t>
  </si>
  <si>
    <t>SIGNAL POLE FOUNDATION, 36 IN. X 144 IN.  (EACH)</t>
  </si>
  <si>
    <t>SIGNAL SUPPORT FOUNDATION, 36 IN. X 36 IN. X 96 IN.  (EACH)</t>
  </si>
  <si>
    <t>SIGNAL POLE FOUNDATION, 36 IN. X 36 IN. X 84 IN.  (EACH)</t>
  </si>
  <si>
    <t>CONTROLLER CABINET FOUNDATION, TYPE A  (EACH)</t>
  </si>
  <si>
    <t>FLASHER INSTALLATION, NEW, LOCATION NO.  (LS)</t>
  </si>
  <si>
    <t>SIGNAL POLE FOUNDATION, 36 IN.  X 72 IN.  (EACH)</t>
  </si>
  <si>
    <t>SIGNAL POLE FOUNDATION, 24 IN. X 24 IN. X 36 IN.  (EACH)</t>
  </si>
  <si>
    <t>SIGNAL SUPPORT FOUNDATION, 2 FT 6 IN. X 2 FT 6 IN. X 6 FT  (EACH)</t>
  </si>
  <si>
    <t>SIGNAL POLE FOUNDATION, 30 IN. X 30 IN. X 84 IN.  (EACH)</t>
  </si>
  <si>
    <t>DOWNGUY ANCHOR, INSTALL  (EACH)</t>
  </si>
  <si>
    <t>WIM STATION, 4 LANE PIEZO  (LS)</t>
  </si>
  <si>
    <t>ITS CABINET FOUNDATION  (EACH)</t>
  </si>
  <si>
    <t>WIM STATION, QUARTZ  (LS)</t>
  </si>
  <si>
    <t>SIGNAL SUPPORT FOUNDATION, 36 IN. DIAMETER X 120 IN.  (EACH)</t>
  </si>
  <si>
    <t>VWIM STATION, QUARTZ  (LS)</t>
  </si>
  <si>
    <t>SIGNAL CANTILEVER STRUCTURE, DRILLED SHAFT FOUNDATION, TYPE A  (EACH)</t>
  </si>
  <si>
    <t>SIGNAL CANTILEVER STRUCTURE, DRILLED SHAFT FOUNDATION, TYPE B  (EACH)</t>
  </si>
  <si>
    <t>SIGNAL CANTILEVER STRUCTURE, DRILLED SHAFT FOUNDATION, TYPE E  (EACH)</t>
  </si>
  <si>
    <t>SIGNAL CANTILEVER STRUCTURE, DRILLED SHAFT FOUNDATION, TYPE F  (EACH)</t>
  </si>
  <si>
    <t>SIGNAL CANTILEVER STRUCTURE, SPREAD FOOTING FOUNDATION, TYPE C  (EACH)</t>
  </si>
  <si>
    <t>SIGNAL CANTILEVER STRUCTURE, SPREAD FOOTING FOUNDATION, TYPE D  (EACH)</t>
  </si>
  <si>
    <t>WIM STATION, REBUILD  (LS)</t>
  </si>
  <si>
    <t>CONTROLLER CABINET FOUNDATION, TYPE P1  (EACH)</t>
  </si>
  <si>
    <t>CONTROLLER CABINET FOUNDATION, TYPE M  (EACH)</t>
  </si>
  <si>
    <t>TRAFFIC SIGNAL INSTALLATION, NEW, LOCATION NO.  (LS)</t>
  </si>
  <si>
    <t>FLASHING BEACON WITH SIGNAL AHEAD SIGN, 6 IN. I BEAM AND FOUNDATION  (EACH)</t>
  </si>
  <si>
    <t>CONTROLLER CABINET FOUNDATION, M MODIFY TO P1  (EACH)</t>
  </si>
  <si>
    <t>EXTERNAL WINCH PAD, CONCRETE  (EACH)</t>
  </si>
  <si>
    <t>HIGH MAST TOWER WINCH DRIVE  (EACH)</t>
  </si>
  <si>
    <t>CONTROLLER, LIGHTING  (EACH)</t>
  </si>
  <si>
    <t>LIGHT POLE, HIGH MAST, 80 FT E.M.H.  (EACH)</t>
  </si>
  <si>
    <t>LIGHTING FOUNDATION, CONCRETE, WITH GROUNDING, 24 IN. X 24 IN. X 96 IN.  (EACH)</t>
  </si>
  <si>
    <t>CONCRETE FOUNDATION, WITH GROUNDING, 20 IN. X 20 IN. X 48 IN.  (EACH)</t>
  </si>
  <si>
    <t>LIGHT POLE, BASE  (EACH)</t>
  </si>
  <si>
    <t>LIGHTING FOUNDATION  (EACH)</t>
  </si>
  <si>
    <t>CONCRETE FOUNDATION WITH GROUNDING  (EACH)</t>
  </si>
  <si>
    <t>JUNCTION BOX  (EACH)</t>
  </si>
  <si>
    <t>LIGHT POLE, HIGH MAST, 85 FT E.M.H.  (EACH)</t>
  </si>
  <si>
    <t>HIGH MAST TOWER, 170 FT E.M.H.  (EACH)</t>
  </si>
  <si>
    <t>HIGH MAST TOWER, 60 FT E.M.H.  (EACH)</t>
  </si>
  <si>
    <t>HIGH MAST TOWER, 65 FT E.M.H.  (EACH)</t>
  </si>
  <si>
    <t>HIGH MAST TOWER, 70 FT E.M.H.  (EACH)</t>
  </si>
  <si>
    <t>HIGH MAST TOWER, 75 FT E.M.H.  (EACH)</t>
  </si>
  <si>
    <t>HIGH MAST TOWER, 90 FT E.M.H.  (EACH)</t>
  </si>
  <si>
    <t>HIGH MAST TOWER, 100 FT E.M.H.  (EACH)</t>
  </si>
  <si>
    <t>HIGH MAST TOWER, 105 FT E.M.H.  (EACH)</t>
  </si>
  <si>
    <t>HIGH MAST TOWER, 110 FT E.M.H.  (EACH)</t>
  </si>
  <si>
    <t>HIGH MAST TOWER, 160 FT E.M.H.  (EACH)</t>
  </si>
  <si>
    <t>HIGH MAST TOWER, 165 FT E.M.H.  (EACH)</t>
  </si>
  <si>
    <t>HIGH MAST TOWER, 175 FT E.M.H.  (EACH)</t>
  </si>
  <si>
    <t>HIGH MAST TOWER, 180 FT E.M.H.  (EACH)</t>
  </si>
  <si>
    <t>HIGH MAST TOWER, 185 FT E.M.H.  (EACH)</t>
  </si>
  <si>
    <t>HIGH MAST TOWER, 190 FT E.M.H.  (EACH)</t>
  </si>
  <si>
    <t>HIGH MAST TOWER, 195 FT E.M.H.  (EACH)</t>
  </si>
  <si>
    <t>HIGH MAST TOWER, 200 FT E.M.H.  (EACH)</t>
  </si>
  <si>
    <t>LIGHTING FOUNDATION, CONVENTIONAL POLE, CONCRETE, WITH GROUNDING  (EACH)</t>
  </si>
  <si>
    <t>LIGHTING FOUNDATION, HIGH MAST TOWER, CONCRETE, WITH GROUNDING  (EACH)</t>
  </si>
  <si>
    <t>LIGHTING FOUNDATION, 33 IN. BARRIER WALL, CONCRETE, WITH GROUNDING  (EACH)</t>
  </si>
  <si>
    <t>LIGHTING FOUNDATION, 45 IN. BARRIER WALL, CONCRETE WITH GROUND  (EACH)</t>
  </si>
  <si>
    <t>HIGH MAST TOWER, 95 FT E.M.H.  (EACH)</t>
  </si>
  <si>
    <t>HIGH MAST TOWER, 115 FT E.M.H.  (EACH)</t>
  </si>
  <si>
    <t>HIGH MAST TOWER, 120 FT E.M.H.  (EACH)</t>
  </si>
  <si>
    <t>HIGH MAST TOWER, 125 FT E.M.H.  (EACH)</t>
  </si>
  <si>
    <t>HIGH MAST TOWER, 130 FT E.M.H.  (EACH)</t>
  </si>
  <si>
    <t>HIGH MAST TOWER, 135 FT E.M.H.  (EACH)</t>
  </si>
  <si>
    <t>HIGH MAST TOWER, 140 FT E.M.H.  (EACH)</t>
  </si>
  <si>
    <t>HIGH MAST TOWER, 145 FT E.M.H.  (EACH)</t>
  </si>
  <si>
    <t>HIGH MAST TOWER, 150 FT E.M.H.  (EACH)</t>
  </si>
  <si>
    <t>HIGH MAST TOWER, 155 FT E.M.H.  (EACH)</t>
  </si>
  <si>
    <t>LIGHTING FOUNDATION, CONCRETE, WITH GROUNDING, HIGH MAST TOWER  (EACH)</t>
  </si>
  <si>
    <t>NAVIGATION LIGHT, PIER  (EACH)</t>
  </si>
  <si>
    <t>NAVIGATION LIGHT, CENTER CHANNEL  (EACH)</t>
  </si>
  <si>
    <t>NAVIGATION LIGHT, FRESNEL LENS, 180 DEGREE SECTION  (EACH)</t>
  </si>
  <si>
    <t>NAVIGATION LIGHT, FRESNEL LENS, 360 DEGREE SECTION  (EACH)</t>
  </si>
  <si>
    <t>TRANSFORMER BASE, HANDHOLE  (EACH)</t>
  </si>
  <si>
    <t>FOUNDATION, ANCHOR BOLTS AND REINFORCING STEEL, FOR ROADWAY LIGHT  (SET)</t>
  </si>
  <si>
    <t>FOUNDATION, ANCHOR BOLTS AND REINFORCING STEEL, FOR POST TOP LIGHT  (SET)</t>
  </si>
  <si>
    <t>FOUNDATION  (EACH)</t>
  </si>
  <si>
    <t>ITS CONTROLLER CABINET FOUNDATION  (EACH)</t>
  </si>
  <si>
    <t>PCC, Special Provision</t>
  </si>
  <si>
    <t>702 Structural (Class A)</t>
  </si>
  <si>
    <t>702 Structural (Class B)</t>
  </si>
  <si>
    <t>702 Structural (Class C)</t>
  </si>
  <si>
    <t>702 Structural (Class C, AP Agg)</t>
  </si>
  <si>
    <t>702 Structural (Class C, Slipformed)</t>
  </si>
  <si>
    <t>722 Bridge Deck Patching</t>
  </si>
  <si>
    <t>702 Structural (Class A, Slipformed)</t>
  </si>
  <si>
    <t>502 Concretes</t>
  </si>
  <si>
    <t>506 Concretes</t>
  </si>
  <si>
    <t>702 Class B Concrete</t>
  </si>
  <si>
    <t>702 Class A Concrete</t>
  </si>
  <si>
    <t>% Passing No. 200 sieve, by wt</t>
  </si>
  <si>
    <t>Root Specifications</t>
  </si>
  <si>
    <t>Minimum</t>
  </si>
  <si>
    <t>Maximum</t>
  </si>
  <si>
    <t>W/C Ratio Design Limits</t>
  </si>
  <si>
    <t>Slump</t>
  </si>
  <si>
    <t>506 Partial Depth Patch (Length ≤ 15-ft)</t>
  </si>
  <si>
    <t>702 Structural Concrete (E5 IC + Pozzolan)</t>
  </si>
  <si>
    <t>702 Structural Concrete (E5 IC + Pozzolan, Slipformed)</t>
  </si>
  <si>
    <t>702 Structural Concrete (E5 IC + E5 LFA)</t>
  </si>
  <si>
    <t>702 Structural Concrete (E5 IC + E5 LFA, Slipformed)</t>
  </si>
  <si>
    <t>722 E5-IC + E5-LFA + Fibers Overlay</t>
  </si>
  <si>
    <t>2.0 TO 10.0</t>
  </si>
  <si>
    <t>CHRYSO QUAD 842 (A)</t>
  </si>
  <si>
    <t>CHRYSO QUAD 842 (F)</t>
  </si>
  <si>
    <t>SIGNAL DETECTOR HOUSING (EACH)</t>
  </si>
  <si>
    <t>805-78785</t>
  </si>
  <si>
    <t>SIGNAL DETECTOR HOUSING</t>
  </si>
  <si>
    <t>BRIDGE DECK PATCHING, FULL DEPTH (SFT)</t>
  </si>
  <si>
    <t>722-51401</t>
  </si>
  <si>
    <t>BRIDGE DECK PATCHING, FULL DEPTH</t>
  </si>
  <si>
    <t>s</t>
  </si>
  <si>
    <t>BRIDGE DECK PATCHING, PARTIAL DEPTH (SFT)</t>
  </si>
  <si>
    <t>722-51852</t>
  </si>
  <si>
    <t>BRIDGE DECK PATCHING, PARTIAL DEPTH</t>
  </si>
  <si>
    <t xml:space="preserve">OZINGA CEMENT - SONG LAM CEMENT PLANT   VISSAI, VIETNAM  </t>
  </si>
  <si>
    <t>238300</t>
  </si>
  <si>
    <t>SIKA VISCOCRETE-4100 (F)</t>
  </si>
  <si>
    <t>SIKA VISCOCRETE-6100(F)</t>
  </si>
  <si>
    <t>SIKA VISCOFLOW-2020(A)</t>
  </si>
  <si>
    <t>SIKA VISCOFLOW-2020(F)</t>
  </si>
  <si>
    <t>SIKA-CNI( C)</t>
  </si>
  <si>
    <t>SIKAMENT SPMN(F)</t>
  </si>
  <si>
    <t>SIKAPLAST-300GP (A)</t>
  </si>
  <si>
    <t>SIKASET NC ( C)</t>
  </si>
  <si>
    <t>6.0 TO 15.0</t>
  </si>
  <si>
    <t>MASTEREASE 5000 (A)</t>
  </si>
  <si>
    <t>0.5 TO 2.5</t>
  </si>
  <si>
    <t>FRITZ-PAK SUPER AIR PLUS</t>
  </si>
  <si>
    <t xml:space="preserve">0.25 TO 1.25 </t>
  </si>
  <si>
    <t xml:space="preserve">FRITZ-PAK CORP.  </t>
  </si>
  <si>
    <t xml:space="preserve">3.0 to 12.0
</t>
  </si>
  <si>
    <t>CHRYSO ENVIROMIX 300(A)</t>
  </si>
  <si>
    <t>CHRYSO ENVIROMIX 310(A)</t>
  </si>
  <si>
    <t>DYNAMON SX (F)</t>
  </si>
  <si>
    <t>DYNAMON SX)A)</t>
  </si>
  <si>
    <t>TYPYE A</t>
  </si>
  <si>
    <t>MAPPEPLAST PAVER PLUS</t>
  </si>
  <si>
    <t>MAPEPLAST KB-1200</t>
  </si>
  <si>
    <t>MAPPEPLAST 400 NC</t>
  </si>
  <si>
    <t xml:space="preserve">2.0 TO 3.5
</t>
  </si>
  <si>
    <t>MASTERGLENIUM 7960 (A)</t>
  </si>
  <si>
    <t>7217</t>
  </si>
  <si>
    <t xml:space="preserve">4.0 TO 8.0
</t>
  </si>
  <si>
    <t>ECOFLO GREEN (A)</t>
  </si>
  <si>
    <t>LC-600 (A)</t>
  </si>
  <si>
    <t>0.19 TO 0.31 (PUCKS)</t>
  </si>
  <si>
    <t xml:space="preserve">2.0 T0 6.0
</t>
  </si>
  <si>
    <t>DARNSET DNS 130 ( C)</t>
  </si>
  <si>
    <t>MAPPETARD R   (D)</t>
  </si>
  <si>
    <t>CHRYSO ENVIROMIX 310(F)</t>
  </si>
  <si>
    <t>CHRYSO ENVIROMIX 350(A)</t>
  </si>
  <si>
    <t>CHRYSO ENVIROMIX 350(F)</t>
  </si>
  <si>
    <t>8.0 TO 18.0</t>
  </si>
  <si>
    <t>CHRYSO OPTIMA 249 (F)</t>
  </si>
  <si>
    <t>4.0 TO 12.0</t>
  </si>
  <si>
    <t>SUPERCIZER 7</t>
  </si>
  <si>
    <t>4.0 TO 12.0 (POWDER)</t>
  </si>
  <si>
    <t xml:space="preserve">9.0 TO 20.0
</t>
  </si>
  <si>
    <t xml:space="preserve">3.0 TO 20.0
</t>
  </si>
  <si>
    <t>3.0 to 6.0</t>
  </si>
  <si>
    <t>5.0 to 14.0</t>
  </si>
  <si>
    <t>ADVA ITM750</t>
  </si>
  <si>
    <t>MASTERGLENIUM 7960 (f)</t>
  </si>
  <si>
    <t>8.0 TO 12.0</t>
  </si>
  <si>
    <t xml:space="preserve">5.0 TO 20.0
</t>
  </si>
  <si>
    <t>248302</t>
  </si>
  <si>
    <t>OZINGA CEMENT- LONG SON CEMENT PLANT-LONG SON WARD-BIMSON TOWN, VIETNAM</t>
  </si>
  <si>
    <r>
      <rPr>
        <b/>
        <sz val="10"/>
        <rFont val="Arial"/>
        <family val="2"/>
      </rPr>
      <t>Box Test (AASHTO T396)</t>
    </r>
    <r>
      <rPr>
        <sz val="10"/>
        <rFont val="Arial"/>
        <family val="2"/>
      </rPr>
      <t xml:space="preserve">. </t>
    </r>
  </si>
  <si>
    <t xml:space="preserve">1.0 TO 11.0
</t>
  </si>
  <si>
    <t>DYNAMON SX 37(A)</t>
  </si>
  <si>
    <t>DYNAMON SX 37(F)</t>
  </si>
  <si>
    <t>MAPECRETE RESOLVE (B)</t>
  </si>
  <si>
    <t>MAPECRETE RESOLVE (D)</t>
  </si>
  <si>
    <t>ATLANTIC SUNSHINE LLC, SONG LAM CEMENT  NGHE AN PROVINCE, VIETNAM</t>
  </si>
  <si>
    <t>248300</t>
  </si>
  <si>
    <t>ATLANTIC SUNSHINE LLC, SONG LAM CEMENT  NA HAM PROVINCE, VIETNAM</t>
  </si>
  <si>
    <t>248301</t>
  </si>
  <si>
    <t>HOLLINGSHEAD CEMENT LLC, MILAKI PLANT- MILAKI, GREECE</t>
  </si>
  <si>
    <t>248350</t>
  </si>
  <si>
    <t>ILVI CEMENT – MEDCEM CEMENT PLANT</t>
  </si>
  <si>
    <t>EM RESOURCES, LLC-MILLER PLANT, UNITS 1,2,3 &amp; 4, QUINTIN. AL</t>
  </si>
  <si>
    <t>248106</t>
  </si>
  <si>
    <t xml:space="preserve">GLOBAL MATERIALS PARTNERS, LLC-MAJUBA POWER STATION, MPUMPALANGA, SOUTH AFRICA          </t>
  </si>
  <si>
    <t>248101</t>
  </si>
  <si>
    <t>R-E-D INDUSTRIAL PRODUCTS-R-E-D FUME 102 DSEA</t>
  </si>
  <si>
    <t>248104</t>
  </si>
  <si>
    <t>DARCOLE HYDRATION STABILIZER DHS (D)</t>
  </si>
  <si>
    <t>DARCOLE HYDRATION STABILIZER DHS (B)</t>
  </si>
  <si>
    <t>8284</t>
  </si>
  <si>
    <t>ACCELGUARD 80 (C)</t>
  </si>
  <si>
    <t>ACCELGUARD 90 (C)</t>
  </si>
  <si>
    <t>ACCELGUARD G3 (E)</t>
  </si>
  <si>
    <t>ACCELGUARD G3 (C)</t>
  </si>
  <si>
    <t>ACCELGUARD NCA (C)</t>
  </si>
  <si>
    <t>242306</t>
  </si>
  <si>
    <t>U.S AGGREGATES, INC</t>
  </si>
  <si>
    <t>2461</t>
  </si>
  <si>
    <t>Milestone Contractors North, LLC</t>
  </si>
  <si>
    <t>2451</t>
  </si>
  <si>
    <t>2791</t>
  </si>
  <si>
    <t>Landmark Materials, LLC</t>
  </si>
  <si>
    <t>Union Mills, IN</t>
  </si>
  <si>
    <t>IRVING MATERIALS INC. - GRANT CO. S&amp;G</t>
  </si>
  <si>
    <t>JONESBORO, IN</t>
  </si>
  <si>
    <t>MELVIN ST. CO. KILBY RAILYARD</t>
  </si>
  <si>
    <t>202294</t>
  </si>
  <si>
    <t>0144</t>
  </si>
  <si>
    <t>2472</t>
  </si>
  <si>
    <t>ELKHART, IN</t>
  </si>
  <si>
    <t>2473</t>
  </si>
  <si>
    <t>212297</t>
  </si>
  <si>
    <t>0145</t>
  </si>
  <si>
    <t xml:space="preserve">OLD PRAIRIE PRODUCTS INC. </t>
  </si>
  <si>
    <t>212295</t>
  </si>
  <si>
    <t>0146</t>
  </si>
  <si>
    <t>AUDUBON SAND AND GRAVEL</t>
  </si>
  <si>
    <t>232302</t>
  </si>
  <si>
    <t>0156</t>
  </si>
  <si>
    <t>242305</t>
  </si>
  <si>
    <t>0159</t>
  </si>
  <si>
    <t xml:space="preserve">HEIDELBERG MATERIALS MIDWEST </t>
  </si>
  <si>
    <t>PEEBLES, OH</t>
  </si>
  <si>
    <t>242309</t>
  </si>
  <si>
    <t>0161</t>
  </si>
  <si>
    <t>KIMMELL SAND AND GRAVEL LIGONIER</t>
  </si>
  <si>
    <t>2232</t>
  </si>
  <si>
    <t>242310</t>
  </si>
  <si>
    <t>0162</t>
  </si>
  <si>
    <t>SITE WORX AGGREGATES LLC</t>
  </si>
  <si>
    <t>242308</t>
  </si>
  <si>
    <t>0164</t>
  </si>
  <si>
    <t>AUDUBON SAND AND GRAVEL - NORTH</t>
  </si>
  <si>
    <t>2601</t>
  </si>
  <si>
    <t>2109</t>
  </si>
  <si>
    <t>2111</t>
  </si>
  <si>
    <t>ROSKOVENSKY CONC. AND GRAVEL</t>
  </si>
  <si>
    <t>2113</t>
  </si>
  <si>
    <t>2180</t>
  </si>
  <si>
    <t>2135</t>
  </si>
  <si>
    <t>2136</t>
  </si>
  <si>
    <t>2421</t>
  </si>
  <si>
    <t>2143</t>
  </si>
  <si>
    <t>2157</t>
  </si>
  <si>
    <t>2163</t>
  </si>
  <si>
    <t>2164</t>
  </si>
  <si>
    <t>2445</t>
  </si>
  <si>
    <t>2165</t>
  </si>
  <si>
    <t>2428</t>
  </si>
  <si>
    <t>2206</t>
  </si>
  <si>
    <t>NEW PARIS, IN</t>
  </si>
  <si>
    <t>2207</t>
  </si>
  <si>
    <t>2211</t>
  </si>
  <si>
    <t>2217</t>
  </si>
  <si>
    <t>LEHIGH HANSON AGGREGATES</t>
  </si>
  <si>
    <t>2240</t>
  </si>
  <si>
    <t>2237</t>
  </si>
  <si>
    <t>2238</t>
  </si>
  <si>
    <t>2797</t>
  </si>
  <si>
    <t>2247</t>
  </si>
  <si>
    <t>CLIFFORD AGGREGATE, INC</t>
  </si>
  <si>
    <t>2283</t>
  </si>
  <si>
    <t>2254</t>
  </si>
  <si>
    <t>2355</t>
  </si>
  <si>
    <t>2431</t>
  </si>
  <si>
    <t>2262</t>
  </si>
  <si>
    <t>2266</t>
  </si>
  <si>
    <t>2267</t>
  </si>
  <si>
    <t>2273</t>
  </si>
  <si>
    <t>NIBLOCK EXCAVATING INC-BRISTOL</t>
  </si>
  <si>
    <t>2294</t>
  </si>
  <si>
    <t>STONECO OF ANGOLA</t>
  </si>
  <si>
    <t>2295</t>
  </si>
  <si>
    <t>2303</t>
  </si>
  <si>
    <t>2306</t>
  </si>
  <si>
    <t>2310</t>
  </si>
  <si>
    <t>2389</t>
  </si>
  <si>
    <t>2311</t>
  </si>
  <si>
    <t>2314</t>
  </si>
  <si>
    <t>2312</t>
  </si>
  <si>
    <t>2322</t>
  </si>
  <si>
    <t>RUSH COUNTY STONE CO.</t>
  </si>
  <si>
    <t>2331</t>
  </si>
  <si>
    <t>2333</t>
  </si>
  <si>
    <t>2334</t>
  </si>
  <si>
    <t>2338</t>
  </si>
  <si>
    <t>2347</t>
  </si>
  <si>
    <t>2348</t>
  </si>
  <si>
    <t>2362</t>
  </si>
  <si>
    <t>2353</t>
  </si>
  <si>
    <t>2359</t>
  </si>
  <si>
    <t>IRVING MATERIALS-STONEY CREEK</t>
  </si>
  <si>
    <t>2361</t>
  </si>
  <si>
    <t>2363</t>
  </si>
  <si>
    <t>2367</t>
  </si>
  <si>
    <t>2381</t>
  </si>
  <si>
    <t>2399</t>
  </si>
  <si>
    <t>2408</t>
  </si>
  <si>
    <t>2409</t>
  </si>
  <si>
    <t>2410</t>
  </si>
  <si>
    <t>2423</t>
  </si>
  <si>
    <t>242304</t>
  </si>
  <si>
    <t>2427</t>
  </si>
  <si>
    <t>IRVING MATERIALS INC. - CARROL COUNTY S&amp;G</t>
  </si>
  <si>
    <t>2439</t>
  </si>
  <si>
    <t>2440</t>
  </si>
  <si>
    <t>2449</t>
  </si>
  <si>
    <t>2477</t>
  </si>
  <si>
    <t>KANKAKEE, ILL</t>
  </si>
  <si>
    <t>982106</t>
  </si>
  <si>
    <t>2478</t>
  </si>
  <si>
    <t>2498</t>
  </si>
  <si>
    <t>2503</t>
  </si>
  <si>
    <t>2506</t>
  </si>
  <si>
    <t>2509</t>
  </si>
  <si>
    <t>2510</t>
  </si>
  <si>
    <t>2512</t>
  </si>
  <si>
    <t>2519</t>
  </si>
  <si>
    <t>MARTIN MARIETTA - ROSS PLANT</t>
  </si>
  <si>
    <t>2521</t>
  </si>
  <si>
    <t>ROGERS GROUP - BLOOMINGTON</t>
  </si>
  <si>
    <t>2523</t>
  </si>
  <si>
    <t>2522</t>
  </si>
  <si>
    <t>2531</t>
  </si>
  <si>
    <t>2533</t>
  </si>
  <si>
    <t>2534</t>
  </si>
  <si>
    <t>2535</t>
  </si>
  <si>
    <t>2536</t>
  </si>
  <si>
    <t>2537</t>
  </si>
  <si>
    <t>2538</t>
  </si>
  <si>
    <t>NEW POINT STONE CO - ST. PAUL</t>
  </si>
  <si>
    <t>2540</t>
  </si>
  <si>
    <t>2542</t>
  </si>
  <si>
    <t>2572</t>
  </si>
  <si>
    <t>2543</t>
  </si>
  <si>
    <t>2552</t>
  </si>
  <si>
    <t>2553</t>
  </si>
  <si>
    <t>2556</t>
  </si>
  <si>
    <t>2561</t>
  </si>
  <si>
    <t>BROWNSTOWN, IN</t>
  </si>
  <si>
    <t>2563</t>
  </si>
  <si>
    <t>2570</t>
  </si>
  <si>
    <t>2631</t>
  </si>
  <si>
    <t>2651</t>
  </si>
  <si>
    <t>2573</t>
  </si>
  <si>
    <t>2575</t>
  </si>
  <si>
    <t>2576</t>
  </si>
  <si>
    <t>2578</t>
  </si>
  <si>
    <t>2580</t>
  </si>
  <si>
    <t>212296</t>
  </si>
  <si>
    <t>2588</t>
  </si>
  <si>
    <t>ROGERS GROUP INC. BULLITT CO.</t>
  </si>
  <si>
    <t>SHEPERDSVILLE, KY</t>
  </si>
  <si>
    <t>2590</t>
  </si>
  <si>
    <t>2591</t>
  </si>
  <si>
    <t>242311</t>
  </si>
  <si>
    <t>HOLCIM CAVE IN ROCK</t>
  </si>
  <si>
    <t>CAVE IN ROCK, IL</t>
  </si>
  <si>
    <t>242307</t>
  </si>
  <si>
    <t>2607</t>
  </si>
  <si>
    <t>J &amp; B SAND &amp; GRAVEL, LLC</t>
  </si>
  <si>
    <t>CARMI, IL</t>
  </si>
  <si>
    <t>2624</t>
  </si>
  <si>
    <t>MULZER CRUSHED STONE-GRIFFIN</t>
  </si>
  <si>
    <t>2632</t>
  </si>
  <si>
    <t>2621</t>
  </si>
  <si>
    <t>2776</t>
  </si>
  <si>
    <t>2668</t>
  </si>
  <si>
    <t>2641</t>
  </si>
  <si>
    <t>2686</t>
  </si>
  <si>
    <t>2642</t>
  </si>
  <si>
    <t>2643</t>
  </si>
  <si>
    <t>CALCAR QUARRIES, INC.</t>
  </si>
  <si>
    <t>2645</t>
  </si>
  <si>
    <t>2646</t>
  </si>
  <si>
    <t>2687</t>
  </si>
  <si>
    <t>2700</t>
  </si>
  <si>
    <t>2703</t>
  </si>
  <si>
    <t>FORT WAYNE,  IN</t>
  </si>
  <si>
    <t>2718</t>
  </si>
  <si>
    <t>2743</t>
  </si>
  <si>
    <t>242303</t>
  </si>
  <si>
    <t>2747</t>
  </si>
  <si>
    <t>LAFONTAINE GRAVEL, INC</t>
  </si>
  <si>
    <t>LAFONTAINE, IN</t>
  </si>
  <si>
    <t>2749</t>
  </si>
  <si>
    <t>992152</t>
  </si>
  <si>
    <t>2762</t>
  </si>
  <si>
    <t>RUSS&amp;IAVILLE, IN</t>
  </si>
  <si>
    <t>2763</t>
  </si>
  <si>
    <t>2764</t>
  </si>
  <si>
    <t>2771</t>
  </si>
  <si>
    <t>2772</t>
  </si>
  <si>
    <t>2777</t>
  </si>
  <si>
    <t>SMYRNA READY MIX SAND &amp; GRAVEL</t>
  </si>
  <si>
    <t>2781</t>
  </si>
  <si>
    <t>2783</t>
  </si>
  <si>
    <t>2786</t>
  </si>
  <si>
    <t>0126</t>
  </si>
  <si>
    <t>WATSON GRAVEL INC.</t>
  </si>
  <si>
    <t>CLEVES, OH</t>
  </si>
  <si>
    <t>2788</t>
  </si>
  <si>
    <t>VCNA PRAIRIE AGGREGATES, INC</t>
  </si>
  <si>
    <t>2789</t>
  </si>
  <si>
    <t>2792</t>
  </si>
  <si>
    <t>2793</t>
  </si>
  <si>
    <t>2798</t>
  </si>
  <si>
    <t>2969</t>
  </si>
  <si>
    <t>Mulzer Crushed Stone</t>
  </si>
  <si>
    <t>Mt Vernon, IN</t>
  </si>
  <si>
    <t>2970</t>
  </si>
  <si>
    <t>Newburgh, IN</t>
  </si>
  <si>
    <t>2971</t>
  </si>
  <si>
    <t>Rockport, IN</t>
  </si>
  <si>
    <t>2972</t>
  </si>
  <si>
    <t>Tell City, IN</t>
  </si>
  <si>
    <t>2973</t>
  </si>
  <si>
    <t>KLINK TRUCKING, INC</t>
  </si>
  <si>
    <t>2974</t>
  </si>
  <si>
    <t>2980</t>
  </si>
  <si>
    <t>MARTIN MARIETTA-PERKINSVILLE</t>
  </si>
  <si>
    <t>MARTIN MARIETTA-JOHNSON CO</t>
  </si>
  <si>
    <t>142272</t>
  </si>
  <si>
    <t>2987</t>
  </si>
  <si>
    <t>IMI - LOGANSPORT STONE</t>
  </si>
  <si>
    <t>IMI - LOGANSPORT SAND &amp; GRAVEL</t>
  </si>
  <si>
    <t>309 Lean Concrete Base</t>
  </si>
  <si>
    <t>Box Test (AASHTO T396)</t>
  </si>
  <si>
    <t>v14q.4.8.2025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</si>
</sst>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00"/>
    <numFmt numFmtId="165" formatCode="0.0"/>
    <numFmt numFmtId="166" formatCode="0.0000"/>
    <numFmt numFmtId="167" formatCode="0.0%"/>
    <numFmt numFmtId="168" formatCode="mm/dd/yy;@"/>
    <numFmt numFmtId="169" formatCode="0_);[Red]\(0\)"/>
    <numFmt numFmtId="170" formatCode="_(* #,##0_);_(* \(#,##0\);_(* &quot;-&quot;??_);_(@_)"/>
    <numFmt numFmtId="171" formatCode="000000"/>
    <numFmt numFmtId="172" formatCode="0;;;@"/>
    <numFmt numFmtId="173" formatCode="0.00;;;@"/>
    <numFmt numFmtId="174" formatCode="0;\-0;;@\,"/>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12"/>
      <name val="Arial"/>
      <family val="2"/>
    </font>
    <font>
      <sz val="16"/>
      <name val="Arial"/>
      <family val="2"/>
    </font>
    <font>
      <sz val="9"/>
      <name val="Arial"/>
      <family val="2"/>
    </font>
    <font>
      <b/>
      <sz val="8"/>
      <color indexed="10"/>
      <name val="Arial"/>
      <family val="2"/>
    </font>
    <font>
      <b/>
      <sz val="10"/>
      <color indexed="10"/>
      <name val="Arial"/>
      <family val="2"/>
    </font>
    <font>
      <b/>
      <sz val="8"/>
      <name val="Arial"/>
      <family val="2"/>
    </font>
    <font>
      <sz val="10"/>
      <name val="Calibri"/>
      <family val="2"/>
    </font>
    <font>
      <sz val="10"/>
      <name val="Arial"/>
      <family val="2"/>
    </font>
    <font>
      <sz val="10"/>
      <name val="Times New Roman"/>
      <family val="1"/>
    </font>
    <font>
      <sz val="8.5"/>
      <name val="Arial"/>
      <family val="2"/>
    </font>
    <font>
      <sz val="9"/>
      <name val="Calibri"/>
      <family val="2"/>
    </font>
    <font>
      <sz val="7"/>
      <name val="Arial"/>
      <family val="2"/>
    </font>
    <font>
      <b/>
      <sz val="9"/>
      <name val="Courier New"/>
      <family val="3"/>
    </font>
    <font>
      <b/>
      <sz val="12"/>
      <name val="Calibri"/>
      <family val="2"/>
    </font>
    <font>
      <sz val="10"/>
      <color theme="1"/>
      <name val="Arial"/>
      <family val="2"/>
    </font>
    <font>
      <sz val="7"/>
      <color theme="1"/>
      <name val="Arial"/>
      <family val="2"/>
    </font>
    <font>
      <b/>
      <sz val="10"/>
      <color rgb="FF000000"/>
      <name val="Courier New"/>
      <family val="3"/>
    </font>
    <font>
      <b/>
      <sz val="12"/>
      <color rgb="FF000000"/>
      <name val="Calibri"/>
      <family val="2"/>
    </font>
    <font>
      <b/>
      <sz val="12"/>
      <color rgb="FFFF0000"/>
      <name val="Arial"/>
      <family val="2"/>
    </font>
    <font>
      <sz val="6"/>
      <name val="Arial"/>
      <family val="2"/>
    </font>
    <font>
      <sz val="11"/>
      <name val="Arial"/>
      <family val="2"/>
    </font>
    <font>
      <b/>
      <sz val="11"/>
      <name val="Arial"/>
      <family val="2"/>
    </font>
    <font>
      <b/>
      <sz val="14"/>
      <name val="Arial"/>
      <family val="2"/>
    </font>
    <font>
      <sz val="12"/>
      <name val="Arial"/>
      <family val="2"/>
    </font>
    <font>
      <sz val="10"/>
      <color rgb="FF000000"/>
      <name val="Times New Roman"/>
      <family val="1"/>
    </font>
    <font>
      <b/>
      <sz val="10"/>
      <name val="Courier New"/>
      <family val="3"/>
    </font>
    <font>
      <u/>
      <sz val="10"/>
      <name val="Arial"/>
      <family val="2"/>
    </font>
    <font>
      <b/>
      <sz val="12"/>
      <color rgb="FFFF0000"/>
      <name val="Calibri"/>
      <family val="2"/>
    </font>
    <font>
      <sz val="10"/>
      <name val="Courier New"/>
      <family val="3"/>
    </font>
    <font>
      <sz val="7"/>
      <name val="Calibri"/>
      <family val="2"/>
    </font>
    <font>
      <b/>
      <sz val="9"/>
      <color rgb="FFFF0000"/>
      <name val="Courier New"/>
      <family val="3"/>
    </font>
    <font>
      <b/>
      <sz val="10"/>
      <color rgb="FFFF0000"/>
      <name val="Courier New"/>
      <family val="3"/>
    </font>
    <font>
      <sz val="7"/>
      <color theme="1"/>
      <name val="Verdana"/>
      <family val="2"/>
    </font>
    <font>
      <sz val="9.5"/>
      <name val="Arial"/>
      <family val="2"/>
    </font>
    <font>
      <sz val="8"/>
      <color rgb="FF000000"/>
      <name val="Times New Roman"/>
      <family val="1"/>
    </font>
    <font>
      <b/>
      <sz val="10"/>
      <color rgb="FFFF0000"/>
      <name val="Arial"/>
      <family val="2"/>
    </font>
    <font>
      <b/>
      <sz val="6"/>
      <name val="Arial"/>
      <family val="2"/>
    </font>
    <font>
      <i/>
      <sz val="11"/>
      <name val="Times New Roman"/>
      <family val="1"/>
    </font>
    <font>
      <sz val="11"/>
      <name val="Times New Roman"/>
      <family val="1"/>
    </font>
    <font>
      <sz val="11"/>
      <name val="Calibri"/>
      <family val="2"/>
    </font>
    <font>
      <sz val="10"/>
      <color rgb="FF000000"/>
      <name val="Arial"/>
      <family val="2"/>
    </font>
    <font>
      <sz val="8"/>
      <color rgb="FF000000"/>
      <name val="Arial"/>
      <family val="2"/>
    </font>
    <font>
      <sz val="10"/>
      <name val="Arial"/>
      <family val="2"/>
    </font>
    <font>
      <b/>
      <sz val="11"/>
      <color theme="1"/>
      <name val="Calibri"/>
      <family val="2"/>
      <scheme val="minor"/>
    </font>
    <font>
      <sz val="18"/>
      <color theme="1"/>
      <name val="Calibri"/>
      <family val="2"/>
      <scheme val="minor"/>
    </font>
    <font>
      <b/>
      <sz val="16"/>
      <color theme="1"/>
      <name val="Calibri"/>
      <family val="2"/>
      <scheme val="minor"/>
    </font>
    <font>
      <b/>
      <sz val="18"/>
      <color theme="0"/>
      <name val="Calibri"/>
      <family val="2"/>
      <scheme val="minor"/>
    </font>
    <font>
      <b/>
      <sz val="11"/>
      <color rgb="FF000000"/>
      <name val="Calibri"/>
      <family val="2"/>
    </font>
    <font>
      <sz val="11"/>
      <color rgb="FF000000"/>
      <name val="Calibri"/>
      <family val="2"/>
    </font>
  </fonts>
  <fills count="22">
    <fill>
      <patternFill patternType="none"/>
    </fill>
    <fill>
      <patternFill patternType="gray125"/>
    </fill>
    <fill>
      <patternFill patternType="darkGrid"/>
    </fill>
    <fill>
      <patternFill patternType="solid">
        <fgColor theme="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1"/>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indexed="65"/>
        <bgColor indexed="64"/>
      </patternFill>
    </fill>
    <fill>
      <patternFill patternType="solid">
        <fgColor rgb="FFDCE6F1"/>
        <bgColor rgb="FF000000"/>
      </patternFill>
    </fill>
    <fill>
      <patternFill patternType="solid">
        <fgColor rgb="FFDBE5F1"/>
        <bgColor rgb="FFDBE5F1"/>
      </patternFill>
    </fill>
    <fill>
      <patternFill patternType="solid">
        <fgColor theme="0" tint="-0.249977111117893"/>
        <bgColor indexed="64"/>
      </patternFill>
    </fill>
    <fill>
      <patternFill patternType="solid">
        <fgColor theme="1"/>
        <bgColor rgb="FF000000"/>
      </patternFill>
    </fill>
    <fill>
      <patternFill patternType="lightDown"/>
    </fill>
    <fill>
      <patternFill patternType="lightUp"/>
    </fill>
    <fill>
      <patternFill patternType="solid">
        <fgColor rgb="FFC0C0C0"/>
        <bgColor rgb="FFC0C0C0"/>
      </patternFill>
    </fill>
    <fill>
      <patternFill patternType="solid">
        <fgColor theme="1" tint="0.34998626667073579"/>
        <bgColor indexed="64"/>
      </patternFill>
    </fill>
    <fill>
      <patternFill patternType="solid">
        <fgColor rgb="FF808080"/>
        <bgColor indexed="64"/>
      </patternFill>
    </fill>
  </fills>
  <borders count="111">
    <border>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medium">
        <color indexed="64"/>
      </left>
      <right/>
      <top/>
      <bottom style="thin">
        <color theme="2" tint="-9.9948118533890809E-2"/>
      </bottom>
      <diagonal/>
    </border>
    <border>
      <left/>
      <right style="medium">
        <color indexed="64"/>
      </right>
      <top/>
      <bottom style="thin">
        <color theme="2" tint="-9.9948118533890809E-2"/>
      </bottom>
      <diagonal/>
    </border>
    <border>
      <left/>
      <right style="thin">
        <color indexed="64"/>
      </right>
      <top/>
      <bottom style="thin">
        <color theme="2" tint="-9.9948118533890809E-2"/>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theme="2" tint="-9.9948118533890809E-2"/>
      </bottom>
      <diagonal/>
    </border>
    <border>
      <left style="thick">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thin">
        <color rgb="FF000000"/>
      </right>
      <top style="thin">
        <color indexed="64"/>
      </top>
      <bottom style="thin">
        <color indexed="64"/>
      </bottom>
      <diagonal/>
    </border>
    <border>
      <left/>
      <right style="medium">
        <color rgb="FF000000"/>
      </right>
      <top style="thin">
        <color indexed="64"/>
      </top>
      <bottom style="thin">
        <color indexed="64"/>
      </bottom>
      <diagonal/>
    </border>
    <border>
      <left/>
      <right/>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rgb="FFD0D7E5"/>
      </left>
      <right style="thin">
        <color rgb="FFD0D7E5"/>
      </right>
      <top style="thin">
        <color rgb="FFD0D7E5"/>
      </top>
      <bottom style="thin">
        <color rgb="FFD0D7E5"/>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9">
    <xf numFmtId="0" fontId="0" fillId="0" borderId="0"/>
    <xf numFmtId="43" fontId="19" fillId="0" borderId="0" applyFont="0" applyFill="0" applyBorder="0" applyAlignment="0" applyProtection="0"/>
    <xf numFmtId="0" fontId="20" fillId="0" borderId="0"/>
    <xf numFmtId="0" fontId="20" fillId="0" borderId="0"/>
    <xf numFmtId="0" fontId="36" fillId="0" borderId="0"/>
    <xf numFmtId="0" fontId="8" fillId="0" borderId="0"/>
    <xf numFmtId="43" fontId="8" fillId="0" borderId="0" applyFont="0" applyFill="0" applyBorder="0" applyAlignment="0" applyProtection="0"/>
    <xf numFmtId="9" fontId="54" fillId="0" borderId="0" applyFont="0" applyFill="0" applyBorder="0" applyAlignment="0" applyProtection="0"/>
    <xf numFmtId="0" fontId="7" fillId="0" borderId="0"/>
  </cellStyleXfs>
  <cellXfs count="1014">
    <xf numFmtId="0" fontId="0" fillId="0" borderId="0" xfId="0"/>
    <xf numFmtId="0" fontId="0" fillId="0" borderId="0" xfId="0" applyAlignment="1">
      <alignment horizontal="center"/>
    </xf>
    <xf numFmtId="0" fontId="9" fillId="0" borderId="0" xfId="0" applyFont="1"/>
    <xf numFmtId="0" fontId="0" fillId="0" borderId="1" xfId="0" applyBorder="1"/>
    <xf numFmtId="0" fontId="8" fillId="0" borderId="0" xfId="0" applyFont="1"/>
    <xf numFmtId="167" fontId="0" fillId="0" borderId="0" xfId="0" applyNumberFormat="1"/>
    <xf numFmtId="0" fontId="11" fillId="0" borderId="0" xfId="0" applyFont="1"/>
    <xf numFmtId="0" fontId="0" fillId="0" borderId="6" xfId="0" applyBorder="1"/>
    <xf numFmtId="0" fontId="0" fillId="0" borderId="7" xfId="0" applyBorder="1"/>
    <xf numFmtId="0" fontId="12" fillId="0" borderId="0" xfId="0" applyFont="1"/>
    <xf numFmtId="0" fontId="0" fillId="0" borderId="4" xfId="0" applyBorder="1"/>
    <xf numFmtId="0" fontId="0" fillId="0" borderId="8" xfId="0" applyBorder="1"/>
    <xf numFmtId="0" fontId="0" fillId="0" borderId="5" xfId="0" applyBorder="1"/>
    <xf numFmtId="0" fontId="0" fillId="0" borderId="9" xfId="0" applyBorder="1"/>
    <xf numFmtId="0" fontId="0" fillId="0" borderId="0" xfId="0" applyAlignment="1">
      <alignment horizontal="left"/>
    </xf>
    <xf numFmtId="0" fontId="0" fillId="0" borderId="10" xfId="0" applyBorder="1"/>
    <xf numFmtId="0" fontId="0" fillId="0" borderId="12" xfId="0" applyBorder="1"/>
    <xf numFmtId="0" fontId="0" fillId="0" borderId="0" xfId="0" applyProtection="1">
      <protection locked="0"/>
    </xf>
    <xf numFmtId="167" fontId="9" fillId="0" borderId="0" xfId="0" applyNumberFormat="1" applyFont="1" applyAlignment="1" applyProtection="1">
      <alignment horizontal="center"/>
      <protection locked="0"/>
    </xf>
    <xf numFmtId="165" fontId="0" fillId="0" borderId="0" xfId="0" applyNumberFormat="1"/>
    <xf numFmtId="164" fontId="0" fillId="0" borderId="0" xfId="0" applyNumberFormat="1" applyAlignment="1">
      <alignment horizontal="center"/>
    </xf>
    <xf numFmtId="0" fontId="0" fillId="0" borderId="0" xfId="0" applyAlignment="1" applyProtection="1">
      <alignment horizontal="center"/>
      <protection locked="0"/>
    </xf>
    <xf numFmtId="0" fontId="0" fillId="0" borderId="14" xfId="0" applyBorder="1" applyAlignment="1">
      <alignment horizontal="center"/>
    </xf>
    <xf numFmtId="0" fontId="26" fillId="0" borderId="13" xfId="2" applyFont="1" applyBorder="1" applyAlignment="1" applyProtection="1">
      <alignment horizontal="center" vertical="center" wrapText="1" shrinkToFit="1"/>
      <protection hidden="1"/>
    </xf>
    <xf numFmtId="169" fontId="26" fillId="3" borderId="13" xfId="3" applyNumberFormat="1" applyFont="1" applyFill="1" applyBorder="1" applyAlignment="1" applyProtection="1">
      <alignment horizontal="center" wrapText="1" shrinkToFit="1"/>
      <protection hidden="1"/>
    </xf>
    <xf numFmtId="0" fontId="26" fillId="0" borderId="13" xfId="2" applyFont="1" applyBorder="1" applyAlignment="1" applyProtection="1">
      <alignment horizontal="center" wrapText="1" shrinkToFit="1"/>
      <protection hidden="1"/>
    </xf>
    <xf numFmtId="170" fontId="26" fillId="3" borderId="13" xfId="1" applyNumberFormat="1" applyFont="1" applyFill="1" applyBorder="1" applyAlignment="1" applyProtection="1">
      <alignment horizontal="center" wrapText="1" shrinkToFit="1"/>
      <protection hidden="1"/>
    </xf>
    <xf numFmtId="0" fontId="8" fillId="0" borderId="13" xfId="0" applyFont="1" applyBorder="1" applyAlignment="1" applyProtection="1">
      <alignment horizontal="center" wrapText="1" shrinkToFit="1"/>
      <protection hidden="1"/>
    </xf>
    <xf numFmtId="49" fontId="0" fillId="0" borderId="14" xfId="0" applyNumberFormat="1" applyBorder="1" applyAlignment="1">
      <alignment horizontal="center"/>
    </xf>
    <xf numFmtId="1" fontId="0" fillId="0" borderId="14" xfId="0" applyNumberFormat="1" applyBorder="1" applyAlignment="1">
      <alignment horizontal="center"/>
    </xf>
    <xf numFmtId="165" fontId="0" fillId="0" borderId="14" xfId="0" applyNumberFormat="1" applyBorder="1" applyAlignment="1">
      <alignment horizontal="center"/>
    </xf>
    <xf numFmtId="0" fontId="14" fillId="0" borderId="13" xfId="0" applyFont="1" applyBorder="1" applyAlignment="1" applyProtection="1">
      <alignment horizontal="center" wrapText="1" shrinkToFit="1"/>
      <protection hidden="1"/>
    </xf>
    <xf numFmtId="49" fontId="8" fillId="0" borderId="14" xfId="0" applyNumberFormat="1" applyFont="1" applyBorder="1" applyAlignment="1">
      <alignment horizontal="center"/>
    </xf>
    <xf numFmtId="0" fontId="0" fillId="0" borderId="0" xfId="0" applyAlignment="1" applyProtection="1">
      <alignment wrapText="1" shrinkToFit="1"/>
      <protection locked="0"/>
    </xf>
    <xf numFmtId="0" fontId="23" fillId="0" borderId="0" xfId="0" applyFont="1"/>
    <xf numFmtId="0" fontId="23" fillId="0" borderId="13" xfId="0" applyFont="1" applyBorder="1" applyAlignment="1" applyProtection="1">
      <alignment horizontal="center" wrapText="1" shrinkToFit="1"/>
      <protection hidden="1"/>
    </xf>
    <xf numFmtId="0" fontId="23" fillId="0" borderId="14" xfId="0" applyFont="1" applyBorder="1" applyAlignment="1">
      <alignment horizontal="center"/>
    </xf>
    <xf numFmtId="49" fontId="23" fillId="0" borderId="14" xfId="0" applyNumberFormat="1" applyFont="1" applyBorder="1" applyAlignment="1">
      <alignment horizontal="center"/>
    </xf>
    <xf numFmtId="170" fontId="27" fillId="3" borderId="13" xfId="1" applyNumberFormat="1" applyFont="1" applyFill="1" applyBorder="1" applyAlignment="1" applyProtection="1">
      <alignment horizontal="center" wrapText="1" shrinkToFit="1"/>
      <protection hidden="1"/>
    </xf>
    <xf numFmtId="0" fontId="8" fillId="0" borderId="0" xfId="0" applyFont="1" applyAlignment="1" applyProtection="1">
      <alignment horizontal="right"/>
      <protection locked="0"/>
    </xf>
    <xf numFmtId="0" fontId="8" fillId="0" borderId="0" xfId="0" applyFont="1" applyAlignment="1">
      <alignment horizontal="right"/>
    </xf>
    <xf numFmtId="0" fontId="0" fillId="0" borderId="0" xfId="0" applyAlignment="1">
      <alignment horizontal="left" vertical="center"/>
    </xf>
    <xf numFmtId="49" fontId="8" fillId="0" borderId="0" xfId="0" applyNumberFormat="1" applyFont="1" applyAlignment="1">
      <alignment horizontal="center" vertical="center"/>
    </xf>
    <xf numFmtId="49" fontId="28" fillId="0" borderId="0" xfId="0" applyNumberFormat="1" applyFont="1" applyAlignment="1">
      <alignment horizontal="left" vertical="center"/>
    </xf>
    <xf numFmtId="49" fontId="0" fillId="0" borderId="0" xfId="0" applyNumberFormat="1" applyAlignment="1">
      <alignment horizontal="center" vertical="center"/>
    </xf>
    <xf numFmtId="49" fontId="28" fillId="0" borderId="0" xfId="0" applyNumberFormat="1" applyFont="1" applyAlignment="1">
      <alignment horizontal="left" vertical="center" wrapText="1"/>
    </xf>
    <xf numFmtId="49" fontId="0" fillId="0" borderId="0" xfId="0" applyNumberFormat="1" applyAlignment="1">
      <alignment horizontal="center" vertical="top"/>
    </xf>
    <xf numFmtId="49" fontId="24" fillId="0" borderId="0" xfId="0" applyNumberFormat="1" applyFont="1" applyAlignment="1">
      <alignment horizontal="left" vertical="top"/>
    </xf>
    <xf numFmtId="49" fontId="8" fillId="0" borderId="0" xfId="0" applyNumberFormat="1" applyFont="1" applyAlignment="1">
      <alignment horizontal="center" vertical="top"/>
    </xf>
    <xf numFmtId="0" fontId="0" fillId="0" borderId="0" xfId="0" applyAlignment="1">
      <alignment horizontal="left" vertical="top"/>
    </xf>
    <xf numFmtId="1" fontId="9" fillId="0" borderId="0" xfId="0" applyNumberFormat="1" applyFont="1" applyAlignment="1">
      <alignment horizontal="center"/>
    </xf>
    <xf numFmtId="0" fontId="23" fillId="0" borderId="9" xfId="0" applyFont="1" applyBorder="1" applyAlignment="1">
      <alignment horizontal="center"/>
    </xf>
    <xf numFmtId="49" fontId="29" fillId="0" borderId="0" xfId="0" applyNumberFormat="1" applyFont="1" applyAlignment="1">
      <alignment horizontal="left" vertical="top"/>
    </xf>
    <xf numFmtId="49" fontId="29" fillId="0" borderId="0" xfId="0" applyNumberFormat="1" applyFont="1" applyAlignment="1">
      <alignment horizontal="left" vertical="top" shrinkToFit="1"/>
    </xf>
    <xf numFmtId="49" fontId="25" fillId="0" borderId="0" xfId="0" applyNumberFormat="1" applyFont="1" applyAlignment="1">
      <alignment vertical="top" wrapText="1"/>
    </xf>
    <xf numFmtId="49" fontId="25" fillId="0" borderId="0" xfId="0" applyNumberFormat="1" applyFont="1" applyAlignment="1">
      <alignment horizontal="left" vertical="top" wrapText="1"/>
    </xf>
    <xf numFmtId="49" fontId="25" fillId="0" borderId="0" xfId="0" applyNumberFormat="1" applyFont="1" applyAlignment="1">
      <alignment horizontal="center" vertical="top"/>
    </xf>
    <xf numFmtId="49" fontId="25" fillId="0" borderId="0" xfId="0" applyNumberFormat="1" applyFont="1" applyAlignment="1">
      <alignment horizontal="left" vertical="top"/>
    </xf>
    <xf numFmtId="49" fontId="0" fillId="0" borderId="0" xfId="0" applyNumberFormat="1" applyAlignment="1">
      <alignment horizontal="left" vertical="top"/>
    </xf>
    <xf numFmtId="49" fontId="25" fillId="0" borderId="0" xfId="0" applyNumberFormat="1" applyFont="1" applyAlignment="1">
      <alignment vertical="top"/>
    </xf>
    <xf numFmtId="49" fontId="29" fillId="0" borderId="0" xfId="0" applyNumberFormat="1" applyFont="1" applyAlignment="1">
      <alignment vertical="top"/>
    </xf>
    <xf numFmtId="49" fontId="25" fillId="0" borderId="0" xfId="0" applyNumberFormat="1" applyFont="1" applyAlignment="1">
      <alignment horizontal="left" vertical="top" wrapText="1" shrinkToFit="1"/>
    </xf>
    <xf numFmtId="49" fontId="29" fillId="0" borderId="0" xfId="0" applyNumberFormat="1" applyFont="1" applyAlignment="1">
      <alignment horizontal="left" vertical="top" wrapText="1"/>
    </xf>
    <xf numFmtId="49" fontId="29" fillId="0" borderId="0" xfId="0" applyNumberFormat="1" applyFont="1" applyAlignment="1">
      <alignment horizontal="left" vertical="top" wrapText="1" shrinkToFit="1"/>
    </xf>
    <xf numFmtId="49" fontId="29" fillId="0" borderId="0" xfId="0" applyNumberFormat="1" applyFont="1" applyAlignment="1">
      <alignment horizontal="left" vertical="center"/>
    </xf>
    <xf numFmtId="0" fontId="23" fillId="0" borderId="0" xfId="0" applyFont="1" applyAlignment="1">
      <alignment horizontal="center"/>
    </xf>
    <xf numFmtId="0" fontId="0" fillId="0" borderId="2" xfId="0" applyBorder="1" applyAlignment="1">
      <alignment vertical="center"/>
    </xf>
    <xf numFmtId="0" fontId="0" fillId="0" borderId="0" xfId="0" applyAlignment="1">
      <alignment horizontal="center" vertical="center"/>
    </xf>
    <xf numFmtId="165" fontId="0" fillId="5" borderId="0" xfId="0" applyNumberFormat="1" applyFill="1" applyAlignment="1">
      <alignment horizontal="center" vertical="center"/>
    </xf>
    <xf numFmtId="165" fontId="0" fillId="5" borderId="7" xfId="0" applyNumberFormat="1" applyFill="1" applyBorder="1" applyAlignment="1">
      <alignment horizontal="center" vertical="center"/>
    </xf>
    <xf numFmtId="0" fontId="33" fillId="0" borderId="0" xfId="0" applyFont="1" applyAlignment="1">
      <alignment vertical="center"/>
    </xf>
    <xf numFmtId="165" fontId="0" fillId="5" borderId="9" xfId="0" applyNumberFormat="1" applyFill="1" applyBorder="1" applyAlignment="1">
      <alignment horizontal="center" vertical="center"/>
    </xf>
    <xf numFmtId="0" fontId="32" fillId="0" borderId="0" xfId="0" applyFont="1" applyAlignment="1">
      <alignment horizontal="right"/>
    </xf>
    <xf numFmtId="2" fontId="10" fillId="5" borderId="0" xfId="0" applyNumberFormat="1" applyFont="1" applyFill="1" applyAlignment="1">
      <alignment horizontal="center" vertical="center"/>
    </xf>
    <xf numFmtId="0" fontId="10" fillId="0" borderId="0" xfId="0" applyFont="1" applyAlignment="1">
      <alignment horizontal="center" wrapText="1"/>
    </xf>
    <xf numFmtId="0" fontId="32" fillId="3" borderId="73" xfId="0" applyFont="1" applyFill="1" applyBorder="1" applyAlignment="1">
      <alignment horizontal="center" vertical="center"/>
    </xf>
    <xf numFmtId="0" fontId="32" fillId="3" borderId="25" xfId="0" applyFont="1" applyFill="1" applyBorder="1" applyAlignment="1">
      <alignment horizontal="center" vertical="center"/>
    </xf>
    <xf numFmtId="0" fontId="10" fillId="3" borderId="10" xfId="0" applyFont="1" applyFill="1" applyBorder="1" applyAlignment="1">
      <alignment horizontal="center"/>
    </xf>
    <xf numFmtId="0" fontId="10" fillId="3" borderId="11" xfId="0" applyFont="1" applyFill="1" applyBorder="1" applyAlignment="1">
      <alignment horizontal="center" wrapText="1"/>
    </xf>
    <xf numFmtId="0" fontId="10" fillId="3" borderId="12" xfId="0" applyFont="1" applyFill="1" applyBorder="1" applyAlignment="1">
      <alignment horizontal="center" wrapText="1"/>
    </xf>
    <xf numFmtId="0" fontId="10" fillId="3" borderId="24" xfId="0" applyFont="1" applyFill="1" applyBorder="1" applyAlignment="1">
      <alignment horizontal="center"/>
    </xf>
    <xf numFmtId="0" fontId="33" fillId="3" borderId="10" xfId="0" applyFont="1" applyFill="1" applyBorder="1" applyAlignment="1">
      <alignment horizontal="center"/>
    </xf>
    <xf numFmtId="0" fontId="32" fillId="3" borderId="6" xfId="0" applyFont="1" applyFill="1" applyBorder="1" applyAlignment="1">
      <alignment horizontal="center" vertical="center"/>
    </xf>
    <xf numFmtId="165" fontId="8" fillId="5" borderId="0" xfId="0" applyNumberFormat="1" applyFont="1" applyFill="1" applyAlignment="1">
      <alignment horizontal="center" vertical="center"/>
    </xf>
    <xf numFmtId="0" fontId="32" fillId="3" borderId="10" xfId="0" applyFont="1" applyFill="1" applyBorder="1" applyAlignment="1">
      <alignment horizontal="center" vertical="center"/>
    </xf>
    <xf numFmtId="165" fontId="0" fillId="5" borderId="11" xfId="0" applyNumberFormat="1" applyFill="1" applyBorder="1" applyAlignment="1">
      <alignment horizontal="center" vertical="center"/>
    </xf>
    <xf numFmtId="165" fontId="0" fillId="5" borderId="12" xfId="0" applyNumberFormat="1" applyFill="1" applyBorder="1" applyAlignment="1">
      <alignment horizontal="center" vertical="center"/>
    </xf>
    <xf numFmtId="165" fontId="0" fillId="5" borderId="24" xfId="0" applyNumberForma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vertical="center"/>
    </xf>
    <xf numFmtId="1" fontId="33" fillId="5" borderId="0" xfId="0" applyNumberFormat="1" applyFont="1" applyFill="1" applyAlignment="1">
      <alignment horizontal="center"/>
    </xf>
    <xf numFmtId="0" fontId="32" fillId="0" borderId="3" xfId="0" applyFont="1" applyBorder="1"/>
    <xf numFmtId="0" fontId="32" fillId="0" borderId="4" xfId="0" applyFont="1" applyBorder="1" applyAlignment="1">
      <alignment horizontal="right"/>
    </xf>
    <xf numFmtId="1" fontId="33" fillId="5" borderId="4" xfId="0" applyNumberFormat="1" applyFont="1" applyFill="1" applyBorder="1" applyAlignment="1">
      <alignment horizontal="center"/>
    </xf>
    <xf numFmtId="0" fontId="32" fillId="0" borderId="4" xfId="0" applyFont="1" applyBorder="1"/>
    <xf numFmtId="0" fontId="32" fillId="0" borderId="6" xfId="0" applyFont="1" applyBorder="1"/>
    <xf numFmtId="0" fontId="32" fillId="0" borderId="11" xfId="0" applyFont="1" applyBorder="1"/>
    <xf numFmtId="0" fontId="35" fillId="0" borderId="3" xfId="0" applyFont="1" applyBorder="1" applyAlignment="1">
      <alignment horizontal="right" vertical="center"/>
    </xf>
    <xf numFmtId="0" fontId="10" fillId="3" borderId="80" xfId="0" applyFont="1" applyFill="1" applyBorder="1" applyAlignment="1">
      <alignment horizontal="center"/>
    </xf>
    <xf numFmtId="0" fontId="10" fillId="3" borderId="38" xfId="0" applyFont="1" applyFill="1" applyBorder="1" applyAlignment="1">
      <alignment horizontal="center" wrapText="1"/>
    </xf>
    <xf numFmtId="165" fontId="0" fillId="5" borderId="77" xfId="0" applyNumberFormat="1" applyFill="1" applyBorder="1" applyAlignment="1">
      <alignment horizontal="center" vertical="center"/>
    </xf>
    <xf numFmtId="165" fontId="0" fillId="5" borderId="1" xfId="0" applyNumberFormat="1" applyFill="1" applyBorder="1" applyAlignment="1">
      <alignment horizontal="center" vertical="center"/>
    </xf>
    <xf numFmtId="165" fontId="0" fillId="5" borderId="78" xfId="0" applyNumberFormat="1" applyFill="1" applyBorder="1" applyAlignment="1">
      <alignment horizontal="center" vertical="center"/>
    </xf>
    <xf numFmtId="165" fontId="0" fillId="5" borderId="80" xfId="0" applyNumberFormat="1" applyFill="1" applyBorder="1" applyAlignment="1">
      <alignment horizontal="center" vertical="center"/>
    </xf>
    <xf numFmtId="165" fontId="0" fillId="5" borderId="38" xfId="0" applyNumberFormat="1" applyFill="1" applyBorder="1" applyAlignment="1">
      <alignment horizontal="center" vertical="center"/>
    </xf>
    <xf numFmtId="0" fontId="32" fillId="0" borderId="10" xfId="0" applyFont="1" applyBorder="1"/>
    <xf numFmtId="0" fontId="32" fillId="0" borderId="11" xfId="0" applyFont="1" applyBorder="1" applyAlignment="1">
      <alignment horizontal="right"/>
    </xf>
    <xf numFmtId="1" fontId="33" fillId="0" borderId="11" xfId="0" applyNumberFormat="1" applyFont="1" applyBorder="1" applyAlignment="1">
      <alignment horizontal="center"/>
    </xf>
    <xf numFmtId="0" fontId="0" fillId="0" borderId="0" xfId="0" applyAlignment="1" applyProtection="1">
      <alignment horizontal="left"/>
      <protection locked="0"/>
    </xf>
    <xf numFmtId="0" fontId="38" fillId="0" borderId="0" xfId="0" applyFont="1"/>
    <xf numFmtId="171" fontId="29" fillId="0" borderId="0" xfId="0" applyNumberFormat="1" applyFont="1" applyAlignment="1">
      <alignment horizontal="left" vertical="top"/>
    </xf>
    <xf numFmtId="49" fontId="39" fillId="0" borderId="0" xfId="0" applyNumberFormat="1" applyFont="1" applyAlignment="1">
      <alignment horizontal="left" vertical="top"/>
    </xf>
    <xf numFmtId="0" fontId="37" fillId="0" borderId="0" xfId="0" applyFont="1" applyAlignment="1">
      <alignment vertical="center"/>
    </xf>
    <xf numFmtId="0" fontId="40" fillId="0" borderId="0" xfId="0" applyFont="1" applyAlignment="1">
      <alignment vertical="center"/>
    </xf>
    <xf numFmtId="0" fontId="28" fillId="0" borderId="0" xfId="0" applyFont="1" applyAlignment="1">
      <alignment vertical="center"/>
    </xf>
    <xf numFmtId="0" fontId="37" fillId="0" borderId="0" xfId="0" applyFont="1" applyAlignment="1">
      <alignment horizontal="left" vertical="center" indent="8"/>
    </xf>
    <xf numFmtId="49" fontId="42" fillId="0" borderId="0" xfId="0" applyNumberFormat="1" applyFont="1" applyAlignment="1">
      <alignment horizontal="left" vertical="top"/>
    </xf>
    <xf numFmtId="49" fontId="43" fillId="0" borderId="0" xfId="0" applyNumberFormat="1" applyFont="1" applyAlignment="1">
      <alignment horizontal="left" vertical="center" wrapText="1"/>
    </xf>
    <xf numFmtId="0" fontId="0" fillId="7" borderId="0" xfId="0" applyFill="1"/>
    <xf numFmtId="0" fontId="23" fillId="7" borderId="0" xfId="0" applyFont="1" applyFill="1"/>
    <xf numFmtId="0" fontId="23" fillId="0" borderId="86" xfId="0" applyFont="1" applyBorder="1"/>
    <xf numFmtId="0" fontId="14" fillId="0" borderId="0" xfId="0" applyFont="1" applyAlignment="1" applyProtection="1">
      <alignment horizontal="center" wrapText="1" shrinkToFit="1"/>
      <protection hidden="1"/>
    </xf>
    <xf numFmtId="49" fontId="0" fillId="0" borderId="1" xfId="0" applyNumberFormat="1" applyBorder="1" applyAlignment="1">
      <alignment horizontal="center"/>
    </xf>
    <xf numFmtId="170" fontId="26" fillId="3" borderId="1" xfId="1" applyNumberFormat="1" applyFont="1" applyFill="1" applyBorder="1" applyAlignment="1" applyProtection="1">
      <alignment horizontal="center" wrapText="1" shrinkToFit="1"/>
      <protection hidden="1"/>
    </xf>
    <xf numFmtId="2" fontId="8" fillId="0" borderId="14" xfId="0" applyNumberFormat="1" applyFont="1" applyBorder="1" applyAlignment="1">
      <alignment horizontal="center"/>
    </xf>
    <xf numFmtId="0" fontId="8" fillId="0" borderId="14" xfId="0" applyFont="1" applyBorder="1" applyAlignment="1">
      <alignment horizontal="center"/>
    </xf>
    <xf numFmtId="2" fontId="23" fillId="0" borderId="14" xfId="0" applyNumberFormat="1" applyFont="1" applyBorder="1" applyAlignment="1">
      <alignment horizontal="center"/>
    </xf>
    <xf numFmtId="171" fontId="0" fillId="0" borderId="14" xfId="0" applyNumberFormat="1" applyBorder="1" applyAlignment="1">
      <alignment horizontal="center"/>
    </xf>
    <xf numFmtId="49" fontId="39" fillId="0" borderId="0" xfId="0" applyNumberFormat="1" applyFont="1" applyAlignment="1">
      <alignment horizontal="left" vertical="top" wrapText="1"/>
    </xf>
    <xf numFmtId="0" fontId="14" fillId="7" borderId="16" xfId="0" applyFont="1" applyFill="1" applyBorder="1" applyAlignment="1" applyProtection="1">
      <alignment horizontal="center" wrapText="1" shrinkToFit="1"/>
      <protection hidden="1"/>
    </xf>
    <xf numFmtId="49" fontId="0" fillId="7" borderId="14" xfId="0" applyNumberFormat="1" applyFill="1" applyBorder="1" applyAlignment="1">
      <alignment horizontal="center"/>
    </xf>
    <xf numFmtId="0" fontId="14" fillId="7" borderId="13" xfId="0" applyFont="1" applyFill="1" applyBorder="1" applyAlignment="1" applyProtection="1">
      <alignment horizontal="center" wrapText="1" shrinkToFit="1"/>
      <protection hidden="1"/>
    </xf>
    <xf numFmtId="171" fontId="0" fillId="7" borderId="14" xfId="0" applyNumberFormat="1" applyFill="1" applyBorder="1" applyAlignment="1">
      <alignment horizontal="center"/>
    </xf>
    <xf numFmtId="0" fontId="0" fillId="7" borderId="14" xfId="0" applyFill="1" applyBorder="1" applyAlignment="1">
      <alignment horizontal="center"/>
    </xf>
    <xf numFmtId="0" fontId="8" fillId="7" borderId="14" xfId="0" applyFont="1" applyFill="1" applyBorder="1" applyAlignment="1">
      <alignment horizontal="center"/>
    </xf>
    <xf numFmtId="49" fontId="8" fillId="7" borderId="14" xfId="0" applyNumberFormat="1" applyFont="1" applyFill="1" applyBorder="1" applyAlignment="1">
      <alignment horizontal="center"/>
    </xf>
    <xf numFmtId="0" fontId="0" fillId="7" borderId="0" xfId="0" applyFill="1" applyAlignment="1">
      <alignment horizontal="center"/>
    </xf>
    <xf numFmtId="0" fontId="9" fillId="7" borderId="0" xfId="0" applyFont="1" applyFill="1" applyAlignment="1">
      <alignment horizontal="center"/>
    </xf>
    <xf numFmtId="0" fontId="0" fillId="7" borderId="13" xfId="0" applyFill="1" applyBorder="1" applyAlignment="1">
      <alignment horizontal="center"/>
    </xf>
    <xf numFmtId="1" fontId="0" fillId="7" borderId="14" xfId="0" applyNumberFormat="1" applyFill="1" applyBorder="1" applyAlignment="1">
      <alignment horizontal="center"/>
    </xf>
    <xf numFmtId="2" fontId="0" fillId="7" borderId="14" xfId="0" applyNumberFormat="1" applyFill="1" applyBorder="1" applyAlignment="1">
      <alignment horizontal="center"/>
    </xf>
    <xf numFmtId="0" fontId="8" fillId="7" borderId="13" xfId="0" applyFont="1" applyFill="1" applyBorder="1" applyAlignment="1">
      <alignment horizontal="center"/>
    </xf>
    <xf numFmtId="2" fontId="8" fillId="7" borderId="14" xfId="0" applyNumberFormat="1" applyFont="1" applyFill="1" applyBorder="1" applyAlignment="1">
      <alignment horizontal="center"/>
    </xf>
    <xf numFmtId="2" fontId="9" fillId="7" borderId="14" xfId="0" applyNumberFormat="1" applyFont="1" applyFill="1" applyBorder="1" applyAlignment="1">
      <alignment horizontal="center"/>
    </xf>
    <xf numFmtId="164" fontId="0" fillId="7" borderId="14" xfId="0" applyNumberFormat="1" applyFill="1" applyBorder="1" applyAlignment="1">
      <alignment horizontal="center"/>
    </xf>
    <xf numFmtId="0" fontId="8" fillId="7" borderId="15" xfId="0" applyFont="1" applyFill="1" applyBorder="1" applyAlignment="1" applyProtection="1">
      <alignment horizontal="center" wrapText="1" shrinkToFit="1"/>
      <protection hidden="1"/>
    </xf>
    <xf numFmtId="0" fontId="8" fillId="7" borderId="13" xfId="0" applyFont="1" applyFill="1" applyBorder="1" applyAlignment="1" applyProtection="1">
      <alignment horizontal="center" wrapText="1" shrinkToFit="1"/>
      <protection hidden="1"/>
    </xf>
    <xf numFmtId="0" fontId="8" fillId="7" borderId="0" xfId="0" applyFont="1" applyFill="1"/>
    <xf numFmtId="165" fontId="0" fillId="7" borderId="14" xfId="0" applyNumberFormat="1" applyFill="1" applyBorder="1" applyAlignment="1">
      <alignment horizontal="center"/>
    </xf>
    <xf numFmtId="0" fontId="45" fillId="0" borderId="0" xfId="0" applyFont="1"/>
    <xf numFmtId="0" fontId="25" fillId="0" borderId="0" xfId="0" applyFont="1" applyAlignment="1">
      <alignment horizontal="left" vertical="top" wrapText="1"/>
    </xf>
    <xf numFmtId="2" fontId="0" fillId="0" borderId="0" xfId="0" applyNumberFormat="1" applyAlignment="1" applyProtection="1">
      <alignment horizontal="center"/>
      <protection locked="0"/>
    </xf>
    <xf numFmtId="0" fontId="9" fillId="0" borderId="17" xfId="0" applyFont="1" applyBorder="1" applyAlignment="1">
      <alignment vertical="center"/>
    </xf>
    <xf numFmtId="0" fontId="46" fillId="0" borderId="17" xfId="4" applyFont="1" applyBorder="1" applyAlignment="1">
      <alignment vertical="center"/>
    </xf>
    <xf numFmtId="0" fontId="8" fillId="0" borderId="0" xfId="4" applyFont="1" applyAlignment="1">
      <alignment horizontal="center"/>
    </xf>
    <xf numFmtId="0" fontId="46" fillId="0" borderId="0" xfId="4" applyFont="1" applyAlignment="1">
      <alignment vertical="center"/>
    </xf>
    <xf numFmtId="0" fontId="0" fillId="0" borderId="0" xfId="0" applyAlignment="1">
      <alignment vertical="center"/>
    </xf>
    <xf numFmtId="0" fontId="9" fillId="0" borderId="0" xfId="4" applyFont="1" applyAlignment="1">
      <alignment horizontal="center" vertical="center"/>
    </xf>
    <xf numFmtId="2" fontId="36" fillId="0" borderId="0" xfId="4" applyNumberFormat="1" applyAlignment="1">
      <alignment horizontal="center"/>
    </xf>
    <xf numFmtId="0" fontId="10" fillId="0" borderId="39" xfId="0" applyFont="1" applyBorder="1" applyAlignment="1">
      <alignment horizontal="center"/>
    </xf>
    <xf numFmtId="0" fontId="8" fillId="0" borderId="40" xfId="4" applyFont="1" applyBorder="1" applyAlignment="1">
      <alignment horizontal="center"/>
    </xf>
    <xf numFmtId="2" fontId="36" fillId="9" borderId="39" xfId="4" applyNumberFormat="1" applyFill="1" applyBorder="1" applyAlignment="1" applyProtection="1">
      <alignment horizontal="center"/>
      <protection locked="0"/>
    </xf>
    <xf numFmtId="2" fontId="36" fillId="0" borderId="39" xfId="4" applyNumberFormat="1" applyBorder="1" applyAlignment="1">
      <alignment horizontal="center"/>
    </xf>
    <xf numFmtId="0" fontId="8" fillId="0" borderId="42" xfId="4" applyFont="1" applyBorder="1" applyAlignment="1">
      <alignment horizontal="center"/>
    </xf>
    <xf numFmtId="0" fontId="46" fillId="0" borderId="21" xfId="4" applyFont="1" applyBorder="1" applyAlignment="1">
      <alignment vertical="center"/>
    </xf>
    <xf numFmtId="2" fontId="36" fillId="0" borderId="47" xfId="4" applyNumberFormat="1" applyBorder="1" applyAlignment="1">
      <alignment horizontal="center"/>
    </xf>
    <xf numFmtId="0" fontId="0" fillId="0" borderId="26" xfId="0" applyBorder="1" applyAlignment="1">
      <alignment horizontal="center"/>
    </xf>
    <xf numFmtId="0" fontId="0" fillId="11" borderId="0" xfId="0" applyFill="1"/>
    <xf numFmtId="0" fontId="0" fillId="11" borderId="0" xfId="0" applyFill="1" applyAlignment="1" applyProtection="1">
      <alignment horizontal="center"/>
      <protection locked="0"/>
    </xf>
    <xf numFmtId="0" fontId="0" fillId="11" borderId="0" xfId="0" applyFill="1" applyAlignment="1">
      <alignment horizontal="center"/>
    </xf>
    <xf numFmtId="49" fontId="8" fillId="0" borderId="0" xfId="0" quotePrefix="1" applyNumberFormat="1" applyFont="1" applyAlignment="1">
      <alignment horizontal="center" vertical="center"/>
    </xf>
    <xf numFmtId="171" fontId="29" fillId="0" borderId="0" xfId="0" quotePrefix="1" applyNumberFormat="1" applyFont="1" applyAlignment="1">
      <alignment horizontal="left" vertical="top"/>
    </xf>
    <xf numFmtId="0" fontId="10" fillId="0" borderId="0" xfId="0" applyFont="1" applyAlignment="1">
      <alignment horizontal="center" vertical="center"/>
    </xf>
    <xf numFmtId="165" fontId="8" fillId="0" borderId="0" xfId="0" applyNumberFormat="1" applyFont="1" applyAlignment="1">
      <alignment horizontal="center" vertical="center"/>
    </xf>
    <xf numFmtId="0" fontId="0" fillId="12" borderId="0" xfId="0" applyFill="1" applyAlignment="1">
      <alignment horizontal="center" vertical="center"/>
    </xf>
    <xf numFmtId="0" fontId="47" fillId="0" borderId="0" xfId="0" applyFont="1" applyAlignment="1">
      <alignment horizontal="left" vertical="top"/>
    </xf>
    <xf numFmtId="0" fontId="49" fillId="0" borderId="0" xfId="0" applyFont="1"/>
    <xf numFmtId="0" fontId="8" fillId="0" borderId="0" xfId="0" applyFont="1" applyAlignment="1" applyProtection="1">
      <alignment horizontal="center"/>
      <protection locked="0"/>
    </xf>
    <xf numFmtId="0" fontId="0" fillId="0" borderId="0" xfId="0" applyAlignment="1">
      <alignment horizontal="center" vertical="center" wrapText="1" shrinkToFit="1"/>
    </xf>
    <xf numFmtId="0" fontId="0" fillId="0" borderId="0" xfId="0" applyProtection="1">
      <protection hidden="1"/>
    </xf>
    <xf numFmtId="0" fontId="8" fillId="0" borderId="0" xfId="0" applyFont="1" applyAlignment="1" applyProtection="1">
      <alignment horizontal="center"/>
      <protection hidden="1"/>
    </xf>
    <xf numFmtId="0" fontId="0" fillId="0" borderId="0" xfId="0" applyAlignment="1" applyProtection="1">
      <alignment horizontal="center" vertical="center" wrapText="1" shrinkToFit="1"/>
      <protection hidden="1"/>
    </xf>
    <xf numFmtId="1" fontId="0" fillId="0" borderId="0" xfId="0" applyNumberFormat="1" applyAlignment="1" applyProtection="1">
      <alignment horizontal="center"/>
      <protection hidden="1"/>
    </xf>
    <xf numFmtId="2" fontId="0" fillId="11" borderId="0" xfId="0" applyNumberFormat="1" applyFill="1"/>
    <xf numFmtId="0" fontId="8" fillId="0" borderId="3" xfId="0" applyFont="1" applyBorder="1"/>
    <xf numFmtId="0" fontId="8" fillId="0" borderId="4" xfId="0" applyFont="1" applyBorder="1"/>
    <xf numFmtId="0" fontId="8" fillId="0" borderId="5" xfId="0" applyFont="1" applyBorder="1"/>
    <xf numFmtId="0" fontId="8" fillId="11" borderId="0" xfId="0" applyFont="1" applyFill="1"/>
    <xf numFmtId="0" fontId="8" fillId="0" borderId="0" xfId="0" applyFont="1" applyAlignment="1">
      <alignment horizontal="left"/>
    </xf>
    <xf numFmtId="0" fontId="0" fillId="0" borderId="11" xfId="0" applyBorder="1"/>
    <xf numFmtId="165" fontId="0" fillId="4" borderId="23" xfId="0" applyNumberFormat="1" applyFill="1" applyBorder="1" applyAlignment="1" applyProtection="1">
      <alignment horizontal="center" vertical="center"/>
      <protection locked="0"/>
    </xf>
    <xf numFmtId="0" fontId="0" fillId="13" borderId="23" xfId="0" applyFill="1" applyBorder="1" applyAlignment="1" applyProtection="1">
      <alignment horizontal="center"/>
      <protection locked="0"/>
    </xf>
    <xf numFmtId="0" fontId="0" fillId="13" borderId="25" xfId="0" applyFill="1" applyBorder="1" applyAlignment="1" applyProtection="1">
      <alignment horizontal="center"/>
      <protection locked="0"/>
    </xf>
    <xf numFmtId="0" fontId="0" fillId="0" borderId="3"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8" fillId="0" borderId="0" xfId="0" applyFont="1" applyAlignment="1">
      <alignment horizontal="center"/>
    </xf>
    <xf numFmtId="0" fontId="0" fillId="0" borderId="5" xfId="0" applyBorder="1" applyAlignment="1">
      <alignment horizontal="center"/>
    </xf>
    <xf numFmtId="0" fontId="0" fillId="0" borderId="12" xfId="0" applyBorder="1" applyAlignment="1">
      <alignment horizontal="center"/>
    </xf>
    <xf numFmtId="1" fontId="0" fillId="0" borderId="0" xfId="0" applyNumberFormat="1" applyAlignment="1">
      <alignment horizontal="center"/>
    </xf>
    <xf numFmtId="0" fontId="0" fillId="0" borderId="0" xfId="0" applyAlignment="1" applyProtection="1">
      <alignment horizontal="center"/>
      <protection hidden="1"/>
    </xf>
    <xf numFmtId="0" fontId="0" fillId="0" borderId="13" xfId="0" applyBorder="1" applyAlignment="1">
      <alignment horizontal="center"/>
    </xf>
    <xf numFmtId="0" fontId="9" fillId="0" borderId="0" xfId="0" applyFont="1" applyAlignment="1">
      <alignment horizontal="center"/>
    </xf>
    <xf numFmtId="0" fontId="10" fillId="0" borderId="0" xfId="0" applyFont="1" applyAlignment="1">
      <alignment horizontal="center"/>
    </xf>
    <xf numFmtId="0" fontId="0" fillId="0" borderId="0" xfId="0" applyAlignment="1">
      <alignment horizontal="right"/>
    </xf>
    <xf numFmtId="0" fontId="0" fillId="15" borderId="0" xfId="0" applyFill="1" applyAlignment="1">
      <alignment horizontal="center"/>
    </xf>
    <xf numFmtId="0" fontId="0" fillId="15" borderId="0" xfId="0" applyFill="1"/>
    <xf numFmtId="0" fontId="10" fillId="15" borderId="0" xfId="0" applyFont="1" applyFill="1" applyAlignment="1">
      <alignment horizontal="center"/>
    </xf>
    <xf numFmtId="0" fontId="10" fillId="15" borderId="23" xfId="0" applyFont="1" applyFill="1" applyBorder="1" applyAlignment="1">
      <alignment horizontal="center" wrapText="1"/>
    </xf>
    <xf numFmtId="0" fontId="10" fillId="15" borderId="23" xfId="0" applyFont="1" applyFill="1" applyBorder="1" applyAlignment="1">
      <alignment wrapText="1"/>
    </xf>
    <xf numFmtId="0" fontId="10" fillId="15" borderId="23" xfId="0" applyFont="1" applyFill="1" applyBorder="1" applyAlignment="1">
      <alignment horizontal="center"/>
    </xf>
    <xf numFmtId="0" fontId="0" fillId="15" borderId="23" xfId="0" applyFill="1" applyBorder="1" applyAlignment="1">
      <alignment horizontal="center"/>
    </xf>
    <xf numFmtId="0" fontId="0" fillId="15" borderId="23" xfId="0" applyFill="1" applyBorder="1"/>
    <xf numFmtId="2" fontId="0" fillId="15" borderId="23" xfId="0" applyNumberFormat="1" applyFill="1" applyBorder="1" applyAlignment="1">
      <alignment horizontal="center"/>
    </xf>
    <xf numFmtId="165" fontId="0" fillId="15" borderId="23" xfId="0" applyNumberFormat="1" applyFill="1" applyBorder="1" applyAlignment="1">
      <alignment horizontal="center"/>
    </xf>
    <xf numFmtId="167" fontId="0" fillId="0" borderId="0" xfId="7" applyNumberFormat="1" applyFont="1" applyFill="1"/>
    <xf numFmtId="164" fontId="0" fillId="0" borderId="0" xfId="0" applyNumberFormat="1"/>
    <xf numFmtId="0" fontId="0" fillId="7" borderId="0" xfId="0" applyFill="1" applyProtection="1">
      <protection hidden="1"/>
    </xf>
    <xf numFmtId="0" fontId="23" fillId="7" borderId="0" xfId="0" applyFont="1" applyFill="1" applyProtection="1">
      <protection hidden="1"/>
    </xf>
    <xf numFmtId="0" fontId="0" fillId="8" borderId="2" xfId="0" applyFill="1" applyBorder="1" applyAlignment="1">
      <alignment vertical="center"/>
    </xf>
    <xf numFmtId="165" fontId="8" fillId="8" borderId="0" xfId="0" applyNumberFormat="1" applyFont="1" applyFill="1" applyAlignment="1">
      <alignment horizontal="center" vertical="center"/>
    </xf>
    <xf numFmtId="0" fontId="7" fillId="4" borderId="40" xfId="8" applyFill="1" applyBorder="1" applyAlignment="1" applyProtection="1">
      <alignment horizontal="center"/>
      <protection locked="0"/>
    </xf>
    <xf numFmtId="0" fontId="7" fillId="4" borderId="23" xfId="8" applyFill="1" applyBorder="1" applyAlignment="1" applyProtection="1">
      <alignment horizontal="center"/>
      <protection locked="0"/>
    </xf>
    <xf numFmtId="0" fontId="7" fillId="0" borderId="23" xfId="8" applyBorder="1" applyAlignment="1">
      <alignment horizontal="center"/>
    </xf>
    <xf numFmtId="14" fontId="7" fillId="0" borderId="39" xfId="8" applyNumberFormat="1" applyBorder="1" applyAlignment="1">
      <alignment horizontal="center"/>
    </xf>
    <xf numFmtId="0" fontId="56" fillId="17" borderId="13" xfId="8" applyFont="1" applyFill="1" applyBorder="1" applyAlignment="1">
      <alignment horizontal="center" vertical="center" wrapText="1"/>
    </xf>
    <xf numFmtId="0" fontId="7" fillId="0" borderId="95" xfId="8" applyBorder="1" applyAlignment="1">
      <alignment horizontal="center" vertical="center" wrapText="1"/>
    </xf>
    <xf numFmtId="0" fontId="7" fillId="0" borderId="97" xfId="8" applyBorder="1" applyAlignment="1">
      <alignment horizontal="center" vertical="center" wrapText="1"/>
    </xf>
    <xf numFmtId="14" fontId="7" fillId="0" borderId="96" xfId="8" applyNumberFormat="1" applyBorder="1" applyAlignment="1">
      <alignment horizontal="center" vertical="center" wrapText="1"/>
    </xf>
    <xf numFmtId="0" fontId="5" fillId="4" borderId="40" xfId="8" applyFont="1" applyFill="1" applyBorder="1" applyAlignment="1" applyProtection="1">
      <alignment horizontal="center"/>
      <protection locked="0"/>
    </xf>
    <xf numFmtId="0" fontId="56" fillId="18" borderId="27" xfId="8" applyFont="1" applyFill="1" applyBorder="1" applyAlignment="1">
      <alignment horizontal="center" vertical="center" wrapText="1"/>
    </xf>
    <xf numFmtId="0" fontId="7" fillId="0" borderId="100" xfId="8" applyBorder="1" applyAlignment="1">
      <alignment horizontal="left" vertical="center" wrapText="1"/>
    </xf>
    <xf numFmtId="0" fontId="7" fillId="0" borderId="39" xfId="8" applyBorder="1" applyAlignment="1">
      <alignment horizontal="left" vertical="center" wrapText="1"/>
    </xf>
    <xf numFmtId="0" fontId="7" fillId="0" borderId="47" xfId="8" applyBorder="1" applyAlignment="1">
      <alignment horizontal="left" vertical="center" wrapText="1"/>
    </xf>
    <xf numFmtId="0" fontId="7" fillId="0" borderId="6" xfId="8" applyBorder="1" applyAlignment="1">
      <alignment horizontal="left" vertical="center"/>
    </xf>
    <xf numFmtId="0" fontId="7" fillId="0" borderId="33" xfId="8" applyBorder="1" applyAlignment="1">
      <alignment horizontal="left" vertical="center"/>
    </xf>
    <xf numFmtId="0" fontId="7" fillId="0" borderId="32" xfId="8" applyBorder="1" applyAlignment="1">
      <alignment horizontal="left" vertical="center" wrapText="1"/>
    </xf>
    <xf numFmtId="0" fontId="6" fillId="0" borderId="40" xfId="8" applyFont="1" applyBorder="1" applyAlignment="1">
      <alignment horizontal="right" vertical="center"/>
    </xf>
    <xf numFmtId="0" fontId="6" fillId="0" borderId="42" xfId="8" applyFont="1" applyBorder="1" applyAlignment="1">
      <alignment horizontal="right" vertical="center"/>
    </xf>
    <xf numFmtId="0" fontId="23" fillId="0" borderId="0" xfId="0" applyFont="1" applyAlignment="1">
      <alignment horizontal="left"/>
    </xf>
    <xf numFmtId="0" fontId="4" fillId="0" borderId="98" xfId="8" applyFont="1" applyBorder="1" applyAlignment="1">
      <alignment horizontal="right" vertical="center"/>
    </xf>
    <xf numFmtId="0" fontId="8" fillId="0" borderId="0" xfId="0" applyFont="1" applyAlignment="1">
      <alignment wrapText="1" shrinkToFit="1"/>
    </xf>
    <xf numFmtId="0" fontId="23" fillId="0" borderId="1" xfId="0" applyFont="1" applyBorder="1"/>
    <xf numFmtId="0" fontId="55" fillId="0" borderId="13" xfId="8" applyFont="1" applyBorder="1" applyAlignment="1">
      <alignment horizontal="right" vertical="center"/>
    </xf>
    <xf numFmtId="0" fontId="59" fillId="19" borderId="25" xfId="0" applyFont="1" applyFill="1" applyBorder="1" applyAlignment="1">
      <alignment horizontal="center" vertical="center"/>
    </xf>
    <xf numFmtId="0" fontId="59" fillId="19" borderId="25" xfId="0" applyFont="1" applyFill="1" applyBorder="1" applyAlignment="1">
      <alignment horizontal="center" vertical="center" wrapText="1"/>
    </xf>
    <xf numFmtId="0" fontId="60" fillId="0" borderId="108" xfId="0" applyFont="1" applyBorder="1" applyAlignment="1">
      <alignment vertical="center" wrapText="1"/>
    </xf>
    <xf numFmtId="0" fontId="0" fillId="21" borderId="0" xfId="0" applyFill="1"/>
    <xf numFmtId="0" fontId="7" fillId="21" borderId="0" xfId="8" applyFill="1"/>
    <xf numFmtId="0" fontId="2" fillId="0" borderId="23" xfId="8" applyFont="1" applyBorder="1" applyAlignment="1">
      <alignment horizontal="center"/>
    </xf>
    <xf numFmtId="2" fontId="0" fillId="0" borderId="0" xfId="0" applyNumberFormat="1"/>
    <xf numFmtId="0" fontId="47" fillId="0" borderId="9" xfId="0" applyFont="1" applyBorder="1" applyAlignment="1">
      <alignment wrapText="1" shrinkToFit="1"/>
    </xf>
    <xf numFmtId="0" fontId="47" fillId="0" borderId="0" xfId="0" applyFont="1" applyAlignment="1">
      <alignment wrapText="1" shrinkToFit="1"/>
    </xf>
    <xf numFmtId="0" fontId="10" fillId="0" borderId="26" xfId="0" applyFont="1" applyBorder="1" applyAlignment="1">
      <alignment vertical="center"/>
    </xf>
    <xf numFmtId="0" fontId="14" fillId="0" borderId="13" xfId="0" applyFont="1" applyBorder="1" applyAlignment="1">
      <alignment horizontal="center" wrapText="1" shrinkToFit="1"/>
    </xf>
    <xf numFmtId="0" fontId="10" fillId="0" borderId="0" xfId="0" applyFont="1" applyAlignment="1">
      <alignment vertical="center"/>
    </xf>
    <xf numFmtId="2" fontId="8" fillId="0" borderId="0" xfId="0" applyNumberFormat="1" applyFont="1"/>
    <xf numFmtId="0" fontId="7" fillId="0" borderId="99" xfId="8" applyBorder="1" applyAlignment="1">
      <alignment horizontal="center"/>
    </xf>
    <xf numFmtId="14" fontId="7" fillId="0" borderId="100" xfId="8" applyNumberFormat="1" applyBorder="1" applyAlignment="1">
      <alignment horizontal="center"/>
    </xf>
    <xf numFmtId="0" fontId="3" fillId="0" borderId="23" xfId="8" applyFont="1" applyBorder="1" applyAlignment="1">
      <alignment horizontal="center"/>
    </xf>
    <xf numFmtId="0" fontId="7" fillId="17" borderId="35" xfId="8" applyFill="1" applyBorder="1" applyAlignment="1">
      <alignment horizontal="left" vertical="center"/>
    </xf>
    <xf numFmtId="4" fontId="7" fillId="0" borderId="39" xfId="8" applyNumberFormat="1" applyBorder="1" applyAlignment="1">
      <alignment horizontal="left" vertical="center"/>
    </xf>
    <xf numFmtId="0" fontId="1" fillId="4" borderId="98" xfId="8" applyFont="1" applyFill="1" applyBorder="1" applyAlignment="1" applyProtection="1">
      <alignment horizontal="center"/>
      <protection locked="0"/>
    </xf>
    <xf numFmtId="0" fontId="1" fillId="4" borderId="99" xfId="8" applyFont="1" applyFill="1" applyBorder="1" applyAlignment="1" applyProtection="1">
      <alignment horizontal="center"/>
      <protection locked="0"/>
    </xf>
    <xf numFmtId="0" fontId="59" fillId="19" borderId="25" xfId="0" applyFont="1" applyFill="1" applyBorder="1" applyAlignment="1">
      <alignment horizontal="left" vertical="center"/>
    </xf>
    <xf numFmtId="0" fontId="60" fillId="0" borderId="108" xfId="0" applyFont="1" applyBorder="1" applyAlignment="1">
      <alignment horizontal="left" vertical="center" wrapText="1"/>
    </xf>
    <xf numFmtId="0" fontId="0" fillId="0" borderId="0" xfId="0" applyAlignment="1">
      <alignment horizontal="left" vertical="center" wrapText="1"/>
    </xf>
    <xf numFmtId="164" fontId="7" fillId="0" borderId="39" xfId="8" applyNumberFormat="1" applyBorder="1" applyAlignment="1">
      <alignment horizontal="left" vertical="center" wrapText="1"/>
    </xf>
    <xf numFmtId="49" fontId="44" fillId="0" borderId="0" xfId="0" applyNumberFormat="1" applyFont="1" applyAlignment="1">
      <alignment horizontal="center" vertical="center" wrapText="1"/>
    </xf>
    <xf numFmtId="49" fontId="44" fillId="0" borderId="0" xfId="0" applyNumberFormat="1" applyFont="1" applyAlignment="1">
      <alignment vertical="center" wrapText="1"/>
    </xf>
    <xf numFmtId="0" fontId="44" fillId="0" borderId="0" xfId="0" applyFont="1" applyAlignment="1">
      <alignment horizontal="left" vertical="center" wrapText="1"/>
    </xf>
    <xf numFmtId="0" fontId="36" fillId="0" borderId="0" xfId="4" applyAlignment="1">
      <alignment horizontal="left" vertical="top"/>
    </xf>
    <xf numFmtId="49" fontId="44" fillId="0" borderId="0" xfId="0" quotePrefix="1" applyNumberFormat="1" applyFont="1" applyAlignment="1">
      <alignment vertical="center" wrapText="1"/>
    </xf>
    <xf numFmtId="49" fontId="44" fillId="0" borderId="0" xfId="0" quotePrefix="1" applyNumberFormat="1" applyFont="1" applyAlignment="1">
      <alignment horizontal="center" vertical="center" wrapText="1"/>
    </xf>
    <xf numFmtId="0" fontId="44" fillId="0" borderId="0" xfId="0" applyFont="1" applyAlignment="1">
      <alignment vertical="center" wrapText="1"/>
    </xf>
    <xf numFmtId="49" fontId="8" fillId="0" borderId="0" xfId="0" applyNumberFormat="1" applyFont="1"/>
    <xf numFmtId="49" fontId="0" fillId="0" borderId="0" xfId="0" applyNumberFormat="1"/>
    <xf numFmtId="0" fontId="8"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2" fontId="0" fillId="4" borderId="31" xfId="0" applyNumberFormat="1" applyFill="1" applyBorder="1" applyAlignment="1" applyProtection="1">
      <alignment horizontal="center" vertical="center"/>
      <protection locked="0"/>
    </xf>
    <xf numFmtId="2" fontId="0" fillId="4" borderId="18" xfId="0" applyNumberFormat="1" applyFill="1" applyBorder="1" applyAlignment="1" applyProtection="1">
      <alignment horizontal="center" vertical="center"/>
      <protection locked="0"/>
    </xf>
    <xf numFmtId="2" fontId="0" fillId="0" borderId="0" xfId="0" applyNumberFormat="1" applyAlignment="1" applyProtection="1">
      <alignment horizontal="center" vertical="center"/>
      <protection hidden="1"/>
    </xf>
    <xf numFmtId="0" fontId="0" fillId="4" borderId="31"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1" fontId="0" fillId="0" borderId="0" xfId="0" applyNumberFormat="1" applyAlignment="1" applyProtection="1">
      <alignment horizontal="center" vertical="center"/>
      <protection hidden="1"/>
    </xf>
    <xf numFmtId="0" fontId="51" fillId="0" borderId="0" xfId="0" applyFont="1" applyAlignment="1" applyProtection="1">
      <alignment horizontal="center" vertical="top" wrapText="1"/>
      <protection hidden="1"/>
    </xf>
    <xf numFmtId="0" fontId="10" fillId="0" borderId="31" xfId="0" applyFont="1" applyBorder="1" applyAlignment="1">
      <alignment horizontal="center"/>
    </xf>
    <xf numFmtId="0" fontId="0" fillId="0" borderId="18" xfId="0" applyBorder="1" applyAlignment="1">
      <alignment horizontal="center"/>
    </xf>
    <xf numFmtId="0" fontId="10" fillId="0" borderId="18" xfId="0" applyFont="1" applyBorder="1" applyAlignment="1">
      <alignment horizontal="center"/>
    </xf>
    <xf numFmtId="2" fontId="36" fillId="9" borderId="31" xfId="4" applyNumberFormat="1" applyFill="1" applyBorder="1" applyAlignment="1" applyProtection="1">
      <alignment horizontal="center"/>
      <protection locked="0"/>
    </xf>
    <xf numFmtId="0" fontId="0" fillId="0" borderId="17" xfId="0" applyBorder="1" applyAlignment="1" applyProtection="1">
      <alignment horizontal="center"/>
      <protection locked="0"/>
    </xf>
    <xf numFmtId="0" fontId="8" fillId="0" borderId="73" xfId="0" applyFont="1" applyBorder="1" applyAlignment="1">
      <alignment horizontal="center"/>
    </xf>
    <xf numFmtId="0" fontId="0" fillId="0" borderId="73" xfId="0" applyBorder="1" applyAlignment="1">
      <alignment horizontal="center"/>
    </xf>
    <xf numFmtId="0" fontId="0" fillId="0" borderId="25" xfId="0" applyBorder="1" applyAlignment="1">
      <alignment horizontal="center"/>
    </xf>
    <xf numFmtId="0" fontId="10" fillId="0" borderId="23" xfId="0" applyFont="1" applyBorder="1" applyAlignment="1">
      <alignment horizontal="center"/>
    </xf>
    <xf numFmtId="0" fontId="0" fillId="0" borderId="23" xfId="0" applyBorder="1" applyAlignment="1">
      <alignment horizontal="center"/>
    </xf>
    <xf numFmtId="0" fontId="0" fillId="0" borderId="39" xfId="0" applyBorder="1" applyAlignment="1">
      <alignment horizontal="center"/>
    </xf>
    <xf numFmtId="2" fontId="36" fillId="0" borderId="31" xfId="4" applyNumberFormat="1" applyBorder="1" applyAlignment="1">
      <alignment horizontal="center"/>
    </xf>
    <xf numFmtId="0" fontId="0" fillId="0" borderId="17" xfId="0" applyBorder="1" applyAlignment="1">
      <alignment horizontal="center"/>
    </xf>
    <xf numFmtId="2" fontId="36" fillId="0" borderId="23" xfId="4" applyNumberFormat="1" applyBorder="1" applyAlignment="1">
      <alignment horizontal="center"/>
    </xf>
    <xf numFmtId="0" fontId="10" fillId="0" borderId="17" xfId="0" applyFont="1" applyBorder="1" applyAlignment="1">
      <alignment horizontal="center"/>
    </xf>
    <xf numFmtId="0" fontId="10" fillId="0" borderId="0" xfId="4" applyFont="1" applyAlignment="1">
      <alignment horizontal="center" wrapText="1" shrinkToFit="1"/>
    </xf>
    <xf numFmtId="0" fontId="10" fillId="0" borderId="0" xfId="0" applyFont="1" applyAlignment="1">
      <alignment wrapText="1" shrinkToFit="1"/>
    </xf>
    <xf numFmtId="2" fontId="36" fillId="0" borderId="29" xfId="4" applyNumberFormat="1" applyBorder="1" applyAlignment="1">
      <alignment horizontal="center"/>
    </xf>
    <xf numFmtId="2" fontId="0" fillId="0" borderId="21" xfId="0" applyNumberFormat="1" applyBorder="1" applyAlignment="1">
      <alignment horizontal="center"/>
    </xf>
    <xf numFmtId="0" fontId="46" fillId="0" borderId="0" xfId="4" applyFont="1" applyAlignment="1">
      <alignment vertical="center" wrapText="1" shrinkToFit="1"/>
    </xf>
    <xf numFmtId="0" fontId="0" fillId="0" borderId="0" xfId="0" applyAlignment="1">
      <alignment vertical="center" wrapText="1" shrinkToFit="1"/>
    </xf>
    <xf numFmtId="0" fontId="0" fillId="0" borderId="7" xfId="0" applyBorder="1" applyAlignment="1">
      <alignment vertical="center" wrapText="1" shrinkToFit="1"/>
    </xf>
    <xf numFmtId="0" fontId="30" fillId="0" borderId="16" xfId="0" applyFont="1" applyBorder="1" applyAlignment="1">
      <alignment horizontal="center" wrapText="1" shrinkToFit="1"/>
    </xf>
    <xf numFmtId="0" fontId="30" fillId="0" borderId="26" xfId="0" applyFont="1" applyBorder="1" applyAlignment="1">
      <alignment horizontal="center" wrapText="1" shrinkToFit="1"/>
    </xf>
    <xf numFmtId="0" fontId="30" fillId="0" borderId="27" xfId="0" applyFont="1" applyBorder="1" applyAlignment="1">
      <alignment horizontal="center" wrapText="1" shrinkToFit="1"/>
    </xf>
    <xf numFmtId="0" fontId="0" fillId="0" borderId="3" xfId="0" applyBorder="1" applyAlignment="1">
      <alignment horizontal="center"/>
    </xf>
    <xf numFmtId="0" fontId="0" fillId="0" borderId="4" xfId="0" applyBorder="1" applyAlignment="1">
      <alignment horizontal="center"/>
    </xf>
    <xf numFmtId="0" fontId="0" fillId="0" borderId="2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8" fillId="0" borderId="6" xfId="0" applyFont="1" applyBorder="1" applyAlignment="1">
      <alignment horizontal="center"/>
    </xf>
    <xf numFmtId="0" fontId="8" fillId="0" borderId="0" xfId="0" applyFont="1" applyAlignment="1">
      <alignment horizontal="center"/>
    </xf>
    <xf numFmtId="0" fontId="8" fillId="0" borderId="7" xfId="0" applyFont="1" applyBorder="1" applyAlignment="1">
      <alignment horizontal="center"/>
    </xf>
    <xf numFmtId="0" fontId="8" fillId="0" borderId="1" xfId="0" applyFont="1" applyBorder="1" applyAlignment="1">
      <alignment horizontal="center"/>
    </xf>
    <xf numFmtId="0" fontId="0" fillId="0" borderId="5" xfId="0" applyBorder="1" applyAlignment="1">
      <alignment horizontal="center"/>
    </xf>
    <xf numFmtId="0" fontId="8" fillId="4" borderId="25" xfId="0" applyFont="1" applyFill="1" applyBorder="1" applyAlignment="1" applyProtection="1">
      <alignment horizontal="center"/>
      <protection locked="0"/>
    </xf>
    <xf numFmtId="0" fontId="0" fillId="4" borderId="25" xfId="0" applyFill="1" applyBorder="1" applyAlignment="1" applyProtection="1">
      <alignment horizontal="center"/>
      <protection locked="0"/>
    </xf>
    <xf numFmtId="0" fontId="0" fillId="4" borderId="32" xfId="0" applyFill="1" applyBorder="1" applyAlignment="1" applyProtection="1">
      <alignment horizontal="center"/>
      <protection locked="0"/>
    </xf>
    <xf numFmtId="1" fontId="8" fillId="0" borderId="3" xfId="0" applyNumberFormat="1" applyFont="1" applyBorder="1" applyAlignment="1">
      <alignment horizontal="center" vertical="center"/>
    </xf>
    <xf numFmtId="1" fontId="8" fillId="0" borderId="4"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6"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7" xfId="0" applyNumberFormat="1" applyFont="1" applyBorder="1" applyAlignment="1">
      <alignment horizontal="center" vertical="center"/>
    </xf>
    <xf numFmtId="1" fontId="8" fillId="0" borderId="35" xfId="0" applyNumberFormat="1" applyFont="1" applyBorder="1" applyAlignment="1">
      <alignment horizontal="center" vertical="center"/>
    </xf>
    <xf numFmtId="1" fontId="8" fillId="0" borderId="36" xfId="0" applyNumberFormat="1" applyFont="1" applyBorder="1" applyAlignment="1">
      <alignment horizontal="center" vertical="center"/>
    </xf>
    <xf numFmtId="1" fontId="8" fillId="0" borderId="37" xfId="0" applyNumberFormat="1" applyFont="1" applyBorder="1" applyAlignment="1">
      <alignment horizontal="center" vertical="center"/>
    </xf>
    <xf numFmtId="1" fontId="0" fillId="0" borderId="3" xfId="0" applyNumberFormat="1" applyBorder="1" applyAlignment="1">
      <alignment horizontal="center" vertical="center"/>
    </xf>
    <xf numFmtId="1" fontId="0" fillId="0" borderId="4" xfId="0" applyNumberFormat="1" applyBorder="1" applyAlignment="1">
      <alignment horizontal="center" vertical="center"/>
    </xf>
    <xf numFmtId="1" fontId="0" fillId="0" borderId="5" xfId="0" applyNumberFormat="1" applyBorder="1" applyAlignment="1">
      <alignment horizontal="center" vertical="center"/>
    </xf>
    <xf numFmtId="1" fontId="0" fillId="0" borderId="6" xfId="0" applyNumberFormat="1" applyBorder="1" applyAlignment="1">
      <alignment horizontal="center" vertical="center"/>
    </xf>
    <xf numFmtId="1" fontId="0" fillId="0" borderId="0" xfId="0" applyNumberFormat="1" applyAlignment="1">
      <alignment horizontal="center" vertical="center"/>
    </xf>
    <xf numFmtId="1" fontId="0" fillId="0" borderId="7" xfId="0" applyNumberFormat="1" applyBorder="1" applyAlignment="1">
      <alignment horizontal="center" vertical="center"/>
    </xf>
    <xf numFmtId="1" fontId="0" fillId="0" borderId="35" xfId="0" applyNumberFormat="1" applyBorder="1" applyAlignment="1">
      <alignment horizontal="center" vertical="center"/>
    </xf>
    <xf numFmtId="1" fontId="0" fillId="0" borderId="36" xfId="0" applyNumberFormat="1" applyBorder="1" applyAlignment="1">
      <alignment horizontal="center" vertical="center"/>
    </xf>
    <xf numFmtId="1" fontId="0" fillId="0" borderId="37" xfId="0" applyNumberFormat="1" applyBorder="1" applyAlignment="1">
      <alignment horizontal="center" vertical="center"/>
    </xf>
    <xf numFmtId="0" fontId="0" fillId="0" borderId="38" xfId="0" applyBorder="1" applyAlignment="1">
      <alignment horizontal="center"/>
    </xf>
    <xf numFmtId="1" fontId="0" fillId="4" borderId="29" xfId="0" applyNumberFormat="1" applyFill="1" applyBorder="1" applyAlignment="1" applyProtection="1">
      <alignment horizontal="center"/>
      <protection locked="0"/>
    </xf>
    <xf numFmtId="1" fontId="0" fillId="4" borderId="21" xfId="0" applyNumberFormat="1" applyFill="1" applyBorder="1" applyAlignment="1" applyProtection="1">
      <alignment horizontal="center"/>
      <protection locked="0"/>
    </xf>
    <xf numFmtId="1" fontId="0" fillId="4" borderId="22" xfId="0" applyNumberFormat="1" applyFill="1" applyBorder="1" applyAlignment="1" applyProtection="1">
      <alignment horizontal="center"/>
      <protection locked="0"/>
    </xf>
    <xf numFmtId="0" fontId="8" fillId="4" borderId="23" xfId="0" applyFont="1" applyFill="1" applyBorder="1" applyAlignment="1" applyProtection="1">
      <alignment horizontal="center"/>
      <protection locked="0"/>
    </xf>
    <xf numFmtId="0" fontId="0" fillId="4" borderId="23" xfId="0" applyFill="1" applyBorder="1" applyAlignment="1" applyProtection="1">
      <alignment horizontal="center"/>
      <protection locked="0"/>
    </xf>
    <xf numFmtId="0" fontId="0" fillId="4" borderId="39"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4" borderId="21" xfId="0" applyFill="1" applyBorder="1" applyAlignment="1" applyProtection="1">
      <alignment horizontal="center"/>
      <protection locked="0"/>
    </xf>
    <xf numFmtId="0" fontId="0" fillId="4" borderId="22" xfId="0" applyFill="1" applyBorder="1" applyAlignment="1" applyProtection="1">
      <alignment horizontal="center"/>
      <protection locked="0"/>
    </xf>
    <xf numFmtId="0" fontId="8" fillId="4" borderId="29" xfId="0" applyFont="1" applyFill="1" applyBorder="1" applyAlignment="1" applyProtection="1">
      <alignment horizontal="center"/>
      <protection locked="0"/>
    </xf>
    <xf numFmtId="0" fontId="0" fillId="4" borderId="30" xfId="0" applyFill="1" applyBorder="1" applyAlignment="1" applyProtection="1">
      <alignment horizontal="center"/>
      <protection locked="0"/>
    </xf>
    <xf numFmtId="1" fontId="0" fillId="4" borderId="25" xfId="0" applyNumberFormat="1" applyFill="1" applyBorder="1" applyAlignment="1" applyProtection="1">
      <alignment horizontal="center"/>
      <protection locked="0"/>
    </xf>
    <xf numFmtId="1" fontId="0" fillId="4" borderId="23" xfId="0" applyNumberFormat="1" applyFill="1" applyBorder="1" applyAlignment="1" applyProtection="1">
      <alignment horizontal="center"/>
      <protection locked="0"/>
    </xf>
    <xf numFmtId="0" fontId="8" fillId="4" borderId="42" xfId="0" applyFont="1" applyFill="1" applyBorder="1" applyAlignment="1" applyProtection="1">
      <alignment horizontal="center"/>
      <protection locked="0"/>
    </xf>
    <xf numFmtId="0" fontId="0" fillId="4" borderId="43" xfId="0" applyFill="1" applyBorder="1" applyAlignment="1" applyProtection="1">
      <alignment horizontal="center"/>
      <protection locked="0"/>
    </xf>
    <xf numFmtId="0" fontId="8" fillId="0" borderId="19" xfId="0" applyFont="1" applyBorder="1" applyAlignment="1">
      <alignment horizontal="center"/>
    </xf>
    <xf numFmtId="164" fontId="0" fillId="0" borderId="31" xfId="0" applyNumberFormat="1" applyBorder="1" applyAlignment="1">
      <alignment horizontal="center"/>
    </xf>
    <xf numFmtId="164" fontId="0" fillId="0" borderId="17" xfId="0" applyNumberFormat="1" applyBorder="1" applyAlignment="1">
      <alignment horizontal="center"/>
    </xf>
    <xf numFmtId="164" fontId="0" fillId="0" borderId="18" xfId="0" applyNumberFormat="1" applyBorder="1" applyAlignment="1">
      <alignment horizontal="center"/>
    </xf>
    <xf numFmtId="1" fontId="0" fillId="4" borderId="31" xfId="0" applyNumberFormat="1" applyFill="1" applyBorder="1" applyAlignment="1" applyProtection="1">
      <alignment horizontal="center"/>
      <protection locked="0"/>
    </xf>
    <xf numFmtId="1" fontId="0" fillId="4" borderId="17" xfId="0" applyNumberFormat="1" applyFill="1" applyBorder="1" applyAlignment="1" applyProtection="1">
      <alignment horizontal="center"/>
      <protection locked="0"/>
    </xf>
    <xf numFmtId="1" fontId="0" fillId="4" borderId="18" xfId="0" applyNumberFormat="1" applyFill="1" applyBorder="1" applyAlignment="1" applyProtection="1">
      <alignment horizontal="center"/>
      <protection locked="0"/>
    </xf>
    <xf numFmtId="0" fontId="14" fillId="0" borderId="6" xfId="0" applyFont="1" applyBorder="1" applyAlignment="1">
      <alignment horizontal="center"/>
    </xf>
    <xf numFmtId="0" fontId="14" fillId="0" borderId="0" xfId="0" applyFont="1" applyAlignment="1">
      <alignment horizontal="center"/>
    </xf>
    <xf numFmtId="0" fontId="14" fillId="0" borderId="7" xfId="0" applyFont="1" applyBorder="1" applyAlignment="1">
      <alignment horizontal="center"/>
    </xf>
    <xf numFmtId="0" fontId="0" fillId="0" borderId="6"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1" fontId="0" fillId="0" borderId="31" xfId="0" applyNumberFormat="1" applyBorder="1" applyAlignment="1">
      <alignment horizontal="center"/>
    </xf>
    <xf numFmtId="1" fontId="0" fillId="0" borderId="17" xfId="0" applyNumberFormat="1" applyBorder="1" applyAlignment="1">
      <alignment horizontal="center"/>
    </xf>
    <xf numFmtId="1" fontId="0" fillId="0" borderId="18" xfId="0" applyNumberFormat="1" applyBorder="1" applyAlignment="1">
      <alignment horizontal="center"/>
    </xf>
    <xf numFmtId="0" fontId="0" fillId="0" borderId="31" xfId="0" applyBorder="1" applyAlignment="1" applyProtection="1">
      <alignment horizontal="center"/>
      <protection locked="0"/>
    </xf>
    <xf numFmtId="0" fontId="0" fillId="0" borderId="18" xfId="0" applyBorder="1" applyAlignment="1" applyProtection="1">
      <alignment horizontal="center"/>
      <protection locked="0"/>
    </xf>
    <xf numFmtId="173" fontId="0" fillId="0" borderId="31" xfId="0" applyNumberFormat="1" applyBorder="1" applyAlignment="1">
      <alignment horizontal="center"/>
    </xf>
    <xf numFmtId="173" fontId="0" fillId="0" borderId="17" xfId="0" applyNumberFormat="1" applyBorder="1" applyAlignment="1">
      <alignment horizontal="center"/>
    </xf>
    <xf numFmtId="173" fontId="0" fillId="0" borderId="18" xfId="0" applyNumberFormat="1" applyBorder="1" applyAlignment="1">
      <alignment horizontal="center"/>
    </xf>
    <xf numFmtId="2" fontId="0" fillId="4" borderId="31" xfId="0" applyNumberFormat="1" applyFill="1" applyBorder="1" applyAlignment="1" applyProtection="1">
      <alignment horizontal="center"/>
      <protection locked="0"/>
    </xf>
    <xf numFmtId="2" fontId="0" fillId="4" borderId="17" xfId="0" applyNumberFormat="1" applyFill="1" applyBorder="1" applyAlignment="1" applyProtection="1">
      <alignment horizontal="center"/>
      <protection locked="0"/>
    </xf>
    <xf numFmtId="2" fontId="0" fillId="4" borderId="18" xfId="0" applyNumberFormat="1" applyFill="1" applyBorder="1" applyAlignment="1" applyProtection="1">
      <alignment horizontal="center"/>
      <protection locked="0"/>
    </xf>
    <xf numFmtId="164" fontId="0" fillId="0" borderId="29" xfId="0" applyNumberFormat="1" applyBorder="1" applyAlignment="1">
      <alignment horizontal="center"/>
    </xf>
    <xf numFmtId="164" fontId="0" fillId="0" borderId="21" xfId="0" applyNumberFormat="1" applyBorder="1" applyAlignment="1">
      <alignment horizontal="center"/>
    </xf>
    <xf numFmtId="164" fontId="0" fillId="0" borderId="22" xfId="0" applyNumberFormat="1" applyBorder="1" applyAlignment="1">
      <alignment horizontal="center"/>
    </xf>
    <xf numFmtId="0" fontId="0" fillId="0" borderId="24" xfId="0" applyBorder="1" applyAlignment="1">
      <alignment horizontal="center"/>
    </xf>
    <xf numFmtId="0" fontId="0" fillId="0" borderId="12" xfId="0" applyBorder="1" applyAlignment="1">
      <alignment horizontal="center"/>
    </xf>
    <xf numFmtId="0" fontId="0" fillId="4" borderId="31" xfId="0" applyFill="1" applyBorder="1" applyAlignment="1" applyProtection="1">
      <alignment horizontal="center"/>
      <protection locked="0"/>
    </xf>
    <xf numFmtId="0" fontId="0" fillId="4" borderId="17" xfId="0" applyFill="1" applyBorder="1" applyAlignment="1" applyProtection="1">
      <alignment horizontal="center"/>
      <protection locked="0"/>
    </xf>
    <xf numFmtId="0" fontId="0" fillId="4" borderId="18" xfId="0" applyFill="1" applyBorder="1" applyAlignment="1" applyProtection="1">
      <alignment horizontal="center"/>
      <protection locked="0"/>
    </xf>
    <xf numFmtId="164" fontId="0" fillId="4" borderId="31" xfId="0" applyNumberFormat="1" applyFill="1" applyBorder="1" applyAlignment="1" applyProtection="1">
      <alignment horizontal="center"/>
      <protection locked="0"/>
    </xf>
    <xf numFmtId="164" fontId="0" fillId="4" borderId="17" xfId="0" applyNumberFormat="1" applyFill="1" applyBorder="1" applyAlignment="1" applyProtection="1">
      <alignment horizontal="center"/>
      <protection locked="0"/>
    </xf>
    <xf numFmtId="164" fontId="0" fillId="4" borderId="18" xfId="0" applyNumberFormat="1" applyFill="1" applyBorder="1" applyAlignment="1" applyProtection="1">
      <alignment horizontal="center"/>
      <protection locked="0"/>
    </xf>
    <xf numFmtId="0" fontId="0" fillId="0" borderId="31" xfId="0" applyBorder="1" applyAlignment="1">
      <alignment horizontal="center"/>
    </xf>
    <xf numFmtId="0" fontId="0" fillId="0" borderId="2" xfId="0" applyBorder="1" applyAlignment="1">
      <alignment horizontal="center"/>
    </xf>
    <xf numFmtId="1" fontId="0" fillId="0" borderId="29" xfId="0" applyNumberFormat="1" applyBorder="1" applyAlignment="1">
      <alignment horizontal="center"/>
    </xf>
    <xf numFmtId="1" fontId="0" fillId="0" borderId="21" xfId="0" applyNumberFormat="1" applyBorder="1" applyAlignment="1">
      <alignment horizontal="center"/>
    </xf>
    <xf numFmtId="1" fontId="0" fillId="0" borderId="22" xfId="0" applyNumberFormat="1" applyBorder="1" applyAlignment="1">
      <alignment horizontal="center"/>
    </xf>
    <xf numFmtId="0" fontId="0" fillId="4" borderId="11" xfId="0" applyFill="1" applyBorder="1" applyAlignment="1" applyProtection="1">
      <alignment horizontal="left"/>
      <protection locked="0"/>
    </xf>
    <xf numFmtId="173" fontId="0" fillId="0" borderId="29" xfId="0" applyNumberFormat="1" applyBorder="1" applyAlignment="1">
      <alignment horizontal="center"/>
    </xf>
    <xf numFmtId="173" fontId="0" fillId="0" borderId="21" xfId="0" applyNumberFormat="1" applyBorder="1" applyAlignment="1">
      <alignment horizontal="center"/>
    </xf>
    <xf numFmtId="173" fontId="0" fillId="0" borderId="22" xfId="0" applyNumberFormat="1" applyBorder="1" applyAlignment="1">
      <alignment horizontal="center"/>
    </xf>
    <xf numFmtId="172" fontId="23" fillId="0" borderId="13" xfId="0" applyNumberFormat="1" applyFont="1" applyBorder="1" applyAlignment="1">
      <alignment horizontal="center" vertical="center" wrapText="1" shrinkToFit="1"/>
    </xf>
    <xf numFmtId="172" fontId="23" fillId="0" borderId="49" xfId="0" applyNumberFormat="1" applyFont="1" applyBorder="1" applyAlignment="1">
      <alignment horizontal="center" vertical="center" wrapText="1" shrinkToFit="1"/>
    </xf>
    <xf numFmtId="172" fontId="23" fillId="0" borderId="50" xfId="0" applyNumberFormat="1" applyFont="1" applyBorder="1" applyAlignment="1">
      <alignment horizontal="center" vertical="center" wrapText="1" shrinkToFit="1"/>
    </xf>
    <xf numFmtId="2" fontId="0" fillId="4" borderId="21" xfId="0" applyNumberFormat="1" applyFill="1" applyBorder="1" applyAlignment="1" applyProtection="1">
      <alignment horizontal="center"/>
      <protection locked="0"/>
    </xf>
    <xf numFmtId="2" fontId="0" fillId="4" borderId="22" xfId="0" applyNumberFormat="1" applyFill="1" applyBorder="1" applyAlignment="1" applyProtection="1">
      <alignment horizontal="center"/>
      <protection locked="0"/>
    </xf>
    <xf numFmtId="166" fontId="8" fillId="0" borderId="29" xfId="0" applyNumberFormat="1" applyFont="1" applyBorder="1" applyAlignment="1">
      <alignment horizontal="center"/>
    </xf>
    <xf numFmtId="166" fontId="0" fillId="0" borderId="21" xfId="0" applyNumberFormat="1" applyBorder="1" applyAlignment="1">
      <alignment horizontal="center"/>
    </xf>
    <xf numFmtId="166" fontId="0" fillId="0" borderId="22" xfId="0" applyNumberFormat="1" applyBorder="1" applyAlignment="1">
      <alignment horizontal="center"/>
    </xf>
    <xf numFmtId="165" fontId="0" fillId="0" borderId="29" xfId="0" applyNumberFormat="1" applyBorder="1" applyAlignment="1">
      <alignment horizontal="center"/>
    </xf>
    <xf numFmtId="165" fontId="0" fillId="0" borderId="21" xfId="0" applyNumberFormat="1" applyBorder="1" applyAlignment="1">
      <alignment horizontal="center"/>
    </xf>
    <xf numFmtId="165" fontId="0" fillId="0" borderId="22" xfId="0" applyNumberFormat="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165" fontId="0" fillId="0" borderId="31" xfId="0" applyNumberFormat="1" applyBorder="1" applyAlignment="1">
      <alignment horizontal="center"/>
    </xf>
    <xf numFmtId="165" fontId="0" fillId="0" borderId="17" xfId="0" applyNumberFormat="1" applyBorder="1" applyAlignment="1">
      <alignment horizontal="center"/>
    </xf>
    <xf numFmtId="165" fontId="0" fillId="0" borderId="18" xfId="0" applyNumberFormat="1" applyBorder="1" applyAlignment="1">
      <alignment horizontal="center"/>
    </xf>
    <xf numFmtId="0" fontId="0" fillId="4" borderId="0" xfId="0" applyFill="1" applyAlignment="1" applyProtection="1">
      <alignment horizontal="left"/>
      <protection locked="0"/>
    </xf>
    <xf numFmtId="0" fontId="0" fillId="0" borderId="8" xfId="0" applyBorder="1" applyAlignment="1">
      <alignment horizontal="center"/>
    </xf>
    <xf numFmtId="2" fontId="0" fillId="4" borderId="29" xfId="0" applyNumberFormat="1" applyFill="1" applyBorder="1" applyAlignment="1" applyProtection="1">
      <alignment horizontal="center"/>
      <protection locked="0"/>
    </xf>
    <xf numFmtId="0" fontId="12" fillId="0" borderId="13" xfId="0" applyFont="1" applyBorder="1" applyAlignment="1">
      <alignment horizontal="center"/>
    </xf>
    <xf numFmtId="0" fontId="0" fillId="0" borderId="49" xfId="0" applyBorder="1"/>
    <xf numFmtId="0" fontId="0" fillId="0" borderId="50" xfId="0" applyBorder="1"/>
    <xf numFmtId="2" fontId="0" fillId="8" borderId="31" xfId="0" applyNumberFormat="1" applyFill="1" applyBorder="1" applyAlignment="1">
      <alignment horizontal="center"/>
    </xf>
    <xf numFmtId="2" fontId="0" fillId="8" borderId="17" xfId="0" applyNumberFormat="1" applyFill="1" applyBorder="1" applyAlignment="1">
      <alignment horizontal="center"/>
    </xf>
    <xf numFmtId="2" fontId="0" fillId="8" borderId="18" xfId="0" applyNumberFormat="1" applyFill="1" applyBorder="1" applyAlignment="1">
      <alignment horizontal="center"/>
    </xf>
    <xf numFmtId="2" fontId="0" fillId="0" borderId="31" xfId="0" applyNumberFormat="1" applyBorder="1" applyAlignment="1">
      <alignment horizontal="center"/>
    </xf>
    <xf numFmtId="2" fontId="0" fillId="0" borderId="17" xfId="0" applyNumberFormat="1" applyBorder="1" applyAlignment="1">
      <alignment horizontal="center"/>
    </xf>
    <xf numFmtId="2" fontId="0" fillId="0" borderId="18" xfId="0" applyNumberFormat="1" applyBorder="1" applyAlignment="1">
      <alignment horizontal="center"/>
    </xf>
    <xf numFmtId="0" fontId="8" fillId="8" borderId="31" xfId="0" applyFont="1" applyFill="1" applyBorder="1" applyAlignment="1">
      <alignment horizontal="center"/>
    </xf>
    <xf numFmtId="0" fontId="0" fillId="8" borderId="17" xfId="0" applyFill="1" applyBorder="1" applyAlignment="1">
      <alignment horizontal="center"/>
    </xf>
    <xf numFmtId="0" fontId="0" fillId="8" borderId="2" xfId="0" applyFill="1" applyBorder="1" applyAlignment="1">
      <alignment horizontal="center"/>
    </xf>
    <xf numFmtId="0" fontId="8" fillId="0" borderId="17" xfId="0" applyFont="1" applyBorder="1" applyAlignment="1">
      <alignment horizontal="center"/>
    </xf>
    <xf numFmtId="0" fontId="0" fillId="0" borderId="19" xfId="0" applyBorder="1" applyAlignment="1">
      <alignment horizontal="center"/>
    </xf>
    <xf numFmtId="0" fontId="15" fillId="0" borderId="9" xfId="0" applyFont="1" applyBorder="1" applyAlignment="1">
      <alignment horizontal="center"/>
    </xf>
    <xf numFmtId="0" fontId="15" fillId="0" borderId="0" xfId="0" applyFont="1" applyAlignment="1">
      <alignment horizontal="center"/>
    </xf>
    <xf numFmtId="0" fontId="9" fillId="0" borderId="19" xfId="0" applyFont="1" applyBorder="1" applyAlignment="1">
      <alignment horizontal="center" wrapText="1" shrinkToFit="1"/>
    </xf>
    <xf numFmtId="0" fontId="9" fillId="0" borderId="17" xfId="0" applyFont="1" applyBorder="1" applyAlignment="1">
      <alignment horizontal="center" wrapText="1" shrinkToFit="1"/>
    </xf>
    <xf numFmtId="0" fontId="9" fillId="0" borderId="18" xfId="0" applyFont="1" applyBorder="1" applyAlignment="1">
      <alignment horizontal="center" wrapText="1" shrinkToFit="1"/>
    </xf>
    <xf numFmtId="0" fontId="8" fillId="0" borderId="13" xfId="0" applyFont="1" applyBorder="1" applyAlignment="1">
      <alignment horizontal="center"/>
    </xf>
    <xf numFmtId="0" fontId="8" fillId="0" borderId="49" xfId="0" applyFont="1" applyBorder="1" applyAlignment="1">
      <alignment horizontal="center"/>
    </xf>
    <xf numFmtId="0" fontId="8" fillId="0" borderId="50" xfId="0" applyFont="1" applyBorder="1" applyAlignment="1">
      <alignment horizontal="center"/>
    </xf>
    <xf numFmtId="0" fontId="23" fillId="0" borderId="8" xfId="0" applyFont="1" applyBorder="1" applyAlignment="1">
      <alignment horizontal="center" textRotation="90"/>
    </xf>
    <xf numFmtId="0" fontId="23" fillId="0" borderId="9" xfId="0" applyFont="1" applyBorder="1" applyAlignment="1">
      <alignment horizontal="center" textRotation="90"/>
    </xf>
    <xf numFmtId="0" fontId="23" fillId="0" borderId="24" xfId="0" applyFont="1" applyBorder="1" applyAlignment="1">
      <alignment horizontal="center" textRotation="90"/>
    </xf>
    <xf numFmtId="0" fontId="46" fillId="0" borderId="29" xfId="4" applyFont="1" applyBorder="1" applyAlignment="1">
      <alignment vertical="center"/>
    </xf>
    <xf numFmtId="0" fontId="0" fillId="0" borderId="21" xfId="0" applyBorder="1" applyAlignment="1">
      <alignment vertical="center"/>
    </xf>
    <xf numFmtId="0" fontId="9" fillId="0" borderId="29" xfId="4" applyFont="1" applyBorder="1" applyAlignment="1">
      <alignment horizontal="center" vertical="center"/>
    </xf>
    <xf numFmtId="0" fontId="0" fillId="0" borderId="21" xfId="0" applyBorder="1" applyAlignment="1">
      <alignment horizontal="center" vertical="center"/>
    </xf>
    <xf numFmtId="0" fontId="46" fillId="0" borderId="31" xfId="4" applyFont="1" applyBorder="1" applyAlignment="1">
      <alignment vertical="center"/>
    </xf>
    <xf numFmtId="0" fontId="0" fillId="0" borderId="17" xfId="0" applyBorder="1" applyAlignment="1">
      <alignment vertical="center"/>
    </xf>
    <xf numFmtId="166" fontId="10" fillId="10" borderId="31" xfId="0" applyNumberFormat="1" applyFont="1" applyFill="1" applyBorder="1" applyAlignment="1" applyProtection="1">
      <alignment horizontal="center" wrapText="1" shrinkToFit="1"/>
      <protection locked="0"/>
    </xf>
    <xf numFmtId="166" fontId="10" fillId="10" borderId="17" xfId="0" applyNumberFormat="1" applyFont="1" applyFill="1" applyBorder="1" applyAlignment="1" applyProtection="1">
      <alignment horizontal="center" wrapText="1" shrinkToFit="1"/>
      <protection locked="0"/>
    </xf>
    <xf numFmtId="166" fontId="10" fillId="10" borderId="18" xfId="0" applyNumberFormat="1" applyFont="1" applyFill="1" applyBorder="1" applyAlignment="1" applyProtection="1">
      <alignment horizontal="center" wrapText="1" shrinkToFit="1"/>
      <protection locked="0"/>
    </xf>
    <xf numFmtId="0" fontId="8" fillId="0" borderId="58" xfId="0" applyFont="1" applyBorder="1"/>
    <xf numFmtId="0" fontId="0" fillId="0" borderId="41" xfId="0" applyBorder="1"/>
    <xf numFmtId="0" fontId="14" fillId="0" borderId="19" xfId="0" applyFont="1" applyBorder="1" applyAlignment="1">
      <alignment horizontal="center"/>
    </xf>
    <xf numFmtId="0" fontId="14" fillId="0" borderId="17" xfId="0" applyFont="1" applyBorder="1" applyAlignment="1">
      <alignment horizontal="center"/>
    </xf>
    <xf numFmtId="0" fontId="14" fillId="0" borderId="18" xfId="0" applyFont="1" applyBorder="1" applyAlignment="1">
      <alignment horizontal="center"/>
    </xf>
    <xf numFmtId="0" fontId="10" fillId="0" borderId="16" xfId="0" applyFont="1" applyBorder="1" applyAlignment="1">
      <alignment horizontal="center"/>
    </xf>
    <xf numFmtId="0" fontId="10" fillId="0" borderId="26" xfId="0" applyFont="1" applyBorder="1"/>
    <xf numFmtId="0" fontId="10" fillId="0" borderId="27" xfId="0" applyFont="1" applyBorder="1"/>
    <xf numFmtId="0" fontId="12" fillId="0" borderId="44" xfId="0" applyFont="1" applyBorder="1" applyAlignment="1">
      <alignment horizontal="center"/>
    </xf>
    <xf numFmtId="0" fontId="12" fillId="0" borderId="45" xfId="0" applyFont="1" applyBorder="1" applyAlignment="1">
      <alignment horizontal="center"/>
    </xf>
    <xf numFmtId="0" fontId="12" fillId="0" borderId="46" xfId="0" applyFont="1" applyBorder="1" applyAlignment="1">
      <alignment horizontal="center"/>
    </xf>
    <xf numFmtId="0" fontId="0" fillId="4" borderId="2" xfId="0" applyFill="1" applyBorder="1" applyAlignment="1" applyProtection="1">
      <alignment horizontal="center"/>
      <protection locked="0"/>
    </xf>
    <xf numFmtId="0" fontId="0" fillId="0" borderId="1" xfId="0" applyBorder="1" applyAlignment="1">
      <alignment horizontal="center"/>
    </xf>
    <xf numFmtId="0" fontId="8" fillId="0" borderId="23" xfId="0" applyFont="1" applyBorder="1" applyAlignment="1">
      <alignment horizontal="center"/>
    </xf>
    <xf numFmtId="0" fontId="8" fillId="0" borderId="8"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3" xfId="0" applyFont="1" applyBorder="1" applyAlignment="1">
      <alignment horizontal="center"/>
    </xf>
    <xf numFmtId="0" fontId="9" fillId="0" borderId="31" xfId="4"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8" fillId="0" borderId="25" xfId="0" applyFont="1" applyBorder="1" applyAlignment="1">
      <alignment horizontal="center"/>
    </xf>
    <xf numFmtId="14" fontId="0" fillId="4" borderId="11" xfId="0" applyNumberFormat="1" applyFill="1" applyBorder="1" applyAlignment="1" applyProtection="1">
      <alignment horizontal="center"/>
      <protection locked="0"/>
    </xf>
    <xf numFmtId="0" fontId="0" fillId="4" borderId="11" xfId="0" applyFill="1" applyBorder="1" applyAlignment="1" applyProtection="1">
      <alignment horizontal="center"/>
      <protection locked="0"/>
    </xf>
    <xf numFmtId="0" fontId="16" fillId="0" borderId="11" xfId="0" applyFont="1" applyBorder="1" applyAlignment="1">
      <alignment horizontal="center"/>
    </xf>
    <xf numFmtId="0" fontId="13" fillId="0" borderId="0" xfId="0" applyFont="1" applyAlignment="1">
      <alignment horizontal="center"/>
    </xf>
    <xf numFmtId="0" fontId="0" fillId="4" borderId="17" xfId="0" applyFill="1" applyBorder="1" applyAlignment="1" applyProtection="1">
      <alignment horizontal="left"/>
      <protection locked="0"/>
    </xf>
    <xf numFmtId="49" fontId="0" fillId="0" borderId="11" xfId="0" applyNumberFormat="1" applyBorder="1" applyAlignment="1">
      <alignment horizontal="center"/>
    </xf>
    <xf numFmtId="0" fontId="8" fillId="0" borderId="29" xfId="0" applyFont="1" applyBorder="1" applyAlignment="1">
      <alignment horizontal="center"/>
    </xf>
    <xf numFmtId="0" fontId="8" fillId="0" borderId="19" xfId="0" applyFont="1" applyBorder="1" applyAlignment="1">
      <alignment horizontal="center" vertical="center" wrapText="1" shrinkToFit="1"/>
    </xf>
    <xf numFmtId="0" fontId="0" fillId="0" borderId="17" xfId="0" applyBorder="1" applyAlignment="1">
      <alignment horizontal="center" vertical="center" wrapText="1" shrinkToFit="1"/>
    </xf>
    <xf numFmtId="0" fontId="0" fillId="0" borderId="18" xfId="0" applyBorder="1" applyAlignment="1">
      <alignment horizontal="center" vertical="center" wrapText="1" shrinkToFit="1"/>
    </xf>
    <xf numFmtId="165" fontId="0" fillId="4" borderId="31" xfId="0" applyNumberFormat="1" applyFill="1" applyBorder="1" applyAlignment="1" applyProtection="1">
      <alignment horizontal="center"/>
      <protection locked="0"/>
    </xf>
    <xf numFmtId="165" fontId="0" fillId="4" borderId="17" xfId="0" applyNumberFormat="1" applyFill="1" applyBorder="1" applyAlignment="1" applyProtection="1">
      <alignment horizontal="center"/>
      <protection locked="0"/>
    </xf>
    <xf numFmtId="165" fontId="0" fillId="4" borderId="18" xfId="0" applyNumberFormat="1" applyFill="1" applyBorder="1" applyAlignment="1" applyProtection="1">
      <alignment horizontal="center"/>
      <protection locked="0"/>
    </xf>
    <xf numFmtId="166" fontId="0" fillId="0" borderId="31" xfId="0" applyNumberFormat="1" applyBorder="1" applyAlignment="1">
      <alignment horizontal="center"/>
    </xf>
    <xf numFmtId="166" fontId="0" fillId="0" borderId="17" xfId="0" applyNumberFormat="1" applyBorder="1" applyAlignment="1">
      <alignment horizontal="center"/>
    </xf>
    <xf numFmtId="166" fontId="0" fillId="0" borderId="18" xfId="0" applyNumberFormat="1" applyBorder="1" applyAlignment="1">
      <alignment horizontal="center"/>
    </xf>
    <xf numFmtId="0" fontId="8" fillId="4" borderId="40" xfId="0" applyFont="1" applyFill="1" applyBorder="1" applyAlignment="1" applyProtection="1">
      <alignment horizontal="center"/>
      <protection locked="0"/>
    </xf>
    <xf numFmtId="0" fontId="8" fillId="4" borderId="31" xfId="0" applyFont="1" applyFill="1" applyBorder="1" applyAlignment="1" applyProtection="1">
      <alignment horizontal="center"/>
      <protection locked="0"/>
    </xf>
    <xf numFmtId="0" fontId="8" fillId="4" borderId="43" xfId="0" applyFont="1" applyFill="1" applyBorder="1" applyAlignment="1" applyProtection="1">
      <alignment horizontal="center"/>
      <protection locked="0"/>
    </xf>
    <xf numFmtId="0" fontId="0" fillId="4" borderId="47" xfId="0" applyFill="1" applyBorder="1" applyAlignment="1" applyProtection="1">
      <alignment horizontal="center"/>
      <protection locked="0"/>
    </xf>
    <xf numFmtId="0" fontId="8" fillId="4" borderId="41" xfId="0" applyFont="1" applyFill="1" applyBorder="1" applyAlignment="1" applyProtection="1">
      <alignment horizontal="center"/>
      <protection locked="0"/>
    </xf>
    <xf numFmtId="0" fontId="8" fillId="4" borderId="24" xfId="0" applyFont="1" applyFill="1" applyBorder="1" applyAlignment="1" applyProtection="1">
      <alignment horizontal="center"/>
      <protection locked="0"/>
    </xf>
    <xf numFmtId="0" fontId="8" fillId="4" borderId="11" xfId="0" applyFont="1" applyFill="1" applyBorder="1" applyAlignment="1" applyProtection="1">
      <alignment horizontal="center"/>
      <protection locked="0"/>
    </xf>
    <xf numFmtId="0" fontId="8" fillId="4" borderId="12" xfId="0" applyFont="1"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8" fillId="4" borderId="19" xfId="0" applyFont="1" applyFill="1" applyBorder="1" applyAlignment="1" applyProtection="1">
      <alignment horizontal="center"/>
      <protection locked="0"/>
    </xf>
    <xf numFmtId="0" fontId="8" fillId="4" borderId="17" xfId="0" applyFont="1" applyFill="1" applyBorder="1" applyAlignment="1" applyProtection="1">
      <alignment horizontal="center"/>
      <protection locked="0"/>
    </xf>
    <xf numFmtId="0" fontId="8" fillId="4" borderId="18" xfId="0" applyFont="1" applyFill="1" applyBorder="1" applyAlignment="1" applyProtection="1">
      <alignment horizontal="center"/>
      <protection locked="0"/>
    </xf>
    <xf numFmtId="0" fontId="8" fillId="4" borderId="20" xfId="0" applyFont="1" applyFill="1" applyBorder="1" applyAlignment="1" applyProtection="1">
      <alignment horizontal="center"/>
      <protection locked="0"/>
    </xf>
    <xf numFmtId="0" fontId="8" fillId="4" borderId="21" xfId="0" applyFont="1" applyFill="1" applyBorder="1" applyAlignment="1" applyProtection="1">
      <alignment horizontal="center"/>
      <protection locked="0"/>
    </xf>
    <xf numFmtId="0" fontId="8" fillId="4" borderId="22" xfId="0" applyFont="1" applyFill="1" applyBorder="1" applyAlignment="1" applyProtection="1">
      <alignment horizontal="center"/>
      <protection locked="0"/>
    </xf>
    <xf numFmtId="1" fontId="0" fillId="0" borderId="33" xfId="0" applyNumberFormat="1" applyBorder="1" applyAlignment="1">
      <alignment horizontal="center" vertical="center" wrapText="1" shrinkToFit="1"/>
    </xf>
    <xf numFmtId="1" fontId="0" fillId="0" borderId="26" xfId="0" applyNumberFormat="1" applyBorder="1" applyAlignment="1">
      <alignment horizontal="center" vertical="center" wrapText="1" shrinkToFit="1"/>
    </xf>
    <xf numFmtId="1" fontId="0" fillId="0" borderId="34" xfId="0" applyNumberFormat="1" applyBorder="1" applyAlignment="1">
      <alignment horizontal="center" vertical="center" wrapText="1" shrinkToFit="1"/>
    </xf>
    <xf numFmtId="0" fontId="0" fillId="0" borderId="35" xfId="0" applyBorder="1" applyAlignment="1">
      <alignment horizontal="center" vertical="center" wrapText="1" shrinkToFit="1"/>
    </xf>
    <xf numFmtId="0" fontId="0" fillId="0" borderId="36" xfId="0" applyBorder="1" applyAlignment="1">
      <alignment horizontal="center" vertical="center" wrapText="1" shrinkToFit="1"/>
    </xf>
    <xf numFmtId="0" fontId="0" fillId="0" borderId="37" xfId="0" applyBorder="1" applyAlignment="1">
      <alignment horizontal="center" vertical="center" wrapText="1" shrinkToFit="1"/>
    </xf>
    <xf numFmtId="1" fontId="0" fillId="0" borderId="6" xfId="0" applyNumberFormat="1" applyBorder="1" applyAlignment="1">
      <alignment horizontal="center"/>
    </xf>
    <xf numFmtId="1" fontId="0" fillId="0" borderId="0" xfId="0" applyNumberFormat="1" applyAlignment="1">
      <alignment horizontal="center"/>
    </xf>
    <xf numFmtId="1" fontId="0" fillId="0" borderId="7" xfId="0" applyNumberFormat="1" applyBorder="1" applyAlignment="1">
      <alignment horizontal="center"/>
    </xf>
    <xf numFmtId="1" fontId="0" fillId="0" borderId="35" xfId="0" applyNumberFormat="1" applyBorder="1" applyAlignment="1">
      <alignment horizontal="center"/>
    </xf>
    <xf numFmtId="1" fontId="0" fillId="0" borderId="36" xfId="0" applyNumberFormat="1" applyBorder="1" applyAlignment="1">
      <alignment horizontal="center"/>
    </xf>
    <xf numFmtId="1" fontId="0" fillId="0" borderId="37" xfId="0" applyNumberFormat="1" applyBorder="1" applyAlignment="1">
      <alignment horizontal="center"/>
    </xf>
    <xf numFmtId="0" fontId="8" fillId="4" borderId="10" xfId="0" applyFont="1" applyFill="1" applyBorder="1" applyAlignment="1" applyProtection="1">
      <alignment horizontal="center"/>
      <protection locked="0"/>
    </xf>
    <xf numFmtId="0" fontId="8" fillId="4" borderId="11" xfId="0" applyFont="1" applyFill="1" applyBorder="1" applyAlignment="1" applyProtection="1">
      <alignment horizontal="left"/>
      <protection locked="0"/>
    </xf>
    <xf numFmtId="0" fontId="0" fillId="4" borderId="48" xfId="0" applyFill="1" applyBorder="1" applyAlignment="1" applyProtection="1">
      <alignment horizontal="left"/>
      <protection locked="0"/>
    </xf>
    <xf numFmtId="0" fontId="8" fillId="0" borderId="48" xfId="0" applyFont="1" applyBorder="1" applyAlignment="1">
      <alignment horizontal="center"/>
    </xf>
    <xf numFmtId="0" fontId="0" fillId="0" borderId="48" xfId="0" applyBorder="1" applyAlignment="1">
      <alignment horizontal="center"/>
    </xf>
    <xf numFmtId="0" fontId="8" fillId="0" borderId="0" xfId="0" applyFont="1" applyAlignment="1" applyProtection="1">
      <alignment horizontal="left" vertical="top"/>
      <protection hidden="1"/>
    </xf>
    <xf numFmtId="0" fontId="0" fillId="0" borderId="0" xfId="0" applyAlignment="1" applyProtection="1">
      <alignment horizontal="center"/>
      <protection hidden="1"/>
    </xf>
    <xf numFmtId="0" fontId="0" fillId="0" borderId="0" xfId="0"/>
    <xf numFmtId="0" fontId="12" fillId="0" borderId="24" xfId="0" applyFont="1" applyBorder="1" applyAlignment="1">
      <alignment horizontal="center"/>
    </xf>
    <xf numFmtId="0" fontId="12" fillId="0" borderId="11" xfId="0" applyFont="1" applyBorder="1" applyAlignment="1">
      <alignment horizontal="center"/>
    </xf>
    <xf numFmtId="0" fontId="0" fillId="0" borderId="11" xfId="0" applyBorder="1"/>
    <xf numFmtId="0" fontId="0" fillId="0" borderId="2" xfId="0" applyBorder="1" applyAlignment="1" applyProtection="1">
      <alignment horizontal="center"/>
      <protection locked="0"/>
    </xf>
    <xf numFmtId="1" fontId="8" fillId="4" borderId="31" xfId="0" applyNumberFormat="1" applyFont="1" applyFill="1" applyBorder="1" applyAlignment="1" applyProtection="1">
      <alignment horizontal="center"/>
      <protection locked="0"/>
    </xf>
    <xf numFmtId="0" fontId="8" fillId="0" borderId="28" xfId="0" applyFont="1" applyBorder="1" applyAlignment="1">
      <alignment horizontal="center"/>
    </xf>
    <xf numFmtId="1" fontId="0" fillId="0" borderId="23" xfId="0" applyNumberFormat="1" applyBorder="1" applyAlignment="1">
      <alignment horizontal="center" vertical="center"/>
    </xf>
    <xf numFmtId="1" fontId="0" fillId="0" borderId="39" xfId="0" applyNumberFormat="1" applyBorder="1" applyAlignment="1">
      <alignment horizontal="center" vertical="center"/>
    </xf>
    <xf numFmtId="0" fontId="0" fillId="0" borderId="19" xfId="0" applyBorder="1" applyAlignment="1">
      <alignment horizontal="center" vertical="center"/>
    </xf>
    <xf numFmtId="0" fontId="8" fillId="0" borderId="24"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2" fontId="0" fillId="0" borderId="31" xfId="0" applyNumberFormat="1" applyBorder="1" applyAlignment="1">
      <alignment horizontal="center" vertical="center"/>
    </xf>
    <xf numFmtId="2" fontId="0" fillId="0" borderId="17" xfId="0" applyNumberFormat="1" applyBorder="1" applyAlignment="1">
      <alignment horizontal="center" vertical="center"/>
    </xf>
    <xf numFmtId="174" fontId="8" fillId="0" borderId="23" xfId="0" applyNumberFormat="1" applyFont="1" applyBorder="1" applyAlignment="1">
      <alignment horizontal="center" vertical="center"/>
    </xf>
    <xf numFmtId="174" fontId="0" fillId="0" borderId="23" xfId="0" applyNumberFormat="1" applyBorder="1" applyAlignment="1">
      <alignment horizontal="center" vertical="center"/>
    </xf>
    <xf numFmtId="174" fontId="0" fillId="0" borderId="39" xfId="0" applyNumberFormat="1" applyBorder="1" applyAlignment="1">
      <alignment horizontal="center" vertical="center"/>
    </xf>
    <xf numFmtId="165" fontId="0" fillId="0" borderId="25" xfId="0" applyNumberFormat="1" applyBorder="1" applyAlignment="1">
      <alignment horizontal="center" vertical="center"/>
    </xf>
    <xf numFmtId="165" fontId="0" fillId="0" borderId="32" xfId="0" applyNumberFormat="1" applyBorder="1" applyAlignment="1">
      <alignment horizontal="center" vertical="center"/>
    </xf>
    <xf numFmtId="164" fontId="0" fillId="13" borderId="17" xfId="0" applyNumberFormat="1" applyFill="1" applyBorder="1" applyAlignment="1" applyProtection="1">
      <alignment horizontal="center"/>
      <protection locked="0"/>
    </xf>
    <xf numFmtId="164" fontId="0" fillId="13" borderId="18" xfId="0" applyNumberFormat="1" applyFill="1" applyBorder="1" applyAlignment="1" applyProtection="1">
      <alignment horizontal="center"/>
      <protection locked="0"/>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165" fontId="0" fillId="13" borderId="31" xfId="0" applyNumberFormat="1" applyFill="1" applyBorder="1" applyAlignment="1" applyProtection="1">
      <alignment horizontal="center"/>
      <protection locked="0"/>
    </xf>
    <xf numFmtId="165" fontId="0" fillId="13" borderId="17" xfId="0" applyNumberFormat="1" applyFill="1" applyBorder="1" applyAlignment="1" applyProtection="1">
      <alignment horizontal="center"/>
      <protection locked="0"/>
    </xf>
    <xf numFmtId="165" fontId="0" fillId="13" borderId="18" xfId="0" applyNumberFormat="1" applyFill="1" applyBorder="1" applyAlignment="1" applyProtection="1">
      <alignment horizontal="center"/>
      <protection locked="0"/>
    </xf>
    <xf numFmtId="0" fontId="0" fillId="0" borderId="51" xfId="0" applyBorder="1" applyAlignment="1">
      <alignment horizontal="center" vertical="center"/>
    </xf>
    <xf numFmtId="0" fontId="8" fillId="0" borderId="19" xfId="0" applyFont="1" applyBorder="1" applyAlignment="1">
      <alignment horizontal="center" vertical="center"/>
    </xf>
    <xf numFmtId="165" fontId="8" fillId="6" borderId="0" xfId="0" applyNumberFormat="1" applyFont="1" applyFill="1" applyAlignment="1">
      <alignment horizontal="center" vertical="center" wrapText="1" shrinkToFit="1"/>
    </xf>
    <xf numFmtId="1" fontId="52" fillId="14" borderId="91" xfId="0" applyNumberFormat="1" applyFont="1" applyFill="1" applyBorder="1" applyAlignment="1" applyProtection="1">
      <alignment horizontal="center"/>
      <protection locked="0"/>
    </xf>
    <xf numFmtId="1" fontId="52" fillId="14" borderId="92" xfId="0" applyNumberFormat="1" applyFont="1" applyFill="1" applyBorder="1" applyAlignment="1" applyProtection="1">
      <alignment horizontal="center"/>
      <protection locked="0"/>
    </xf>
    <xf numFmtId="1" fontId="52" fillId="14" borderId="93" xfId="0" applyNumberFormat="1" applyFont="1" applyFill="1" applyBorder="1" applyAlignment="1" applyProtection="1">
      <alignment horizontal="center"/>
      <protection locked="0"/>
    </xf>
    <xf numFmtId="164" fontId="52" fillId="14" borderId="92" xfId="0" applyNumberFormat="1" applyFont="1" applyFill="1" applyBorder="1" applyAlignment="1" applyProtection="1">
      <alignment horizontal="center"/>
      <protection locked="0"/>
    </xf>
    <xf numFmtId="164" fontId="52" fillId="14" borderId="93" xfId="0" applyNumberFormat="1" applyFont="1" applyFill="1" applyBorder="1" applyAlignment="1" applyProtection="1">
      <alignment horizontal="center"/>
      <protection locked="0"/>
    </xf>
    <xf numFmtId="164" fontId="8" fillId="13" borderId="17" xfId="0" applyNumberFormat="1" applyFont="1" applyFill="1" applyBorder="1" applyAlignment="1" applyProtection="1">
      <alignment horizontal="center"/>
      <protection locked="0"/>
    </xf>
    <xf numFmtId="164" fontId="8" fillId="13" borderId="18" xfId="0" applyNumberFormat="1" applyFont="1" applyFill="1" applyBorder="1" applyAlignment="1" applyProtection="1">
      <alignment horizontal="center"/>
      <protection locked="0"/>
    </xf>
    <xf numFmtId="0" fontId="0" fillId="0" borderId="40" xfId="0" applyBorder="1" applyAlignment="1">
      <alignment horizontal="center" vertical="center"/>
    </xf>
    <xf numFmtId="0" fontId="0" fillId="0" borderId="23" xfId="0" applyBorder="1" applyAlignment="1">
      <alignment horizontal="center" vertical="center"/>
    </xf>
    <xf numFmtId="164" fontId="0" fillId="4" borderId="31" xfId="0" applyNumberFormat="1" applyFill="1" applyBorder="1" applyAlignment="1" applyProtection="1">
      <alignment horizontal="center" vertical="center"/>
      <protection locked="0"/>
    </xf>
    <xf numFmtId="164" fontId="0" fillId="4" borderId="17" xfId="0" applyNumberFormat="1" applyFill="1" applyBorder="1" applyAlignment="1" applyProtection="1">
      <alignment horizontal="center" vertical="center"/>
      <protection locked="0"/>
    </xf>
    <xf numFmtId="164" fontId="0" fillId="4" borderId="18" xfId="0" applyNumberFormat="1" applyFill="1" applyBorder="1" applyAlignment="1" applyProtection="1">
      <alignment horizontal="center" vertical="center"/>
      <protection locked="0"/>
    </xf>
    <xf numFmtId="1" fontId="0" fillId="4" borderId="31" xfId="0" applyNumberFormat="1" applyFill="1" applyBorder="1" applyAlignment="1" applyProtection="1">
      <alignment horizontal="center" vertical="center"/>
      <protection locked="0"/>
    </xf>
    <xf numFmtId="1" fontId="0" fillId="4" borderId="17" xfId="0" applyNumberFormat="1" applyFill="1" applyBorder="1" applyAlignment="1" applyProtection="1">
      <alignment horizontal="center" vertical="center"/>
      <protection locked="0"/>
    </xf>
    <xf numFmtId="1" fontId="0" fillId="4" borderId="18" xfId="0" applyNumberFormat="1" applyFill="1" applyBorder="1" applyAlignment="1" applyProtection="1">
      <alignment horizontal="center" vertical="center"/>
      <protection locked="0"/>
    </xf>
    <xf numFmtId="49" fontId="31" fillId="0" borderId="58" xfId="0" applyNumberFormat="1" applyFont="1" applyBorder="1" applyAlignment="1">
      <alignment horizontal="center" vertical="center" textRotation="90"/>
    </xf>
    <xf numFmtId="49" fontId="31" fillId="0" borderId="59" xfId="0" applyNumberFormat="1" applyFont="1" applyBorder="1" applyAlignment="1">
      <alignment horizontal="center" vertical="center" textRotation="90"/>
    </xf>
    <xf numFmtId="49" fontId="31" fillId="0" borderId="41" xfId="0" applyNumberFormat="1" applyFont="1" applyBorder="1" applyAlignment="1">
      <alignment horizontal="center" vertical="center" textRotation="90"/>
    </xf>
    <xf numFmtId="0" fontId="8" fillId="4" borderId="49" xfId="0" applyFont="1" applyFill="1" applyBorder="1" applyAlignment="1" applyProtection="1">
      <alignment horizontal="left" shrinkToFit="1"/>
      <protection locked="0"/>
    </xf>
    <xf numFmtId="0" fontId="0" fillId="4" borderId="49" xfId="0" applyFill="1" applyBorder="1" applyAlignment="1" applyProtection="1">
      <alignment horizontal="left" shrinkToFit="1"/>
      <protection locked="0"/>
    </xf>
    <xf numFmtId="0" fontId="0" fillId="4" borderId="50" xfId="0" applyFill="1" applyBorder="1" applyAlignment="1" applyProtection="1">
      <alignment horizontal="left" shrinkToFit="1"/>
      <protection locked="0"/>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8" fillId="0" borderId="0" xfId="0" applyFont="1" applyAlignment="1">
      <alignment horizontal="right" wrapText="1" shrinkToFit="1"/>
    </xf>
    <xf numFmtId="14" fontId="0" fillId="0" borderId="11" xfId="0" applyNumberFormat="1" applyBorder="1" applyAlignment="1">
      <alignment horizontal="center"/>
    </xf>
    <xf numFmtId="0" fontId="10" fillId="0" borderId="29" xfId="0" applyFont="1" applyBorder="1" applyAlignment="1">
      <alignment horizontal="center" vertical="center"/>
    </xf>
    <xf numFmtId="0" fontId="10" fillId="0" borderId="21" xfId="0" applyFont="1" applyBorder="1" applyAlignment="1">
      <alignment horizontal="center" vertical="center"/>
    </xf>
    <xf numFmtId="0" fontId="10" fillId="0" borderId="30" xfId="0" applyFont="1" applyBorder="1" applyAlignment="1">
      <alignment horizontal="center" vertical="center"/>
    </xf>
    <xf numFmtId="0" fontId="8" fillId="4" borderId="36" xfId="0" applyFont="1" applyFill="1" applyBorder="1" applyAlignment="1" applyProtection="1">
      <alignment horizontal="left" shrinkToFit="1"/>
      <protection locked="0"/>
    </xf>
    <xf numFmtId="0" fontId="8" fillId="4" borderId="36" xfId="0" applyFont="1" applyFill="1" applyBorder="1" applyAlignment="1" applyProtection="1">
      <alignment horizontal="left"/>
      <protection locked="0"/>
    </xf>
    <xf numFmtId="0" fontId="0" fillId="4" borderId="36" xfId="0" applyFill="1" applyBorder="1" applyAlignment="1" applyProtection="1">
      <alignment horizontal="left"/>
      <protection locked="0"/>
    </xf>
    <xf numFmtId="0" fontId="9" fillId="6" borderId="13" xfId="0" applyFont="1" applyFill="1" applyBorder="1"/>
    <xf numFmtId="0" fontId="0" fillId="6" borderId="49" xfId="0" applyFill="1" applyBorder="1"/>
    <xf numFmtId="0" fontId="0" fillId="6" borderId="50" xfId="0" applyFill="1" applyBorder="1"/>
    <xf numFmtId="0" fontId="8" fillId="4" borderId="49" xfId="0" applyFont="1" applyFill="1" applyBorder="1" applyAlignment="1" applyProtection="1">
      <alignment horizontal="left"/>
      <protection locked="0"/>
    </xf>
    <xf numFmtId="0" fontId="0" fillId="4" borderId="49" xfId="0" applyFill="1" applyBorder="1" applyAlignment="1" applyProtection="1">
      <alignment horizontal="left"/>
      <protection locked="0"/>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52" fillId="14" borderId="36" xfId="0" applyFont="1" applyFill="1" applyBorder="1" applyAlignment="1" applyProtection="1">
      <alignment horizontal="left"/>
      <protection locked="0"/>
    </xf>
    <xf numFmtId="0" fontId="0" fillId="13" borderId="36" xfId="0" applyFill="1" applyBorder="1" applyAlignment="1" applyProtection="1">
      <alignment horizontal="left"/>
      <protection locked="0"/>
    </xf>
    <xf numFmtId="0" fontId="52" fillId="14" borderId="11" xfId="0" applyFont="1" applyFill="1" applyBorder="1" applyAlignment="1" applyProtection="1">
      <alignment horizontal="center"/>
      <protection locked="0"/>
    </xf>
    <xf numFmtId="14" fontId="52" fillId="14" borderId="11" xfId="0" applyNumberFormat="1" applyFont="1" applyFill="1" applyBorder="1" applyAlignment="1" applyProtection="1">
      <alignment horizontal="center"/>
      <protection locked="0"/>
    </xf>
    <xf numFmtId="1" fontId="0" fillId="0" borderId="31" xfId="0" applyNumberFormat="1" applyBorder="1" applyAlignment="1">
      <alignment horizontal="center" vertical="center"/>
    </xf>
    <xf numFmtId="1" fontId="0" fillId="0" borderId="17" xfId="0" applyNumberFormat="1" applyBorder="1" applyAlignment="1">
      <alignment horizontal="center" vertical="center"/>
    </xf>
    <xf numFmtId="1" fontId="0" fillId="0" borderId="18" xfId="0" applyNumberForma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165" fontId="8" fillId="0" borderId="29" xfId="0" applyNumberFormat="1" applyFont="1" applyBorder="1" applyAlignment="1">
      <alignment horizontal="center" vertical="center"/>
    </xf>
    <xf numFmtId="165" fontId="8" fillId="0" borderId="21" xfId="0" applyNumberFormat="1" applyFont="1" applyBorder="1" applyAlignment="1">
      <alignment horizontal="center" vertical="center"/>
    </xf>
    <xf numFmtId="165" fontId="8" fillId="0" borderId="30" xfId="0" applyNumberFormat="1" applyFont="1" applyBorder="1" applyAlignment="1">
      <alignment horizontal="center" vertical="center"/>
    </xf>
    <xf numFmtId="1" fontId="0" fillId="0" borderId="31" xfId="0" applyNumberFormat="1" applyBorder="1" applyAlignment="1" applyProtection="1">
      <alignment horizontal="center" vertical="center"/>
      <protection locked="0"/>
    </xf>
    <xf numFmtId="1" fontId="0" fillId="0" borderId="17" xfId="0" applyNumberFormat="1" applyBorder="1" applyAlignment="1" applyProtection="1">
      <alignment horizontal="center" vertical="center"/>
      <protection locked="0"/>
    </xf>
    <xf numFmtId="1" fontId="0" fillId="0" borderId="18" xfId="0" applyNumberFormat="1" applyBorder="1" applyAlignment="1" applyProtection="1">
      <alignment horizontal="center" vertical="center"/>
      <protection locked="0"/>
    </xf>
    <xf numFmtId="1" fontId="0" fillId="13" borderId="31" xfId="0" applyNumberFormat="1" applyFill="1" applyBorder="1" applyAlignment="1" applyProtection="1">
      <alignment horizontal="center"/>
      <protection locked="0"/>
    </xf>
    <xf numFmtId="1" fontId="0" fillId="13" borderId="17" xfId="0" applyNumberFormat="1" applyFill="1" applyBorder="1" applyAlignment="1" applyProtection="1">
      <alignment horizontal="center"/>
      <protection locked="0"/>
    </xf>
    <xf numFmtId="1" fontId="0" fillId="13" borderId="87" xfId="0" applyNumberFormat="1" applyFill="1" applyBorder="1" applyAlignment="1" applyProtection="1">
      <alignment horizontal="center"/>
      <protection locked="0"/>
    </xf>
    <xf numFmtId="164" fontId="0" fillId="0" borderId="23" xfId="0" applyNumberFormat="1" applyBorder="1" applyAlignment="1">
      <alignment horizontal="center" vertical="center"/>
    </xf>
    <xf numFmtId="2" fontId="0" fillId="0" borderId="23" xfId="0" applyNumberFormat="1" applyBorder="1" applyAlignment="1">
      <alignment horizontal="center" vertical="center"/>
    </xf>
    <xf numFmtId="2" fontId="0" fillId="0" borderId="39" xfId="0" applyNumberFormat="1" applyBorder="1" applyAlignment="1">
      <alignment horizontal="center" vertical="center"/>
    </xf>
    <xf numFmtId="2" fontId="8" fillId="13" borderId="13" xfId="0" applyNumberFormat="1" applyFont="1" applyFill="1" applyBorder="1" applyAlignment="1" applyProtection="1">
      <alignment horizontal="center"/>
      <protection locked="0"/>
    </xf>
    <xf numFmtId="2" fontId="8" fillId="13" borderId="49" xfId="0" applyNumberFormat="1" applyFont="1" applyFill="1" applyBorder="1" applyAlignment="1" applyProtection="1">
      <alignment horizontal="center"/>
      <protection locked="0"/>
    </xf>
    <xf numFmtId="2" fontId="8" fillId="13" borderId="50" xfId="0" applyNumberFormat="1" applyFont="1" applyFill="1" applyBorder="1" applyAlignment="1" applyProtection="1">
      <alignment horizontal="center"/>
      <protection locked="0"/>
    </xf>
    <xf numFmtId="165" fontId="0" fillId="0" borderId="23" xfId="0" applyNumberFormat="1" applyBorder="1" applyAlignment="1">
      <alignment horizontal="center" vertical="center"/>
    </xf>
    <xf numFmtId="165" fontId="0" fillId="0" borderId="39" xfId="0" applyNumberFormat="1" applyBorder="1" applyAlignment="1">
      <alignment horizontal="center" vertical="center"/>
    </xf>
    <xf numFmtId="0" fontId="8" fillId="0" borderId="40" xfId="0" applyFont="1" applyBorder="1" applyAlignment="1">
      <alignment horizontal="center" vertical="center"/>
    </xf>
    <xf numFmtId="2" fontId="0" fillId="0" borderId="31" xfId="0" applyNumberFormat="1" applyBorder="1" applyAlignment="1">
      <alignment horizontal="center" vertical="center" wrapText="1" shrinkToFit="1"/>
    </xf>
    <xf numFmtId="0" fontId="0" fillId="0" borderId="2" xfId="0" applyBorder="1" applyAlignment="1">
      <alignment horizontal="center" vertical="center" wrapText="1" shrinkToFit="1"/>
    </xf>
    <xf numFmtId="0" fontId="0" fillId="0" borderId="41" xfId="0" applyBorder="1" applyAlignment="1">
      <alignment horizontal="center" vertical="center"/>
    </xf>
    <xf numFmtId="0" fontId="0" fillId="0" borderId="25" xfId="0" applyBorder="1" applyAlignment="1">
      <alignment horizontal="center" vertical="center"/>
    </xf>
    <xf numFmtId="165" fontId="0" fillId="0" borderId="31" xfId="0" applyNumberFormat="1" applyBorder="1" applyAlignment="1">
      <alignment horizontal="center" vertical="center"/>
    </xf>
    <xf numFmtId="165" fontId="0" fillId="0" borderId="17" xfId="0" applyNumberFormat="1" applyBorder="1" applyAlignment="1">
      <alignment horizontal="center" vertical="center"/>
    </xf>
    <xf numFmtId="165" fontId="0" fillId="0" borderId="2" xfId="0" applyNumberFormat="1" applyBorder="1" applyAlignment="1">
      <alignment horizontal="center" vertical="center"/>
    </xf>
    <xf numFmtId="165" fontId="8" fillId="0" borderId="31" xfId="0" applyNumberFormat="1" applyFont="1" applyBorder="1" applyAlignment="1">
      <alignment horizontal="center" vertical="center"/>
    </xf>
    <xf numFmtId="165" fontId="8" fillId="0" borderId="17" xfId="0" applyNumberFormat="1" applyFont="1" applyBorder="1" applyAlignment="1">
      <alignment horizontal="center" vertical="center"/>
    </xf>
    <xf numFmtId="165" fontId="8" fillId="0" borderId="2" xfId="0" applyNumberFormat="1" applyFont="1" applyBorder="1" applyAlignment="1">
      <alignment horizontal="center" vertical="center"/>
    </xf>
    <xf numFmtId="2" fontId="52" fillId="14" borderId="92" xfId="0" applyNumberFormat="1" applyFont="1" applyFill="1" applyBorder="1" applyAlignment="1" applyProtection="1">
      <alignment horizontal="center"/>
      <protection locked="0"/>
    </xf>
    <xf numFmtId="2" fontId="52" fillId="14" borderId="93" xfId="0" applyNumberFormat="1" applyFont="1" applyFill="1" applyBorder="1" applyAlignment="1" applyProtection="1">
      <alignment horizontal="center"/>
      <protection locked="0"/>
    </xf>
    <xf numFmtId="2" fontId="0" fillId="4" borderId="17" xfId="0" applyNumberFormat="1" applyFill="1" applyBorder="1" applyAlignment="1" applyProtection="1">
      <alignment horizontal="center" vertical="center"/>
      <protection locked="0"/>
    </xf>
    <xf numFmtId="0" fontId="0" fillId="0" borderId="41" xfId="0" applyBorder="1" applyAlignment="1">
      <alignment horizontal="center"/>
    </xf>
    <xf numFmtId="0" fontId="0" fillId="4" borderId="23" xfId="0" applyFill="1" applyBorder="1" applyAlignment="1" applyProtection="1">
      <alignment horizontal="center" vertical="center"/>
      <protection locked="0"/>
    </xf>
    <xf numFmtId="0" fontId="0" fillId="4" borderId="43" xfId="0" applyFill="1" applyBorder="1" applyAlignment="1" applyProtection="1">
      <alignment horizontal="center" vertical="center"/>
      <protection locked="0"/>
    </xf>
    <xf numFmtId="0" fontId="9" fillId="18" borderId="25" xfId="0" applyFont="1" applyFill="1" applyBorder="1" applyAlignment="1">
      <alignment horizontal="center"/>
    </xf>
    <xf numFmtId="0" fontId="9" fillId="18" borderId="109" xfId="0" applyFont="1" applyFill="1" applyBorder="1" applyAlignment="1">
      <alignment horizontal="center"/>
    </xf>
    <xf numFmtId="0" fontId="9" fillId="18" borderId="45" xfId="0" applyFont="1" applyFill="1" applyBorder="1" applyAlignment="1">
      <alignment horizontal="center"/>
    </xf>
    <xf numFmtId="0" fontId="9" fillId="18" borderId="110" xfId="0" applyFont="1" applyFill="1" applyBorder="1" applyAlignment="1">
      <alignment horizontal="center"/>
    </xf>
    <xf numFmtId="0" fontId="8" fillId="0" borderId="23" xfId="0" applyFont="1" applyBorder="1" applyAlignment="1" applyProtection="1">
      <alignment horizontal="center"/>
      <protection hidden="1"/>
    </xf>
    <xf numFmtId="0" fontId="8" fillId="0" borderId="39" xfId="0" applyFont="1" applyBorder="1" applyAlignment="1" applyProtection="1">
      <alignment horizontal="center"/>
      <protection hidden="1"/>
    </xf>
    <xf numFmtId="0" fontId="52" fillId="14" borderId="25" xfId="0" applyFont="1" applyFill="1" applyBorder="1" applyAlignment="1" applyProtection="1">
      <alignment horizontal="center"/>
      <protection locked="0"/>
    </xf>
    <xf numFmtId="0" fontId="52" fillId="14" borderId="23" xfId="0" applyFont="1" applyFill="1" applyBorder="1" applyAlignment="1" applyProtection="1">
      <alignment horizontal="center"/>
      <protection locked="0"/>
    </xf>
    <xf numFmtId="0" fontId="0" fillId="0" borderId="40" xfId="0" applyBorder="1" applyAlignment="1">
      <alignment horizontal="center"/>
    </xf>
    <xf numFmtId="0" fontId="8" fillId="0" borderId="16" xfId="0" applyFont="1" applyBorder="1" applyAlignment="1">
      <alignment horizontal="center" wrapText="1" shrinkToFit="1"/>
    </xf>
    <xf numFmtId="0" fontId="8" fillId="0" borderId="26" xfId="0" applyFont="1" applyBorder="1" applyAlignment="1">
      <alignment horizontal="center" wrapText="1" shrinkToFit="1"/>
    </xf>
    <xf numFmtId="0" fontId="8" fillId="0" borderId="27" xfId="0" applyFont="1" applyBorder="1" applyAlignment="1">
      <alignment horizontal="center" wrapText="1" shrinkToFit="1"/>
    </xf>
    <xf numFmtId="0" fontId="14" fillId="0" borderId="23" xfId="0" applyFont="1" applyBorder="1" applyAlignment="1">
      <alignment horizontal="center"/>
    </xf>
    <xf numFmtId="0" fontId="8" fillId="0" borderId="40" xfId="0" applyFont="1" applyBorder="1" applyAlignment="1">
      <alignment horizontal="center"/>
    </xf>
    <xf numFmtId="0" fontId="0" fillId="0" borderId="23" xfId="0" applyBorder="1"/>
    <xf numFmtId="0" fontId="0" fillId="0" borderId="39" xfId="0" applyBorder="1"/>
    <xf numFmtId="0" fontId="0" fillId="0" borderId="39" xfId="0" applyBorder="1" applyAlignment="1">
      <alignment horizontal="center" vertical="center"/>
    </xf>
    <xf numFmtId="0" fontId="9" fillId="4" borderId="40" xfId="0" applyFont="1" applyFill="1" applyBorder="1" applyAlignment="1" applyProtection="1">
      <alignment horizontal="center"/>
      <protection locked="0"/>
    </xf>
    <xf numFmtId="0" fontId="9" fillId="4" borderId="23" xfId="0" applyFont="1" applyFill="1" applyBorder="1" applyAlignment="1" applyProtection="1">
      <alignment horizontal="center"/>
      <protection locked="0"/>
    </xf>
    <xf numFmtId="0" fontId="9" fillId="4" borderId="39" xfId="0" applyFont="1" applyFill="1" applyBorder="1" applyAlignment="1" applyProtection="1">
      <alignment horizontal="center"/>
      <protection locked="0"/>
    </xf>
    <xf numFmtId="0" fontId="9" fillId="4" borderId="58" xfId="0" applyFont="1" applyFill="1" applyBorder="1" applyAlignment="1" applyProtection="1">
      <alignment horizontal="center"/>
      <protection locked="0"/>
    </xf>
    <xf numFmtId="0" fontId="9" fillId="4" borderId="73" xfId="0" applyFont="1" applyFill="1" applyBorder="1" applyAlignment="1" applyProtection="1">
      <alignment horizontal="center"/>
      <protection locked="0"/>
    </xf>
    <xf numFmtId="0" fontId="9" fillId="4" borderId="106" xfId="0" applyFont="1" applyFill="1" applyBorder="1" applyAlignment="1" applyProtection="1">
      <alignment horizontal="center"/>
      <protection locked="0"/>
    </xf>
    <xf numFmtId="0" fontId="9" fillId="0" borderId="41" xfId="0" applyFont="1" applyBorder="1" applyAlignment="1">
      <alignment horizontal="center"/>
    </xf>
    <xf numFmtId="0" fontId="9" fillId="0" borderId="25" xfId="0" applyFont="1" applyBorder="1" applyAlignment="1">
      <alignment horizontal="center"/>
    </xf>
    <xf numFmtId="0" fontId="9" fillId="0" borderId="32" xfId="0" applyFont="1" applyBorder="1" applyAlignment="1">
      <alignment horizontal="center"/>
    </xf>
    <xf numFmtId="0" fontId="23" fillId="13" borderId="17" xfId="0" applyFont="1" applyFill="1" applyBorder="1" applyProtection="1">
      <protection locked="0"/>
    </xf>
    <xf numFmtId="0" fontId="23" fillId="13" borderId="2" xfId="0" applyFont="1" applyFill="1" applyBorder="1" applyProtection="1">
      <protection locked="0"/>
    </xf>
    <xf numFmtId="0" fontId="23" fillId="13" borderId="21" xfId="0" applyFont="1" applyFill="1" applyBorder="1" applyProtection="1">
      <protection locked="0"/>
    </xf>
    <xf numFmtId="0" fontId="23" fillId="13" borderId="30" xfId="0" applyFont="1" applyFill="1" applyBorder="1" applyProtection="1">
      <protection locked="0"/>
    </xf>
    <xf numFmtId="0" fontId="9" fillId="0" borderId="31" xfId="0" applyFont="1" applyBorder="1" applyAlignment="1">
      <alignment horizontal="center" wrapText="1" shrinkToFit="1"/>
    </xf>
    <xf numFmtId="0" fontId="0" fillId="0" borderId="17" xfId="0" applyBorder="1" applyAlignment="1">
      <alignment horizontal="center" wrapText="1" shrinkToFit="1"/>
    </xf>
    <xf numFmtId="0" fontId="0" fillId="0" borderId="18" xfId="0" applyBorder="1" applyAlignment="1">
      <alignment horizontal="center" wrapText="1" shrinkToFit="1"/>
    </xf>
    <xf numFmtId="0" fontId="31" fillId="0" borderId="31" xfId="0" applyFont="1" applyBorder="1" applyAlignment="1">
      <alignment horizontal="center" wrapText="1" shrinkToFit="1"/>
    </xf>
    <xf numFmtId="0" fontId="31" fillId="0" borderId="17" xfId="0" applyFont="1" applyBorder="1" applyAlignment="1">
      <alignment horizontal="center" wrapText="1" shrinkToFit="1"/>
    </xf>
    <xf numFmtId="0" fontId="31" fillId="0" borderId="18" xfId="0" applyFont="1" applyBorder="1" applyAlignment="1">
      <alignment horizontal="center" wrapText="1" shrinkToFit="1"/>
    </xf>
    <xf numFmtId="49" fontId="53" fillId="14" borderId="92" xfId="0" applyNumberFormat="1" applyFont="1" applyFill="1" applyBorder="1" applyAlignment="1" applyProtection="1">
      <alignment horizontal="center"/>
      <protection locked="0"/>
    </xf>
    <xf numFmtId="49" fontId="53" fillId="14" borderId="93" xfId="0" applyNumberFormat="1" applyFont="1" applyFill="1" applyBorder="1" applyAlignment="1" applyProtection="1">
      <alignment horizontal="center"/>
      <protection locked="0"/>
    </xf>
    <xf numFmtId="0" fontId="0" fillId="13" borderId="21" xfId="0" applyFill="1" applyBorder="1" applyAlignment="1" applyProtection="1">
      <alignment horizontal="center"/>
      <protection locked="0"/>
    </xf>
    <xf numFmtId="0" fontId="0" fillId="13" borderId="22" xfId="0" applyFill="1" applyBorder="1" applyAlignment="1" applyProtection="1">
      <alignment horizontal="center"/>
      <protection locked="0"/>
    </xf>
    <xf numFmtId="49" fontId="9" fillId="4" borderId="43" xfId="0" applyNumberFormat="1" applyFont="1" applyFill="1" applyBorder="1" applyAlignment="1" applyProtection="1">
      <alignment horizontal="center" vertical="center"/>
      <protection locked="0"/>
    </xf>
    <xf numFmtId="0" fontId="23" fillId="0" borderId="31" xfId="0" applyFont="1" applyBorder="1" applyAlignment="1">
      <alignment horizontal="center" vertical="center"/>
    </xf>
    <xf numFmtId="0" fontId="23" fillId="0" borderId="17" xfId="0" applyFont="1" applyBorder="1" applyAlignment="1">
      <alignment horizontal="center" vertical="center"/>
    </xf>
    <xf numFmtId="0" fontId="8" fillId="0" borderId="23" xfId="0" applyFont="1" applyBorder="1" applyAlignment="1">
      <alignment horizontal="center" vertical="center"/>
    </xf>
    <xf numFmtId="49" fontId="9" fillId="4" borderId="31" xfId="0" applyNumberFormat="1" applyFont="1" applyFill="1" applyBorder="1" applyAlignment="1" applyProtection="1">
      <alignment horizontal="center" vertical="top"/>
      <protection locked="0"/>
    </xf>
    <xf numFmtId="49" fontId="9" fillId="4" borderId="17" xfId="0" applyNumberFormat="1" applyFont="1" applyFill="1" applyBorder="1" applyAlignment="1" applyProtection="1">
      <alignment horizontal="center" vertical="top"/>
      <protection locked="0"/>
    </xf>
    <xf numFmtId="49" fontId="9" fillId="4" borderId="18" xfId="0" applyNumberFormat="1" applyFont="1" applyFill="1" applyBorder="1" applyAlignment="1" applyProtection="1">
      <alignment horizontal="center" vertical="top"/>
      <protection locked="0"/>
    </xf>
    <xf numFmtId="0" fontId="14" fillId="4" borderId="21" xfId="0" applyFont="1" applyFill="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4" borderId="17" xfId="0" applyFont="1" applyFill="1" applyBorder="1" applyAlignment="1" applyProtection="1">
      <alignment horizontal="left" vertical="center"/>
      <protection locked="0"/>
    </xf>
    <xf numFmtId="0" fontId="14" fillId="0" borderId="17" xfId="0" applyFont="1" applyBorder="1" applyAlignment="1" applyProtection="1">
      <alignment horizontal="left" vertical="center"/>
      <protection locked="0"/>
    </xf>
    <xf numFmtId="0" fontId="14" fillId="0" borderId="18" xfId="0" applyFont="1" applyBorder="1" applyAlignment="1" applyProtection="1">
      <alignment horizontal="left" vertical="center"/>
      <protection locked="0"/>
    </xf>
    <xf numFmtId="171" fontId="8" fillId="0" borderId="40" xfId="0" applyNumberFormat="1" applyFont="1" applyBorder="1" applyAlignment="1">
      <alignment horizontal="center" vertical="center"/>
    </xf>
    <xf numFmtId="171" fontId="0" fillId="0" borderId="23" xfId="0" applyNumberFormat="1" applyBorder="1" applyAlignment="1">
      <alignment horizontal="center" vertical="center"/>
    </xf>
    <xf numFmtId="0" fontId="0" fillId="0" borderId="64" xfId="0"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8" fillId="0" borderId="39" xfId="0" applyFont="1" applyBorder="1" applyAlignment="1">
      <alignment horizontal="center"/>
    </xf>
    <xf numFmtId="0" fontId="8" fillId="0" borderId="42" xfId="0" applyFont="1" applyBorder="1" applyAlignment="1">
      <alignment horizontal="center" vertical="center"/>
    </xf>
    <xf numFmtId="0" fontId="0" fillId="0" borderId="43" xfId="0" applyBorder="1" applyAlignment="1">
      <alignment horizontal="center" vertical="center"/>
    </xf>
    <xf numFmtId="49" fontId="9" fillId="4" borderId="31" xfId="0" applyNumberFormat="1" applyFont="1" applyFill="1" applyBorder="1" applyAlignment="1" applyProtection="1">
      <alignment horizontal="left" vertical="center" wrapText="1" shrinkToFit="1"/>
      <protection locked="0"/>
    </xf>
    <xf numFmtId="0" fontId="0" fillId="0" borderId="17" xfId="0" applyBorder="1" applyAlignment="1" applyProtection="1">
      <alignment vertical="center" wrapText="1" shrinkToFit="1"/>
      <protection locked="0"/>
    </xf>
    <xf numFmtId="0" fontId="0" fillId="0" borderId="18" xfId="0" applyBorder="1" applyAlignment="1" applyProtection="1">
      <alignment vertical="center" wrapText="1" shrinkToFit="1"/>
      <protection locked="0"/>
    </xf>
    <xf numFmtId="49" fontId="9" fillId="4" borderId="17" xfId="0" applyNumberFormat="1" applyFont="1" applyFill="1" applyBorder="1" applyAlignment="1" applyProtection="1">
      <alignment horizontal="left" vertical="center" wrapText="1" shrinkToFit="1"/>
      <protection locked="0"/>
    </xf>
    <xf numFmtId="49" fontId="9" fillId="4" borderId="18" xfId="0" applyNumberFormat="1" applyFont="1" applyFill="1" applyBorder="1" applyAlignment="1" applyProtection="1">
      <alignment horizontal="left" vertical="center" wrapText="1" shrinkToFit="1"/>
      <protection locked="0"/>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9" fillId="0" borderId="12" xfId="0" applyFont="1" applyBorder="1" applyAlignment="1">
      <alignment horizontal="center"/>
    </xf>
    <xf numFmtId="0" fontId="0" fillId="0" borderId="32" xfId="0" applyBorder="1" applyAlignment="1">
      <alignment horizontal="center"/>
    </xf>
    <xf numFmtId="14" fontId="21" fillId="13" borderId="31" xfId="0" applyNumberFormat="1" applyFont="1" applyFill="1" applyBorder="1" applyAlignment="1" applyProtection="1">
      <alignment horizontal="center" wrapText="1"/>
      <protection locked="0"/>
    </xf>
    <xf numFmtId="0" fontId="21" fillId="13" borderId="17" xfId="0" applyFont="1" applyFill="1" applyBorder="1" applyAlignment="1" applyProtection="1">
      <alignment horizontal="center" wrapText="1"/>
      <protection locked="0"/>
    </xf>
    <xf numFmtId="0" fontId="21" fillId="13" borderId="87" xfId="0" applyFont="1" applyFill="1" applyBorder="1" applyAlignment="1" applyProtection="1">
      <alignment horizontal="center" wrapText="1"/>
      <protection locked="0"/>
    </xf>
    <xf numFmtId="0" fontId="0" fillId="0" borderId="49" xfId="0"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0" fillId="0" borderId="49" xfId="0" applyBorder="1" applyAlignment="1">
      <alignment horizontal="left"/>
    </xf>
    <xf numFmtId="14" fontId="21" fillId="4" borderId="29" xfId="0" applyNumberFormat="1" applyFont="1" applyFill="1" applyBorder="1" applyAlignment="1" applyProtection="1">
      <alignment horizontal="center" vertical="center" wrapText="1" shrinkToFit="1"/>
      <protection locked="0"/>
    </xf>
    <xf numFmtId="14" fontId="0" fillId="4" borderId="21" xfId="0" applyNumberFormat="1" applyFill="1" applyBorder="1" applyAlignment="1" applyProtection="1">
      <alignment horizontal="center" vertical="center" wrapText="1" shrinkToFit="1"/>
      <protection locked="0"/>
    </xf>
    <xf numFmtId="14" fontId="0" fillId="4" borderId="22" xfId="0" applyNumberFormat="1" applyFill="1" applyBorder="1" applyAlignment="1" applyProtection="1">
      <alignment horizontal="center" vertical="center" wrapText="1" shrinkToFit="1"/>
      <protection locked="0"/>
    </xf>
    <xf numFmtId="0" fontId="9" fillId="0" borderId="64" xfId="0" applyFont="1" applyBorder="1" applyAlignment="1">
      <alignment horizontal="center"/>
    </xf>
    <xf numFmtId="0" fontId="9" fillId="0" borderId="65" xfId="0" applyFont="1" applyBorder="1" applyAlignment="1">
      <alignment horizontal="center"/>
    </xf>
    <xf numFmtId="0" fontId="9" fillId="0" borderId="66" xfId="0" applyFont="1" applyBorder="1" applyAlignment="1">
      <alignment horizontal="center"/>
    </xf>
    <xf numFmtId="0" fontId="0" fillId="0" borderId="49" xfId="0" applyBorder="1" applyAlignment="1">
      <alignment horizontal="right"/>
    </xf>
    <xf numFmtId="167" fontId="14" fillId="0" borderId="49" xfId="0" applyNumberFormat="1" applyFont="1" applyBorder="1" applyAlignment="1" applyProtection="1">
      <alignment horizontal="center"/>
      <protection locked="0"/>
    </xf>
    <xf numFmtId="2" fontId="0" fillId="0" borderId="26" xfId="0" applyNumberFormat="1" applyBorder="1" applyAlignment="1" applyProtection="1">
      <alignment horizontal="center"/>
      <protection locked="0"/>
    </xf>
    <xf numFmtId="0" fontId="8" fillId="4" borderId="29" xfId="0" applyFont="1" applyFill="1" applyBorder="1" applyAlignment="1" applyProtection="1">
      <alignment horizontal="center" vertical="center" wrapText="1" shrinkToFit="1"/>
      <protection locked="0"/>
    </xf>
    <xf numFmtId="0" fontId="8" fillId="4" borderId="21" xfId="0" applyFont="1" applyFill="1" applyBorder="1" applyAlignment="1" applyProtection="1">
      <alignment horizontal="center" vertical="center" wrapText="1" shrinkToFit="1"/>
      <protection locked="0"/>
    </xf>
    <xf numFmtId="0" fontId="8" fillId="4" borderId="22" xfId="0" applyFont="1" applyFill="1" applyBorder="1" applyAlignment="1" applyProtection="1">
      <alignment horizontal="center" vertical="center" wrapText="1" shrinkToFit="1"/>
      <protection locked="0"/>
    </xf>
    <xf numFmtId="0" fontId="8" fillId="0" borderId="68" xfId="0" applyFont="1"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2" fontId="14" fillId="0" borderId="49" xfId="0" applyNumberFormat="1" applyFont="1" applyBorder="1" applyAlignment="1">
      <alignment horizontal="right"/>
    </xf>
    <xf numFmtId="49" fontId="8" fillId="4" borderId="42" xfId="0" applyNumberFormat="1" applyFont="1" applyFill="1" applyBorder="1" applyAlignment="1" applyProtection="1">
      <alignment horizontal="center" vertical="center"/>
      <protection locked="0"/>
    </xf>
    <xf numFmtId="49" fontId="8" fillId="4" borderId="43" xfId="0" applyNumberFormat="1" applyFont="1" applyFill="1" applyBorder="1" applyAlignment="1" applyProtection="1">
      <alignment horizontal="center" vertical="center"/>
      <protection locked="0"/>
    </xf>
    <xf numFmtId="0" fontId="8" fillId="0" borderId="107" xfId="0" applyFont="1" applyBorder="1" applyAlignment="1">
      <alignment horizontal="center" vertical="center" wrapText="1" shrinkToFit="1"/>
    </xf>
    <xf numFmtId="0" fontId="0" fillId="0" borderId="60" xfId="0" applyBorder="1" applyAlignment="1">
      <alignment horizontal="center" vertical="center" wrapText="1" shrinkToFit="1"/>
    </xf>
    <xf numFmtId="0" fontId="0" fillId="0" borderId="61" xfId="0" applyBorder="1" applyAlignment="1">
      <alignment horizontal="center" vertical="center" wrapText="1" shrinkToFit="1"/>
    </xf>
    <xf numFmtId="0" fontId="8" fillId="0" borderId="67" xfId="0" applyFont="1" applyBorder="1" applyAlignment="1">
      <alignment horizontal="center"/>
    </xf>
    <xf numFmtId="0" fontId="14" fillId="0" borderId="19"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49" fontId="9" fillId="4" borderId="29" xfId="0" applyNumberFormat="1" applyFont="1" applyFill="1" applyBorder="1" applyAlignment="1" applyProtection="1">
      <alignment horizontal="left" vertical="center" wrapText="1" shrinkToFit="1"/>
      <protection locked="0"/>
    </xf>
    <xf numFmtId="0" fontId="0" fillId="0" borderId="21" xfId="0" applyBorder="1" applyAlignment="1" applyProtection="1">
      <alignment vertical="center" wrapText="1" shrinkToFit="1"/>
      <protection locked="0"/>
    </xf>
    <xf numFmtId="0" fontId="0" fillId="0" borderId="22" xfId="0" applyBorder="1" applyAlignment="1" applyProtection="1">
      <alignment vertical="center" wrapText="1" shrinkToFit="1"/>
      <protection locked="0"/>
    </xf>
    <xf numFmtId="49" fontId="8" fillId="4" borderId="22" xfId="0" applyNumberFormat="1" applyFont="1" applyFill="1" applyBorder="1" applyAlignment="1" applyProtection="1">
      <alignment horizontal="center" vertical="center"/>
      <protection locked="0"/>
    </xf>
    <xf numFmtId="49" fontId="8" fillId="4" borderId="47" xfId="0" applyNumberFormat="1" applyFont="1" applyFill="1" applyBorder="1" applyAlignment="1" applyProtection="1">
      <alignment horizontal="center" vertical="center"/>
      <protection locked="0"/>
    </xf>
    <xf numFmtId="0" fontId="23" fillId="0" borderId="8" xfId="0" applyFont="1" applyBorder="1" applyAlignment="1">
      <alignment horizontal="center" vertical="center" wrapText="1" shrinkToFit="1"/>
    </xf>
    <xf numFmtId="0" fontId="23" fillId="0" borderId="4" xfId="0" applyFont="1" applyBorder="1" applyAlignment="1">
      <alignment horizontal="center" vertical="center" wrapText="1" shrinkToFit="1"/>
    </xf>
    <xf numFmtId="0" fontId="23" fillId="0" borderId="5" xfId="0" applyFont="1" applyBorder="1" applyAlignment="1">
      <alignment horizontal="center" vertical="center" wrapText="1" shrinkToFit="1"/>
    </xf>
    <xf numFmtId="0" fontId="23" fillId="0" borderId="24" xfId="0" applyFont="1" applyBorder="1" applyAlignment="1">
      <alignment horizontal="center" vertical="center" wrapText="1" shrinkToFit="1"/>
    </xf>
    <xf numFmtId="0" fontId="23" fillId="0" borderId="11" xfId="0" applyFont="1" applyBorder="1" applyAlignment="1">
      <alignment horizontal="center" vertical="center" wrapText="1" shrinkToFit="1"/>
    </xf>
    <xf numFmtId="0" fontId="23" fillId="0" borderId="12" xfId="0" applyFont="1" applyBorder="1" applyAlignment="1">
      <alignment horizontal="center" vertical="center" wrapText="1" shrinkToFit="1"/>
    </xf>
    <xf numFmtId="1" fontId="0" fillId="0" borderId="25" xfId="0" applyNumberFormat="1" applyBorder="1" applyAlignment="1">
      <alignment horizontal="center" vertical="center"/>
    </xf>
    <xf numFmtId="1" fontId="0" fillId="0" borderId="32" xfId="0" applyNumberFormat="1" applyBorder="1" applyAlignment="1">
      <alignment horizontal="center" vertical="center"/>
    </xf>
    <xf numFmtId="2" fontId="0" fillId="0" borderId="3" xfId="0" applyNumberFormat="1" applyBorder="1" applyAlignment="1">
      <alignment horizontal="center" vertical="center" wrapText="1" shrinkToFit="1"/>
    </xf>
    <xf numFmtId="0" fontId="0" fillId="0" borderId="4" xfId="0" applyBorder="1" applyAlignment="1">
      <alignment horizontal="center" vertical="center" wrapText="1" shrinkToFit="1"/>
    </xf>
    <xf numFmtId="0" fontId="0" fillId="0" borderId="2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38" xfId="0" applyBorder="1" applyAlignment="1">
      <alignment horizontal="center" vertical="center" wrapText="1" shrinkToFit="1"/>
    </xf>
    <xf numFmtId="0" fontId="0" fillId="0" borderId="2" xfId="0" applyBorder="1" applyAlignment="1">
      <alignment horizontal="center" vertical="center"/>
    </xf>
    <xf numFmtId="1" fontId="8" fillId="13" borderId="31" xfId="0" applyNumberFormat="1" applyFont="1" applyFill="1" applyBorder="1" applyAlignment="1" applyProtection="1">
      <alignment horizontal="center"/>
      <protection locked="0"/>
    </xf>
    <xf numFmtId="1" fontId="8" fillId="13" borderId="17" xfId="0" applyNumberFormat="1" applyFont="1" applyFill="1" applyBorder="1" applyAlignment="1" applyProtection="1">
      <alignment horizontal="center"/>
      <protection locked="0"/>
    </xf>
    <xf numFmtId="1" fontId="8" fillId="13" borderId="18" xfId="0" applyNumberFormat="1" applyFont="1" applyFill="1" applyBorder="1" applyAlignment="1" applyProtection="1">
      <alignment horizontal="center"/>
      <protection locked="0"/>
    </xf>
    <xf numFmtId="0" fontId="0" fillId="0" borderId="70" xfId="0" applyBorder="1" applyAlignment="1">
      <alignment horizontal="center" wrapText="1" shrinkToFit="1"/>
    </xf>
    <xf numFmtId="0" fontId="0" fillId="0" borderId="71" xfId="0" applyBorder="1" applyAlignment="1">
      <alignment horizontal="center" wrapText="1" shrinkToFit="1"/>
    </xf>
    <xf numFmtId="0" fontId="0" fillId="0" borderId="72" xfId="0" applyBorder="1" applyAlignment="1">
      <alignment horizontal="center" wrapText="1" shrinkToFit="1"/>
    </xf>
    <xf numFmtId="0" fontId="0" fillId="0" borderId="24" xfId="0" applyBorder="1" applyAlignment="1">
      <alignment wrapText="1" shrinkToFit="1"/>
    </xf>
    <xf numFmtId="0" fontId="0" fillId="0" borderId="11" xfId="0" applyBorder="1" applyAlignment="1">
      <alignment wrapText="1" shrinkToFit="1"/>
    </xf>
    <xf numFmtId="0" fontId="0" fillId="0" borderId="12" xfId="0" applyBorder="1" applyAlignment="1">
      <alignment wrapText="1" shrinkToFit="1"/>
    </xf>
    <xf numFmtId="1" fontId="0" fillId="13" borderId="18" xfId="0" applyNumberFormat="1" applyFill="1" applyBorder="1" applyAlignment="1" applyProtection="1">
      <alignment horizontal="center"/>
      <protection locked="0"/>
    </xf>
    <xf numFmtId="2" fontId="14" fillId="0" borderId="49" xfId="0" applyNumberFormat="1" applyFont="1" applyBorder="1" applyAlignment="1">
      <alignment horizontal="center"/>
    </xf>
    <xf numFmtId="0" fontId="17" fillId="4" borderId="43" xfId="0" applyFont="1" applyFill="1" applyBorder="1" applyAlignment="1" applyProtection="1">
      <alignment horizontal="center"/>
      <protection locked="0"/>
    </xf>
    <xf numFmtId="0" fontId="17" fillId="4" borderId="47" xfId="0" applyFont="1" applyFill="1" applyBorder="1" applyAlignment="1" applyProtection="1">
      <alignment horizontal="center"/>
      <protection locked="0"/>
    </xf>
    <xf numFmtId="0" fontId="12" fillId="0" borderId="103" xfId="0" applyFont="1" applyBorder="1" applyAlignment="1">
      <alignment horizontal="center"/>
    </xf>
    <xf numFmtId="0" fontId="12" fillId="0" borderId="104" xfId="0" applyFont="1" applyBorder="1" applyAlignment="1">
      <alignment horizontal="center"/>
    </xf>
    <xf numFmtId="0" fontId="12" fillId="0" borderId="105" xfId="0" applyFont="1" applyBorder="1" applyAlignment="1">
      <alignment horizontal="center"/>
    </xf>
    <xf numFmtId="0" fontId="8" fillId="0" borderId="20" xfId="0" applyFont="1" applyBorder="1" applyAlignment="1">
      <alignment horizontal="right"/>
    </xf>
    <xf numFmtId="0" fontId="8" fillId="0" borderId="21" xfId="0" applyFont="1" applyBorder="1" applyAlignment="1">
      <alignment horizontal="right"/>
    </xf>
    <xf numFmtId="0" fontId="8" fillId="0" borderId="22" xfId="0" applyFont="1" applyBorder="1" applyAlignment="1">
      <alignment horizontal="right"/>
    </xf>
    <xf numFmtId="0" fontId="8" fillId="0" borderId="13" xfId="0" applyFont="1" applyBorder="1" applyAlignment="1">
      <alignment horizontal="center" wrapText="1" shrinkToFit="1"/>
    </xf>
    <xf numFmtId="0" fontId="8" fillId="0" borderId="49" xfId="0" applyFont="1" applyBorder="1" applyAlignment="1">
      <alignment horizontal="center" wrapText="1" shrinkToFit="1"/>
    </xf>
    <xf numFmtId="0" fontId="8" fillId="0" borderId="50" xfId="0" applyFont="1" applyBorder="1" applyAlignment="1">
      <alignment horizontal="center" wrapText="1" shrinkToFit="1"/>
    </xf>
    <xf numFmtId="164" fontId="8" fillId="0" borderId="23" xfId="0" applyNumberFormat="1" applyFont="1" applyBorder="1" applyAlignment="1">
      <alignment horizontal="center" vertical="center"/>
    </xf>
    <xf numFmtId="164" fontId="8" fillId="0" borderId="39" xfId="0" applyNumberFormat="1" applyFont="1" applyBorder="1" applyAlignment="1">
      <alignment horizontal="center" vertical="center"/>
    </xf>
    <xf numFmtId="0" fontId="0" fillId="0" borderId="31" xfId="0" applyBorder="1" applyAlignment="1">
      <alignment horizontal="center" vertical="center"/>
    </xf>
    <xf numFmtId="1" fontId="0" fillId="4" borderId="3" xfId="0" applyNumberFormat="1" applyFill="1" applyBorder="1" applyAlignment="1" applyProtection="1">
      <alignment horizontal="center" vertical="center"/>
      <protection locked="0"/>
    </xf>
    <xf numFmtId="1" fontId="0" fillId="4" borderId="4" xfId="0" applyNumberFormat="1" applyFill="1" applyBorder="1" applyAlignment="1" applyProtection="1">
      <alignment horizontal="center" vertical="center"/>
      <protection locked="0"/>
    </xf>
    <xf numFmtId="1" fontId="0" fillId="4" borderId="5" xfId="0" applyNumberFormat="1" applyFill="1" applyBorder="1" applyAlignment="1" applyProtection="1">
      <alignment horizontal="center" vertical="center"/>
      <protection locked="0"/>
    </xf>
    <xf numFmtId="1" fontId="0" fillId="4" borderId="10" xfId="0" applyNumberFormat="1" applyFill="1" applyBorder="1" applyAlignment="1" applyProtection="1">
      <alignment horizontal="center" vertical="center"/>
      <protection locked="0"/>
    </xf>
    <xf numFmtId="1" fontId="0" fillId="4" borderId="11" xfId="0" applyNumberFormat="1" applyFill="1" applyBorder="1" applyAlignment="1" applyProtection="1">
      <alignment horizontal="center" vertical="center"/>
      <protection locked="0"/>
    </xf>
    <xf numFmtId="1" fontId="0" fillId="4" borderId="12" xfId="0" applyNumberFormat="1" applyFill="1" applyBorder="1" applyAlignment="1" applyProtection="1">
      <alignment horizontal="center" vertical="center"/>
      <protection locked="0"/>
    </xf>
    <xf numFmtId="164" fontId="0" fillId="0" borderId="3" xfId="0" applyNumberFormat="1" applyBorder="1" applyAlignment="1">
      <alignment horizontal="center" vertical="center" wrapText="1" shrinkToFit="1"/>
    </xf>
    <xf numFmtId="0" fontId="0" fillId="0" borderId="5" xfId="0" applyBorder="1" applyAlignment="1">
      <alignment horizontal="center" vertical="center" wrapText="1" shrinkToFit="1"/>
    </xf>
    <xf numFmtId="0" fontId="0" fillId="0" borderId="12" xfId="0" applyBorder="1" applyAlignment="1">
      <alignment horizontal="center" vertical="center" wrapText="1" shrinkToFit="1"/>
    </xf>
    <xf numFmtId="0" fontId="0" fillId="0" borderId="31" xfId="0" applyBorder="1" applyAlignment="1">
      <alignment horizontal="center" vertical="center" wrapText="1" shrinkToFit="1"/>
    </xf>
    <xf numFmtId="49" fontId="8" fillId="4" borderId="29" xfId="0" applyNumberFormat="1" applyFont="1" applyFill="1" applyBorder="1" applyAlignment="1" applyProtection="1">
      <alignment horizontal="center" vertical="center"/>
      <protection locked="0"/>
    </xf>
    <xf numFmtId="49" fontId="8" fillId="4" borderId="21" xfId="0" applyNumberFormat="1" applyFont="1" applyFill="1" applyBorder="1" applyAlignment="1" applyProtection="1">
      <alignment horizontal="center" vertical="center"/>
      <protection locked="0"/>
    </xf>
    <xf numFmtId="0" fontId="52" fillId="14" borderId="90" xfId="0" applyFont="1" applyFill="1" applyBorder="1" applyAlignment="1" applyProtection="1">
      <alignment horizontal="center"/>
      <protection locked="0"/>
    </xf>
    <xf numFmtId="0" fontId="0" fillId="4" borderId="49" xfId="0" applyFill="1" applyBorder="1" applyAlignment="1" applyProtection="1">
      <alignment horizontal="center"/>
      <protection locked="0"/>
    </xf>
    <xf numFmtId="0" fontId="0" fillId="4" borderId="49" xfId="0" applyFill="1" applyBorder="1" applyProtection="1">
      <protection locked="0"/>
    </xf>
    <xf numFmtId="0" fontId="8" fillId="0" borderId="36" xfId="0" applyFont="1" applyBorder="1" applyAlignment="1" applyProtection="1">
      <alignment horizontal="center"/>
      <protection hidden="1"/>
    </xf>
    <xf numFmtId="0" fontId="12" fillId="0" borderId="0" xfId="0" applyFont="1" applyAlignment="1">
      <alignment horizontal="center"/>
    </xf>
    <xf numFmtId="0" fontId="52" fillId="14" borderId="89" xfId="0" applyFont="1" applyFill="1" applyBorder="1" applyAlignment="1" applyProtection="1">
      <alignment horizontal="center"/>
      <protection locked="0"/>
    </xf>
    <xf numFmtId="0" fontId="0" fillId="0" borderId="13" xfId="0" applyBorder="1" applyAlignment="1">
      <alignment horizontal="center"/>
    </xf>
    <xf numFmtId="0" fontId="10" fillId="0" borderId="13" xfId="0" applyFont="1" applyBorder="1" applyAlignment="1">
      <alignment horizontal="center"/>
    </xf>
    <xf numFmtId="0" fontId="17" fillId="0" borderId="49" xfId="0" applyFont="1" applyBorder="1" applyAlignment="1" applyProtection="1">
      <alignment horizontal="center"/>
      <protection locked="0"/>
    </xf>
    <xf numFmtId="0" fontId="17" fillId="0" borderId="50" xfId="0" applyFont="1" applyBorder="1" applyAlignment="1" applyProtection="1">
      <alignment horizontal="center"/>
      <protection locked="0"/>
    </xf>
    <xf numFmtId="0" fontId="9" fillId="0" borderId="0" xfId="0" applyFont="1" applyAlignment="1">
      <alignment horizontal="center"/>
    </xf>
    <xf numFmtId="0" fontId="9" fillId="0" borderId="0" xfId="0" applyFont="1" applyAlignment="1" applyProtection="1">
      <alignment horizontal="center"/>
      <protection locked="0"/>
    </xf>
    <xf numFmtId="167" fontId="9" fillId="0" borderId="0" xfId="0" applyNumberFormat="1" applyFont="1" applyAlignment="1" applyProtection="1">
      <alignment horizontal="left"/>
      <protection locked="0"/>
    </xf>
    <xf numFmtId="14" fontId="21" fillId="4" borderId="31" xfId="0" applyNumberFormat="1" applyFont="1" applyFill="1" applyBorder="1" applyAlignment="1" applyProtection="1">
      <alignment horizontal="center" vertical="center" wrapText="1" shrinkToFit="1"/>
      <protection locked="0"/>
    </xf>
    <xf numFmtId="14" fontId="0" fillId="4" borderId="17" xfId="0" applyNumberFormat="1" applyFill="1" applyBorder="1" applyAlignment="1" applyProtection="1">
      <alignment horizontal="center" vertical="center" wrapText="1" shrinkToFit="1"/>
      <protection locked="0"/>
    </xf>
    <xf numFmtId="14" fontId="0" fillId="4" borderId="18" xfId="0" applyNumberFormat="1" applyFill="1" applyBorder="1" applyAlignment="1" applyProtection="1">
      <alignment horizontal="center" vertical="center" wrapText="1" shrinkToFit="1"/>
      <protection locked="0"/>
    </xf>
    <xf numFmtId="0" fontId="0" fillId="13" borderId="17" xfId="0" applyFill="1" applyBorder="1" applyProtection="1">
      <protection locked="0"/>
    </xf>
    <xf numFmtId="0" fontId="0" fillId="13" borderId="18" xfId="0" applyFill="1" applyBorder="1" applyProtection="1">
      <protection locked="0"/>
    </xf>
    <xf numFmtId="0" fontId="14" fillId="0" borderId="31" xfId="0" applyFont="1" applyBorder="1" applyAlignment="1">
      <alignment horizontal="center" vertical="center"/>
    </xf>
    <xf numFmtId="0" fontId="23" fillId="13" borderId="88" xfId="0" applyFont="1" applyFill="1" applyBorder="1" applyProtection="1">
      <protection locked="0"/>
    </xf>
    <xf numFmtId="0" fontId="14" fillId="0" borderId="29" xfId="0" applyFont="1" applyBorder="1" applyAlignment="1">
      <alignment horizontal="center" vertical="center"/>
    </xf>
    <xf numFmtId="0" fontId="9" fillId="4" borderId="42" xfId="0" applyFont="1" applyFill="1" applyBorder="1" applyAlignment="1" applyProtection="1">
      <alignment horizontal="center"/>
      <protection locked="0"/>
    </xf>
    <xf numFmtId="0" fontId="9" fillId="4" borderId="43" xfId="0" applyFont="1" applyFill="1" applyBorder="1" applyAlignment="1" applyProtection="1">
      <alignment horizontal="center"/>
      <protection locked="0"/>
    </xf>
    <xf numFmtId="0" fontId="9" fillId="4" borderId="47" xfId="0" applyFont="1" applyFill="1" applyBorder="1" applyAlignment="1" applyProtection="1">
      <alignment horizontal="center"/>
      <protection locked="0"/>
    </xf>
    <xf numFmtId="0" fontId="8" fillId="0" borderId="82" xfId="0" applyFont="1" applyBorder="1" applyAlignment="1">
      <alignment horizontal="center" vertical="center" wrapText="1" shrinkToFit="1"/>
    </xf>
    <xf numFmtId="0" fontId="0" fillId="0" borderId="83" xfId="0" applyBorder="1" applyAlignment="1">
      <alignment horizontal="center" vertical="center" wrapText="1" shrinkToFit="1"/>
    </xf>
    <xf numFmtId="49" fontId="9" fillId="4" borderId="31" xfId="0" applyNumberFormat="1" applyFont="1" applyFill="1" applyBorder="1" applyAlignment="1" applyProtection="1">
      <alignment horizontal="center" vertical="top" wrapText="1"/>
      <protection locked="0"/>
    </xf>
    <xf numFmtId="165" fontId="0" fillId="8" borderId="25" xfId="0" applyNumberFormat="1" applyFill="1" applyBorder="1" applyAlignment="1">
      <alignment horizontal="center" vertical="center"/>
    </xf>
    <xf numFmtId="165" fontId="0" fillId="8" borderId="32" xfId="0" applyNumberFormat="1" applyFill="1" applyBorder="1" applyAlignment="1">
      <alignment horizontal="center" vertical="center"/>
    </xf>
    <xf numFmtId="0" fontId="0" fillId="8" borderId="10" xfId="0" applyFill="1" applyBorder="1" applyAlignment="1">
      <alignment horizontal="center"/>
    </xf>
    <xf numFmtId="0" fontId="0" fillId="8" borderId="11" xfId="0" applyFill="1" applyBorder="1" applyAlignment="1">
      <alignment horizontal="center"/>
    </xf>
    <xf numFmtId="0" fontId="0" fillId="8" borderId="38" xfId="0" applyFill="1" applyBorder="1" applyAlignment="1">
      <alignment horizontal="center"/>
    </xf>
    <xf numFmtId="0" fontId="0" fillId="8" borderId="6" xfId="0" applyFill="1" applyBorder="1" applyAlignment="1">
      <alignment horizontal="center"/>
    </xf>
    <xf numFmtId="0" fontId="0" fillId="8" borderId="0" xfId="0" applyFill="1" applyAlignment="1">
      <alignment horizontal="center"/>
    </xf>
    <xf numFmtId="0" fontId="0" fillId="8" borderId="1" xfId="0" applyFill="1" applyBorder="1" applyAlignment="1">
      <alignment horizontal="center"/>
    </xf>
    <xf numFmtId="174" fontId="8" fillId="8" borderId="23" xfId="0" applyNumberFormat="1" applyFont="1" applyFill="1" applyBorder="1" applyAlignment="1">
      <alignment horizontal="center" vertical="center"/>
    </xf>
    <xf numFmtId="174" fontId="0" fillId="8" borderId="23" xfId="0" applyNumberFormat="1" applyFill="1" applyBorder="1" applyAlignment="1">
      <alignment horizontal="center" vertical="center"/>
    </xf>
    <xf numFmtId="174" fontId="0" fillId="8" borderId="39" xfId="0" applyNumberFormat="1" applyFill="1" applyBorder="1" applyAlignment="1">
      <alignment horizontal="center" vertical="center"/>
    </xf>
    <xf numFmtId="0" fontId="0" fillId="13" borderId="31" xfId="0" applyFill="1" applyBorder="1" applyProtection="1">
      <protection locked="0"/>
    </xf>
    <xf numFmtId="2" fontId="0" fillId="8" borderId="23" xfId="0" applyNumberFormat="1" applyFill="1" applyBorder="1" applyAlignment="1">
      <alignment horizontal="center" vertical="center"/>
    </xf>
    <xf numFmtId="2" fontId="0" fillId="8" borderId="39" xfId="0" applyNumberFormat="1" applyFill="1" applyBorder="1" applyAlignment="1">
      <alignment horizontal="center" vertical="center"/>
    </xf>
    <xf numFmtId="2" fontId="0" fillId="8" borderId="31" xfId="0" applyNumberFormat="1" applyFill="1" applyBorder="1" applyAlignment="1">
      <alignment horizontal="center" vertical="center"/>
    </xf>
    <xf numFmtId="2" fontId="0" fillId="8" borderId="17" xfId="0" applyNumberFormat="1" applyFill="1" applyBorder="1" applyAlignment="1">
      <alignment horizontal="center" vertical="center"/>
    </xf>
    <xf numFmtId="0" fontId="52" fillId="14" borderId="91" xfId="0" applyFont="1" applyFill="1" applyBorder="1" applyProtection="1">
      <protection locked="0"/>
    </xf>
    <xf numFmtId="0" fontId="52" fillId="14" borderId="92" xfId="0" applyFont="1" applyFill="1" applyBorder="1" applyProtection="1">
      <protection locked="0"/>
    </xf>
    <xf numFmtId="0" fontId="52" fillId="14" borderId="93" xfId="0" applyFont="1" applyFill="1" applyBorder="1" applyProtection="1">
      <protection locked="0"/>
    </xf>
    <xf numFmtId="0" fontId="8" fillId="13" borderId="31" xfId="0" applyFont="1" applyFill="1" applyBorder="1" applyProtection="1">
      <protection locked="0"/>
    </xf>
    <xf numFmtId="0" fontId="8" fillId="13" borderId="17" xfId="0" applyFont="1" applyFill="1" applyBorder="1" applyProtection="1">
      <protection locked="0"/>
    </xf>
    <xf numFmtId="0" fontId="8" fillId="13" borderId="18" xfId="0" applyFont="1" applyFill="1" applyBorder="1" applyProtection="1">
      <protection locked="0"/>
    </xf>
    <xf numFmtId="165" fontId="0" fillId="8" borderId="23" xfId="0" applyNumberFormat="1" applyFill="1" applyBorder="1" applyAlignment="1">
      <alignment horizontal="center" vertical="center"/>
    </xf>
    <xf numFmtId="165" fontId="0" fillId="8" borderId="39" xfId="0" applyNumberFormat="1" applyFill="1" applyBorder="1" applyAlignment="1">
      <alignment horizontal="center" vertical="center"/>
    </xf>
    <xf numFmtId="1" fontId="0" fillId="8" borderId="23" xfId="0" applyNumberFormat="1" applyFill="1" applyBorder="1" applyAlignment="1">
      <alignment horizontal="center" vertical="center"/>
    </xf>
    <xf numFmtId="1" fontId="0" fillId="8" borderId="39" xfId="0" applyNumberFormat="1" applyFill="1" applyBorder="1" applyAlignment="1">
      <alignment horizontal="center" vertical="center"/>
    </xf>
    <xf numFmtId="165" fontId="0" fillId="8" borderId="31" xfId="0" applyNumberFormat="1" applyFill="1" applyBorder="1" applyAlignment="1">
      <alignment horizontal="center" vertical="center"/>
    </xf>
    <xf numFmtId="165" fontId="0" fillId="8" borderId="17" xfId="0" applyNumberFormat="1" applyFill="1" applyBorder="1" applyAlignment="1">
      <alignment horizontal="center" vertical="center"/>
    </xf>
    <xf numFmtId="0" fontId="0" fillId="8" borderId="2" xfId="0" applyFill="1" applyBorder="1" applyAlignment="1">
      <alignment horizontal="center" vertical="center"/>
    </xf>
    <xf numFmtId="0" fontId="0" fillId="4" borderId="17" xfId="0" applyFill="1" applyBorder="1" applyAlignment="1" applyProtection="1">
      <alignment horizontal="center" vertical="center"/>
      <protection locked="0"/>
    </xf>
    <xf numFmtId="164" fontId="8" fillId="8" borderId="23" xfId="0" applyNumberFormat="1" applyFont="1" applyFill="1" applyBorder="1" applyAlignment="1">
      <alignment horizontal="center" vertical="center"/>
    </xf>
    <xf numFmtId="164" fontId="8" fillId="8" borderId="39" xfId="0" applyNumberFormat="1" applyFont="1" applyFill="1" applyBorder="1" applyAlignment="1">
      <alignment horizontal="center" vertical="center"/>
    </xf>
    <xf numFmtId="2" fontId="0" fillId="8" borderId="31" xfId="0" applyNumberFormat="1" applyFill="1" applyBorder="1" applyAlignment="1">
      <alignment horizontal="center" vertical="center" wrapText="1" shrinkToFit="1"/>
    </xf>
    <xf numFmtId="0" fontId="0" fillId="8" borderId="17" xfId="0" applyFill="1" applyBorder="1" applyAlignment="1">
      <alignment horizontal="center" vertical="center" wrapText="1" shrinkToFit="1"/>
    </xf>
    <xf numFmtId="0" fontId="0" fillId="8" borderId="2" xfId="0" applyFill="1" applyBorder="1" applyAlignment="1">
      <alignment horizontal="center" vertical="center" wrapText="1" shrinkToFit="1"/>
    </xf>
    <xf numFmtId="165" fontId="8" fillId="8" borderId="31" xfId="0" applyNumberFormat="1" applyFont="1" applyFill="1" applyBorder="1" applyAlignment="1">
      <alignment horizontal="center" vertical="center"/>
    </xf>
    <xf numFmtId="165" fontId="8" fillId="8" borderId="17" xfId="0" applyNumberFormat="1" applyFont="1" applyFill="1" applyBorder="1" applyAlignment="1">
      <alignment horizontal="center" vertical="center"/>
    </xf>
    <xf numFmtId="165" fontId="8" fillId="8" borderId="2" xfId="0" applyNumberFormat="1" applyFont="1" applyFill="1" applyBorder="1" applyAlignment="1">
      <alignment horizontal="center" vertical="center"/>
    </xf>
    <xf numFmtId="1" fontId="0" fillId="8" borderId="25" xfId="0" applyNumberFormat="1" applyFill="1" applyBorder="1" applyAlignment="1">
      <alignment horizontal="center" vertical="center"/>
    </xf>
    <xf numFmtId="1" fontId="0" fillId="8" borderId="32" xfId="0" applyNumberFormat="1" applyFill="1" applyBorder="1" applyAlignment="1">
      <alignment horizontal="center" vertical="center"/>
    </xf>
    <xf numFmtId="0" fontId="0" fillId="13" borderId="87" xfId="0" applyFill="1" applyBorder="1" applyProtection="1">
      <protection locked="0"/>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2" fontId="0" fillId="8" borderId="3" xfId="0" applyNumberFormat="1" applyFill="1" applyBorder="1" applyAlignment="1">
      <alignment horizontal="center" vertical="center" wrapText="1" shrinkToFit="1"/>
    </xf>
    <xf numFmtId="0" fontId="0" fillId="8" borderId="4" xfId="0" applyFill="1" applyBorder="1" applyAlignment="1">
      <alignment horizontal="center" vertical="center" wrapText="1" shrinkToFit="1"/>
    </xf>
    <xf numFmtId="0" fontId="0" fillId="8" borderId="28" xfId="0" applyFill="1" applyBorder="1" applyAlignment="1">
      <alignment horizontal="center" vertical="center" wrapText="1" shrinkToFit="1"/>
    </xf>
    <xf numFmtId="0" fontId="0" fillId="8" borderId="10" xfId="0" applyFill="1" applyBorder="1" applyAlignment="1">
      <alignment horizontal="center" vertical="center" wrapText="1" shrinkToFit="1"/>
    </xf>
    <xf numFmtId="0" fontId="0" fillId="8" borderId="11" xfId="0" applyFill="1" applyBorder="1" applyAlignment="1">
      <alignment horizontal="center" vertical="center" wrapText="1" shrinkToFit="1"/>
    </xf>
    <xf numFmtId="0" fontId="0" fillId="8" borderId="38" xfId="0" applyFill="1" applyBorder="1" applyAlignment="1">
      <alignment horizontal="center" vertical="center" wrapText="1" shrinkToFit="1"/>
    </xf>
    <xf numFmtId="0" fontId="10" fillId="8" borderId="29" xfId="0" applyFont="1" applyFill="1" applyBorder="1" applyAlignment="1">
      <alignment horizontal="center" vertical="center"/>
    </xf>
    <xf numFmtId="0" fontId="10" fillId="8" borderId="21" xfId="0" applyFont="1" applyFill="1" applyBorder="1" applyAlignment="1">
      <alignment horizontal="center" vertical="center"/>
    </xf>
    <xf numFmtId="0" fontId="10" fillId="8" borderId="30" xfId="0" applyFont="1" applyFill="1" applyBorder="1" applyAlignment="1">
      <alignment horizontal="center" vertical="center"/>
    </xf>
    <xf numFmtId="165" fontId="8" fillId="8" borderId="43" xfId="0" applyNumberFormat="1" applyFont="1" applyFill="1" applyBorder="1" applyAlignment="1">
      <alignment horizontal="center" vertical="center"/>
    </xf>
    <xf numFmtId="165" fontId="8" fillId="8" borderId="47" xfId="0" applyNumberFormat="1" applyFont="1" applyFill="1" applyBorder="1" applyAlignment="1">
      <alignment horizontal="center" vertical="center"/>
    </xf>
    <xf numFmtId="1" fontId="0" fillId="8" borderId="31" xfId="0" applyNumberFormat="1" applyFill="1" applyBorder="1" applyAlignment="1">
      <alignment horizontal="center" vertical="center"/>
    </xf>
    <xf numFmtId="1" fontId="0" fillId="8" borderId="17" xfId="0" applyNumberFormat="1" applyFill="1" applyBorder="1" applyAlignment="1">
      <alignment horizontal="center" vertical="center"/>
    </xf>
    <xf numFmtId="1" fontId="0" fillId="8" borderId="2" xfId="0" applyNumberFormat="1" applyFill="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5" fontId="0" fillId="8" borderId="84" xfId="0" applyNumberFormat="1" applyFill="1" applyBorder="1" applyAlignment="1">
      <alignment horizontal="center" vertical="center"/>
    </xf>
    <xf numFmtId="165" fontId="0" fillId="8" borderId="85" xfId="0" applyNumberFormat="1" applyFill="1" applyBorder="1" applyAlignment="1">
      <alignment horizontal="center" vertical="center"/>
    </xf>
    <xf numFmtId="165" fontId="8" fillId="4" borderId="0" xfId="0" applyNumberFormat="1" applyFont="1" applyFill="1" applyAlignment="1" applyProtection="1">
      <alignment horizontal="center" vertical="center" wrapText="1" shrinkToFit="1"/>
      <protection locked="0"/>
    </xf>
    <xf numFmtId="0" fontId="8" fillId="0" borderId="0" xfId="0" applyFont="1" applyAlignment="1" applyProtection="1">
      <alignment horizontal="right" wrapText="1" shrinkToFit="1"/>
      <protection locked="0"/>
    </xf>
    <xf numFmtId="14" fontId="0" fillId="4" borderId="17" xfId="0" applyNumberFormat="1" applyFill="1" applyBorder="1" applyAlignment="1" applyProtection="1">
      <alignment horizontal="center"/>
      <protection locked="0"/>
    </xf>
    <xf numFmtId="14" fontId="0" fillId="0" borderId="17" xfId="0" applyNumberFormat="1" applyBorder="1" applyAlignment="1">
      <alignment horizontal="center"/>
    </xf>
    <xf numFmtId="0" fontId="52" fillId="14" borderId="0" xfId="0" applyFont="1" applyFill="1" applyProtection="1">
      <protection locked="0"/>
    </xf>
    <xf numFmtId="0" fontId="0" fillId="13" borderId="36" xfId="0" applyFill="1" applyBorder="1" applyAlignment="1" applyProtection="1">
      <alignment wrapText="1"/>
      <protection locked="0"/>
    </xf>
    <xf numFmtId="0" fontId="8" fillId="16" borderId="29" xfId="0" applyFont="1" applyFill="1" applyBorder="1" applyAlignment="1" applyProtection="1">
      <alignment horizontal="center"/>
      <protection locked="0"/>
    </xf>
    <xf numFmtId="0" fontId="8" fillId="16" borderId="22" xfId="0" applyFont="1" applyFill="1" applyBorder="1" applyAlignment="1" applyProtection="1">
      <alignment horizontal="center"/>
      <protection locked="0"/>
    </xf>
    <xf numFmtId="0" fontId="9" fillId="6" borderId="26" xfId="0" applyFont="1" applyFill="1" applyBorder="1"/>
    <xf numFmtId="0" fontId="0" fillId="6" borderId="26" xfId="0" applyFill="1" applyBorder="1"/>
    <xf numFmtId="0" fontId="47" fillId="0" borderId="0" xfId="0" applyFont="1" applyAlignment="1">
      <alignment horizontal="center" wrapText="1" shrinkToFit="1"/>
    </xf>
    <xf numFmtId="0" fontId="52" fillId="14" borderId="94" xfId="0" applyFont="1" applyFill="1" applyBorder="1" applyAlignment="1" applyProtection="1">
      <alignment horizontal="center"/>
      <protection locked="0"/>
    </xf>
    <xf numFmtId="14" fontId="52" fillId="14" borderId="94" xfId="0" applyNumberFormat="1" applyFont="1" applyFill="1" applyBorder="1" applyAlignment="1" applyProtection="1">
      <alignment horizontal="center"/>
      <protection locked="0"/>
    </xf>
    <xf numFmtId="0" fontId="0" fillId="4" borderId="49" xfId="0" applyFill="1" applyBorder="1" applyAlignment="1" applyProtection="1">
      <alignment wrapText="1" shrinkToFit="1"/>
      <protection locked="0"/>
    </xf>
    <xf numFmtId="0" fontId="0" fillId="4" borderId="50" xfId="0" applyFill="1" applyBorder="1" applyAlignment="1" applyProtection="1">
      <alignment wrapText="1" shrinkToFit="1"/>
      <protection locked="0"/>
    </xf>
    <xf numFmtId="0" fontId="8" fillId="0" borderId="15" xfId="0" applyFont="1" applyBorder="1" applyAlignment="1">
      <alignment horizontal="left" wrapText="1" shrinkToFit="1"/>
    </xf>
    <xf numFmtId="0" fontId="8" fillId="0" borderId="36" xfId="0" applyFont="1" applyBorder="1" applyAlignment="1">
      <alignment horizontal="left" wrapText="1" shrinkToFit="1"/>
    </xf>
    <xf numFmtId="0" fontId="8" fillId="0" borderId="81" xfId="0" applyFont="1" applyBorder="1" applyAlignment="1">
      <alignment horizontal="left" wrapText="1" shrinkToFit="1"/>
    </xf>
    <xf numFmtId="0" fontId="8" fillId="4" borderId="36" xfId="0" applyFont="1" applyFill="1" applyBorder="1" applyAlignment="1" applyProtection="1">
      <alignment horizontal="left" wrapText="1" shrinkToFit="1"/>
      <protection locked="0"/>
    </xf>
    <xf numFmtId="0" fontId="8" fillId="4" borderId="49" xfId="0" applyFont="1" applyFill="1" applyBorder="1" applyAlignment="1" applyProtection="1">
      <alignment horizontal="left" wrapText="1" shrinkToFit="1"/>
      <protection locked="0"/>
    </xf>
    <xf numFmtId="0" fontId="0" fillId="4" borderId="49" xfId="0" applyFill="1" applyBorder="1" applyAlignment="1" applyProtection="1">
      <alignment horizontal="left" wrapText="1" shrinkToFit="1"/>
      <protection locked="0"/>
    </xf>
    <xf numFmtId="0" fontId="0" fillId="4" borderId="36" xfId="0" applyFill="1" applyBorder="1" applyAlignment="1" applyProtection="1">
      <alignment horizontal="center"/>
      <protection locked="0"/>
    </xf>
    <xf numFmtId="0" fontId="10" fillId="15" borderId="0" xfId="0" applyFont="1" applyFill="1" applyAlignment="1">
      <alignment horizont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34" fillId="0" borderId="77" xfId="0" applyFont="1" applyBorder="1" applyAlignment="1">
      <alignment horizontal="center" vertical="center" wrapText="1" shrinkToFit="1"/>
    </xf>
    <xf numFmtId="0" fontId="34" fillId="0" borderId="28" xfId="0" applyFont="1" applyBorder="1" applyAlignment="1">
      <alignment horizontal="center" vertical="center" wrapText="1" shrinkToFit="1"/>
    </xf>
    <xf numFmtId="0" fontId="34" fillId="0" borderId="78" xfId="0" applyFont="1" applyBorder="1" applyAlignment="1">
      <alignment horizontal="center" vertical="center" wrapText="1" shrinkToFit="1"/>
    </xf>
    <xf numFmtId="0" fontId="34" fillId="0" borderId="1" xfId="0" applyFont="1" applyBorder="1" applyAlignment="1">
      <alignment horizontal="center" vertical="center" wrapText="1" shrinkToFit="1"/>
    </xf>
    <xf numFmtId="0" fontId="34" fillId="0" borderId="79" xfId="0" applyFont="1" applyBorder="1" applyAlignment="1">
      <alignment horizontal="center" vertical="center" wrapText="1" shrinkToFit="1"/>
    </xf>
    <xf numFmtId="0" fontId="34" fillId="0" borderId="75" xfId="0" applyFont="1" applyBorder="1" applyAlignment="1">
      <alignment horizontal="center" vertical="center" wrapText="1" shrinkToFit="1"/>
    </xf>
    <xf numFmtId="0" fontId="34" fillId="0" borderId="8"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74" xfId="0" applyFont="1" applyBorder="1" applyAlignment="1">
      <alignment horizontal="center" vertical="center" wrapText="1"/>
    </xf>
    <xf numFmtId="0" fontId="34" fillId="0" borderId="76" xfId="0" applyFont="1" applyBorder="1" applyAlignment="1">
      <alignment horizontal="center" vertical="center" wrapText="1"/>
    </xf>
    <xf numFmtId="10" fontId="0" fillId="5" borderId="6" xfId="0" applyNumberFormat="1" applyFill="1" applyBorder="1" applyAlignment="1">
      <alignment horizontal="center" vertical="center"/>
    </xf>
    <xf numFmtId="10" fontId="0" fillId="5" borderId="7" xfId="0" applyNumberFormat="1" applyFill="1" applyBorder="1" applyAlignment="1">
      <alignment horizontal="center" vertical="center"/>
    </xf>
    <xf numFmtId="10" fontId="0" fillId="5" borderId="0" xfId="0" applyNumberFormat="1" applyFill="1" applyAlignment="1">
      <alignment horizontal="center" vertical="center"/>
    </xf>
    <xf numFmtId="0" fontId="58" fillId="20" borderId="13" xfId="8" applyFont="1" applyFill="1" applyBorder="1" applyAlignment="1">
      <alignment horizontal="center" vertical="center" wrapText="1"/>
    </xf>
    <xf numFmtId="0" fontId="58" fillId="20" borderId="49" xfId="8" applyFont="1" applyFill="1" applyBorder="1" applyAlignment="1">
      <alignment horizontal="center" vertical="center" wrapText="1"/>
    </xf>
    <xf numFmtId="0" fontId="58" fillId="20" borderId="50" xfId="8" applyFont="1" applyFill="1" applyBorder="1" applyAlignment="1">
      <alignment horizontal="center" vertical="center" wrapText="1"/>
    </xf>
    <xf numFmtId="0" fontId="3" fillId="4" borderId="31" xfId="8" applyFont="1" applyFill="1" applyBorder="1" applyAlignment="1" applyProtection="1">
      <alignment horizontal="left" vertical="top" shrinkToFit="1"/>
      <protection locked="0"/>
    </xf>
    <xf numFmtId="0" fontId="6" fillId="4" borderId="17" xfId="8" applyFont="1" applyFill="1" applyBorder="1" applyAlignment="1" applyProtection="1">
      <alignment horizontal="left" vertical="top" shrinkToFit="1"/>
      <protection locked="0"/>
    </xf>
    <xf numFmtId="0" fontId="6" fillId="4" borderId="18" xfId="8" applyFont="1" applyFill="1" applyBorder="1" applyAlignment="1" applyProtection="1">
      <alignment horizontal="left" vertical="top" shrinkToFit="1"/>
      <protection locked="0"/>
    </xf>
    <xf numFmtId="0" fontId="7" fillId="0" borderId="13" xfId="8" applyBorder="1" applyAlignment="1">
      <alignment horizontal="left" vertical="center" wrapText="1"/>
    </xf>
    <xf numFmtId="0" fontId="7" fillId="0" borderId="49" xfId="8" applyBorder="1" applyAlignment="1">
      <alignment horizontal="left" vertical="center" wrapText="1"/>
    </xf>
    <xf numFmtId="0" fontId="7" fillId="0" borderId="101" xfId="8" applyBorder="1" applyAlignment="1">
      <alignment horizontal="left" vertical="center" wrapText="1"/>
    </xf>
    <xf numFmtId="0" fontId="57" fillId="0" borderId="13" xfId="8" applyFont="1" applyBorder="1" applyAlignment="1">
      <alignment horizontal="right" vertical="center" wrapText="1"/>
    </xf>
    <xf numFmtId="0" fontId="57" fillId="0" borderId="49" xfId="8" applyFont="1" applyBorder="1" applyAlignment="1">
      <alignment horizontal="right" vertical="center" wrapText="1"/>
    </xf>
    <xf numFmtId="0" fontId="57" fillId="0" borderId="102" xfId="8" applyFont="1" applyBorder="1" applyAlignment="1">
      <alignment horizontal="center" vertical="center" wrapText="1"/>
    </xf>
    <xf numFmtId="0" fontId="57" fillId="0" borderId="49" xfId="8" applyFont="1" applyBorder="1" applyAlignment="1">
      <alignment horizontal="center" vertical="center" wrapText="1"/>
    </xf>
    <xf numFmtId="0" fontId="57" fillId="0" borderId="26" xfId="8" applyFont="1" applyBorder="1" applyAlignment="1">
      <alignment horizontal="center" vertical="center" wrapText="1"/>
    </xf>
    <xf numFmtId="0" fontId="57" fillId="0" borderId="27" xfId="8" applyFont="1" applyBorder="1" applyAlignment="1">
      <alignment horizontal="center" vertical="center" wrapText="1"/>
    </xf>
    <xf numFmtId="0" fontId="7" fillId="0" borderId="13" xfId="8" applyBorder="1" applyAlignment="1">
      <alignment horizontal="center" vertical="center"/>
    </xf>
    <xf numFmtId="0" fontId="7" fillId="0" borderId="49" xfId="8" applyBorder="1" applyAlignment="1">
      <alignment horizontal="center" vertical="center"/>
    </xf>
    <xf numFmtId="0" fontId="7" fillId="0" borderId="36" xfId="8" applyBorder="1" applyAlignment="1">
      <alignment horizontal="center" vertical="center"/>
    </xf>
    <xf numFmtId="0" fontId="7" fillId="0" borderId="81" xfId="8" applyBorder="1" applyAlignment="1">
      <alignment horizontal="center" vertical="center"/>
    </xf>
    <xf numFmtId="0" fontId="7" fillId="0" borderId="9" xfId="8" applyBorder="1" applyAlignment="1">
      <alignment horizontal="right" vertical="center"/>
    </xf>
    <xf numFmtId="0" fontId="7" fillId="0" borderId="0" xfId="8" applyAlignment="1">
      <alignment horizontal="right" vertical="center"/>
    </xf>
    <xf numFmtId="0" fontId="7" fillId="0" borderId="16" xfId="8" applyBorder="1" applyAlignment="1">
      <alignment horizontal="right" vertical="center"/>
    </xf>
    <xf numFmtId="0" fontId="7" fillId="0" borderId="26" xfId="8" applyBorder="1" applyAlignment="1">
      <alignment horizontal="right" vertical="center"/>
    </xf>
    <xf numFmtId="0" fontId="7" fillId="0" borderId="18" xfId="8" applyBorder="1" applyAlignment="1">
      <alignment horizontal="right" vertical="center"/>
    </xf>
    <xf numFmtId="0" fontId="7" fillId="0" borderId="23" xfId="8" applyBorder="1" applyAlignment="1">
      <alignment horizontal="right" vertical="center"/>
    </xf>
    <xf numFmtId="0" fontId="7" fillId="17" borderId="15" xfId="8" applyFill="1" applyBorder="1" applyAlignment="1">
      <alignment horizontal="right" vertical="center"/>
    </xf>
    <xf numFmtId="0" fontId="7" fillId="17" borderId="36" xfId="8" applyFill="1" applyBorder="1" applyAlignment="1">
      <alignment horizontal="right" vertical="center"/>
    </xf>
    <xf numFmtId="0" fontId="7" fillId="0" borderId="22" xfId="8" applyBorder="1" applyAlignment="1">
      <alignment horizontal="right" vertical="center"/>
    </xf>
    <xf numFmtId="0" fontId="7" fillId="0" borderId="43" xfId="8" applyBorder="1" applyAlignment="1">
      <alignment horizontal="right" vertical="center"/>
    </xf>
    <xf numFmtId="0" fontId="6" fillId="0" borderId="12" xfId="8" applyFont="1" applyBorder="1" applyAlignment="1">
      <alignment horizontal="right" vertical="center"/>
    </xf>
    <xf numFmtId="0" fontId="6" fillId="0" borderId="25" xfId="8" applyFont="1" applyBorder="1" applyAlignment="1">
      <alignment horizontal="right" vertical="center"/>
    </xf>
    <xf numFmtId="0" fontId="55" fillId="0" borderId="102" xfId="8" applyFont="1" applyBorder="1" applyAlignment="1">
      <alignment horizontal="left" vertical="center" wrapText="1"/>
    </xf>
    <xf numFmtId="0" fontId="55" fillId="0" borderId="49" xfId="8" applyFont="1" applyBorder="1" applyAlignment="1">
      <alignment horizontal="left" vertical="center" wrapText="1"/>
    </xf>
    <xf numFmtId="0" fontId="55" fillId="0" borderId="50" xfId="8" applyFont="1" applyBorder="1" applyAlignment="1">
      <alignment horizontal="left" vertical="center" wrapText="1"/>
    </xf>
    <xf numFmtId="0" fontId="55" fillId="0" borderId="13" xfId="8" applyFont="1" applyBorder="1" applyAlignment="1">
      <alignment horizontal="right" vertical="center" wrapText="1"/>
    </xf>
    <xf numFmtId="0" fontId="55" fillId="0" borderId="49" xfId="8" applyFont="1" applyBorder="1" applyAlignment="1">
      <alignment horizontal="right" vertical="center" wrapText="1"/>
    </xf>
    <xf numFmtId="0" fontId="55" fillId="0" borderId="50" xfId="8" applyFont="1" applyBorder="1" applyAlignment="1">
      <alignment horizontal="right" vertical="center" wrapText="1"/>
    </xf>
    <xf numFmtId="0" fontId="7" fillId="0" borderId="50" xfId="8" applyBorder="1" applyAlignment="1">
      <alignment horizontal="left" vertical="center" wrapText="1"/>
    </xf>
    <xf numFmtId="0" fontId="7" fillId="0" borderId="29" xfId="8" applyBorder="1" applyAlignment="1">
      <alignment horizontal="center"/>
    </xf>
    <xf numFmtId="0" fontId="7" fillId="0" borderId="30" xfId="8" applyBorder="1" applyAlignment="1">
      <alignment horizontal="center"/>
    </xf>
    <xf numFmtId="0" fontId="7" fillId="0" borderId="20" xfId="8" applyBorder="1" applyAlignment="1">
      <alignment horizontal="center"/>
    </xf>
    <xf numFmtId="0" fontId="7" fillId="0" borderId="21" xfId="8" applyBorder="1" applyAlignment="1">
      <alignment horizontal="center"/>
    </xf>
    <xf numFmtId="0" fontId="7" fillId="0" borderId="22" xfId="8" applyBorder="1" applyAlignment="1">
      <alignment horizontal="center"/>
    </xf>
    <xf numFmtId="0" fontId="10" fillId="0" borderId="0" xfId="0" applyFont="1" applyAlignment="1" applyProtection="1">
      <alignment horizontal="center" vertical="center"/>
      <protection hidden="1"/>
    </xf>
    <xf numFmtId="1" fontId="8" fillId="0" borderId="11" xfId="0" applyNumberFormat="1" applyFont="1" applyBorder="1" applyAlignment="1">
      <alignment horizontal="center"/>
    </xf>
    <xf numFmtId="2" fontId="8" fillId="0" borderId="11" xfId="0" applyNumberFormat="1" applyFont="1" applyBorder="1" applyAlignment="1">
      <alignment horizontal="center"/>
    </xf>
    <xf numFmtId="0" fontId="10" fillId="0" borderId="0" xfId="0" applyFont="1" applyAlignment="1">
      <alignment horizontal="center"/>
    </xf>
    <xf numFmtId="0" fontId="0" fillId="0" borderId="0" xfId="0" applyAlignment="1">
      <alignment horizontal="right"/>
    </xf>
    <xf numFmtId="0" fontId="10" fillId="0" borderId="0" xfId="0" applyFont="1" applyAlignment="1">
      <alignment horizontal="right"/>
    </xf>
    <xf numFmtId="2" fontId="0" fillId="0" borderId="0" xfId="0" applyNumberFormat="1" applyAlignment="1">
      <alignment horizontal="center"/>
    </xf>
    <xf numFmtId="164" fontId="0" fillId="0" borderId="23" xfId="0" applyNumberFormat="1" applyBorder="1" applyAlignment="1">
      <alignment horizontal="center"/>
    </xf>
    <xf numFmtId="0" fontId="0" fillId="0" borderId="23" xfId="0" applyBorder="1" applyAlignment="1">
      <alignment horizontal="center" wrapText="1"/>
    </xf>
    <xf numFmtId="168" fontId="0" fillId="0" borderId="23" xfId="0" applyNumberFormat="1" applyBorder="1" applyAlignment="1">
      <alignment horizontal="center"/>
    </xf>
    <xf numFmtId="165" fontId="0" fillId="0" borderId="23" xfId="0" applyNumberFormat="1" applyBorder="1" applyAlignment="1">
      <alignment horizontal="center"/>
    </xf>
    <xf numFmtId="0" fontId="0" fillId="0" borderId="31"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168" fontId="0" fillId="0" borderId="31" xfId="0" applyNumberFormat="1" applyBorder="1" applyAlignment="1">
      <alignment horizontal="center"/>
    </xf>
    <xf numFmtId="168" fontId="0" fillId="0" borderId="17" xfId="0" applyNumberFormat="1" applyBorder="1" applyAlignment="1">
      <alignment horizontal="center"/>
    </xf>
    <xf numFmtId="168" fontId="0" fillId="0" borderId="18" xfId="0" applyNumberFormat="1" applyBorder="1" applyAlignment="1">
      <alignment horizontal="center"/>
    </xf>
    <xf numFmtId="168" fontId="8" fillId="0" borderId="31" xfId="0" applyNumberFormat="1" applyFont="1" applyBorder="1" applyAlignment="1">
      <alignment horizontal="center" wrapText="1"/>
    </xf>
    <xf numFmtId="168" fontId="8" fillId="0" borderId="17" xfId="0" applyNumberFormat="1" applyFont="1" applyBorder="1" applyAlignment="1">
      <alignment horizontal="center" wrapText="1"/>
    </xf>
    <xf numFmtId="168" fontId="8" fillId="0" borderId="18" xfId="0" applyNumberFormat="1" applyFont="1" applyBorder="1" applyAlignment="1">
      <alignment horizontal="center" wrapText="1"/>
    </xf>
    <xf numFmtId="0" fontId="8" fillId="0" borderId="10" xfId="0" applyFont="1" applyBorder="1" applyAlignment="1">
      <alignment horizontal="center"/>
    </xf>
    <xf numFmtId="1" fontId="0" fillId="0" borderId="11" xfId="0" applyNumberFormat="1" applyBorder="1" applyAlignment="1">
      <alignment horizontal="center"/>
    </xf>
    <xf numFmtId="0" fontId="8" fillId="0" borderId="23" xfId="0" applyFont="1" applyBorder="1" applyAlignment="1">
      <alignment horizontal="center" wrapText="1"/>
    </xf>
    <xf numFmtId="0" fontId="8" fillId="0" borderId="3" xfId="0" applyFont="1" applyBorder="1" applyAlignment="1">
      <alignment horizontal="center" vertical="center" wrapText="1" shrinkToFit="1"/>
    </xf>
    <xf numFmtId="0" fontId="8" fillId="0" borderId="10" xfId="0" applyFont="1" applyBorder="1" applyAlignment="1">
      <alignment horizontal="center" vertical="center"/>
    </xf>
    <xf numFmtId="0" fontId="8" fillId="0" borderId="31" xfId="0" applyFont="1" applyBorder="1" applyAlignment="1">
      <alignment horizontal="center" wrapText="1"/>
    </xf>
  </cellXfs>
  <cellStyles count="9">
    <cellStyle name="Comma" xfId="1" builtinId="3"/>
    <cellStyle name="Comma 2" xfId="6" xr:uid="{00000000-0005-0000-0000-000001000000}"/>
    <cellStyle name="Normal" xfId="0" builtinId="0"/>
    <cellStyle name="Normal 2" xfId="4" xr:uid="{00000000-0005-0000-0000-000003000000}"/>
    <cellStyle name="Normal 2 2" xfId="2" xr:uid="{00000000-0005-0000-0000-000004000000}"/>
    <cellStyle name="Normal 3" xfId="5" xr:uid="{00000000-0005-0000-0000-000005000000}"/>
    <cellStyle name="Normal 3 2" xfId="3" xr:uid="{00000000-0005-0000-0000-000006000000}"/>
    <cellStyle name="Normal 4" xfId="8" xr:uid="{E57D794C-588C-45C3-9D08-E04085D89B45}"/>
    <cellStyle name="Percent" xfId="7" builtinId="5"/>
  </cellStyles>
  <dxfs count="69">
    <dxf>
      <font>
        <color rgb="FF9C0006"/>
      </font>
      <fill>
        <patternFill>
          <bgColor rgb="FFFFC7CE"/>
        </patternFill>
      </fill>
    </dxf>
    <dxf>
      <numFmt numFmtId="175" formatCode=";;;"/>
    </dxf>
    <dxf>
      <numFmt numFmtId="175" formatCode=";;;"/>
    </dxf>
    <dxf>
      <numFmt numFmtId="175" formatCode=";;;"/>
    </dxf>
    <dxf>
      <numFmt numFmtId="175" formatCode=";;;"/>
    </dxf>
    <dxf>
      <numFmt numFmtId="175" formatCode=";;;"/>
    </dxf>
    <dxf>
      <numFmt numFmtId="175" formatCode=";;;"/>
    </dxf>
    <dxf>
      <numFmt numFmtId="175" formatCode=";;;"/>
    </dxf>
    <dxf>
      <font>
        <color theme="0"/>
      </font>
    </dxf>
    <dxf>
      <font>
        <color theme="0"/>
      </font>
    </dxf>
    <dxf>
      <numFmt numFmtId="175" formatCode=";;;"/>
    </dxf>
    <dxf>
      <font>
        <color theme="0"/>
      </font>
    </dxf>
    <dxf>
      <numFmt numFmtId="175" formatCode=";;;"/>
    </dxf>
    <dxf>
      <font>
        <color theme="0"/>
      </font>
    </dxf>
    <dxf>
      <numFmt numFmtId="175" formatCode=";;;"/>
    </dxf>
    <dxf>
      <font>
        <color rgb="FFFF0000"/>
      </font>
    </dxf>
    <dxf>
      <font>
        <color rgb="FF9C0006"/>
      </font>
      <fill>
        <patternFill>
          <bgColor rgb="FFFFC7CE"/>
        </patternFill>
      </fill>
    </dxf>
    <dxf>
      <font>
        <color rgb="FF006100"/>
      </font>
      <fill>
        <patternFill>
          <bgColor rgb="FFC6EFCE"/>
        </patternFill>
      </fill>
    </dxf>
    <dxf>
      <numFmt numFmtId="175" formatCode=";;;"/>
    </dxf>
    <dxf>
      <font>
        <color rgb="FF9C0006"/>
      </font>
      <fill>
        <patternFill>
          <bgColor rgb="FFFFC7CE"/>
        </patternFill>
      </fill>
    </dxf>
    <dxf>
      <font>
        <color rgb="FF006100"/>
      </font>
      <fill>
        <patternFill>
          <bgColor rgb="FFC6EFCE"/>
        </patternFill>
      </fill>
    </dxf>
    <dxf>
      <fill>
        <patternFill>
          <bgColor theme="4" tint="0.79998168889431442"/>
        </patternFill>
      </fill>
    </dxf>
    <dxf>
      <font>
        <b/>
        <i val="0"/>
      </font>
      <fill>
        <patternFill>
          <bgColor rgb="FF92D050"/>
        </patternFill>
      </fill>
    </dxf>
    <dxf>
      <font>
        <b/>
        <i val="0"/>
      </font>
      <fill>
        <patternFill>
          <bgColor rgb="FFFF3300"/>
        </patternFill>
      </fill>
    </dxf>
    <dxf>
      <numFmt numFmtId="175" formatCode=";;;"/>
    </dxf>
    <dxf>
      <fill>
        <patternFill>
          <bgColor theme="4" tint="0.79998168889431442"/>
        </patternFill>
      </fill>
    </dxf>
    <dxf>
      <font>
        <color rgb="FFFF0000"/>
      </font>
    </dxf>
    <dxf>
      <font>
        <b val="0"/>
        <i val="0"/>
        <color theme="9" tint="-0.24994659260841701"/>
      </font>
    </dxf>
    <dxf>
      <font>
        <color theme="0"/>
      </font>
    </dxf>
    <dxf>
      <font>
        <color theme="0"/>
      </font>
    </dxf>
    <dxf>
      <font>
        <color theme="0"/>
      </font>
    </dxf>
    <dxf>
      <font>
        <color auto="1"/>
      </font>
      <fill>
        <patternFill patternType="solid">
          <bgColor rgb="FFFF0000"/>
        </patternFill>
      </fill>
    </dxf>
    <dxf>
      <fill>
        <patternFill>
          <bgColor rgb="FFFF0000"/>
        </patternFill>
      </fill>
    </dxf>
    <dxf>
      <font>
        <color auto="1"/>
      </font>
      <fill>
        <patternFill>
          <bgColor theme="0"/>
        </patternFill>
      </fill>
    </dxf>
    <dxf>
      <font>
        <color auto="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rgb="FFFF0000"/>
        </patternFill>
      </fill>
    </dxf>
    <dxf>
      <fill>
        <patternFill>
          <bgColor rgb="FFFFFF00"/>
        </patternFill>
      </fill>
    </dxf>
    <dxf>
      <font>
        <color rgb="FFFF0000"/>
      </font>
    </dxf>
    <dxf>
      <font>
        <color theme="0"/>
      </font>
    </dxf>
    <dxf>
      <fill>
        <patternFill>
          <bgColor theme="4" tint="0.79998168889431442"/>
        </patternFill>
      </fill>
    </dxf>
    <dxf>
      <font>
        <b/>
        <i val="0"/>
      </font>
      <fill>
        <patternFill>
          <bgColor rgb="FF92D050"/>
        </patternFill>
      </fill>
    </dxf>
    <dxf>
      <font>
        <b/>
        <i val="0"/>
      </font>
      <fill>
        <patternFill>
          <bgColor rgb="FFFF3300"/>
        </patternFill>
      </fill>
    </dxf>
    <dxf>
      <font>
        <b/>
        <i val="0"/>
      </font>
      <fill>
        <patternFill>
          <bgColor rgb="FF92D050"/>
        </patternFill>
      </fill>
    </dxf>
    <dxf>
      <font>
        <b/>
        <i val="0"/>
      </font>
      <fill>
        <patternFill>
          <bgColor rgb="FFFF3300"/>
        </patternFill>
      </fill>
    </dxf>
    <dxf>
      <fill>
        <patternFill>
          <bgColor rgb="FFFF3300"/>
        </patternFill>
      </fill>
    </dxf>
    <dxf>
      <fill>
        <patternFill>
          <bgColor rgb="FFFF0000"/>
        </patternFill>
      </fill>
    </dxf>
    <dxf>
      <numFmt numFmtId="175" formatCode=";;;"/>
    </dxf>
    <dxf>
      <fill>
        <patternFill>
          <bgColor theme="4" tint="0.79998168889431442"/>
        </patternFill>
      </fill>
    </dxf>
    <dxf>
      <font>
        <b val="0"/>
        <i val="0"/>
        <color theme="9" tint="-0.24994659260841701"/>
      </font>
    </dxf>
    <dxf>
      <font>
        <color theme="0"/>
      </font>
    </dxf>
    <dxf>
      <font>
        <color theme="0"/>
      </font>
    </dxf>
    <dxf>
      <font>
        <color theme="0"/>
      </font>
    </dxf>
    <dxf>
      <numFmt numFmtId="175" formatCode=";;;"/>
    </dxf>
    <dxf>
      <numFmt numFmtId="175" formatCode=";;;"/>
    </dxf>
    <dxf>
      <numFmt numFmtId="175" formatCode=";;;"/>
    </dxf>
    <dxf>
      <numFmt numFmtId="175" formatCode=";;;"/>
    </dxf>
    <dxf>
      <numFmt numFmtId="175" formatCode=";;;"/>
    </dxf>
    <dxf>
      <numFmt numFmtId="175" formatCode=";;;"/>
    </dxf>
    <dxf>
      <font>
        <color theme="0"/>
      </font>
    </dxf>
    <dxf>
      <font>
        <color theme="0"/>
      </font>
    </dxf>
    <dxf>
      <numFmt numFmtId="175" formatCode=";;;"/>
    </dxf>
    <dxf>
      <font>
        <color theme="0"/>
      </font>
    </dxf>
    <dxf>
      <numFmt numFmtId="175" formatCode=";;;"/>
    </dxf>
    <dxf>
      <font>
        <color theme="0"/>
      </font>
    </dxf>
    <dxf>
      <numFmt numFmtId="175" formatCode=";;;"/>
    </dxf>
  </dxfs>
  <tableStyles count="0" defaultTableStyle="TableStyleMedium9" defaultPivotStyle="PivotStyleLight16"/>
  <colors>
    <mruColors>
      <color rgb="FF808080"/>
      <color rgb="FF969696"/>
      <color rgb="FFC6C3B6"/>
      <color rgb="FF0000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a:pPr>
            <a:r>
              <a:rPr lang="en-US" sz="1400"/>
              <a:t>Tarantula</a:t>
            </a:r>
          </a:p>
        </c:rich>
      </c:tx>
      <c:overlay val="0"/>
      <c:spPr>
        <a:noFill/>
        <a:ln>
          <a:noFill/>
        </a:ln>
        <a:effectLst/>
      </c:spPr>
    </c:title>
    <c:autoTitleDeleted val="0"/>
    <c:plotArea>
      <c:layout>
        <c:manualLayout>
          <c:layoutTarget val="inner"/>
          <c:xMode val="edge"/>
          <c:yMode val="edge"/>
          <c:x val="0.10290789392888988"/>
          <c:y val="0.15142926833001738"/>
          <c:w val="0.87439258641502182"/>
          <c:h val="0.70950559079942954"/>
        </c:manualLayout>
      </c:layout>
      <c:lineChart>
        <c:grouping val="standard"/>
        <c:varyColors val="0"/>
        <c:ser>
          <c:idx val="0"/>
          <c:order val="0"/>
          <c:spPr>
            <a:ln w="28575" cap="rnd">
              <a:solidFill>
                <a:srgbClr val="FF6600"/>
              </a:solidFill>
              <a:round/>
            </a:ln>
            <a:effectLst/>
          </c:spPr>
          <c:marker>
            <c:symbol val="none"/>
          </c:marker>
          <c:cat>
            <c:strRef>
              <c:f>Gradation!$B$7:$B$18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Gradation!$M$7:$M$18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AEF-4FF7-8E20-A09128E20B8F}"/>
            </c:ext>
          </c:extLst>
        </c:ser>
        <c:ser>
          <c:idx val="1"/>
          <c:order val="1"/>
          <c:tx>
            <c:v>Min</c:v>
          </c:tx>
          <c:spPr>
            <a:ln w="28575" cap="rnd">
              <a:solidFill>
                <a:schemeClr val="bg1">
                  <a:lumMod val="85000"/>
                </a:schemeClr>
              </a:solidFill>
              <a:prstDash val="solid"/>
              <a:round/>
            </a:ln>
            <a:effectLst/>
          </c:spPr>
          <c:marker>
            <c:symbol val="none"/>
          </c:marker>
          <c:dPt>
            <c:idx val="1"/>
            <c:bubble3D val="0"/>
            <c:spPr>
              <a:ln w="28575" cap="rnd">
                <a:solidFill>
                  <a:schemeClr val="bg2"/>
                </a:solidFill>
                <a:prstDash val="solid"/>
                <a:round/>
              </a:ln>
              <a:effectLst/>
            </c:spPr>
            <c:extLst>
              <c:ext xmlns:c16="http://schemas.microsoft.com/office/drawing/2014/chart" uri="{C3380CC4-5D6E-409C-BE32-E72D297353CC}">
                <c16:uniqueId val="{00000002-AAEF-4FF7-8E20-A09128E20B8F}"/>
              </c:ext>
            </c:extLst>
          </c:dPt>
          <c:dPt>
            <c:idx val="2"/>
            <c:bubble3D val="0"/>
            <c:spPr>
              <a:ln w="28575" cap="rnd">
                <a:solidFill>
                  <a:schemeClr val="bg2"/>
                </a:solidFill>
                <a:prstDash val="solid"/>
                <a:round/>
              </a:ln>
              <a:effectLst/>
            </c:spPr>
            <c:extLst>
              <c:ext xmlns:c16="http://schemas.microsoft.com/office/drawing/2014/chart" uri="{C3380CC4-5D6E-409C-BE32-E72D297353CC}">
                <c16:uniqueId val="{00000004-AAEF-4FF7-8E20-A09128E20B8F}"/>
              </c:ext>
            </c:extLst>
          </c:dPt>
          <c:dPt>
            <c:idx val="3"/>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6-AAEF-4FF7-8E20-A09128E20B8F}"/>
              </c:ext>
            </c:extLst>
          </c:dPt>
          <c:dPt>
            <c:idx val="4"/>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8-AAEF-4FF7-8E20-A09128E20B8F}"/>
              </c:ext>
            </c:extLst>
          </c:dPt>
          <c:dPt>
            <c:idx val="5"/>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A-AAEF-4FF7-8E20-A09128E20B8F}"/>
              </c:ext>
            </c:extLst>
          </c:dPt>
          <c:dPt>
            <c:idx val="6"/>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C-AAEF-4FF7-8E20-A09128E20B8F}"/>
              </c:ext>
            </c:extLst>
          </c:dPt>
          <c:dPt>
            <c:idx val="7"/>
            <c:bubble3D val="0"/>
            <c:spPr>
              <a:ln w="28575" cap="rnd">
                <a:solidFill>
                  <a:schemeClr val="bg2"/>
                </a:solidFill>
                <a:prstDash val="solid"/>
                <a:round/>
              </a:ln>
              <a:effectLst/>
            </c:spPr>
            <c:extLst>
              <c:ext xmlns:c16="http://schemas.microsoft.com/office/drawing/2014/chart" uri="{C3380CC4-5D6E-409C-BE32-E72D297353CC}">
                <c16:uniqueId val="{0000000E-AAEF-4FF7-8E20-A09128E20B8F}"/>
              </c:ext>
            </c:extLst>
          </c:dPt>
          <c:dPt>
            <c:idx val="8"/>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0-AAEF-4FF7-8E20-A09128E20B8F}"/>
              </c:ext>
            </c:extLst>
          </c:dPt>
          <c:dPt>
            <c:idx val="9"/>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2-AAEF-4FF7-8E20-A09128E20B8F}"/>
              </c:ext>
            </c:extLst>
          </c:dPt>
          <c:dPt>
            <c:idx val="10"/>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4-AAEF-4FF7-8E20-A09128E20B8F}"/>
              </c:ext>
            </c:extLst>
          </c:dPt>
          <c:dPt>
            <c:idx val="11"/>
            <c:bubble3D val="0"/>
            <c:spPr>
              <a:ln w="28575" cap="rnd">
                <a:solidFill>
                  <a:schemeClr val="bg1">
                    <a:lumMod val="95000"/>
                  </a:schemeClr>
                </a:solidFill>
                <a:prstDash val="solid"/>
                <a:round/>
              </a:ln>
              <a:effectLst/>
            </c:spPr>
            <c:extLst>
              <c:ext xmlns:c16="http://schemas.microsoft.com/office/drawing/2014/chart" uri="{C3380CC4-5D6E-409C-BE32-E72D297353CC}">
                <c16:uniqueId val="{00000016-AAEF-4FF7-8E20-A09128E20B8F}"/>
              </c:ext>
            </c:extLst>
          </c:dPt>
          <c:val>
            <c:numRef>
              <c:f>Gradation!$N$7:$N$18</c:f>
              <c:numCache>
                <c:formatCode>General</c:formatCode>
                <c:ptCount val="12"/>
                <c:pt idx="0">
                  <c:v>0</c:v>
                </c:pt>
                <c:pt idx="1">
                  <c:v>0</c:v>
                </c:pt>
                <c:pt idx="2">
                  <c:v>0</c:v>
                </c:pt>
                <c:pt idx="3">
                  <c:v>4</c:v>
                </c:pt>
                <c:pt idx="4">
                  <c:v>4</c:v>
                </c:pt>
                <c:pt idx="5">
                  <c:v>4</c:v>
                </c:pt>
                <c:pt idx="6">
                  <c:v>0</c:v>
                </c:pt>
                <c:pt idx="7">
                  <c:v>0</c:v>
                </c:pt>
                <c:pt idx="8">
                  <c:v>4</c:v>
                </c:pt>
                <c:pt idx="9">
                  <c:v>4</c:v>
                </c:pt>
                <c:pt idx="10">
                  <c:v>0</c:v>
                </c:pt>
                <c:pt idx="11">
                  <c:v>0</c:v>
                </c:pt>
              </c:numCache>
            </c:numRef>
          </c:val>
          <c:smooth val="0"/>
          <c:extLst>
            <c:ext xmlns:c16="http://schemas.microsoft.com/office/drawing/2014/chart" uri="{C3380CC4-5D6E-409C-BE32-E72D297353CC}">
              <c16:uniqueId val="{00000017-AAEF-4FF7-8E20-A09128E20B8F}"/>
            </c:ext>
          </c:extLst>
        </c:ser>
        <c:ser>
          <c:idx val="2"/>
          <c:order val="2"/>
          <c:tx>
            <c:v>Max</c:v>
          </c:tx>
          <c:spPr>
            <a:ln w="28575" cap="rnd">
              <a:solidFill>
                <a:schemeClr val="bg2">
                  <a:lumMod val="75000"/>
                </a:schemeClr>
              </a:solidFill>
              <a:prstDash val="solid"/>
              <a:round/>
            </a:ln>
            <a:effectLst/>
          </c:spPr>
          <c:marker>
            <c:symbol val="none"/>
          </c:marker>
          <c:val>
            <c:numRef>
              <c:f>Gradation!$O$7:$O$18</c:f>
              <c:numCache>
                <c:formatCode>General</c:formatCode>
                <c:ptCount val="12"/>
                <c:pt idx="0">
                  <c:v>0</c:v>
                </c:pt>
                <c:pt idx="1">
                  <c:v>16</c:v>
                </c:pt>
                <c:pt idx="2">
                  <c:v>20</c:v>
                </c:pt>
                <c:pt idx="3">
                  <c:v>20</c:v>
                </c:pt>
                <c:pt idx="4">
                  <c:v>20</c:v>
                </c:pt>
                <c:pt idx="5">
                  <c:v>20</c:v>
                </c:pt>
                <c:pt idx="6">
                  <c:v>12</c:v>
                </c:pt>
                <c:pt idx="7">
                  <c:v>12</c:v>
                </c:pt>
                <c:pt idx="8">
                  <c:v>20</c:v>
                </c:pt>
                <c:pt idx="9">
                  <c:v>20</c:v>
                </c:pt>
                <c:pt idx="10">
                  <c:v>10</c:v>
                </c:pt>
                <c:pt idx="11">
                  <c:v>2</c:v>
                </c:pt>
              </c:numCache>
            </c:numRef>
          </c:val>
          <c:smooth val="0"/>
          <c:extLst>
            <c:ext xmlns:c16="http://schemas.microsoft.com/office/drawing/2014/chart" uri="{C3380CC4-5D6E-409C-BE32-E72D297353CC}">
              <c16:uniqueId val="{00000018-AAEF-4FF7-8E20-A09128E20B8F}"/>
            </c:ext>
          </c:extLst>
        </c:ser>
        <c:dLbls>
          <c:showLegendKey val="0"/>
          <c:showVal val="0"/>
          <c:showCatName val="0"/>
          <c:showSerName val="0"/>
          <c:showPercent val="0"/>
          <c:showBubbleSize val="0"/>
        </c:dLbls>
        <c:smooth val="0"/>
        <c:axId val="215250832"/>
        <c:axId val="216698776"/>
      </c:lineChart>
      <c:catAx>
        <c:axId val="215250832"/>
        <c:scaling>
          <c:orientation val="maxMin"/>
        </c:scaling>
        <c:delete val="0"/>
        <c:axPos val="b"/>
        <c:title>
          <c:tx>
            <c:rich>
              <a:bodyPr rot="0" vert="horz"/>
              <a:lstStyle/>
              <a:p>
                <a:pPr>
                  <a:defRPr/>
                </a:pPr>
                <a:r>
                  <a:rPr lang="en-US"/>
                  <a:t>ASTM Standard Sieve Size</a:t>
                </a:r>
              </a:p>
            </c:rich>
          </c:tx>
          <c:overlay val="0"/>
          <c:spPr>
            <a:noFill/>
            <a:ln>
              <a:noFill/>
            </a:ln>
            <a:effectLst/>
          </c:spPr>
        </c:title>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en-US"/>
          </a:p>
        </c:txPr>
        <c:crossAx val="216698776"/>
        <c:crossesAt val="0"/>
        <c:auto val="1"/>
        <c:lblAlgn val="ctr"/>
        <c:lblOffset val="100"/>
        <c:noMultiLvlLbl val="0"/>
      </c:catAx>
      <c:valAx>
        <c:axId val="216698776"/>
        <c:scaling>
          <c:orientation val="minMax"/>
        </c:scaling>
        <c:delete val="0"/>
        <c:axPos val="l"/>
        <c:majorGridlines>
          <c:spPr>
            <a:ln w="9525" cap="flat" cmpd="sng" algn="ctr">
              <a:solidFill>
                <a:schemeClr val="bg1">
                  <a:lumMod val="75000"/>
                </a:schemeClr>
              </a:solidFill>
              <a:prstDash val="dash"/>
              <a:round/>
            </a:ln>
            <a:effectLst/>
          </c:spPr>
        </c:majorGridlines>
        <c:title>
          <c:tx>
            <c:rich>
              <a:bodyPr rot="-5400000" vert="horz"/>
              <a:lstStyle/>
              <a:p>
                <a:pPr>
                  <a:defRPr/>
                </a:pPr>
                <a:r>
                  <a:rPr lang="en-US"/>
                  <a:t>% Retained (by Volume)</a:t>
                </a:r>
              </a:p>
            </c:rich>
          </c:tx>
          <c:layout>
            <c:manualLayout>
              <c:xMode val="edge"/>
              <c:yMode val="edge"/>
              <c:x val="1.2600624209067355E-2"/>
              <c:y val="0.28558006441149092"/>
            </c:manualLayout>
          </c:layout>
          <c:overlay val="0"/>
          <c:spPr>
            <a:noFill/>
            <a:ln>
              <a:noFill/>
            </a:ln>
            <a:effectLst/>
          </c:spPr>
        </c:title>
        <c:numFmt formatCode="0" sourceLinked="0"/>
        <c:majorTickMark val="none"/>
        <c:minorTickMark val="none"/>
        <c:tickLblPos val="nextTo"/>
        <c:spPr>
          <a:noFill/>
          <a:ln>
            <a:solidFill>
              <a:schemeClr val="tx1"/>
            </a:solidFill>
          </a:ln>
          <a:effectLst/>
        </c:spPr>
        <c:txPr>
          <a:bodyPr rot="-60000000" vert="horz"/>
          <a:lstStyle/>
          <a:p>
            <a:pPr>
              <a:defRPr/>
            </a:pPr>
            <a:endParaRPr lang="en-US"/>
          </a:p>
        </c:txPr>
        <c:crossAx val="215250832"/>
        <c:crosses val="max"/>
        <c:crossBetween val="between"/>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Paste Volume</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34146451131016858"/>
          <c:y val="0.12883026789188609"/>
          <c:w val="0.59323812664891884"/>
          <c:h val="0.74530851430794998"/>
        </c:manualLayout>
      </c:layout>
      <c:barChart>
        <c:barDir val="bar"/>
        <c:grouping val="clustered"/>
        <c:varyColors val="0"/>
        <c:ser>
          <c:idx val="0"/>
          <c:order val="0"/>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Gradation!$AD$2:$AD$3</c:f>
              <c:strCache>
                <c:ptCount val="2"/>
                <c:pt idx="0">
                  <c:v>Without air content</c:v>
                </c:pt>
                <c:pt idx="1">
                  <c:v>With air content</c:v>
                </c:pt>
              </c:strCache>
            </c:strRef>
          </c:cat>
          <c:val>
            <c:numRef>
              <c:f>Gradation!$AE$2:$AE$3</c:f>
              <c:numCache>
                <c:formatCode>0.0%</c:formatCode>
                <c:ptCount val="2"/>
                <c:pt idx="0">
                  <c:v>0</c:v>
                </c:pt>
                <c:pt idx="1">
                  <c:v>6.5000000000000002E-2</c:v>
                </c:pt>
              </c:numCache>
            </c:numRef>
          </c:val>
          <c:extLst>
            <c:ext xmlns:c16="http://schemas.microsoft.com/office/drawing/2014/chart" uri="{C3380CC4-5D6E-409C-BE32-E72D297353CC}">
              <c16:uniqueId val="{00000000-CC84-4341-80E4-2BC6A09F2176}"/>
            </c:ext>
          </c:extLst>
        </c:ser>
        <c:dLbls>
          <c:showLegendKey val="0"/>
          <c:showVal val="0"/>
          <c:showCatName val="0"/>
          <c:showSerName val="0"/>
          <c:showPercent val="0"/>
          <c:showBubbleSize val="0"/>
        </c:dLbls>
        <c:gapWidth val="182"/>
        <c:axId val="769450864"/>
        <c:axId val="764556544"/>
      </c:barChart>
      <c:catAx>
        <c:axId val="76945086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4556544"/>
        <c:crosses val="autoZero"/>
        <c:auto val="1"/>
        <c:lblAlgn val="ctr"/>
        <c:lblOffset val="100"/>
        <c:noMultiLvlLbl val="0"/>
      </c:catAx>
      <c:valAx>
        <c:axId val="764556544"/>
        <c:scaling>
          <c:orientation val="minMax"/>
          <c:max val="0.35000000000000003"/>
          <c:min val="0.25"/>
        </c:scaling>
        <c:delete val="0"/>
        <c:axPos val="b"/>
        <c:majorGridlines>
          <c:spPr>
            <a:ln w="9525" cap="flat" cmpd="sng" algn="ctr">
              <a:solidFill>
                <a:schemeClr val="bg1">
                  <a:lumMod val="75000"/>
                </a:schemeClr>
              </a:solidFill>
              <a:prstDash val="dash"/>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9450864"/>
        <c:crosses val="autoZero"/>
        <c:crossBetween val="between"/>
        <c:majorUnit val="2.0000000000000004E-2"/>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Coarseness Factor Chart</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555690285679869"/>
          <c:y val="0.10933613827952231"/>
          <c:w val="0.85554206765820939"/>
          <c:h val="0.75763753175547388"/>
        </c:manualLayout>
      </c:layout>
      <c:scatterChart>
        <c:scatterStyle val="lineMarker"/>
        <c:varyColors val="0"/>
        <c:ser>
          <c:idx val="1"/>
          <c:order val="0"/>
          <c:tx>
            <c:v>Zone I</c:v>
          </c:tx>
          <c:spPr>
            <a:ln w="9525" cap="rnd">
              <a:solidFill>
                <a:srgbClr val="000099"/>
              </a:solidFill>
              <a:round/>
            </a:ln>
            <a:effectLst/>
          </c:spPr>
          <c:marker>
            <c:symbol val="none"/>
          </c:marker>
          <c:xVal>
            <c:numRef>
              <c:f>Gradation!$AD$33:$AD$34</c:f>
              <c:numCache>
                <c:formatCode>General</c:formatCode>
                <c:ptCount val="2"/>
                <c:pt idx="0">
                  <c:v>75.5</c:v>
                </c:pt>
                <c:pt idx="1">
                  <c:v>75.5</c:v>
                </c:pt>
              </c:numCache>
            </c:numRef>
          </c:xVal>
          <c:yVal>
            <c:numRef>
              <c:f>Gradation!$AE$33:$AE$34</c:f>
              <c:numCache>
                <c:formatCode>General</c:formatCode>
                <c:ptCount val="2"/>
                <c:pt idx="0">
                  <c:v>28.126999999999999</c:v>
                </c:pt>
                <c:pt idx="1">
                  <c:v>39.5</c:v>
                </c:pt>
              </c:numCache>
            </c:numRef>
          </c:yVal>
          <c:smooth val="0"/>
          <c:extLst>
            <c:ext xmlns:c16="http://schemas.microsoft.com/office/drawing/2014/chart" uri="{C3380CC4-5D6E-409C-BE32-E72D297353CC}">
              <c16:uniqueId val="{00000001-79CA-47EE-B3B2-4C7A7D43B379}"/>
            </c:ext>
          </c:extLst>
        </c:ser>
        <c:ser>
          <c:idx val="0"/>
          <c:order val="1"/>
          <c:tx>
            <c:v>Zone II</c:v>
          </c:tx>
          <c:spPr>
            <a:ln w="12700" cap="rnd">
              <a:solidFill>
                <a:srgbClr val="000099"/>
              </a:solidFill>
              <a:round/>
            </a:ln>
            <a:effectLst/>
          </c:spPr>
          <c:marker>
            <c:symbol val="none"/>
          </c:marker>
          <c:xVal>
            <c:numRef>
              <c:f>Gradation!$AD$38:$AD$39</c:f>
              <c:numCache>
                <c:formatCode>General</c:formatCode>
                <c:ptCount val="2"/>
                <c:pt idx="0">
                  <c:v>46.5</c:v>
                </c:pt>
                <c:pt idx="1">
                  <c:v>46.5</c:v>
                </c:pt>
              </c:numCache>
            </c:numRef>
          </c:xVal>
          <c:yVal>
            <c:numRef>
              <c:f>Gradation!$AE$38:$AE$39</c:f>
              <c:numCache>
                <c:formatCode>General</c:formatCode>
                <c:ptCount val="2"/>
                <c:pt idx="0">
                  <c:v>32.524999999999999</c:v>
                </c:pt>
                <c:pt idx="1">
                  <c:v>43.643000000000001</c:v>
                </c:pt>
              </c:numCache>
            </c:numRef>
          </c:yVal>
          <c:smooth val="0"/>
          <c:extLst>
            <c:ext xmlns:c16="http://schemas.microsoft.com/office/drawing/2014/chart" uri="{C3380CC4-5D6E-409C-BE32-E72D297353CC}">
              <c16:uniqueId val="{00000000-79CA-47EE-B3B2-4C7A7D43B379}"/>
            </c:ext>
          </c:extLst>
        </c:ser>
        <c:ser>
          <c:idx val="2"/>
          <c:order val="2"/>
          <c:tx>
            <c:v>Trend I</c:v>
          </c:tx>
          <c:spPr>
            <a:ln w="9525" cap="rnd">
              <a:solidFill>
                <a:srgbClr val="000099"/>
              </a:solidFill>
              <a:round/>
            </a:ln>
            <a:effectLst/>
          </c:spPr>
          <c:marker>
            <c:symbol val="none"/>
          </c:marker>
          <c:xVal>
            <c:numRef>
              <c:f>Gradation!$AD$17:$AD$22</c:f>
              <c:numCache>
                <c:formatCode>General</c:formatCode>
                <c:ptCount val="6"/>
                <c:pt idx="0">
                  <c:v>100</c:v>
                </c:pt>
                <c:pt idx="1">
                  <c:v>90</c:v>
                </c:pt>
                <c:pt idx="2">
                  <c:v>80</c:v>
                </c:pt>
                <c:pt idx="3">
                  <c:v>20</c:v>
                </c:pt>
                <c:pt idx="4">
                  <c:v>10</c:v>
                </c:pt>
                <c:pt idx="5">
                  <c:v>0</c:v>
                </c:pt>
              </c:numCache>
            </c:numRef>
          </c:xVal>
          <c:yVal>
            <c:numRef>
              <c:f>Gradation!$AE$17:$AE$22</c:f>
              <c:numCache>
                <c:formatCode>General</c:formatCode>
                <c:ptCount val="6"/>
                <c:pt idx="0">
                  <c:v>25</c:v>
                </c:pt>
                <c:pt idx="1">
                  <c:v>25</c:v>
                </c:pt>
                <c:pt idx="2">
                  <c:v>25.5</c:v>
                </c:pt>
                <c:pt idx="3">
                  <c:v>34.5</c:v>
                </c:pt>
                <c:pt idx="4">
                  <c:v>35</c:v>
                </c:pt>
                <c:pt idx="5">
                  <c:v>35</c:v>
                </c:pt>
              </c:numCache>
            </c:numRef>
          </c:yVal>
          <c:smooth val="0"/>
          <c:extLst>
            <c:ext xmlns:c16="http://schemas.microsoft.com/office/drawing/2014/chart" uri="{C3380CC4-5D6E-409C-BE32-E72D297353CC}">
              <c16:uniqueId val="{00000002-79CA-47EE-B3B2-4C7A7D43B379}"/>
            </c:ext>
          </c:extLst>
        </c:ser>
        <c:ser>
          <c:idx val="3"/>
          <c:order val="3"/>
          <c:tx>
            <c:v>Trend II</c:v>
          </c:tx>
          <c:spPr>
            <a:ln w="9525" cap="rnd">
              <a:solidFill>
                <a:srgbClr val="000099"/>
              </a:solidFill>
              <a:round/>
            </a:ln>
            <a:effectLst/>
          </c:spPr>
          <c:marker>
            <c:symbol val="none"/>
          </c:marker>
          <c:xVal>
            <c:numRef>
              <c:f>Gradation!$AD$17:$AD$22</c:f>
              <c:numCache>
                <c:formatCode>General</c:formatCode>
                <c:ptCount val="6"/>
                <c:pt idx="0">
                  <c:v>100</c:v>
                </c:pt>
                <c:pt idx="1">
                  <c:v>90</c:v>
                </c:pt>
                <c:pt idx="2">
                  <c:v>80</c:v>
                </c:pt>
                <c:pt idx="3">
                  <c:v>20</c:v>
                </c:pt>
                <c:pt idx="4">
                  <c:v>10</c:v>
                </c:pt>
                <c:pt idx="5">
                  <c:v>0</c:v>
                </c:pt>
              </c:numCache>
            </c:numRef>
          </c:xVal>
          <c:yVal>
            <c:numRef>
              <c:f>Gradation!$AF$17:$AF$22</c:f>
              <c:numCache>
                <c:formatCode>General</c:formatCode>
                <c:ptCount val="6"/>
                <c:pt idx="0">
                  <c:v>27</c:v>
                </c:pt>
                <c:pt idx="1">
                  <c:v>27</c:v>
                </c:pt>
                <c:pt idx="2">
                  <c:v>27.5</c:v>
                </c:pt>
                <c:pt idx="3">
                  <c:v>36.5</c:v>
                </c:pt>
                <c:pt idx="4">
                  <c:v>37</c:v>
                </c:pt>
                <c:pt idx="5">
                  <c:v>37</c:v>
                </c:pt>
              </c:numCache>
            </c:numRef>
          </c:yVal>
          <c:smooth val="0"/>
          <c:extLst>
            <c:ext xmlns:c16="http://schemas.microsoft.com/office/drawing/2014/chart" uri="{C3380CC4-5D6E-409C-BE32-E72D297353CC}">
              <c16:uniqueId val="{00000003-79CA-47EE-B3B2-4C7A7D43B379}"/>
            </c:ext>
          </c:extLst>
        </c:ser>
        <c:ser>
          <c:idx val="4"/>
          <c:order val="4"/>
          <c:tx>
            <c:v>Top line</c:v>
          </c:tx>
          <c:spPr>
            <a:ln w="9525" cap="rnd">
              <a:solidFill>
                <a:srgbClr val="000099"/>
              </a:solidFill>
              <a:round/>
            </a:ln>
            <a:effectLst/>
          </c:spPr>
          <c:marker>
            <c:symbol val="none"/>
          </c:marker>
          <c:xVal>
            <c:numRef>
              <c:f>Gradation!$AD$28:$AD$29</c:f>
              <c:numCache>
                <c:formatCode>General</c:formatCode>
                <c:ptCount val="2"/>
                <c:pt idx="0">
                  <c:v>100</c:v>
                </c:pt>
                <c:pt idx="1">
                  <c:v>37</c:v>
                </c:pt>
              </c:numCache>
            </c:numRef>
          </c:xVal>
          <c:yVal>
            <c:numRef>
              <c:f>Gradation!$AE$28:$AE$29</c:f>
              <c:numCache>
                <c:formatCode>General</c:formatCode>
                <c:ptCount val="2"/>
                <c:pt idx="0">
                  <c:v>36</c:v>
                </c:pt>
                <c:pt idx="1">
                  <c:v>45</c:v>
                </c:pt>
              </c:numCache>
            </c:numRef>
          </c:yVal>
          <c:smooth val="0"/>
          <c:extLst>
            <c:ext xmlns:c16="http://schemas.microsoft.com/office/drawing/2014/chart" uri="{C3380CC4-5D6E-409C-BE32-E72D297353CC}">
              <c16:uniqueId val="{00000004-79CA-47EE-B3B2-4C7A7D43B379}"/>
            </c:ext>
          </c:extLst>
        </c:ser>
        <c:ser>
          <c:idx val="7"/>
          <c:order val="5"/>
          <c:tx>
            <c:v>Line 1</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8-79CA-47EE-B3B2-4C7A7D43B379}"/>
              </c:ext>
            </c:extLst>
          </c:dPt>
          <c:xVal>
            <c:numRef>
              <c:f>Gradation!$AE$43:$AE$45</c:f>
              <c:numCache>
                <c:formatCode>General</c:formatCode>
                <c:ptCount val="3"/>
                <c:pt idx="0">
                  <c:v>75.5</c:v>
                </c:pt>
                <c:pt idx="1">
                  <c:v>46.5</c:v>
                </c:pt>
                <c:pt idx="2">
                  <c:v>30</c:v>
                </c:pt>
              </c:numCache>
            </c:numRef>
          </c:xVal>
          <c:yVal>
            <c:numRef>
              <c:f>Gradation!$AF$43:$AF$45</c:f>
              <c:numCache>
                <c:formatCode>General</c:formatCode>
                <c:ptCount val="3"/>
                <c:pt idx="0">
                  <c:v>29</c:v>
                </c:pt>
                <c:pt idx="1">
                  <c:v>33.397999999999996</c:v>
                </c:pt>
                <c:pt idx="2" formatCode="0.000">
                  <c:v>35.900310344827581</c:v>
                </c:pt>
              </c:numCache>
            </c:numRef>
          </c:yVal>
          <c:smooth val="0"/>
          <c:extLst>
            <c:ext xmlns:c16="http://schemas.microsoft.com/office/drawing/2014/chart" uri="{C3380CC4-5D6E-409C-BE32-E72D297353CC}">
              <c16:uniqueId val="{00000009-79CA-47EE-B3B2-4C7A7D43B379}"/>
            </c:ext>
          </c:extLst>
        </c:ser>
        <c:ser>
          <c:idx val="8"/>
          <c:order val="6"/>
          <c:tx>
            <c:v>Line 2</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B-79CA-47EE-B3B2-4C7A7D43B379}"/>
              </c:ext>
            </c:extLst>
          </c:dPt>
          <c:xVal>
            <c:numRef>
              <c:f>Gradation!$AE$48:$AE$50</c:f>
              <c:numCache>
                <c:formatCode>General</c:formatCode>
                <c:ptCount val="3"/>
                <c:pt idx="0">
                  <c:v>75.5</c:v>
                </c:pt>
                <c:pt idx="1">
                  <c:v>46.5</c:v>
                </c:pt>
                <c:pt idx="2">
                  <c:v>30</c:v>
                </c:pt>
              </c:numCache>
            </c:numRef>
          </c:xVal>
          <c:yVal>
            <c:numRef>
              <c:f>Gradation!$AF$48:$AF$50</c:f>
              <c:numCache>
                <c:formatCode>General</c:formatCode>
                <c:ptCount val="3"/>
                <c:pt idx="0">
                  <c:v>30.33</c:v>
                </c:pt>
                <c:pt idx="1">
                  <c:v>34.727999999999994</c:v>
                </c:pt>
                <c:pt idx="2" formatCode="0.000">
                  <c:v>37.230310344827579</c:v>
                </c:pt>
              </c:numCache>
            </c:numRef>
          </c:yVal>
          <c:smooth val="0"/>
          <c:extLst>
            <c:ext xmlns:c16="http://schemas.microsoft.com/office/drawing/2014/chart" uri="{C3380CC4-5D6E-409C-BE32-E72D297353CC}">
              <c16:uniqueId val="{0000000C-79CA-47EE-B3B2-4C7A7D43B379}"/>
            </c:ext>
          </c:extLst>
        </c:ser>
        <c:ser>
          <c:idx val="9"/>
          <c:order val="7"/>
          <c:tx>
            <c:v>Line 3</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E-79CA-47EE-B3B2-4C7A7D43B379}"/>
              </c:ext>
            </c:extLst>
          </c:dPt>
          <c:xVal>
            <c:numRef>
              <c:f>Gradation!$AE$53:$AE$55</c:f>
              <c:numCache>
                <c:formatCode>General</c:formatCode>
                <c:ptCount val="3"/>
                <c:pt idx="0">
                  <c:v>75.5</c:v>
                </c:pt>
                <c:pt idx="1">
                  <c:v>46.5</c:v>
                </c:pt>
                <c:pt idx="2">
                  <c:v>30</c:v>
                </c:pt>
              </c:numCache>
            </c:numRef>
          </c:xVal>
          <c:yVal>
            <c:numRef>
              <c:f>Gradation!$AF$53:$AF$55</c:f>
              <c:numCache>
                <c:formatCode>General</c:formatCode>
                <c:ptCount val="3"/>
                <c:pt idx="0">
                  <c:v>32.33</c:v>
                </c:pt>
                <c:pt idx="1">
                  <c:v>36.727999999999994</c:v>
                </c:pt>
                <c:pt idx="2" formatCode="0.000">
                  <c:v>39.230310344827579</c:v>
                </c:pt>
              </c:numCache>
            </c:numRef>
          </c:yVal>
          <c:smooth val="0"/>
          <c:extLst>
            <c:ext xmlns:c16="http://schemas.microsoft.com/office/drawing/2014/chart" uri="{C3380CC4-5D6E-409C-BE32-E72D297353CC}">
              <c16:uniqueId val="{0000000F-79CA-47EE-B3B2-4C7A7D43B379}"/>
            </c:ext>
          </c:extLst>
        </c:ser>
        <c:ser>
          <c:idx val="10"/>
          <c:order val="8"/>
          <c:tx>
            <c:v>Line 4</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11-79CA-47EE-B3B2-4C7A7D43B379}"/>
              </c:ext>
            </c:extLst>
          </c:dPt>
          <c:xVal>
            <c:numRef>
              <c:f>Gradation!$AE$58:$AE$60</c:f>
              <c:numCache>
                <c:formatCode>General</c:formatCode>
                <c:ptCount val="3"/>
                <c:pt idx="0">
                  <c:v>75.5</c:v>
                </c:pt>
                <c:pt idx="1">
                  <c:v>46.5</c:v>
                </c:pt>
                <c:pt idx="2">
                  <c:v>30</c:v>
                </c:pt>
              </c:numCache>
            </c:numRef>
          </c:xVal>
          <c:yVal>
            <c:numRef>
              <c:f>Gradation!$AF$58:$AF$60</c:f>
              <c:numCache>
                <c:formatCode>General</c:formatCode>
                <c:ptCount val="3"/>
                <c:pt idx="0">
                  <c:v>34.67</c:v>
                </c:pt>
                <c:pt idx="1">
                  <c:v>39.067999999999998</c:v>
                </c:pt>
                <c:pt idx="2" formatCode="0.000">
                  <c:v>41.570310344827583</c:v>
                </c:pt>
              </c:numCache>
            </c:numRef>
          </c:yVal>
          <c:smooth val="0"/>
          <c:extLst>
            <c:ext xmlns:c16="http://schemas.microsoft.com/office/drawing/2014/chart" uri="{C3380CC4-5D6E-409C-BE32-E72D297353CC}">
              <c16:uniqueId val="{00000012-79CA-47EE-B3B2-4C7A7D43B379}"/>
            </c:ext>
          </c:extLst>
        </c:ser>
        <c:ser>
          <c:idx val="5"/>
          <c:order val="9"/>
          <c:tx>
            <c:v>Mix</c:v>
          </c:tx>
          <c:spPr>
            <a:ln w="19050" cap="rnd">
              <a:solidFill>
                <a:schemeClr val="accent6"/>
              </a:solidFill>
              <a:round/>
            </a:ln>
            <a:effectLst/>
          </c:spPr>
          <c:marker>
            <c:symbol val="circle"/>
            <c:size val="7"/>
            <c:spPr>
              <a:solidFill>
                <a:srgbClr val="000099">
                  <a:alpha val="99000"/>
                </a:srgbClr>
              </a:solidFill>
              <a:ln w="9525">
                <a:solidFill>
                  <a:srgbClr val="000099"/>
                </a:solidFill>
              </a:ln>
              <a:effectLst/>
            </c:spPr>
          </c:marker>
          <c:xVal>
            <c:numRef>
              <c:f>Gradation!$AE$11</c:f>
              <c:numCache>
                <c:formatCode>0.0</c:formatCode>
                <c:ptCount val="1"/>
                <c:pt idx="0">
                  <c:v>0</c:v>
                </c:pt>
              </c:numCache>
            </c:numRef>
          </c:xVal>
          <c:yVal>
            <c:numRef>
              <c:f>Gradation!$AE$12</c:f>
              <c:numCache>
                <c:formatCode>0.0</c:formatCode>
                <c:ptCount val="1"/>
                <c:pt idx="0">
                  <c:v>0</c:v>
                </c:pt>
              </c:numCache>
            </c:numRef>
          </c:yVal>
          <c:smooth val="0"/>
          <c:extLst>
            <c:ext xmlns:c16="http://schemas.microsoft.com/office/drawing/2014/chart" uri="{C3380CC4-5D6E-409C-BE32-E72D297353CC}">
              <c16:uniqueId val="{00000005-79CA-47EE-B3B2-4C7A7D43B379}"/>
            </c:ext>
          </c:extLst>
        </c:ser>
        <c:dLbls>
          <c:showLegendKey val="0"/>
          <c:showVal val="0"/>
          <c:showCatName val="0"/>
          <c:showSerName val="0"/>
          <c:showPercent val="0"/>
          <c:showBubbleSize val="0"/>
        </c:dLbls>
        <c:axId val="252557680"/>
        <c:axId val="252563920"/>
      </c:scatterChart>
      <c:valAx>
        <c:axId val="252557680"/>
        <c:scaling>
          <c:orientation val="maxMin"/>
          <c:max val="100"/>
        </c:scaling>
        <c:delete val="0"/>
        <c:axPos val="b"/>
        <c:majorGridlines>
          <c:spPr>
            <a:ln w="9525" cap="flat" cmpd="sng" algn="ctr">
              <a:solidFill>
                <a:schemeClr val="bg1">
                  <a:lumMod val="75000"/>
                </a:schemeClr>
              </a:solidFill>
              <a:prstDash val="dash"/>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Coarseness Factor (%)</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52563920"/>
        <c:crosses val="autoZero"/>
        <c:crossBetween val="midCat"/>
      </c:valAx>
      <c:valAx>
        <c:axId val="252563920"/>
        <c:scaling>
          <c:orientation val="minMax"/>
          <c:max val="45"/>
          <c:min val="20"/>
        </c:scaling>
        <c:delete val="0"/>
        <c:axPos val="r"/>
        <c:majorGridlines>
          <c:spPr>
            <a:ln w="9525" cap="flat" cmpd="sng" algn="ctr">
              <a:solidFill>
                <a:schemeClr val="bg1">
                  <a:lumMod val="75000"/>
                </a:schemeClr>
              </a:solidFill>
              <a:prstDash val="dash"/>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Workability Factor (%)</a:t>
                </a:r>
              </a:p>
            </c:rich>
          </c:tx>
          <c:layout>
            <c:manualLayout>
              <c:xMode val="edge"/>
              <c:yMode val="edge"/>
              <c:x val="1.3054512730646554E-2"/>
              <c:y val="0.2708744889532639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52557680"/>
        <c:crosses val="autoZero"/>
        <c:crossBetween val="midCat"/>
        <c:majorUnit val="5"/>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Individual Percent Retained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270968212306795"/>
          <c:y val="0.12534722222222222"/>
          <c:w val="0.84859762321376497"/>
          <c:h val="0.72773731408573927"/>
        </c:manualLayout>
      </c:layout>
      <c:scatterChart>
        <c:scatterStyle val="lineMarker"/>
        <c:varyColors val="0"/>
        <c:ser>
          <c:idx val="0"/>
          <c:order val="0"/>
          <c:tx>
            <c:v>Sand</c:v>
          </c:tx>
          <c:spPr>
            <a:ln w="9525" cap="rnd">
              <a:solidFill>
                <a:srgbClr val="000099"/>
              </a:solidFill>
              <a:round/>
            </a:ln>
            <a:effectLst/>
          </c:spPr>
          <c:marker>
            <c:symbol val="circle"/>
            <c:size val="5"/>
            <c:spPr>
              <a:solidFill>
                <a:srgbClr val="000099"/>
              </a:solidFill>
              <a:ln w="9525">
                <a:solidFill>
                  <a:srgbClr val="000099"/>
                </a:solidFill>
              </a:ln>
              <a:effectLst/>
            </c:spPr>
          </c:marker>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Gradation!$D$6:$D$18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0-196F-4D15-B4BD-669482FE885E}"/>
            </c:ext>
          </c:extLst>
        </c:ser>
        <c:ser>
          <c:idx val="1"/>
          <c:order val="1"/>
          <c:tx>
            <c:v>CA 1</c:v>
          </c:tx>
          <c:spPr>
            <a:ln w="9525" cap="rnd">
              <a:solidFill>
                <a:schemeClr val="tx1"/>
              </a:solidFill>
              <a:round/>
            </a:ln>
            <a:effectLst/>
          </c:spPr>
          <c:marker>
            <c:symbol val="triangle"/>
            <c:size val="5"/>
            <c:spPr>
              <a:solidFill>
                <a:schemeClr val="tx1"/>
              </a:solidFill>
              <a:ln w="9525">
                <a:solidFill>
                  <a:schemeClr val="tx1"/>
                </a:solidFill>
              </a:ln>
              <a:effectLst/>
            </c:spPr>
          </c:marker>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Gradation!$G$6:$G$18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1-196F-4D15-B4BD-669482FE885E}"/>
            </c:ext>
          </c:extLst>
        </c:ser>
        <c:ser>
          <c:idx val="2"/>
          <c:order val="2"/>
          <c:tx>
            <c:v>CA 2</c:v>
          </c:tx>
          <c:spPr>
            <a:ln w="9525" cap="rnd">
              <a:solidFill>
                <a:schemeClr val="accent6"/>
              </a:solidFill>
              <a:round/>
            </a:ln>
            <a:effectLst/>
          </c:spPr>
          <c:marker>
            <c:symbol val="x"/>
            <c:size val="5"/>
            <c:spPr>
              <a:noFill/>
              <a:ln w="9525">
                <a:solidFill>
                  <a:schemeClr val="accent6"/>
                </a:solidFill>
              </a:ln>
              <a:effectLst/>
            </c:spPr>
          </c:marker>
          <c:dPt>
            <c:idx val="1"/>
            <c:marker>
              <c:symbol val="x"/>
              <c:size val="5"/>
              <c:spPr>
                <a:noFill/>
                <a:ln w="9525">
                  <a:solidFill>
                    <a:schemeClr val="accent2"/>
                  </a:solidFill>
                </a:ln>
                <a:effectLst/>
              </c:spPr>
            </c:marker>
            <c:bubble3D val="0"/>
            <c:spPr>
              <a:ln w="9525" cap="rnd">
                <a:solidFill>
                  <a:schemeClr val="accent2"/>
                </a:solidFill>
                <a:round/>
              </a:ln>
              <a:effectLst/>
            </c:spPr>
            <c:extLst>
              <c:ext xmlns:c16="http://schemas.microsoft.com/office/drawing/2014/chart" uri="{C3380CC4-5D6E-409C-BE32-E72D297353CC}">
                <c16:uniqueId val="{00000005-196F-4D15-B4BD-669482FE885E}"/>
              </c:ext>
            </c:extLst>
          </c:dPt>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Gradation!$I$6:$I$18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2-196F-4D15-B4BD-669482FE885E}"/>
            </c:ext>
          </c:extLst>
        </c:ser>
        <c:dLbls>
          <c:showLegendKey val="0"/>
          <c:showVal val="0"/>
          <c:showCatName val="0"/>
          <c:showSerName val="0"/>
          <c:showPercent val="0"/>
          <c:showBubbleSize val="0"/>
        </c:dLbls>
        <c:axId val="456914656"/>
        <c:axId val="456930464"/>
      </c:scatterChart>
      <c:valAx>
        <c:axId val="456914656"/>
        <c:scaling>
          <c:orientation val="minMax"/>
        </c:scaling>
        <c:delete val="0"/>
        <c:axPos val="b"/>
        <c:majorGridlines>
          <c:spPr>
            <a:ln w="952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ASTM Standard Seive Size</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56930464"/>
        <c:crosses val="autoZero"/>
        <c:crossBetween val="midCat"/>
        <c:majorUnit val="1"/>
      </c:valAx>
      <c:valAx>
        <c:axId val="456930464"/>
        <c:scaling>
          <c:orientation val="minMax"/>
          <c:max val="1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Individual Percent Retained (%)</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56914656"/>
        <c:crossesAt val="0"/>
        <c:crossBetween val="midCat"/>
        <c:majorUnit val="20"/>
      </c:valAx>
      <c:spPr>
        <a:noFill/>
        <a:ln>
          <a:solidFill>
            <a:schemeClr val="tx1"/>
          </a:solidFill>
        </a:ln>
        <a:effectLst/>
      </c:spPr>
    </c:plotArea>
    <c:legend>
      <c:legendPos val="r"/>
      <c:layout>
        <c:manualLayout>
          <c:xMode val="edge"/>
          <c:yMode val="edge"/>
          <c:x val="0.12653907844852727"/>
          <c:y val="0.13155074365704289"/>
          <c:w val="0.84336832895888014"/>
          <c:h val="8.0995734908136469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0.45 Power Curve</a:t>
            </a:r>
          </a:p>
        </c:rich>
      </c:tx>
      <c:layout>
        <c:manualLayout>
          <c:xMode val="edge"/>
          <c:yMode val="edge"/>
          <c:x val="0.37905526672419249"/>
          <c:y val="3.6814614068342417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228900853152846"/>
          <c:y val="7.1276571382522108E-2"/>
          <c:w val="0.84889170484485466"/>
          <c:h val="0.77153479484318288"/>
        </c:manualLayout>
      </c:layout>
      <c:scatterChart>
        <c:scatterStyle val="lineMarker"/>
        <c:varyColors val="0"/>
        <c:ser>
          <c:idx val="1"/>
          <c:order val="0"/>
          <c:tx>
            <c:v>Combined Gradation</c:v>
          </c:tx>
          <c:spPr>
            <a:ln w="9525" cap="rnd">
              <a:solidFill>
                <a:srgbClr val="000099"/>
              </a:solidFill>
              <a:round/>
            </a:ln>
            <a:effectLst/>
          </c:spPr>
          <c:marker>
            <c:symbol val="circle"/>
            <c:size val="5"/>
            <c:spPr>
              <a:solidFill>
                <a:srgbClr val="000099"/>
              </a:solidFill>
              <a:ln w="9525">
                <a:solidFill>
                  <a:srgbClr val="000099"/>
                </a:solidFill>
              </a:ln>
              <a:effectLst/>
            </c:spPr>
          </c:marker>
          <c:xVal>
            <c:numRef>
              <c:f>Gradation!$V$6:$V$18</c:f>
              <c:numCache>
                <c:formatCode>0.00</c:formatCode>
                <c:ptCount val="13"/>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numCache>
            </c:numRef>
          </c:xVal>
          <c:yVal>
            <c:numRef>
              <c:f>Gradation!$W$6:$W$18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3-32FA-463B-AC4F-6E6F2C834E78}"/>
            </c:ext>
          </c:extLst>
        </c:ser>
        <c:ser>
          <c:idx val="4"/>
          <c:order val="1"/>
          <c:tx>
            <c:v>Min passing boundary</c:v>
          </c:tx>
          <c:spPr>
            <a:ln w="9525" cap="rnd">
              <a:solidFill>
                <a:schemeClr val="tx1"/>
              </a:solidFill>
              <a:prstDash val="lgDash"/>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Gradation!$Z$6:$Z$19</c:f>
              <c:numCache>
                <c:formatCode>0.0</c:formatCode>
                <c:ptCount val="14"/>
                <c:pt idx="0">
                  <c:v>154.56009696195599</c:v>
                </c:pt>
                <c:pt idx="1">
                  <c:v>135.7922392623521</c:v>
                </c:pt>
                <c:pt idx="2">
                  <c:v>113.14461356298435</c:v>
                </c:pt>
                <c:pt idx="3">
                  <c:v>100</c:v>
                </c:pt>
                <c:pt idx="4">
                  <c:v>82.826705145430395</c:v>
                </c:pt>
                <c:pt idx="5">
                  <c:v>73.204284797281275</c:v>
                </c:pt>
                <c:pt idx="6">
                  <c:v>53.588673126814655</c:v>
                </c:pt>
                <c:pt idx="7">
                  <c:v>39.117517084024257</c:v>
                </c:pt>
                <c:pt idx="8">
                  <c:v>28.635698611814277</c:v>
                </c:pt>
                <c:pt idx="9">
                  <c:v>21.1217035198373</c:v>
                </c:pt>
                <c:pt idx="10">
                  <c:v>15.461991998699082</c:v>
                </c:pt>
                <c:pt idx="11">
                  <c:v>11.31884065806052</c:v>
                </c:pt>
                <c:pt idx="12">
                  <c:v>8.2858763510770874</c:v>
                </c:pt>
                <c:pt idx="13" formatCode="General">
                  <c:v>0</c:v>
                </c:pt>
              </c:numCache>
            </c:numRef>
          </c:yVal>
          <c:smooth val="0"/>
          <c:extLst>
            <c:ext xmlns:c16="http://schemas.microsoft.com/office/drawing/2014/chart" uri="{C3380CC4-5D6E-409C-BE32-E72D297353CC}">
              <c16:uniqueId val="{00000002-32FA-463B-AC4F-6E6F2C834E78}"/>
            </c:ext>
          </c:extLst>
        </c:ser>
        <c:ser>
          <c:idx val="0"/>
          <c:order val="2"/>
          <c:tx>
            <c:v>0.45 curve</c:v>
          </c:tx>
          <c:spPr>
            <a:ln w="9525" cap="rnd">
              <a:solidFill>
                <a:schemeClr val="tx1"/>
              </a:solidFill>
              <a:prstDash val="dash"/>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Gradation!$X$6:$X$19</c:f>
              <c:numCache>
                <c:formatCode>0.0</c:formatCode>
                <c:ptCount val="14"/>
                <c:pt idx="0">
                  <c:v>136.60402567543954</c:v>
                </c:pt>
                <c:pt idx="1">
                  <c:v>120.0165301609877</c:v>
                </c:pt>
                <c:pt idx="2">
                  <c:v>100</c:v>
                </c:pt>
                <c:pt idx="3">
                  <c:v>88.382466341919923</c:v>
                </c:pt>
                <c:pt idx="4">
                  <c:v>73.204284797281275</c:v>
                </c:pt>
                <c:pt idx="5">
                  <c:v>64.699752371800329</c:v>
                </c:pt>
                <c:pt idx="6">
                  <c:v>47.36299098938845</c:v>
                </c:pt>
                <c:pt idx="7">
                  <c:v>34.573026370582518</c:v>
                </c:pt>
                <c:pt idx="8">
                  <c:v>25.308936687360383</c:v>
                </c:pt>
                <c:pt idx="9">
                  <c:v>18.667882504260316</c:v>
                </c:pt>
                <c:pt idx="10">
                  <c:v>13.665689874040565</c:v>
                </c:pt>
                <c:pt idx="11">
                  <c:v>10.003870534905881</c:v>
                </c:pt>
                <c:pt idx="12">
                  <c:v>7.3232618771238061</c:v>
                </c:pt>
                <c:pt idx="13" formatCode="General">
                  <c:v>0</c:v>
                </c:pt>
              </c:numCache>
            </c:numRef>
          </c:yVal>
          <c:smooth val="0"/>
          <c:extLst>
            <c:ext xmlns:c16="http://schemas.microsoft.com/office/drawing/2014/chart" uri="{C3380CC4-5D6E-409C-BE32-E72D297353CC}">
              <c16:uniqueId val="{00000000-32FA-463B-AC4F-6E6F2C834E78}"/>
            </c:ext>
          </c:extLst>
        </c:ser>
        <c:ser>
          <c:idx val="3"/>
          <c:order val="3"/>
          <c:tx>
            <c:v>Max passing boundary</c:v>
          </c:tx>
          <c:spPr>
            <a:ln w="9525" cap="rnd">
              <a:solidFill>
                <a:schemeClr val="tx1"/>
              </a:solidFill>
              <a:prstDash val="lgDashDotDot"/>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Gradation!$Y$6:$Y$19</c:f>
              <c:numCache>
                <c:formatCode>0.0</c:formatCode>
                <c:ptCount val="14"/>
                <c:pt idx="0">
                  <c:v>113.82100906616924</c:v>
                </c:pt>
                <c:pt idx="1">
                  <c:v>100</c:v>
                </c:pt>
                <c:pt idx="2">
                  <c:v>83.321855635937851</c:v>
                </c:pt>
                <c:pt idx="3">
                  <c:v>73.641911012895903</c:v>
                </c:pt>
                <c:pt idx="4">
                  <c:v>60.995168498111511</c:v>
                </c:pt>
                <c:pt idx="5">
                  <c:v>53.909034268040756</c:v>
                </c:pt>
                <c:pt idx="6">
                  <c:v>39.463722977040504</c:v>
                </c:pt>
                <c:pt idx="7">
                  <c:v>28.80688712147149</c:v>
                </c:pt>
                <c:pt idx="8">
                  <c:v>21.087875689633332</c:v>
                </c:pt>
                <c:pt idx="9">
                  <c:v>15.554426110486281</c:v>
                </c:pt>
                <c:pt idx="10">
                  <c:v>11.386506388503056</c:v>
                </c:pt>
                <c:pt idx="11">
                  <c:v>8.3354105651004069</c:v>
                </c:pt>
                <c:pt idx="12">
                  <c:v>6.1018776890987736</c:v>
                </c:pt>
                <c:pt idx="13" formatCode="General">
                  <c:v>0</c:v>
                </c:pt>
              </c:numCache>
            </c:numRef>
          </c:yVal>
          <c:smooth val="0"/>
          <c:extLst>
            <c:ext xmlns:c16="http://schemas.microsoft.com/office/drawing/2014/chart" uri="{C3380CC4-5D6E-409C-BE32-E72D297353CC}">
              <c16:uniqueId val="{00000001-32FA-463B-AC4F-6E6F2C834E78}"/>
            </c:ext>
          </c:extLst>
        </c:ser>
        <c:dLbls>
          <c:showLegendKey val="0"/>
          <c:showVal val="0"/>
          <c:showCatName val="0"/>
          <c:showSerName val="0"/>
          <c:showPercent val="0"/>
          <c:showBubbleSize val="0"/>
        </c:dLbls>
        <c:axId val="1968325248"/>
        <c:axId val="1968326080"/>
      </c:scatterChart>
      <c:valAx>
        <c:axId val="1968325248"/>
        <c:scaling>
          <c:orientation val="minMax"/>
          <c:max val="6"/>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ASTM Standard Sieve Size</a:t>
                </a:r>
              </a:p>
            </c:rich>
          </c:tx>
          <c:layout>
            <c:manualLayout>
              <c:xMode val="edge"/>
              <c:yMode val="edge"/>
              <c:x val="0.45466425833606083"/>
              <c:y val="0.934553472067418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8326080"/>
        <c:crosses val="autoZero"/>
        <c:crossBetween val="midCat"/>
        <c:minorUnit val="0.1"/>
      </c:valAx>
      <c:valAx>
        <c:axId val="1968326080"/>
        <c:scaling>
          <c:orientation val="minMax"/>
          <c:max val="1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Percent Passing (%)</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8325248"/>
        <c:crosses val="autoZero"/>
        <c:crossBetween val="midCat"/>
        <c:majorUnit val="10"/>
      </c:valAx>
      <c:spPr>
        <a:noFill/>
        <a:ln>
          <a:solidFill>
            <a:schemeClr val="tx1"/>
          </a:solidFill>
        </a:ln>
        <a:effectLst/>
      </c:spPr>
    </c:plotArea>
    <c:legend>
      <c:legendPos val="r"/>
      <c:layout>
        <c:manualLayout>
          <c:xMode val="edge"/>
          <c:yMode val="edge"/>
          <c:x val="0.11432928725581404"/>
          <c:y val="7.8561539575828218E-2"/>
          <c:w val="0.33455013766167141"/>
          <c:h val="0.2257793900195291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Mortar Fraction</a:t>
            </a:r>
          </a:p>
        </c:rich>
      </c:tx>
      <c:layout>
        <c:manualLayout>
          <c:xMode val="edge"/>
          <c:yMode val="edge"/>
          <c:x val="0.3615629513112969"/>
          <c:y val="1.866411933279447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33968617865122025"/>
          <c:y val="0.11924057608935264"/>
          <c:w val="0.57946238230618252"/>
          <c:h val="0.75514990080094069"/>
        </c:manualLayout>
      </c:layout>
      <c:barChart>
        <c:barDir val="bar"/>
        <c:grouping val="clustered"/>
        <c:varyColors val="0"/>
        <c:ser>
          <c:idx val="0"/>
          <c:order val="0"/>
          <c:tx>
            <c:v>Mortar volume</c:v>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Gradation!$AD$6:$AD$9</c:f>
              <c:strCache>
                <c:ptCount val="4"/>
                <c:pt idx="0">
                  <c:v>Mortar fraction w/o air (%)</c:v>
                </c:pt>
                <c:pt idx="1">
                  <c:v>Mortar fraction w/ air (%)</c:v>
                </c:pt>
                <c:pt idx="2">
                  <c:v>ACI 302 Min %</c:v>
                </c:pt>
                <c:pt idx="3">
                  <c:v>ACI 302 Max %</c:v>
                </c:pt>
              </c:strCache>
            </c:strRef>
          </c:cat>
          <c:val>
            <c:numRef>
              <c:f>Gradation!$AE$6:$AE$9</c:f>
              <c:numCache>
                <c:formatCode>0.0%</c:formatCode>
                <c:ptCount val="4"/>
                <c:pt idx="0">
                  <c:v>0</c:v>
                </c:pt>
                <c:pt idx="1">
                  <c:v>6.5000000000000002E-2</c:v>
                </c:pt>
                <c:pt idx="2">
                  <c:v>0.55000000000000004</c:v>
                </c:pt>
                <c:pt idx="3">
                  <c:v>0.56999999999999995</c:v>
                </c:pt>
              </c:numCache>
            </c:numRef>
          </c:val>
          <c:extLst>
            <c:ext xmlns:c16="http://schemas.microsoft.com/office/drawing/2014/chart" uri="{C3380CC4-5D6E-409C-BE32-E72D297353CC}">
              <c16:uniqueId val="{00000000-6177-40F9-9704-A6177F9546A3}"/>
            </c:ext>
          </c:extLst>
        </c:ser>
        <c:dLbls>
          <c:showLegendKey val="0"/>
          <c:showVal val="0"/>
          <c:showCatName val="0"/>
          <c:showSerName val="0"/>
          <c:showPercent val="0"/>
          <c:showBubbleSize val="0"/>
        </c:dLbls>
        <c:gapWidth val="182"/>
        <c:axId val="769450864"/>
        <c:axId val="764556544"/>
      </c:barChart>
      <c:catAx>
        <c:axId val="76945086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4556544"/>
        <c:crosses val="autoZero"/>
        <c:auto val="1"/>
        <c:lblAlgn val="ctr"/>
        <c:lblOffset val="100"/>
        <c:noMultiLvlLbl val="0"/>
      </c:catAx>
      <c:valAx>
        <c:axId val="764556544"/>
        <c:scaling>
          <c:orientation val="minMax"/>
          <c:max val="0.65000000000000013"/>
          <c:min val="0.4"/>
        </c:scaling>
        <c:delete val="0"/>
        <c:axPos val="b"/>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9450864"/>
        <c:crosses val="autoZero"/>
        <c:crossBetween val="between"/>
        <c:majorUnit val="5.000000000000001E-2"/>
      </c:valAx>
      <c:spPr>
        <a:solidFill>
          <a:schemeClr val="bg1"/>
        </a:solid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114301</xdr:colOff>
      <xdr:row>143</xdr:row>
      <xdr:rowOff>19050</xdr:rowOff>
    </xdr:from>
    <xdr:to>
      <xdr:col>28</xdr:col>
      <xdr:colOff>76201</xdr:colOff>
      <xdr:row>155</xdr:row>
      <xdr:rowOff>157219</xdr:rowOff>
    </xdr:to>
    <xdr:pic>
      <xdr:nvPicPr>
        <xdr:cNvPr id="2" name="Picture 1">
          <a:extLst>
            <a:ext uri="{FF2B5EF4-FFF2-40B4-BE49-F238E27FC236}">
              <a16:creationId xmlns:a16="http://schemas.microsoft.com/office/drawing/2014/main" id="{CAABF338-0377-4A9F-BC6A-A8B2411A4428}"/>
            </a:ext>
          </a:extLst>
        </xdr:cNvPr>
        <xdr:cNvPicPr>
          <a:picLocks noChangeAspect="1"/>
        </xdr:cNvPicPr>
      </xdr:nvPicPr>
      <xdr:blipFill>
        <a:blip xmlns:r="http://schemas.openxmlformats.org/officeDocument/2006/relationships" r:embed="rId1"/>
        <a:stretch>
          <a:fillRect/>
        </a:stretch>
      </xdr:blipFill>
      <xdr:spPr>
        <a:xfrm>
          <a:off x="2000251" y="23802975"/>
          <a:ext cx="4019550" cy="2081269"/>
        </a:xfrm>
        <a:prstGeom prst="rect">
          <a:avLst/>
        </a:prstGeom>
      </xdr:spPr>
    </xdr:pic>
    <xdr:clientData/>
  </xdr:twoCellAnchor>
  <xdr:twoCellAnchor>
    <xdr:from>
      <xdr:col>8</xdr:col>
      <xdr:colOff>76200</xdr:colOff>
      <xdr:row>119</xdr:row>
      <xdr:rowOff>28575</xdr:rowOff>
    </xdr:from>
    <xdr:to>
      <xdr:col>28</xdr:col>
      <xdr:colOff>0</xdr:colOff>
      <xdr:row>140</xdr:row>
      <xdr:rowOff>6706</xdr:rowOff>
    </xdr:to>
    <xdr:pic>
      <xdr:nvPicPr>
        <xdr:cNvPr id="3" name="Picture 2">
          <a:extLst>
            <a:ext uri="{FF2B5EF4-FFF2-40B4-BE49-F238E27FC236}">
              <a16:creationId xmlns:a16="http://schemas.microsoft.com/office/drawing/2014/main" id="{2196CF4F-8566-4973-B022-23EF86E610CC}"/>
            </a:ext>
          </a:extLst>
        </xdr:cNvPr>
        <xdr:cNvPicPr preferRelativeResize="0">
          <a:picLocks/>
        </xdr:cNvPicPr>
      </xdr:nvPicPr>
      <xdr:blipFill>
        <a:blip xmlns:r="http://schemas.openxmlformats.org/officeDocument/2006/relationships" r:embed="rId2"/>
        <a:stretch>
          <a:fillRect/>
        </a:stretch>
      </xdr:blipFill>
      <xdr:spPr>
        <a:xfrm>
          <a:off x="1962150" y="19688175"/>
          <a:ext cx="3981450" cy="3178531"/>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65</xdr:col>
      <xdr:colOff>0</xdr:colOff>
      <xdr:row>17</xdr:row>
      <xdr:rowOff>0</xdr:rowOff>
    </xdr:from>
    <xdr:to>
      <xdr:col>72</xdr:col>
      <xdr:colOff>301069</xdr:colOff>
      <xdr:row>28</xdr:row>
      <xdr:rowOff>53705</xdr:rowOff>
    </xdr:to>
    <xdr:pic>
      <xdr:nvPicPr>
        <xdr:cNvPr id="3" name="Picture 2">
          <a:extLst>
            <a:ext uri="{FF2B5EF4-FFF2-40B4-BE49-F238E27FC236}">
              <a16:creationId xmlns:a16="http://schemas.microsoft.com/office/drawing/2014/main" id="{5EB2E9BA-62D7-A031-477E-ED0F7C4315CD}"/>
            </a:ext>
          </a:extLst>
        </xdr:cNvPr>
        <xdr:cNvPicPr>
          <a:picLocks noChangeAspect="1"/>
        </xdr:cNvPicPr>
      </xdr:nvPicPr>
      <xdr:blipFill>
        <a:blip xmlns:r="http://schemas.openxmlformats.org/officeDocument/2006/relationships" r:embed="rId1"/>
        <a:stretch>
          <a:fillRect/>
        </a:stretch>
      </xdr:blipFill>
      <xdr:spPr>
        <a:xfrm>
          <a:off x="9648825" y="3619500"/>
          <a:ext cx="4447619" cy="2161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25646</xdr:colOff>
      <xdr:row>20</xdr:row>
      <xdr:rowOff>108238</xdr:rowOff>
    </xdr:from>
    <xdr:to>
      <xdr:col>8</xdr:col>
      <xdr:colOff>16120</xdr:colOff>
      <xdr:row>39</xdr:row>
      <xdr:rowOff>47757</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8413</xdr:colOff>
      <xdr:row>70</xdr:row>
      <xdr:rowOff>28577</xdr:rowOff>
    </xdr:from>
    <xdr:to>
      <xdr:col>5</xdr:col>
      <xdr:colOff>334738</xdr:colOff>
      <xdr:row>86</xdr:row>
      <xdr:rowOff>154134</xdr:rowOff>
    </xdr:to>
    <xdr:graphicFrame macro="">
      <xdr:nvGraphicFramePr>
        <xdr:cNvPr id="2" name="Chart 1">
          <a:extLst>
            <a:ext uri="{FF2B5EF4-FFF2-40B4-BE49-F238E27FC236}">
              <a16:creationId xmlns:a16="http://schemas.microsoft.com/office/drawing/2014/main" id="{D8BEE4D6-235F-82F9-854A-F1AA1A9A68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325152</xdr:colOff>
      <xdr:row>46</xdr:row>
      <xdr:rowOff>73390</xdr:rowOff>
    </xdr:from>
    <xdr:to>
      <xdr:col>15</xdr:col>
      <xdr:colOff>458020</xdr:colOff>
      <xdr:row>67</xdr:row>
      <xdr:rowOff>125913</xdr:rowOff>
    </xdr:to>
    <xdr:graphicFrame macro="">
      <xdr:nvGraphicFramePr>
        <xdr:cNvPr id="5" name="Chart 4">
          <a:extLst>
            <a:ext uri="{FF2B5EF4-FFF2-40B4-BE49-F238E27FC236}">
              <a16:creationId xmlns:a16="http://schemas.microsoft.com/office/drawing/2014/main" id="{325034D0-649E-417E-B070-A7F84FEACC8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232603</xdr:colOff>
      <xdr:row>20</xdr:row>
      <xdr:rowOff>75371</xdr:rowOff>
    </xdr:from>
    <xdr:to>
      <xdr:col>16</xdr:col>
      <xdr:colOff>526608</xdr:colOff>
      <xdr:row>39</xdr:row>
      <xdr:rowOff>104327</xdr:rowOff>
    </xdr:to>
    <xdr:graphicFrame macro="">
      <xdr:nvGraphicFramePr>
        <xdr:cNvPr id="6" name="Chart 5">
          <a:extLst>
            <a:ext uri="{FF2B5EF4-FFF2-40B4-BE49-F238E27FC236}">
              <a16:creationId xmlns:a16="http://schemas.microsoft.com/office/drawing/2014/main" id="{9B7062A5-DDD3-4651-A9EA-B8AF648E7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40341</xdr:colOff>
      <xdr:row>36</xdr:row>
      <xdr:rowOff>157921</xdr:rowOff>
    </xdr:from>
    <xdr:to>
      <xdr:col>16</xdr:col>
      <xdr:colOff>495714</xdr:colOff>
      <xdr:row>38</xdr:row>
      <xdr:rowOff>93008</xdr:rowOff>
    </xdr:to>
    <xdr:sp macro="" textlink="">
      <xdr:nvSpPr>
        <xdr:cNvPr id="7" name="TextBox 6">
          <a:extLst>
            <a:ext uri="{FF2B5EF4-FFF2-40B4-BE49-F238E27FC236}">
              <a16:creationId xmlns:a16="http://schemas.microsoft.com/office/drawing/2014/main" id="{CDBCCDE1-6D65-8DB7-1FD5-C4C4A50DDB74}"/>
            </a:ext>
          </a:extLst>
        </xdr:cNvPr>
        <xdr:cNvSpPr txBox="1"/>
      </xdr:nvSpPr>
      <xdr:spPr>
        <a:xfrm>
          <a:off x="7517466" y="6958771"/>
          <a:ext cx="5455998" cy="258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lstStyle/>
        <a:p>
          <a:r>
            <a:rPr lang="en-US" sz="1200">
              <a:latin typeface="Times New Roman" panose="02020603050405020304" pitchFamily="18" charset="0"/>
              <a:cs typeface="Times New Roman" panose="02020603050405020304" pitchFamily="18" charset="0"/>
            </a:rPr>
            <a:t>      2"     1.5"     1"     3/4"   1/2"   3/8"    #4     #8     #16    #30    #50   #100  #200   </a:t>
          </a:r>
        </a:p>
      </xdr:txBody>
    </xdr:sp>
    <xdr:clientData/>
  </xdr:twoCellAnchor>
  <xdr:twoCellAnchor>
    <xdr:from>
      <xdr:col>1</xdr:col>
      <xdr:colOff>19050</xdr:colOff>
      <xdr:row>46</xdr:row>
      <xdr:rowOff>85724</xdr:rowOff>
    </xdr:from>
    <xdr:to>
      <xdr:col>7</xdr:col>
      <xdr:colOff>409574</xdr:colOff>
      <xdr:row>67</xdr:row>
      <xdr:rowOff>160019</xdr:rowOff>
    </xdr:to>
    <xdr:graphicFrame macro="">
      <xdr:nvGraphicFramePr>
        <xdr:cNvPr id="8" name="Chart 7">
          <a:extLst>
            <a:ext uri="{FF2B5EF4-FFF2-40B4-BE49-F238E27FC236}">
              <a16:creationId xmlns:a16="http://schemas.microsoft.com/office/drawing/2014/main" id="{EFB3773E-382F-4975-ADF6-150F919CA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591208</xdr:colOff>
      <xdr:row>65</xdr:row>
      <xdr:rowOff>35720</xdr:rowOff>
    </xdr:from>
    <xdr:to>
      <xdr:col>7</xdr:col>
      <xdr:colOff>303611</xdr:colOff>
      <xdr:row>66</xdr:row>
      <xdr:rowOff>65485</xdr:rowOff>
    </xdr:to>
    <xdr:sp macro="" textlink="">
      <xdr:nvSpPr>
        <xdr:cNvPr id="9" name="TextBox 8">
          <a:extLst>
            <a:ext uri="{FF2B5EF4-FFF2-40B4-BE49-F238E27FC236}">
              <a16:creationId xmlns:a16="http://schemas.microsoft.com/office/drawing/2014/main" id="{DC556835-E7E3-A001-A4F8-FEC33F140147}"/>
            </a:ext>
          </a:extLst>
        </xdr:cNvPr>
        <xdr:cNvSpPr txBox="1"/>
      </xdr:nvSpPr>
      <xdr:spPr>
        <a:xfrm>
          <a:off x="702880" y="11761323"/>
          <a:ext cx="5243472" cy="1939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oneCellAnchor>
    <xdr:from>
      <xdr:col>4</xdr:col>
      <xdr:colOff>220071</xdr:colOff>
      <xdr:row>64</xdr:row>
      <xdr:rowOff>152290</xdr:rowOff>
    </xdr:from>
    <xdr:ext cx="176972" cy="259495"/>
    <xdr:sp macro="" textlink="">
      <xdr:nvSpPr>
        <xdr:cNvPr id="10" name="TextBox 9">
          <a:extLst>
            <a:ext uri="{FF2B5EF4-FFF2-40B4-BE49-F238E27FC236}">
              <a16:creationId xmlns:a16="http://schemas.microsoft.com/office/drawing/2014/main" id="{970C5E4B-CAEA-026E-60F5-8861A74CBB00}"/>
            </a:ext>
          </a:extLst>
        </xdr:cNvPr>
        <xdr:cNvSpPr txBox="1"/>
      </xdr:nvSpPr>
      <xdr:spPr>
        <a:xfrm rot="16200000">
          <a:off x="3286680" y="11726966"/>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1/2"</a:t>
          </a:r>
        </a:p>
      </xdr:txBody>
    </xdr:sp>
    <xdr:clientData/>
  </xdr:oneCellAnchor>
  <xdr:oneCellAnchor>
    <xdr:from>
      <xdr:col>4</xdr:col>
      <xdr:colOff>767928</xdr:colOff>
      <xdr:row>64</xdr:row>
      <xdr:rowOff>155952</xdr:rowOff>
    </xdr:from>
    <xdr:ext cx="176972" cy="259495"/>
    <xdr:sp macro="" textlink="">
      <xdr:nvSpPr>
        <xdr:cNvPr id="11" name="TextBox 10">
          <a:extLst>
            <a:ext uri="{FF2B5EF4-FFF2-40B4-BE49-F238E27FC236}">
              <a16:creationId xmlns:a16="http://schemas.microsoft.com/office/drawing/2014/main" id="{D065417F-EE72-E435-90A9-24A331A5CDB3}"/>
            </a:ext>
          </a:extLst>
        </xdr:cNvPr>
        <xdr:cNvSpPr txBox="1"/>
      </xdr:nvSpPr>
      <xdr:spPr>
        <a:xfrm rot="16200000">
          <a:off x="3834537" y="11730628"/>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3/4</a:t>
          </a:r>
          <a:r>
            <a:rPr lang="en-US" sz="1200" baseline="0">
              <a:latin typeface="Times New Roman" panose="02020603050405020304" pitchFamily="18" charset="0"/>
              <a:cs typeface="Times New Roman" panose="02020603050405020304" pitchFamily="18" charset="0"/>
            </a:rPr>
            <a:t>"</a:t>
          </a:r>
          <a:endParaRPr lang="en-US" sz="1200">
            <a:latin typeface="Times New Roman" panose="02020603050405020304" pitchFamily="18" charset="0"/>
            <a:cs typeface="Times New Roman" panose="02020603050405020304" pitchFamily="18" charset="0"/>
          </a:endParaRPr>
        </a:p>
      </xdr:txBody>
    </xdr:sp>
    <xdr:clientData/>
  </xdr:oneCellAnchor>
  <xdr:oneCellAnchor>
    <xdr:from>
      <xdr:col>5</xdr:col>
      <xdr:colOff>337431</xdr:colOff>
      <xdr:row>64</xdr:row>
      <xdr:rowOff>153932</xdr:rowOff>
    </xdr:from>
    <xdr:ext cx="176972" cy="196217"/>
    <xdr:sp macro="" textlink="">
      <xdr:nvSpPr>
        <xdr:cNvPr id="12" name="TextBox 11">
          <a:extLst>
            <a:ext uri="{FF2B5EF4-FFF2-40B4-BE49-F238E27FC236}">
              <a16:creationId xmlns:a16="http://schemas.microsoft.com/office/drawing/2014/main" id="{993EC817-47CA-CB6C-863F-5459918D3E91}"/>
            </a:ext>
          </a:extLst>
        </xdr:cNvPr>
        <xdr:cNvSpPr txBox="1"/>
      </xdr:nvSpPr>
      <xdr:spPr>
        <a:xfrm rot="16200000">
          <a:off x="4284765" y="11696969"/>
          <a:ext cx="19621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a:t>
          </a:r>
        </a:p>
      </xdr:txBody>
    </xdr:sp>
    <xdr:clientData/>
  </xdr:oneCellAnchor>
  <xdr:oneCellAnchor>
    <xdr:from>
      <xdr:col>6</xdr:col>
      <xdr:colOff>193535</xdr:colOff>
      <xdr:row>64</xdr:row>
      <xdr:rowOff>152659</xdr:rowOff>
    </xdr:from>
    <xdr:ext cx="176972" cy="255198"/>
    <xdr:sp macro="" textlink="">
      <xdr:nvSpPr>
        <xdr:cNvPr id="13" name="TextBox 12">
          <a:extLst>
            <a:ext uri="{FF2B5EF4-FFF2-40B4-BE49-F238E27FC236}">
              <a16:creationId xmlns:a16="http://schemas.microsoft.com/office/drawing/2014/main" id="{01397CFA-2E6C-5F36-0DFE-9E92712D946A}"/>
            </a:ext>
          </a:extLst>
        </xdr:cNvPr>
        <xdr:cNvSpPr txBox="1"/>
      </xdr:nvSpPr>
      <xdr:spPr>
        <a:xfrm rot="16200000">
          <a:off x="4960465" y="11725186"/>
          <a:ext cx="255198"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1.5"</a:t>
          </a:r>
        </a:p>
      </xdr:txBody>
    </xdr:sp>
    <xdr:clientData/>
  </xdr:oneCellAnchor>
  <xdr:oneCellAnchor>
    <xdr:from>
      <xdr:col>6</xdr:col>
      <xdr:colOff>813512</xdr:colOff>
      <xdr:row>64</xdr:row>
      <xdr:rowOff>148828</xdr:rowOff>
    </xdr:from>
    <xdr:ext cx="176972" cy="237891"/>
    <xdr:sp macro="" textlink="">
      <xdr:nvSpPr>
        <xdr:cNvPr id="14" name="TextBox 13">
          <a:extLst>
            <a:ext uri="{FF2B5EF4-FFF2-40B4-BE49-F238E27FC236}">
              <a16:creationId xmlns:a16="http://schemas.microsoft.com/office/drawing/2014/main" id="{3818B9E2-4E98-B8A2-14AB-BA51E4B1EDBE}"/>
            </a:ext>
          </a:extLst>
        </xdr:cNvPr>
        <xdr:cNvSpPr txBox="1"/>
      </xdr:nvSpPr>
      <xdr:spPr>
        <a:xfrm rot="16200000">
          <a:off x="5575318" y="11609288"/>
          <a:ext cx="23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2"</a:t>
          </a:r>
        </a:p>
      </xdr:txBody>
    </xdr:sp>
    <xdr:clientData/>
  </xdr:oneCellAnchor>
  <xdr:oneCellAnchor>
    <xdr:from>
      <xdr:col>3</xdr:col>
      <xdr:colOff>766058</xdr:colOff>
      <xdr:row>64</xdr:row>
      <xdr:rowOff>147358</xdr:rowOff>
    </xdr:from>
    <xdr:ext cx="176972" cy="259495"/>
    <xdr:sp macro="" textlink="">
      <xdr:nvSpPr>
        <xdr:cNvPr id="17" name="TextBox 16">
          <a:extLst>
            <a:ext uri="{FF2B5EF4-FFF2-40B4-BE49-F238E27FC236}">
              <a16:creationId xmlns:a16="http://schemas.microsoft.com/office/drawing/2014/main" id="{9BAFBA09-9190-EB98-BB23-F121977F9010}"/>
            </a:ext>
          </a:extLst>
        </xdr:cNvPr>
        <xdr:cNvSpPr txBox="1"/>
      </xdr:nvSpPr>
      <xdr:spPr>
        <a:xfrm rot="16200000">
          <a:off x="2983582" y="11722034"/>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3/8"</a:t>
          </a:r>
        </a:p>
      </xdr:txBody>
    </xdr:sp>
    <xdr:clientData/>
  </xdr:oneCellAnchor>
  <xdr:oneCellAnchor>
    <xdr:from>
      <xdr:col>3</xdr:col>
      <xdr:colOff>151185</xdr:colOff>
      <xdr:row>64</xdr:row>
      <xdr:rowOff>158865</xdr:rowOff>
    </xdr:from>
    <xdr:ext cx="176972" cy="217467"/>
    <xdr:sp macro="" textlink="">
      <xdr:nvSpPr>
        <xdr:cNvPr id="18" name="TextBox 17">
          <a:extLst>
            <a:ext uri="{FF2B5EF4-FFF2-40B4-BE49-F238E27FC236}">
              <a16:creationId xmlns:a16="http://schemas.microsoft.com/office/drawing/2014/main" id="{7CF2D8F7-CB7A-4F71-7477-9F4F960A8C29}"/>
            </a:ext>
          </a:extLst>
        </xdr:cNvPr>
        <xdr:cNvSpPr txBox="1"/>
      </xdr:nvSpPr>
      <xdr:spPr>
        <a:xfrm rot="16200000">
          <a:off x="2389723" y="11712527"/>
          <a:ext cx="21746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#4</a:t>
          </a:r>
        </a:p>
      </xdr:txBody>
    </xdr:sp>
    <xdr:clientData/>
  </xdr:oneCellAnchor>
  <xdr:oneCellAnchor>
    <xdr:from>
      <xdr:col>2</xdr:col>
      <xdr:colOff>529294</xdr:colOff>
      <xdr:row>64</xdr:row>
      <xdr:rowOff>142536</xdr:rowOff>
    </xdr:from>
    <xdr:ext cx="176972" cy="217467"/>
    <xdr:sp macro="" textlink="">
      <xdr:nvSpPr>
        <xdr:cNvPr id="19" name="TextBox 18">
          <a:extLst>
            <a:ext uri="{FF2B5EF4-FFF2-40B4-BE49-F238E27FC236}">
              <a16:creationId xmlns:a16="http://schemas.microsoft.com/office/drawing/2014/main" id="{9DEC10CF-106E-0979-8647-F1F8394AA701}"/>
            </a:ext>
          </a:extLst>
        </xdr:cNvPr>
        <xdr:cNvSpPr txBox="1"/>
      </xdr:nvSpPr>
      <xdr:spPr>
        <a:xfrm rot="16200000">
          <a:off x="1918746" y="11696198"/>
          <a:ext cx="21746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#8</a:t>
          </a:r>
        </a:p>
      </xdr:txBody>
    </xdr:sp>
    <xdr:clientData/>
  </xdr:oneCellAnchor>
  <xdr:oneCellAnchor>
    <xdr:from>
      <xdr:col>2</xdr:col>
      <xdr:colOff>203915</xdr:colOff>
      <xdr:row>64</xdr:row>
      <xdr:rowOff>147467</xdr:rowOff>
    </xdr:from>
    <xdr:ext cx="176972" cy="267891"/>
    <xdr:sp macro="" textlink="">
      <xdr:nvSpPr>
        <xdr:cNvPr id="20" name="TextBox 19">
          <a:extLst>
            <a:ext uri="{FF2B5EF4-FFF2-40B4-BE49-F238E27FC236}">
              <a16:creationId xmlns:a16="http://schemas.microsoft.com/office/drawing/2014/main" id="{219D7937-43CB-E23D-CF96-1AB188559CF6}"/>
            </a:ext>
          </a:extLst>
        </xdr:cNvPr>
        <xdr:cNvSpPr txBox="1"/>
      </xdr:nvSpPr>
      <xdr:spPr>
        <a:xfrm rot="16200000">
          <a:off x="1568155" y="11726341"/>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#16</a:t>
          </a:r>
        </a:p>
      </xdr:txBody>
    </xdr:sp>
    <xdr:clientData/>
  </xdr:oneCellAnchor>
  <xdr:oneCellAnchor>
    <xdr:from>
      <xdr:col>1</xdr:col>
      <xdr:colOff>1262213</xdr:colOff>
      <xdr:row>64</xdr:row>
      <xdr:rowOff>149847</xdr:rowOff>
    </xdr:from>
    <xdr:ext cx="176972" cy="267891"/>
    <xdr:sp macro="" textlink="">
      <xdr:nvSpPr>
        <xdr:cNvPr id="21" name="TextBox 20">
          <a:extLst>
            <a:ext uri="{FF2B5EF4-FFF2-40B4-BE49-F238E27FC236}">
              <a16:creationId xmlns:a16="http://schemas.microsoft.com/office/drawing/2014/main" id="{6CCC67A7-778A-9A43-C209-46836406B73A}"/>
            </a:ext>
          </a:extLst>
        </xdr:cNvPr>
        <xdr:cNvSpPr txBox="1"/>
      </xdr:nvSpPr>
      <xdr:spPr>
        <a:xfrm rot="16200000">
          <a:off x="1331053" y="11728721"/>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#30</a:t>
          </a:r>
        </a:p>
      </xdr:txBody>
    </xdr:sp>
    <xdr:clientData/>
  </xdr:oneCellAnchor>
  <xdr:oneCellAnchor>
    <xdr:from>
      <xdr:col>1</xdr:col>
      <xdr:colOff>1090032</xdr:colOff>
      <xdr:row>64</xdr:row>
      <xdr:rowOff>154780</xdr:rowOff>
    </xdr:from>
    <xdr:ext cx="176972" cy="267891"/>
    <xdr:sp macro="" textlink="">
      <xdr:nvSpPr>
        <xdr:cNvPr id="22" name="TextBox 21">
          <a:extLst>
            <a:ext uri="{FF2B5EF4-FFF2-40B4-BE49-F238E27FC236}">
              <a16:creationId xmlns:a16="http://schemas.microsoft.com/office/drawing/2014/main" id="{16333210-C8CD-1849-8448-A3626C607690}"/>
            </a:ext>
          </a:extLst>
        </xdr:cNvPr>
        <xdr:cNvSpPr txBox="1"/>
      </xdr:nvSpPr>
      <xdr:spPr>
        <a:xfrm rot="16200000">
          <a:off x="1156244" y="11761619"/>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#50</a:t>
          </a:r>
        </a:p>
      </xdr:txBody>
    </xdr:sp>
    <xdr:clientData/>
  </xdr:oneCellAnchor>
  <xdr:oneCellAnchor>
    <xdr:from>
      <xdr:col>1</xdr:col>
      <xdr:colOff>968710</xdr:colOff>
      <xdr:row>64</xdr:row>
      <xdr:rowOff>154779</xdr:rowOff>
    </xdr:from>
    <xdr:ext cx="176972" cy="315516"/>
    <xdr:sp macro="" textlink="">
      <xdr:nvSpPr>
        <xdr:cNvPr id="23" name="TextBox 22">
          <a:extLst>
            <a:ext uri="{FF2B5EF4-FFF2-40B4-BE49-F238E27FC236}">
              <a16:creationId xmlns:a16="http://schemas.microsoft.com/office/drawing/2014/main" id="{99A77D87-B1E2-7968-CEC9-A8A7D5B99305}"/>
            </a:ext>
          </a:extLst>
        </xdr:cNvPr>
        <xdr:cNvSpPr txBox="1"/>
      </xdr:nvSpPr>
      <xdr:spPr>
        <a:xfrm rot="16200000">
          <a:off x="1011110" y="11785430"/>
          <a:ext cx="315516"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#100</a:t>
          </a:r>
        </a:p>
      </xdr:txBody>
    </xdr:sp>
    <xdr:clientData/>
  </xdr:oneCellAnchor>
  <xdr:oneCellAnchor>
    <xdr:from>
      <xdr:col>1</xdr:col>
      <xdr:colOff>838481</xdr:colOff>
      <xdr:row>64</xdr:row>
      <xdr:rowOff>155395</xdr:rowOff>
    </xdr:from>
    <xdr:ext cx="176972" cy="315516"/>
    <xdr:sp macro="" textlink="">
      <xdr:nvSpPr>
        <xdr:cNvPr id="24" name="TextBox 23">
          <a:extLst>
            <a:ext uri="{FF2B5EF4-FFF2-40B4-BE49-F238E27FC236}">
              <a16:creationId xmlns:a16="http://schemas.microsoft.com/office/drawing/2014/main" id="{2CA0C23B-2551-3F6C-6A99-83659D6844D5}"/>
            </a:ext>
          </a:extLst>
        </xdr:cNvPr>
        <xdr:cNvSpPr txBox="1"/>
      </xdr:nvSpPr>
      <xdr:spPr>
        <a:xfrm rot="16200000">
          <a:off x="880881" y="11786046"/>
          <a:ext cx="315516"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#200</a:t>
          </a:r>
        </a:p>
      </xdr:txBody>
    </xdr:sp>
    <xdr:clientData/>
  </xdr:oneCellAnchor>
  <xdr:twoCellAnchor>
    <xdr:from>
      <xdr:col>8</xdr:col>
      <xdr:colOff>326919</xdr:colOff>
      <xdr:row>70</xdr:row>
      <xdr:rowOff>47259</xdr:rowOff>
    </xdr:from>
    <xdr:to>
      <xdr:col>13</xdr:col>
      <xdr:colOff>306797</xdr:colOff>
      <xdr:row>87</xdr:row>
      <xdr:rowOff>28719</xdr:rowOff>
    </xdr:to>
    <xdr:graphicFrame macro="">
      <xdr:nvGraphicFramePr>
        <xdr:cNvPr id="44" name="Chart 43">
          <a:extLst>
            <a:ext uri="{FF2B5EF4-FFF2-40B4-BE49-F238E27FC236}">
              <a16:creationId xmlns:a16="http://schemas.microsoft.com/office/drawing/2014/main" id="{377A88D1-000E-4FE0-93BE-E3E9A671A11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63356</xdr:colOff>
      <xdr:row>72</xdr:row>
      <xdr:rowOff>59047</xdr:rowOff>
    </xdr:from>
    <xdr:to>
      <xdr:col>12</xdr:col>
      <xdr:colOff>821041</xdr:colOff>
      <xdr:row>83</xdr:row>
      <xdr:rowOff>118986</xdr:rowOff>
    </xdr:to>
    <xdr:grpSp>
      <xdr:nvGrpSpPr>
        <xdr:cNvPr id="48" name="Group 47">
          <a:extLst>
            <a:ext uri="{FF2B5EF4-FFF2-40B4-BE49-F238E27FC236}">
              <a16:creationId xmlns:a16="http://schemas.microsoft.com/office/drawing/2014/main" id="{35F1C8E0-0919-4570-B043-579EDCAE27BE}"/>
            </a:ext>
          </a:extLst>
        </xdr:cNvPr>
        <xdr:cNvGrpSpPr/>
      </xdr:nvGrpSpPr>
      <xdr:grpSpPr>
        <a:xfrm>
          <a:off x="8388206" y="12832072"/>
          <a:ext cx="2405510" cy="1841114"/>
          <a:chOff x="8361484" y="12851852"/>
          <a:chExt cx="2427923" cy="1840296"/>
        </a:xfrm>
      </xdr:grpSpPr>
      <xdr:cxnSp macro="">
        <xdr:nvCxnSpPr>
          <xdr:cNvPr id="49" name="Straight Connector 48">
            <a:extLst>
              <a:ext uri="{FF2B5EF4-FFF2-40B4-BE49-F238E27FC236}">
                <a16:creationId xmlns:a16="http://schemas.microsoft.com/office/drawing/2014/main" id="{E1776C70-C3F5-C0D6-7D5B-F70C82039ED7}"/>
              </a:ext>
            </a:extLst>
          </xdr:cNvPr>
          <xdr:cNvCxnSpPr/>
        </xdr:nvCxnSpPr>
        <xdr:spPr>
          <a:xfrm>
            <a:off x="8361484" y="14384215"/>
            <a:ext cx="242792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50" name="TextBox 49">
            <a:extLst>
              <a:ext uri="{FF2B5EF4-FFF2-40B4-BE49-F238E27FC236}">
                <a16:creationId xmlns:a16="http://schemas.microsoft.com/office/drawing/2014/main" id="{B15361CC-679E-4F2F-CEAC-518C9F7FD3B4}"/>
              </a:ext>
            </a:extLst>
          </xdr:cNvPr>
          <xdr:cNvSpPr txBox="1"/>
        </xdr:nvSpPr>
        <xdr:spPr>
          <a:xfrm>
            <a:off x="10071209" y="12851852"/>
            <a:ext cx="702880" cy="310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Including</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air content</a:t>
            </a:r>
          </a:p>
        </xdr:txBody>
      </xdr:sp>
      <xdr:sp macro="" textlink="">
        <xdr:nvSpPr>
          <xdr:cNvPr id="51" name="TextBox 50">
            <a:extLst>
              <a:ext uri="{FF2B5EF4-FFF2-40B4-BE49-F238E27FC236}">
                <a16:creationId xmlns:a16="http://schemas.microsoft.com/office/drawing/2014/main" id="{33332634-B0AF-4072-C16B-15929A197B8A}"/>
              </a:ext>
            </a:extLst>
          </xdr:cNvPr>
          <xdr:cNvSpPr txBox="1"/>
        </xdr:nvSpPr>
        <xdr:spPr>
          <a:xfrm>
            <a:off x="10084346" y="14381435"/>
            <a:ext cx="702880" cy="310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Excluding</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air content</a:t>
            </a:r>
          </a:p>
        </xdr:txBody>
      </xdr:sp>
    </xdr:grpSp>
    <xdr:clientData/>
  </xdr:twoCellAnchor>
</xdr:wsDr>
</file>

<file path=xl/drawings/drawing4.xml><?xml version="1.0" encoding="utf-8"?>
<c:userShapes xmlns:c="http://schemas.openxmlformats.org/drawingml/2006/chart">
  <cdr:relSizeAnchor xmlns:cdr="http://schemas.openxmlformats.org/drawingml/2006/chartDrawing">
    <cdr:from>
      <cdr:x>0.13169</cdr:x>
      <cdr:y>0.1466</cdr:y>
    </cdr:from>
    <cdr:to>
      <cdr:x>0.19893</cdr:x>
      <cdr:y>0.19349</cdr:y>
    </cdr:to>
    <cdr:sp macro="" textlink="">
      <cdr:nvSpPr>
        <cdr:cNvPr id="2" name="TextBox 1">
          <a:extLst xmlns:a="http://schemas.openxmlformats.org/drawingml/2006/main">
            <a:ext uri="{FF2B5EF4-FFF2-40B4-BE49-F238E27FC236}">
              <a16:creationId xmlns:a16="http://schemas.microsoft.com/office/drawing/2014/main" id="{7F46851E-EC9A-73FC-FC74-20F9AFC88C68}"/>
            </a:ext>
          </a:extLst>
        </cdr:cNvPr>
        <cdr:cNvSpPr txBox="1"/>
      </cdr:nvSpPr>
      <cdr:spPr>
        <a:xfrm xmlns:a="http://schemas.openxmlformats.org/drawingml/2006/main">
          <a:off x="708931" y="506186"/>
          <a:ext cx="361950" cy="1619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Sandy</a:t>
          </a:r>
        </a:p>
      </cdr:txBody>
    </cdr:sp>
  </cdr:relSizeAnchor>
  <cdr:relSizeAnchor xmlns:cdr="http://schemas.openxmlformats.org/drawingml/2006/chartDrawing">
    <cdr:from>
      <cdr:x>0.22901</cdr:x>
      <cdr:y>0.13556</cdr:y>
    </cdr:from>
    <cdr:to>
      <cdr:x>0.27678</cdr:x>
      <cdr:y>0.20177</cdr:y>
    </cdr:to>
    <cdr:sp macro="" textlink="">
      <cdr:nvSpPr>
        <cdr:cNvPr id="3" name="TextBox 2">
          <a:extLst xmlns:a="http://schemas.openxmlformats.org/drawingml/2006/main">
            <a:ext uri="{FF2B5EF4-FFF2-40B4-BE49-F238E27FC236}">
              <a16:creationId xmlns:a16="http://schemas.microsoft.com/office/drawing/2014/main" id="{7A189EA1-5AFA-C844-29DE-11C8F715A741}"/>
            </a:ext>
          </a:extLst>
        </cdr:cNvPr>
        <cdr:cNvSpPr txBox="1"/>
      </cdr:nvSpPr>
      <cdr:spPr>
        <a:xfrm xmlns:a="http://schemas.openxmlformats.org/drawingml/2006/main">
          <a:off x="1232805" y="46808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IV</a:t>
          </a:r>
        </a:p>
      </cdr:txBody>
    </cdr:sp>
  </cdr:relSizeAnchor>
  <cdr:relSizeAnchor xmlns:cdr="http://schemas.openxmlformats.org/drawingml/2006/chartDrawing">
    <cdr:from>
      <cdr:x>0.1853</cdr:x>
      <cdr:y>0.44451</cdr:y>
    </cdr:from>
    <cdr:to>
      <cdr:x>0.21538</cdr:x>
      <cdr:y>0.5052</cdr:y>
    </cdr:to>
    <cdr:sp macro="" textlink="">
      <cdr:nvSpPr>
        <cdr:cNvPr id="4" name="TextBox 3">
          <a:extLst xmlns:a="http://schemas.openxmlformats.org/drawingml/2006/main">
            <a:ext uri="{FF2B5EF4-FFF2-40B4-BE49-F238E27FC236}">
              <a16:creationId xmlns:a16="http://schemas.microsoft.com/office/drawing/2014/main" id="{354113D2-2A55-ACD1-DEB3-C2B6E671FE61}"/>
            </a:ext>
          </a:extLst>
        </cdr:cNvPr>
        <cdr:cNvSpPr txBox="1"/>
      </cdr:nvSpPr>
      <cdr:spPr>
        <a:xfrm xmlns:a="http://schemas.openxmlformats.org/drawingml/2006/main">
          <a:off x="994615" y="1569663"/>
          <a:ext cx="161453" cy="21430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a:t>
          </a:r>
        </a:p>
      </cdr:txBody>
    </cdr:sp>
  </cdr:relSizeAnchor>
  <cdr:relSizeAnchor xmlns:cdr="http://schemas.openxmlformats.org/drawingml/2006/chartDrawing">
    <cdr:from>
      <cdr:x>0.46611</cdr:x>
      <cdr:y>0.26245</cdr:y>
    </cdr:from>
    <cdr:to>
      <cdr:x>0.51388</cdr:x>
      <cdr:y>0.32866</cdr:y>
    </cdr:to>
    <cdr:sp macro="" textlink="">
      <cdr:nvSpPr>
        <cdr:cNvPr id="5" name="TextBox 4">
          <a:extLst xmlns:a="http://schemas.openxmlformats.org/drawingml/2006/main">
            <a:ext uri="{FF2B5EF4-FFF2-40B4-BE49-F238E27FC236}">
              <a16:creationId xmlns:a16="http://schemas.microsoft.com/office/drawing/2014/main" id="{6367E30D-24DB-F767-23AD-3DDA0319B2C5}"/>
            </a:ext>
          </a:extLst>
        </cdr:cNvPr>
        <cdr:cNvSpPr txBox="1"/>
      </cdr:nvSpPr>
      <cdr:spPr>
        <a:xfrm xmlns:a="http://schemas.openxmlformats.org/drawingml/2006/main">
          <a:off x="2509155" y="90623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II</a:t>
          </a:r>
        </a:p>
      </cdr:txBody>
    </cdr:sp>
  </cdr:relSizeAnchor>
  <cdr:relSizeAnchor xmlns:cdr="http://schemas.openxmlformats.org/drawingml/2006/chartDrawing">
    <cdr:from>
      <cdr:x>0.7439</cdr:x>
      <cdr:y>0.1797</cdr:y>
    </cdr:from>
    <cdr:to>
      <cdr:x>0.79167</cdr:x>
      <cdr:y>0.2459</cdr:y>
    </cdr:to>
    <cdr:sp macro="" textlink="">
      <cdr:nvSpPr>
        <cdr:cNvPr id="6" name="TextBox 5">
          <a:extLst xmlns:a="http://schemas.openxmlformats.org/drawingml/2006/main">
            <a:ext uri="{FF2B5EF4-FFF2-40B4-BE49-F238E27FC236}">
              <a16:creationId xmlns:a16="http://schemas.microsoft.com/office/drawing/2014/main" id="{CE7BE249-EC28-E79E-F021-A751E6338051}"/>
            </a:ext>
          </a:extLst>
        </cdr:cNvPr>
        <cdr:cNvSpPr txBox="1"/>
      </cdr:nvSpPr>
      <cdr:spPr>
        <a:xfrm xmlns:a="http://schemas.openxmlformats.org/drawingml/2006/main">
          <a:off x="4004580" y="62048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III</a:t>
          </a:r>
        </a:p>
      </cdr:txBody>
    </cdr:sp>
  </cdr:relSizeAnchor>
  <cdr:relSizeAnchor xmlns:cdr="http://schemas.openxmlformats.org/drawingml/2006/chartDrawing">
    <cdr:from>
      <cdr:x>0.64658</cdr:x>
      <cdr:y>0.59072</cdr:y>
    </cdr:from>
    <cdr:to>
      <cdr:x>0.69436</cdr:x>
      <cdr:y>0.65692</cdr:y>
    </cdr:to>
    <cdr:sp macro="" textlink="">
      <cdr:nvSpPr>
        <cdr:cNvPr id="7" name="TextBox 6">
          <a:extLst xmlns:a="http://schemas.openxmlformats.org/drawingml/2006/main">
            <a:ext uri="{FF2B5EF4-FFF2-40B4-BE49-F238E27FC236}">
              <a16:creationId xmlns:a16="http://schemas.microsoft.com/office/drawing/2014/main" id="{1AF9F237-14CC-B8EF-CC6D-A0E089D1A214}"/>
            </a:ext>
          </a:extLst>
        </cdr:cNvPr>
        <cdr:cNvSpPr txBox="1"/>
      </cdr:nvSpPr>
      <cdr:spPr>
        <a:xfrm xmlns:a="http://schemas.openxmlformats.org/drawingml/2006/main">
          <a:off x="3480705" y="2039711"/>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V</a:t>
          </a:r>
        </a:p>
      </cdr:txBody>
    </cdr:sp>
  </cdr:relSizeAnchor>
  <cdr:relSizeAnchor xmlns:cdr="http://schemas.openxmlformats.org/drawingml/2006/chartDrawing">
    <cdr:from>
      <cdr:x>0.5475</cdr:x>
      <cdr:y>0.62933</cdr:y>
    </cdr:from>
    <cdr:to>
      <cdr:x>0.61474</cdr:x>
      <cdr:y>0.67623</cdr:y>
    </cdr:to>
    <cdr:sp macro="" textlink="">
      <cdr:nvSpPr>
        <cdr:cNvPr id="8" name="TextBox 7">
          <a:extLst xmlns:a="http://schemas.openxmlformats.org/drawingml/2006/main">
            <a:ext uri="{FF2B5EF4-FFF2-40B4-BE49-F238E27FC236}">
              <a16:creationId xmlns:a16="http://schemas.microsoft.com/office/drawing/2014/main" id="{EF4917AA-D674-35A3-3A71-7D905D656803}"/>
            </a:ext>
          </a:extLst>
        </cdr:cNvPr>
        <cdr:cNvSpPr txBox="1"/>
      </cdr:nvSpPr>
      <cdr:spPr>
        <a:xfrm xmlns:a="http://schemas.openxmlformats.org/drawingml/2006/main">
          <a:off x="2947306" y="2173061"/>
          <a:ext cx="361950" cy="1619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Rocky</a:t>
          </a:r>
        </a:p>
      </cdr:txBody>
    </cdr:sp>
  </cdr:relSizeAnchor>
  <cdr:relSizeAnchor xmlns:cdr="http://schemas.openxmlformats.org/drawingml/2006/chartDrawing">
    <cdr:from>
      <cdr:x>0.42364</cdr:x>
      <cdr:y>0.57141</cdr:y>
    </cdr:from>
    <cdr:to>
      <cdr:x>0.44487</cdr:x>
      <cdr:y>0.61278</cdr:y>
    </cdr:to>
    <cdr:sp macro="" textlink="">
      <cdr:nvSpPr>
        <cdr:cNvPr id="9" name="TextBox 8">
          <a:extLst xmlns:a="http://schemas.openxmlformats.org/drawingml/2006/main">
            <a:ext uri="{FF2B5EF4-FFF2-40B4-BE49-F238E27FC236}">
              <a16:creationId xmlns:a16="http://schemas.microsoft.com/office/drawing/2014/main" id="{8EFBB37A-5936-283F-B717-597A158C884C}"/>
            </a:ext>
          </a:extLst>
        </cdr:cNvPr>
        <cdr:cNvSpPr txBox="1"/>
      </cdr:nvSpPr>
      <cdr:spPr>
        <a:xfrm xmlns:a="http://schemas.openxmlformats.org/drawingml/2006/main">
          <a:off x="2280556" y="197303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0</a:t>
          </a:r>
        </a:p>
      </cdr:txBody>
    </cdr:sp>
  </cdr:relSizeAnchor>
  <cdr:relSizeAnchor xmlns:cdr="http://schemas.openxmlformats.org/drawingml/2006/chartDrawing">
    <cdr:from>
      <cdr:x>0.32986</cdr:x>
      <cdr:y>0.57968</cdr:y>
    </cdr:from>
    <cdr:to>
      <cdr:x>0.3511</cdr:x>
      <cdr:y>0.62106</cdr:y>
    </cdr:to>
    <cdr:sp macro="" textlink="">
      <cdr:nvSpPr>
        <cdr:cNvPr id="10" name="TextBox 9">
          <a:extLst xmlns:a="http://schemas.openxmlformats.org/drawingml/2006/main">
            <a:ext uri="{FF2B5EF4-FFF2-40B4-BE49-F238E27FC236}">
              <a16:creationId xmlns:a16="http://schemas.microsoft.com/office/drawing/2014/main" id="{D06DB071-6A4A-734C-B279-193BF70AE852}"/>
            </a:ext>
          </a:extLst>
        </cdr:cNvPr>
        <cdr:cNvSpPr txBox="1"/>
      </cdr:nvSpPr>
      <cdr:spPr>
        <a:xfrm xmlns:a="http://schemas.openxmlformats.org/drawingml/2006/main">
          <a:off x="1775731" y="200161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1</a:t>
          </a:r>
        </a:p>
      </cdr:txBody>
    </cdr:sp>
  </cdr:relSizeAnchor>
  <cdr:relSizeAnchor xmlns:cdr="http://schemas.openxmlformats.org/drawingml/2006/chartDrawing">
    <cdr:from>
      <cdr:x>0.32986</cdr:x>
      <cdr:y>0.54382</cdr:y>
    </cdr:from>
    <cdr:to>
      <cdr:x>0.3511</cdr:x>
      <cdr:y>0.5852</cdr:y>
    </cdr:to>
    <cdr:sp macro="" textlink="">
      <cdr:nvSpPr>
        <cdr:cNvPr id="11" name="TextBox 10">
          <a:extLst xmlns:a="http://schemas.openxmlformats.org/drawingml/2006/main">
            <a:ext uri="{FF2B5EF4-FFF2-40B4-BE49-F238E27FC236}">
              <a16:creationId xmlns:a16="http://schemas.microsoft.com/office/drawing/2014/main" id="{273FB9C7-B93E-CD86-50BD-66454A55E75B}"/>
            </a:ext>
          </a:extLst>
        </cdr:cNvPr>
        <cdr:cNvSpPr txBox="1"/>
      </cdr:nvSpPr>
      <cdr:spPr>
        <a:xfrm xmlns:a="http://schemas.openxmlformats.org/drawingml/2006/main">
          <a:off x="1775731" y="187778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2</a:t>
          </a:r>
        </a:p>
      </cdr:txBody>
    </cdr:sp>
  </cdr:relSizeAnchor>
  <cdr:relSizeAnchor xmlns:cdr="http://schemas.openxmlformats.org/drawingml/2006/chartDrawing">
    <cdr:from>
      <cdr:x>0.32986</cdr:x>
      <cdr:y>0.49693</cdr:y>
    </cdr:from>
    <cdr:to>
      <cdr:x>0.3511</cdr:x>
      <cdr:y>0.5383</cdr:y>
    </cdr:to>
    <cdr:sp macro="" textlink="">
      <cdr:nvSpPr>
        <cdr:cNvPr id="12" name="TextBox 11">
          <a:extLst xmlns:a="http://schemas.openxmlformats.org/drawingml/2006/main">
            <a:ext uri="{FF2B5EF4-FFF2-40B4-BE49-F238E27FC236}">
              <a16:creationId xmlns:a16="http://schemas.microsoft.com/office/drawing/2014/main" id="{23598226-BA9E-B7D9-3A90-85A1A524A2F7}"/>
            </a:ext>
          </a:extLst>
        </cdr:cNvPr>
        <cdr:cNvSpPr txBox="1"/>
      </cdr:nvSpPr>
      <cdr:spPr>
        <a:xfrm xmlns:a="http://schemas.openxmlformats.org/drawingml/2006/main">
          <a:off x="1775731" y="171586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3</a:t>
          </a:r>
        </a:p>
      </cdr:txBody>
    </cdr:sp>
  </cdr:relSizeAnchor>
  <cdr:relSizeAnchor xmlns:cdr="http://schemas.openxmlformats.org/drawingml/2006/chartDrawing">
    <cdr:from>
      <cdr:x>0.3281</cdr:x>
      <cdr:y>0.42245</cdr:y>
    </cdr:from>
    <cdr:to>
      <cdr:x>0.34933</cdr:x>
      <cdr:y>0.46382</cdr:y>
    </cdr:to>
    <cdr:sp macro="" textlink="">
      <cdr:nvSpPr>
        <cdr:cNvPr id="13" name="TextBox 12">
          <a:extLst xmlns:a="http://schemas.openxmlformats.org/drawingml/2006/main">
            <a:ext uri="{FF2B5EF4-FFF2-40B4-BE49-F238E27FC236}">
              <a16:creationId xmlns:a16="http://schemas.microsoft.com/office/drawing/2014/main" id="{C64A4093-9A2D-A7D8-9760-AF909C03B06B}"/>
            </a:ext>
          </a:extLst>
        </cdr:cNvPr>
        <cdr:cNvSpPr txBox="1"/>
      </cdr:nvSpPr>
      <cdr:spPr>
        <a:xfrm xmlns:a="http://schemas.openxmlformats.org/drawingml/2006/main">
          <a:off x="1766206" y="145868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4</a:t>
          </a:r>
        </a:p>
      </cdr:txBody>
    </cdr:sp>
  </cdr:relSizeAnchor>
  <cdr:relSizeAnchor xmlns:cdr="http://schemas.openxmlformats.org/drawingml/2006/chartDrawing">
    <cdr:from>
      <cdr:x>0.3281</cdr:x>
      <cdr:y>0.34797</cdr:y>
    </cdr:from>
    <cdr:to>
      <cdr:x>0.34933</cdr:x>
      <cdr:y>0.38934</cdr:y>
    </cdr:to>
    <cdr:sp macro="" textlink="">
      <cdr:nvSpPr>
        <cdr:cNvPr id="14" name="TextBox 13">
          <a:extLst xmlns:a="http://schemas.openxmlformats.org/drawingml/2006/main">
            <a:ext uri="{FF2B5EF4-FFF2-40B4-BE49-F238E27FC236}">
              <a16:creationId xmlns:a16="http://schemas.microsoft.com/office/drawing/2014/main" id="{B92A50DD-1E98-940E-27C3-BCED22D783B0}"/>
            </a:ext>
          </a:extLst>
        </cdr:cNvPr>
        <cdr:cNvSpPr txBox="1"/>
      </cdr:nvSpPr>
      <cdr:spPr>
        <a:xfrm xmlns:a="http://schemas.openxmlformats.org/drawingml/2006/main">
          <a:off x="1766206" y="120151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5</a:t>
          </a:r>
        </a:p>
      </cdr:txBody>
    </cdr:sp>
  </cdr:relSizeAnchor>
  <cdr:relSizeAnchor xmlns:cdr="http://schemas.openxmlformats.org/drawingml/2006/chartDrawing">
    <cdr:from>
      <cdr:x>0.64482</cdr:x>
      <cdr:y>0.439</cdr:y>
    </cdr:from>
    <cdr:to>
      <cdr:x>0.71382</cdr:x>
      <cdr:y>0.48038</cdr:y>
    </cdr:to>
    <cdr:sp macro="" textlink="">
      <cdr:nvSpPr>
        <cdr:cNvPr id="15" name="TextBox 14">
          <a:extLst xmlns:a="http://schemas.openxmlformats.org/drawingml/2006/main">
            <a:ext uri="{FF2B5EF4-FFF2-40B4-BE49-F238E27FC236}">
              <a16:creationId xmlns:a16="http://schemas.microsoft.com/office/drawing/2014/main" id="{FB3F3C6B-F95B-84F4-A0F1-6D09DF35A123}"/>
            </a:ext>
          </a:extLst>
        </cdr:cNvPr>
        <cdr:cNvSpPr txBox="1"/>
      </cdr:nvSpPr>
      <cdr:spPr>
        <a:xfrm xmlns:a="http://schemas.openxmlformats.org/drawingml/2006/main" rot="20543551">
          <a:off x="3471180" y="1515837"/>
          <a:ext cx="371475"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Trend</a:t>
          </a:r>
        </a:p>
      </cdr:txBody>
    </cdr:sp>
  </cdr:relSizeAnchor>
</c:userShapes>
</file>

<file path=xl/drawings/drawing5.xml><?xml version="1.0" encoding="utf-8"?>
<c:userShapes xmlns:c="http://schemas.openxmlformats.org/drawingml/2006/chart">
  <cdr:relSizeAnchor xmlns:cdr="http://schemas.openxmlformats.org/drawingml/2006/chartDrawing">
    <cdr:from>
      <cdr:x>0.15517</cdr:x>
      <cdr:y>0.06839</cdr:y>
    </cdr:from>
    <cdr:to>
      <cdr:x>0.15517</cdr:x>
      <cdr:y>0.83883</cdr:y>
    </cdr:to>
    <cdr:cxnSp macro="">
      <cdr:nvCxnSpPr>
        <cdr:cNvPr id="3" name="Straight Connector 2">
          <a:extLst xmlns:a="http://schemas.openxmlformats.org/drawingml/2006/main">
            <a:ext uri="{FF2B5EF4-FFF2-40B4-BE49-F238E27FC236}">
              <a16:creationId xmlns:a16="http://schemas.microsoft.com/office/drawing/2014/main" id="{3F54CDC4-7CD9-398C-28DC-5FA084E1AF8E}"/>
            </a:ext>
          </a:extLst>
        </cdr:cNvPr>
        <cdr:cNvCxnSpPr/>
      </cdr:nvCxnSpPr>
      <cdr:spPr>
        <a:xfrm xmlns:a="http://schemas.openxmlformats.org/drawingml/2006/main" flipV="1">
          <a:off x="918836" y="240938"/>
          <a:ext cx="0" cy="2714262"/>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0.17212</cdr:x>
      <cdr:y>0.06706</cdr:y>
    </cdr:from>
    <cdr:to>
      <cdr:x>0.17212</cdr:x>
      <cdr:y>0.8375</cdr:y>
    </cdr:to>
    <cdr:cxnSp macro="">
      <cdr:nvCxnSpPr>
        <cdr:cNvPr id="5" name="Straight Connector 4">
          <a:extLst xmlns:a="http://schemas.openxmlformats.org/drawingml/2006/main">
            <a:ext uri="{FF2B5EF4-FFF2-40B4-BE49-F238E27FC236}">
              <a16:creationId xmlns:a16="http://schemas.microsoft.com/office/drawing/2014/main" id="{16AD1C51-8AC7-B887-9899-58E31E4A0C42}"/>
            </a:ext>
          </a:extLst>
        </cdr:cNvPr>
        <cdr:cNvCxnSpPr/>
      </cdr:nvCxnSpPr>
      <cdr:spPr>
        <a:xfrm xmlns:a="http://schemas.openxmlformats.org/drawingml/2006/main" flipV="1">
          <a:off x="1023885" y="225913"/>
          <a:ext cx="0" cy="25954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0.19529</cdr:x>
      <cdr:y>0.06706</cdr:y>
    </cdr:from>
    <cdr:to>
      <cdr:x>0.19529</cdr:x>
      <cdr:y>0.8375</cdr:y>
    </cdr:to>
    <cdr:cxnSp macro="">
      <cdr:nvCxnSpPr>
        <cdr:cNvPr id="6" name="Straight Connector 5">
          <a:extLst xmlns:a="http://schemas.openxmlformats.org/drawingml/2006/main">
            <a:ext uri="{FF2B5EF4-FFF2-40B4-BE49-F238E27FC236}">
              <a16:creationId xmlns:a16="http://schemas.microsoft.com/office/drawing/2014/main" id="{DFE4F782-927A-126E-7DE1-A1B9FA54508F}"/>
            </a:ext>
          </a:extLst>
        </cdr:cNvPr>
        <cdr:cNvCxnSpPr/>
      </cdr:nvCxnSpPr>
      <cdr:spPr>
        <a:xfrm xmlns:a="http://schemas.openxmlformats.org/drawingml/2006/main" flipV="1">
          <a:off x="1158356" y="234931"/>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0.22423</cdr:x>
      <cdr:y>0.06972</cdr:y>
    </cdr:from>
    <cdr:to>
      <cdr:x>0.22423</cdr:x>
      <cdr:y>0.84016</cdr:y>
    </cdr:to>
    <cdr:cxnSp macro="">
      <cdr:nvCxnSpPr>
        <cdr:cNvPr id="7" name="Straight Connector 6">
          <a:extLst xmlns:a="http://schemas.openxmlformats.org/drawingml/2006/main">
            <a:ext uri="{FF2B5EF4-FFF2-40B4-BE49-F238E27FC236}">
              <a16:creationId xmlns:a16="http://schemas.microsoft.com/office/drawing/2014/main" id="{9CE07A03-AD1D-72A2-2D78-614CDDE3A0F6}"/>
            </a:ext>
          </a:extLst>
        </cdr:cNvPr>
        <cdr:cNvCxnSpPr/>
      </cdr:nvCxnSpPr>
      <cdr:spPr>
        <a:xfrm xmlns:a="http://schemas.openxmlformats.org/drawingml/2006/main" flipV="1">
          <a:off x="1329965" y="244250"/>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0.26404</cdr:x>
      <cdr:y>0.07127</cdr:y>
    </cdr:from>
    <cdr:to>
      <cdr:x>0.26404</cdr:x>
      <cdr:y>0.84171</cdr:y>
    </cdr:to>
    <cdr:cxnSp macro="">
      <cdr:nvCxnSpPr>
        <cdr:cNvPr id="8" name="Straight Connector 7">
          <a:extLst xmlns:a="http://schemas.openxmlformats.org/drawingml/2006/main">
            <a:ext uri="{FF2B5EF4-FFF2-40B4-BE49-F238E27FC236}">
              <a16:creationId xmlns:a16="http://schemas.microsoft.com/office/drawing/2014/main" id="{9A424ACE-61BB-53EF-3545-D238BD5A2592}"/>
            </a:ext>
          </a:extLst>
        </cdr:cNvPr>
        <cdr:cNvCxnSpPr/>
      </cdr:nvCxnSpPr>
      <cdr:spPr>
        <a:xfrm xmlns:a="http://schemas.openxmlformats.org/drawingml/2006/main" flipV="1">
          <a:off x="1566095" y="249693"/>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0.31942</cdr:x>
      <cdr:y>0.06972</cdr:y>
    </cdr:from>
    <cdr:to>
      <cdr:x>0.31942</cdr:x>
      <cdr:y>0.84016</cdr:y>
    </cdr:to>
    <cdr:cxnSp macro="">
      <cdr:nvCxnSpPr>
        <cdr:cNvPr id="9" name="Straight Connector 8">
          <a:extLst xmlns:a="http://schemas.openxmlformats.org/drawingml/2006/main">
            <a:ext uri="{FF2B5EF4-FFF2-40B4-BE49-F238E27FC236}">
              <a16:creationId xmlns:a16="http://schemas.microsoft.com/office/drawing/2014/main" id="{B819BCA5-C93F-0408-66F8-D2AC36CF0C78}"/>
            </a:ext>
          </a:extLst>
        </cdr:cNvPr>
        <cdr:cNvCxnSpPr/>
      </cdr:nvCxnSpPr>
      <cdr:spPr>
        <a:xfrm xmlns:a="http://schemas.openxmlformats.org/drawingml/2006/main" flipV="1">
          <a:off x="1894591" y="244250"/>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0.3986</cdr:x>
      <cdr:y>0.07118</cdr:y>
    </cdr:from>
    <cdr:to>
      <cdr:x>0.3986</cdr:x>
      <cdr:y>0.84162</cdr:y>
    </cdr:to>
    <cdr:cxnSp macro="">
      <cdr:nvCxnSpPr>
        <cdr:cNvPr id="10" name="Straight Connector 9">
          <a:extLst xmlns:a="http://schemas.openxmlformats.org/drawingml/2006/main">
            <a:ext uri="{FF2B5EF4-FFF2-40B4-BE49-F238E27FC236}">
              <a16:creationId xmlns:a16="http://schemas.microsoft.com/office/drawing/2014/main" id="{88B83540-7BC5-8749-F010-6AE7AE6537DE}"/>
            </a:ext>
          </a:extLst>
        </cdr:cNvPr>
        <cdr:cNvCxnSpPr/>
      </cdr:nvCxnSpPr>
      <cdr:spPr>
        <a:xfrm xmlns:a="http://schemas.openxmlformats.org/drawingml/2006/main" flipV="1">
          <a:off x="2364210" y="249365"/>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0.50135</cdr:x>
      <cdr:y>0.07264</cdr:y>
    </cdr:from>
    <cdr:to>
      <cdr:x>0.50135</cdr:x>
      <cdr:y>0.84308</cdr:y>
    </cdr:to>
    <cdr:cxnSp macro="">
      <cdr:nvCxnSpPr>
        <cdr:cNvPr id="11" name="Straight Connector 10">
          <a:extLst xmlns:a="http://schemas.openxmlformats.org/drawingml/2006/main">
            <a:ext uri="{FF2B5EF4-FFF2-40B4-BE49-F238E27FC236}">
              <a16:creationId xmlns:a16="http://schemas.microsoft.com/office/drawing/2014/main" id="{D158DD17-7964-0233-1641-03021D902C1B}"/>
            </a:ext>
          </a:extLst>
        </cdr:cNvPr>
        <cdr:cNvCxnSpPr/>
      </cdr:nvCxnSpPr>
      <cdr:spPr>
        <a:xfrm xmlns:a="http://schemas.openxmlformats.org/drawingml/2006/main" flipV="1">
          <a:off x="2973660" y="254479"/>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0.55321</cdr:x>
      <cdr:y>0.07264</cdr:y>
    </cdr:from>
    <cdr:to>
      <cdr:x>0.55321</cdr:x>
      <cdr:y>0.84308</cdr:y>
    </cdr:to>
    <cdr:cxnSp macro="">
      <cdr:nvCxnSpPr>
        <cdr:cNvPr id="12" name="Straight Connector 11">
          <a:extLst xmlns:a="http://schemas.openxmlformats.org/drawingml/2006/main">
            <a:ext uri="{FF2B5EF4-FFF2-40B4-BE49-F238E27FC236}">
              <a16:creationId xmlns:a16="http://schemas.microsoft.com/office/drawing/2014/main" id="{1697D9F1-135D-7BD2-4BE3-E71E24AF9DF0}"/>
            </a:ext>
          </a:extLst>
        </cdr:cNvPr>
        <cdr:cNvCxnSpPr/>
      </cdr:nvCxnSpPr>
      <cdr:spPr>
        <a:xfrm xmlns:a="http://schemas.openxmlformats.org/drawingml/2006/main" flipV="1">
          <a:off x="3281277" y="254479"/>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0.64509</cdr:x>
      <cdr:y>0.06681</cdr:y>
    </cdr:from>
    <cdr:to>
      <cdr:x>0.64509</cdr:x>
      <cdr:y>0.83725</cdr:y>
    </cdr:to>
    <cdr:cxnSp macro="">
      <cdr:nvCxnSpPr>
        <cdr:cNvPr id="13" name="Straight Connector 12">
          <a:extLst xmlns:a="http://schemas.openxmlformats.org/drawingml/2006/main">
            <a:ext uri="{FF2B5EF4-FFF2-40B4-BE49-F238E27FC236}">
              <a16:creationId xmlns:a16="http://schemas.microsoft.com/office/drawing/2014/main" id="{AEB964C3-0C7B-E894-2A0E-F8CAFC2DA0AD}"/>
            </a:ext>
          </a:extLst>
        </cdr:cNvPr>
        <cdr:cNvCxnSpPr/>
      </cdr:nvCxnSpPr>
      <cdr:spPr>
        <a:xfrm xmlns:a="http://schemas.openxmlformats.org/drawingml/2006/main" flipV="1">
          <a:off x="3826284" y="234055"/>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0.71488</cdr:x>
      <cdr:y>0.06681</cdr:y>
    </cdr:from>
    <cdr:to>
      <cdr:x>0.71488</cdr:x>
      <cdr:y>0.83725</cdr:y>
    </cdr:to>
    <cdr:cxnSp macro="">
      <cdr:nvCxnSpPr>
        <cdr:cNvPr id="14" name="Straight Connector 13">
          <a:extLst xmlns:a="http://schemas.openxmlformats.org/drawingml/2006/main">
            <a:ext uri="{FF2B5EF4-FFF2-40B4-BE49-F238E27FC236}">
              <a16:creationId xmlns:a16="http://schemas.microsoft.com/office/drawing/2014/main" id="{3B8D2202-E902-B4A5-870A-17582D9D9481}"/>
            </a:ext>
          </a:extLst>
        </cdr:cNvPr>
        <cdr:cNvCxnSpPr/>
      </cdr:nvCxnSpPr>
      <cdr:spPr>
        <a:xfrm xmlns:a="http://schemas.openxmlformats.org/drawingml/2006/main" flipV="1">
          <a:off x="4240224" y="234055"/>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0.83556</cdr:x>
      <cdr:y>0.07002</cdr:y>
    </cdr:from>
    <cdr:to>
      <cdr:x>0.83556</cdr:x>
      <cdr:y>0.84045</cdr:y>
    </cdr:to>
    <cdr:cxnSp macro="">
      <cdr:nvCxnSpPr>
        <cdr:cNvPr id="15" name="Straight Connector 14">
          <a:extLst xmlns:a="http://schemas.openxmlformats.org/drawingml/2006/main">
            <a:ext uri="{FF2B5EF4-FFF2-40B4-BE49-F238E27FC236}">
              <a16:creationId xmlns:a16="http://schemas.microsoft.com/office/drawing/2014/main" id="{FD6E491D-3383-FC59-35F3-29FC2C7A09D5}"/>
            </a:ext>
          </a:extLst>
        </cdr:cNvPr>
        <cdr:cNvCxnSpPr/>
      </cdr:nvCxnSpPr>
      <cdr:spPr>
        <a:xfrm xmlns:a="http://schemas.openxmlformats.org/drawingml/2006/main" flipV="1">
          <a:off x="4955994" y="245304"/>
          <a:ext cx="0" cy="2699044"/>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0.93492</cdr:x>
      <cdr:y>0.07167</cdr:y>
    </cdr:from>
    <cdr:to>
      <cdr:x>0.93492</cdr:x>
      <cdr:y>0.84211</cdr:y>
    </cdr:to>
    <cdr:cxnSp macro="">
      <cdr:nvCxnSpPr>
        <cdr:cNvPr id="16" name="Straight Connector 15">
          <a:extLst xmlns:a="http://schemas.openxmlformats.org/drawingml/2006/main">
            <a:ext uri="{FF2B5EF4-FFF2-40B4-BE49-F238E27FC236}">
              <a16:creationId xmlns:a16="http://schemas.microsoft.com/office/drawing/2014/main" id="{76D93DCA-AB4E-10B4-562B-9F16CF57894C}"/>
            </a:ext>
          </a:extLst>
        </cdr:cNvPr>
        <cdr:cNvCxnSpPr/>
      </cdr:nvCxnSpPr>
      <cdr:spPr>
        <a:xfrm xmlns:a="http://schemas.openxmlformats.org/drawingml/2006/main" flipV="1">
          <a:off x="5545338" y="251075"/>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editAs="oneCell">
    <xdr:from>
      <xdr:col>8</xdr:col>
      <xdr:colOff>114301</xdr:colOff>
      <xdr:row>143</xdr:row>
      <xdr:rowOff>19050</xdr:rowOff>
    </xdr:from>
    <xdr:to>
      <xdr:col>28</xdr:col>
      <xdr:colOff>76201</xdr:colOff>
      <xdr:row>155</xdr:row>
      <xdr:rowOff>157219</xdr:rowOff>
    </xdr:to>
    <xdr:pic>
      <xdr:nvPicPr>
        <xdr:cNvPr id="2" name="Picture 1">
          <a:extLst>
            <a:ext uri="{FF2B5EF4-FFF2-40B4-BE49-F238E27FC236}">
              <a16:creationId xmlns:a16="http://schemas.microsoft.com/office/drawing/2014/main" id="{49223FB4-DDED-4471-9125-381C00EAAF75}"/>
            </a:ext>
          </a:extLst>
        </xdr:cNvPr>
        <xdr:cNvPicPr>
          <a:picLocks noChangeAspect="1"/>
        </xdr:cNvPicPr>
      </xdr:nvPicPr>
      <xdr:blipFill>
        <a:blip xmlns:r="http://schemas.openxmlformats.org/officeDocument/2006/relationships" r:embed="rId1"/>
        <a:stretch>
          <a:fillRect/>
        </a:stretch>
      </xdr:blipFill>
      <xdr:spPr>
        <a:xfrm>
          <a:off x="2000251" y="23726775"/>
          <a:ext cx="4019550" cy="2081269"/>
        </a:xfrm>
        <a:prstGeom prst="rect">
          <a:avLst/>
        </a:prstGeom>
      </xdr:spPr>
    </xdr:pic>
    <xdr:clientData/>
  </xdr:twoCellAnchor>
  <xdr:twoCellAnchor>
    <xdr:from>
      <xdr:col>8</xdr:col>
      <xdr:colOff>76200</xdr:colOff>
      <xdr:row>119</xdr:row>
      <xdr:rowOff>28575</xdr:rowOff>
    </xdr:from>
    <xdr:to>
      <xdr:col>28</xdr:col>
      <xdr:colOff>0</xdr:colOff>
      <xdr:row>140</xdr:row>
      <xdr:rowOff>6706</xdr:rowOff>
    </xdr:to>
    <xdr:pic>
      <xdr:nvPicPr>
        <xdr:cNvPr id="3" name="Picture 2">
          <a:extLst>
            <a:ext uri="{FF2B5EF4-FFF2-40B4-BE49-F238E27FC236}">
              <a16:creationId xmlns:a16="http://schemas.microsoft.com/office/drawing/2014/main" id="{72135C6F-C85D-4EA1-ADD9-09DC2E7BDCC4}"/>
            </a:ext>
          </a:extLst>
        </xdr:cNvPr>
        <xdr:cNvPicPr preferRelativeResize="0">
          <a:picLocks/>
        </xdr:cNvPicPr>
      </xdr:nvPicPr>
      <xdr:blipFill>
        <a:blip xmlns:r="http://schemas.openxmlformats.org/officeDocument/2006/relationships" r:embed="rId2"/>
        <a:stretch>
          <a:fillRect/>
        </a:stretch>
      </xdr:blipFill>
      <xdr:spPr>
        <a:xfrm>
          <a:off x="1962150" y="19821525"/>
          <a:ext cx="3981450" cy="3378556"/>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Users\MRHARRIS\Desktop\IT-6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ngov-my.sharepoint.com/personal/amazumder_indot_in_gov/Documents/Desktop/Temp/Other%20works/Concrete%20Mix%20Design%20Worksheet/Copy%20of%20Concrete%20Mix%20Design%20Spreadsheet%20v14b.03.05.24.xlsx" TargetMode="External"/><Relationship Id="rId1" Type="http://schemas.openxmlformats.org/officeDocument/2006/relationships/externalLinkPath" Target="https://ingov-my.sharepoint.com/personal/rharris_indot_in_gov/Documents/Desktop/Copy%20of%20Concrete%20Mix%20Design%20Spreadsheet%20v14b.03.05.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gregate Moistures"/>
      <sheetName val="SM652 English"/>
      <sheetName val="IT628 English"/>
      <sheetName val="Chart1"/>
      <sheetName val="SM652 (ICC)"/>
      <sheetName val="IT628  (ICC)"/>
    </sheetNames>
    <sheetDataSet>
      <sheetData sheetId="0" refreshError="1"/>
      <sheetData sheetId="1">
        <row r="41">
          <cell r="BE41">
            <v>0</v>
          </cell>
        </row>
        <row r="61">
          <cell r="AD61" t="str">
            <v>POZZOLAN</v>
          </cell>
          <cell r="AK61" t="str">
            <v>SM CODE</v>
          </cell>
          <cell r="AQ61" t="str">
            <v>FINE AGGREGATE</v>
          </cell>
          <cell r="AX61" t="str">
            <v>SM CODE</v>
          </cell>
          <cell r="BC61" t="str">
            <v>COARSE AGG</v>
          </cell>
          <cell r="BJ61" t="str">
            <v>SM CODE</v>
          </cell>
        </row>
        <row r="62">
          <cell r="AD62" t="str">
            <v>Fly Ash Class C</v>
          </cell>
          <cell r="AJ62" t="str">
            <v>901M00110</v>
          </cell>
          <cell r="AQ62" t="str">
            <v>Natural Sand, 23</v>
          </cell>
          <cell r="AX62" t="str">
            <v>904M06020</v>
          </cell>
          <cell r="BC62" t="str">
            <v>Class AP, CS 8</v>
          </cell>
          <cell r="BJ62" t="str">
            <v>904M00030</v>
          </cell>
          <cell r="BQ62" t="str">
            <v>CONCRETE PLANTS</v>
          </cell>
          <cell r="CP62" t="str">
            <v>COARSE AGGREGATE SOURCES</v>
          </cell>
          <cell r="DY62" t="str">
            <v>904M00030</v>
          </cell>
          <cell r="ED62" t="str">
            <v>904M00110</v>
          </cell>
          <cell r="EI62" t="str">
            <v>904M00140</v>
          </cell>
          <cell r="EN62" t="str">
            <v>904M00220</v>
          </cell>
          <cell r="ES62" t="str">
            <v>904M00250</v>
          </cell>
          <cell r="EX62" t="str">
            <v>904M00330</v>
          </cell>
          <cell r="FC62" t="str">
            <v>904M00360</v>
          </cell>
          <cell r="FH62" t="str">
            <v>904M00550</v>
          </cell>
          <cell r="FM62" t="str">
            <v>904M00690</v>
          </cell>
          <cell r="FR62" t="str">
            <v>904M00710</v>
          </cell>
          <cell r="FW62" t="str">
            <v>904M00760</v>
          </cell>
          <cell r="GB62" t="str">
            <v>904M00800</v>
          </cell>
          <cell r="GG62" t="str">
            <v>904M00820</v>
          </cell>
          <cell r="GL62" t="str">
            <v>904M00870</v>
          </cell>
          <cell r="GQ62" t="str">
            <v>904M00910</v>
          </cell>
          <cell r="GV62" t="str">
            <v>904M00930</v>
          </cell>
          <cell r="HA62" t="str">
            <v>904M00980</v>
          </cell>
          <cell r="HF62" t="str">
            <v>904M01020</v>
          </cell>
          <cell r="HK62" t="str">
            <v>904M01040</v>
          </cell>
          <cell r="HP62" t="str">
            <v>904M01090</v>
          </cell>
          <cell r="HU62" t="str">
            <v>904M01350</v>
          </cell>
          <cell r="HZ62" t="str">
            <v>904M01460</v>
          </cell>
          <cell r="IE62" t="str">
            <v>904M01570</v>
          </cell>
          <cell r="IJ62" t="str">
            <v>904M01680</v>
          </cell>
          <cell r="IO62" t="str">
            <v>904M05630</v>
          </cell>
        </row>
        <row r="63">
          <cell r="AD63" t="str">
            <v>Fly Ash Class F</v>
          </cell>
          <cell r="AJ63" t="str">
            <v>901M00120</v>
          </cell>
          <cell r="AQ63" t="str">
            <v>Natural Sand, QA</v>
          </cell>
          <cell r="AX63" t="str">
            <v>904M06040</v>
          </cell>
          <cell r="BC63" t="str">
            <v>Class AP, CS QA</v>
          </cell>
          <cell r="BJ63" t="str">
            <v>904M00110</v>
          </cell>
          <cell r="BQ63" t="str">
            <v>Name &amp; Location</v>
          </cell>
          <cell r="CI63" t="str">
            <v>Plant No.</v>
          </cell>
          <cell r="CP63" t="str">
            <v>Name</v>
          </cell>
          <cell r="DS63" t="str">
            <v>Source #</v>
          </cell>
        </row>
        <row r="64">
          <cell r="AD64" t="str">
            <v>Silica Fume</v>
          </cell>
          <cell r="AJ64" t="str">
            <v>901M00140</v>
          </cell>
          <cell r="AQ64" t="str">
            <v>Crushed Stn, 23</v>
          </cell>
          <cell r="AX64" t="str">
            <v>904M06220</v>
          </cell>
          <cell r="BC64" t="str">
            <v>Class AP, Gvl 8</v>
          </cell>
          <cell r="BJ64" t="str">
            <v>904M00140</v>
          </cell>
          <cell r="BQ64" t="str">
            <v>A &amp; T Concrete Supply - Ft. Branch, IN</v>
          </cell>
          <cell r="CI64" t="str">
            <v>CONC1774</v>
          </cell>
          <cell r="CP64" t="str">
            <v>Cave/Calcar Quarries, Inc. - Paoli, IN</v>
          </cell>
          <cell r="DS64" t="str">
            <v>2643</v>
          </cell>
          <cell r="DY64" t="str">
            <v>D980500</v>
          </cell>
          <cell r="FR64" t="str">
            <v>D980500</v>
          </cell>
        </row>
        <row r="65">
          <cell r="AD65" t="str">
            <v>GGBFS 100</v>
          </cell>
          <cell r="AJ65" t="str">
            <v>901M00125</v>
          </cell>
          <cell r="AQ65" t="str">
            <v>Air Cool BF, 23</v>
          </cell>
          <cell r="AX65" t="str">
            <v>904M06320</v>
          </cell>
          <cell r="BC65" t="str">
            <v>Class AP, Gvl QA</v>
          </cell>
          <cell r="BJ65" t="str">
            <v>904M00220</v>
          </cell>
          <cell r="BQ65" t="str">
            <v>B. Barnett Ready Mix - Carmi, Il</v>
          </cell>
          <cell r="CI65" t="str">
            <v>CONC1755</v>
          </cell>
          <cell r="CP65" t="str">
            <v>Carolina Stalite Company - Gold Hill, NC</v>
          </cell>
          <cell r="DS65" t="str">
            <v>9996</v>
          </cell>
        </row>
        <row r="66">
          <cell r="AD66" t="str">
            <v>GGBFS 120</v>
          </cell>
          <cell r="AJ66" t="str">
            <v>901M00130</v>
          </cell>
          <cell r="AQ66" t="str">
            <v>Dolomite Sand, 23</v>
          </cell>
          <cell r="AX66" t="str">
            <v>904M06720</v>
          </cell>
          <cell r="BC66" t="str">
            <v>Class AP, CGvl 8</v>
          </cell>
          <cell r="BJ66" t="str">
            <v>904M00250</v>
          </cell>
          <cell r="BQ66" t="str">
            <v>Central Concrete Supply - 5 mi. N. Jct. SR 162 &amp; SR 64</v>
          </cell>
          <cell r="CI66" t="str">
            <v>CONC1710</v>
          </cell>
          <cell r="CP66" t="str">
            <v>Cave Quarries, Inc. - Paoli, IN</v>
          </cell>
          <cell r="DS66" t="str">
            <v>2641</v>
          </cell>
          <cell r="DY66" t="str">
            <v>D001180</v>
          </cell>
          <cell r="FR66" t="str">
            <v>D030530</v>
          </cell>
        </row>
        <row r="67">
          <cell r="AD67" t="str">
            <v>CEMENT</v>
          </cell>
          <cell r="AJ67" t="str">
            <v>SM CODE</v>
          </cell>
          <cell r="BC67" t="str">
            <v>Class AP, CGvl QA</v>
          </cell>
          <cell r="BJ67" t="str">
            <v>904M00330</v>
          </cell>
          <cell r="BQ67" t="str">
            <v>Concrete Supply, LLC - Evansville, IN</v>
          </cell>
          <cell r="CI67" t="str">
            <v>CONC1698</v>
          </cell>
          <cell r="CP67" t="str">
            <v>Corydon Crushed Stone - Corydon, IN</v>
          </cell>
          <cell r="DS67" t="str">
            <v>2572</v>
          </cell>
          <cell r="DY67" t="str">
            <v>D001120</v>
          </cell>
          <cell r="FR67" t="str">
            <v>D980910</v>
          </cell>
        </row>
        <row r="68">
          <cell r="AD68" t="str">
            <v>Type ISA</v>
          </cell>
          <cell r="AJ68" t="str">
            <v>901M00010</v>
          </cell>
          <cell r="AQ68" t="str">
            <v>ADMIXTURE</v>
          </cell>
          <cell r="AX68" t="str">
            <v>SM CODE</v>
          </cell>
          <cell r="BC68" t="str">
            <v>Class AP, BF 8</v>
          </cell>
          <cell r="BJ68" t="str">
            <v>904M00360</v>
          </cell>
          <cell r="BQ68" t="str">
            <v>E &amp; B Paving, Telephone Rd., Chandler, IN</v>
          </cell>
          <cell r="CI68" t="str">
            <v>CONC1542</v>
          </cell>
          <cell r="CP68" t="str">
            <v>EMI (2621-Mulzer Cape Sandy Quarry) - Evansville, IN</v>
          </cell>
          <cell r="DS68" t="str">
            <v>2632</v>
          </cell>
          <cell r="DY68" t="str">
            <v>D971211</v>
          </cell>
          <cell r="FM68" t="str">
            <v>D970211</v>
          </cell>
          <cell r="FR68" t="str">
            <v>D970211</v>
          </cell>
        </row>
        <row r="69">
          <cell r="AD69" t="str">
            <v>Type IA</v>
          </cell>
          <cell r="AJ69" t="str">
            <v>901M00020</v>
          </cell>
          <cell r="AQ69" t="str">
            <v>Type A - WR</v>
          </cell>
          <cell r="AX69" t="str">
            <v>912M00010</v>
          </cell>
          <cell r="BC69" t="str">
            <v>Class AP, BF QA</v>
          </cell>
          <cell r="BJ69" t="str">
            <v>904M00550</v>
          </cell>
          <cell r="BQ69" t="str">
            <v>Edwards Co. Concrete - Graysville, Il</v>
          </cell>
          <cell r="CI69" t="str">
            <v>CONC1555</v>
          </cell>
          <cell r="CP69" t="str">
            <v>Heritage Aggregates - Springville, IN</v>
          </cell>
          <cell r="DS69">
            <v>2642</v>
          </cell>
          <cell r="DY69" t="str">
            <v>D111040</v>
          </cell>
          <cell r="FR69" t="str">
            <v>D110190</v>
          </cell>
        </row>
        <row r="70">
          <cell r="AD70" t="str">
            <v>Type IIIA</v>
          </cell>
          <cell r="AJ70" t="str">
            <v>901M00030</v>
          </cell>
          <cell r="AQ70" t="str">
            <v>Type B - Retard</v>
          </cell>
          <cell r="AX70" t="str">
            <v>912M00020</v>
          </cell>
          <cell r="BC70" t="str">
            <v>Class A, CS 8</v>
          </cell>
          <cell r="BJ70" t="str">
            <v>904M00690</v>
          </cell>
          <cell r="BQ70" t="str">
            <v>Edwards Co. Concrete - Albion, Il</v>
          </cell>
          <cell r="CI70" t="str">
            <v>CONC1655</v>
          </cell>
          <cell r="CP70" t="str">
            <v>Kentucky Solite - Brooks, KY</v>
          </cell>
          <cell r="DS70" t="str">
            <v>2599</v>
          </cell>
        </row>
        <row r="71">
          <cell r="AD71" t="str">
            <v>Type IP-A</v>
          </cell>
          <cell r="AJ71" t="str">
            <v>901M00040</v>
          </cell>
          <cell r="AQ71" t="str">
            <v>Type C - Accel</v>
          </cell>
          <cell r="AX71" t="str">
            <v>912M00030</v>
          </cell>
          <cell r="BC71" t="str">
            <v>Class A, CS 11</v>
          </cell>
          <cell r="BJ71" t="str">
            <v>904M00710</v>
          </cell>
          <cell r="BQ71" t="str">
            <v>Gohmann Asphalt &amp; Construction, Inc.- 1/4 mile N of I-64 &amp; SR 57</v>
          </cell>
          <cell r="CI71" t="str">
            <v>CONC1707</v>
          </cell>
          <cell r="CP71" t="str">
            <v>Lincoln Park Stone - Putnamville, IN</v>
          </cell>
          <cell r="DS71" t="str">
            <v>2180</v>
          </cell>
          <cell r="DY71" t="str">
            <v>D981490</v>
          </cell>
          <cell r="FM71" t="str">
            <v>D040140</v>
          </cell>
          <cell r="FR71" t="str">
            <v>D030310</v>
          </cell>
        </row>
        <row r="72">
          <cell r="AD72" t="str">
            <v>Type IS</v>
          </cell>
          <cell r="AJ72" t="str">
            <v>901M00050</v>
          </cell>
          <cell r="AQ72" t="str">
            <v>Type D - WR/Retard</v>
          </cell>
          <cell r="AX72" t="str">
            <v>912M00040</v>
          </cell>
          <cell r="BC72" t="str">
            <v>Class A, CS 91</v>
          </cell>
          <cell r="BJ72" t="str">
            <v>904M00760</v>
          </cell>
          <cell r="BQ72" t="str">
            <v>I.M.I. - Bedford, IN</v>
          </cell>
          <cell r="CI72" t="str">
            <v>CONC1543</v>
          </cell>
          <cell r="CP72" t="str">
            <v>Mulzer Crushed Stone, Inc. Abydel Quarry - Paoli, IN</v>
          </cell>
          <cell r="DS72" t="str">
            <v>2682</v>
          </cell>
          <cell r="DY72" t="str">
            <v>D000040</v>
          </cell>
          <cell r="FM72" t="str">
            <v>D980700</v>
          </cell>
          <cell r="FR72" t="str">
            <v>D980700</v>
          </cell>
        </row>
        <row r="73">
          <cell r="AD73" t="str">
            <v>Type I</v>
          </cell>
          <cell r="AJ73" t="str">
            <v>901M00060</v>
          </cell>
          <cell r="AQ73" t="str">
            <v>Type E - WR/Accel</v>
          </cell>
          <cell r="AX73" t="str">
            <v>912M00050</v>
          </cell>
          <cell r="BC73" t="str">
            <v>Class A, Gvl 8</v>
          </cell>
          <cell r="BJ73" t="str">
            <v>904M00800</v>
          </cell>
          <cell r="BQ73" t="str">
            <v>I.M.I. - Bloomfield, IN</v>
          </cell>
          <cell r="CI73" t="str">
            <v>CONC1677</v>
          </cell>
          <cell r="CP73" t="str">
            <v>Mulzer Cape Sandy Quarry - Cape Sandy, IN</v>
          </cell>
          <cell r="DS73" t="str">
            <v>2621</v>
          </cell>
        </row>
        <row r="74">
          <cell r="AD74" t="str">
            <v>Type II</v>
          </cell>
          <cell r="AJ74" t="str">
            <v>901M00070</v>
          </cell>
          <cell r="AQ74" t="str">
            <v>Type F-HRWR</v>
          </cell>
          <cell r="AX74" t="str">
            <v>912M00060</v>
          </cell>
          <cell r="BC74" t="str">
            <v>Class A, Gvl 11</v>
          </cell>
          <cell r="BJ74" t="str">
            <v>904M00820</v>
          </cell>
          <cell r="BQ74" t="str">
            <v>I.M.I - Kinser Pike Bloomington, IN</v>
          </cell>
          <cell r="CI74" t="str">
            <v>CONC1335</v>
          </cell>
          <cell r="CP74" t="str">
            <v>Mulzer Mt. Vernon Yard (2621-Cape Sandy) - Mt. Vernon, IN</v>
          </cell>
          <cell r="DS74">
            <v>2969</v>
          </cell>
          <cell r="DY74" t="str">
            <v>D071090</v>
          </cell>
        </row>
        <row r="75">
          <cell r="AD75" t="str">
            <v>Type III</v>
          </cell>
          <cell r="AJ75" t="str">
            <v>901M00080</v>
          </cell>
          <cell r="AQ75" t="str">
            <v>Type G - HRWRR</v>
          </cell>
          <cell r="AX75" t="str">
            <v>912M00070</v>
          </cell>
          <cell r="BC75" t="str">
            <v>Class A, Gvl 91</v>
          </cell>
          <cell r="BJ75" t="str">
            <v>904M00870</v>
          </cell>
          <cell r="BQ75" t="str">
            <v>I.M.I - Rogers Street Bloomington, IN</v>
          </cell>
          <cell r="CI75" t="str">
            <v>CONC1519</v>
          </cell>
          <cell r="CP75" t="str">
            <v>Mulzer Newburgh Yard (2621-Cape Sandy) - Newburgh, IN</v>
          </cell>
          <cell r="DS75" t="str">
            <v>2970</v>
          </cell>
          <cell r="DY75" t="str">
            <v>D970321</v>
          </cell>
          <cell r="FM75" t="str">
            <v>D970321</v>
          </cell>
          <cell r="FR75" t="str">
            <v>D970321</v>
          </cell>
        </row>
        <row r="76">
          <cell r="AD76" t="str">
            <v>Type IP</v>
          </cell>
          <cell r="AJ76" t="str">
            <v>901M00090</v>
          </cell>
          <cell r="AQ76" t="str">
            <v>Latex Mod</v>
          </cell>
          <cell r="AX76" t="str">
            <v>912M40010</v>
          </cell>
          <cell r="BC76" t="str">
            <v>Class A, CGvl 8</v>
          </cell>
          <cell r="BJ76" t="str">
            <v>904M00910</v>
          </cell>
          <cell r="BQ76" t="str">
            <v>I.M.I  #20 - Ebby Rd. Boonville, IN</v>
          </cell>
          <cell r="CI76" t="str">
            <v>CONC1207</v>
          </cell>
          <cell r="CP76" t="str">
            <v>Mulzer Rockport Yard (2621-Cape Sandy) - Rockport, IN</v>
          </cell>
          <cell r="DS76" t="str">
            <v>2971</v>
          </cell>
          <cell r="DY76" t="str">
            <v>D971281</v>
          </cell>
        </row>
        <row r="77">
          <cell r="BC77" t="str">
            <v>Class A, CGvl 11</v>
          </cell>
          <cell r="BJ77" t="str">
            <v>904M00930</v>
          </cell>
          <cell r="BQ77" t="str">
            <v>I.M.I - Elnora, IN</v>
          </cell>
          <cell r="CI77" t="str">
            <v>CONC1782</v>
          </cell>
          <cell r="CP77" t="str">
            <v>Mulzer Tell City Yard (2621-Cape Sandy) - Tell City, IN</v>
          </cell>
          <cell r="DS77" t="str">
            <v>2972</v>
          </cell>
          <cell r="DY77" t="str">
            <v>D081130</v>
          </cell>
          <cell r="FR77" t="str">
            <v>D090010</v>
          </cell>
        </row>
        <row r="78">
          <cell r="BC78" t="str">
            <v>Class A, CGvl 91</v>
          </cell>
          <cell r="BJ78" t="str">
            <v>904M00980</v>
          </cell>
          <cell r="BQ78" t="str">
            <v>I.M.I  #4 - W. Lloyd Expressway, Evansville, IN</v>
          </cell>
          <cell r="CI78" t="str">
            <v>CONC1494</v>
          </cell>
          <cell r="CP78" t="str">
            <v>Mulzer Mt. Vernon Yard (2776-New Amsterdam) - Mt. Vernon, IN</v>
          </cell>
          <cell r="DS78" t="str">
            <v>2969</v>
          </cell>
          <cell r="DY78" t="str">
            <v>D061064</v>
          </cell>
          <cell r="FR78" t="str">
            <v>D020434</v>
          </cell>
        </row>
        <row r="79">
          <cell r="BC79" t="str">
            <v>Class A, BF 8</v>
          </cell>
          <cell r="BJ79" t="str">
            <v>904M01020</v>
          </cell>
          <cell r="BQ79" t="str">
            <v>I.M.I  #6 - Oak Grove Rd., Evansville, IN</v>
          </cell>
          <cell r="CI79" t="str">
            <v>CONC1532</v>
          </cell>
          <cell r="CP79" t="str">
            <v>Mulzer Newburgh Yard (2776-New Amsterdam) - Newburgh, IN</v>
          </cell>
          <cell r="DS79" t="str">
            <v>2970</v>
          </cell>
          <cell r="FM79" t="str">
            <v>D030421</v>
          </cell>
        </row>
        <row r="80">
          <cell r="BC80" t="str">
            <v>Class A, BF 11</v>
          </cell>
          <cell r="BJ80" t="str">
            <v>904M01040</v>
          </cell>
          <cell r="BQ80" t="str">
            <v>I.M.I. #570 - Stanley Ave., Evansville, IN</v>
          </cell>
          <cell r="CI80" t="str">
            <v>CONC1530</v>
          </cell>
          <cell r="CP80" t="str">
            <v>Mulzer Rockport Yard (2776-New Amsterdam) - Rockport, IN</v>
          </cell>
          <cell r="DS80" t="str">
            <v>2971</v>
          </cell>
          <cell r="FM80" t="str">
            <v>D030271</v>
          </cell>
          <cell r="FR80" t="str">
            <v>D030291</v>
          </cell>
        </row>
        <row r="81">
          <cell r="BC81" t="str">
            <v>Class A, BF 91</v>
          </cell>
          <cell r="BJ81" t="str">
            <v>904M01090</v>
          </cell>
          <cell r="BQ81" t="str">
            <v>I.M.I. Plant 1, #572 - Fort Branch, IN</v>
          </cell>
          <cell r="CI81" t="str">
            <v>CONC1653</v>
          </cell>
          <cell r="CP81" t="str">
            <v>Mulzer Tell City Yard (2776-New Amsterdam) - Tell City, IN</v>
          </cell>
          <cell r="DS81" t="str">
            <v>2972</v>
          </cell>
          <cell r="DY81" t="str">
            <v>D061105</v>
          </cell>
        </row>
        <row r="82">
          <cell r="BC82" t="str">
            <v>Class B, CS 8</v>
          </cell>
          <cell r="BJ82" t="str">
            <v>904M01350</v>
          </cell>
          <cell r="BQ82" t="str">
            <v>I.M.I. Plant 2, #572 - Fort Branch, IN</v>
          </cell>
          <cell r="CI82" t="str">
            <v>CONC1711</v>
          </cell>
          <cell r="CP82" t="str">
            <v>Mulzer Temple Quarry - English, IN</v>
          </cell>
          <cell r="DS82" t="str">
            <v>2646</v>
          </cell>
          <cell r="DY82" t="str">
            <v>D001190</v>
          </cell>
          <cell r="FM82" t="str">
            <v>D980380</v>
          </cell>
          <cell r="FR82" t="str">
            <v>D980380</v>
          </cell>
        </row>
        <row r="83">
          <cell r="BC83" t="str">
            <v>Class B, Gvl 8</v>
          </cell>
          <cell r="BJ83" t="str">
            <v>904M01460</v>
          </cell>
          <cell r="BQ83" t="str">
            <v>I.M.I. - Huntingburg, IN</v>
          </cell>
          <cell r="CI83" t="str">
            <v>CONC1637</v>
          </cell>
          <cell r="CP83" t="str">
            <v>Mulzer Tower Quarry - Leavenworth, IN</v>
          </cell>
          <cell r="DS83" t="str">
            <v>2624</v>
          </cell>
          <cell r="DY83" t="str">
            <v>D011040</v>
          </cell>
          <cell r="FM83" t="str">
            <v>D990280</v>
          </cell>
          <cell r="FR83" t="str">
            <v>D980690</v>
          </cell>
        </row>
        <row r="84">
          <cell r="BC84" t="str">
            <v>Class B, CGvl 8</v>
          </cell>
          <cell r="BJ84" t="str">
            <v>904M01570</v>
          </cell>
          <cell r="BQ84" t="str">
            <v>I.M.I. - Jasper, IN</v>
          </cell>
          <cell r="CI84" t="str">
            <v>CONC1672</v>
          </cell>
          <cell r="CP84" t="str">
            <v>Riverside Stone - Battletown, KY</v>
          </cell>
          <cell r="DS84" t="str">
            <v>2639</v>
          </cell>
          <cell r="DY84" t="str">
            <v>D061140</v>
          </cell>
          <cell r="ED84" t="str">
            <v>D021040</v>
          </cell>
          <cell r="FM84" t="str">
            <v>D030200</v>
          </cell>
        </row>
        <row r="85">
          <cell r="BC85" t="str">
            <v>Class B, BF 8</v>
          </cell>
          <cell r="BJ85" t="str">
            <v>904M01680</v>
          </cell>
          <cell r="BQ85" t="str">
            <v>I.M.I - Lawrenceville, IL</v>
          </cell>
          <cell r="CI85" t="str">
            <v>CONC1758</v>
          </cell>
          <cell r="CP85" t="str">
            <v>Rogers Group, Inc. - Bloomington, IN</v>
          </cell>
          <cell r="DS85" t="str">
            <v>2521</v>
          </cell>
          <cell r="DY85" t="str">
            <v>D971080</v>
          </cell>
          <cell r="FR85" t="str">
            <v>D970080</v>
          </cell>
        </row>
        <row r="86">
          <cell r="BC86" t="str">
            <v>Lightweight</v>
          </cell>
          <cell r="BJ86" t="str">
            <v>904M05630</v>
          </cell>
          <cell r="BQ86" t="str">
            <v>I.M.I. - Linton, IN</v>
          </cell>
          <cell r="CI86" t="str">
            <v>CONC1454</v>
          </cell>
          <cell r="CP86" t="str">
            <v>Rogers Group, Inc. - Mitchell, IN</v>
          </cell>
          <cell r="DS86" t="str">
            <v>2645</v>
          </cell>
          <cell r="DY86" t="str">
            <v>D001150</v>
          </cell>
          <cell r="FM86" t="str">
            <v>D970160</v>
          </cell>
          <cell r="FR86" t="str">
            <v>D970160</v>
          </cell>
        </row>
        <row r="87">
          <cell r="BQ87" t="str">
            <v>I.M.I - Mt Carmel, IL</v>
          </cell>
          <cell r="CI87" t="str">
            <v>CONC1489</v>
          </cell>
          <cell r="CP87" t="str">
            <v>Rogers Group, Inc. (Owen Valley) - Spencer, IN</v>
          </cell>
          <cell r="DS87" t="str">
            <v>2159</v>
          </cell>
          <cell r="DY87" t="str">
            <v>D080180</v>
          </cell>
          <cell r="FM87" t="str">
            <v>D090100</v>
          </cell>
          <cell r="FR87" t="str">
            <v>D080190</v>
          </cell>
        </row>
        <row r="88">
          <cell r="BQ88" t="str">
            <v>I.M.I. #10 - Mt. Vernon, IN</v>
          </cell>
          <cell r="CI88" t="str">
            <v>CONC1402</v>
          </cell>
          <cell r="CP88" t="str">
            <v>Rogers Group Inc. (Sieboldt) - Springville, IN</v>
          </cell>
          <cell r="DS88" t="str">
            <v>2524</v>
          </cell>
          <cell r="DY88" t="str">
            <v>D001010</v>
          </cell>
          <cell r="FM88" t="str">
            <v>D080480</v>
          </cell>
          <cell r="FR88" t="str">
            <v>D970300</v>
          </cell>
        </row>
        <row r="89">
          <cell r="BQ89" t="str">
            <v>I.M.I. - Owensboro, KY</v>
          </cell>
          <cell r="CI89" t="str">
            <v>CONC1742</v>
          </cell>
          <cell r="CP89" t="str">
            <v>S &amp; G Excavating, Inc. - Terre Haute, IN</v>
          </cell>
          <cell r="DS89">
            <v>2113</v>
          </cell>
          <cell r="ES89" t="str">
            <v>D981140</v>
          </cell>
          <cell r="GB89" t="str">
            <v>D980920</v>
          </cell>
          <cell r="GQ89" t="str">
            <v>D040080</v>
          </cell>
        </row>
        <row r="90">
          <cell r="A90" t="str">
            <v>POZZOLAN SOURCES</v>
          </cell>
          <cell r="L90" t="e">
            <v>#N/A</v>
          </cell>
          <cell r="N90" t="e">
            <v>#N/A</v>
          </cell>
          <cell r="AA90" t="str">
            <v>901M00110</v>
          </cell>
          <cell r="AG90" t="str">
            <v>901M00120</v>
          </cell>
          <cell r="AM90" t="str">
            <v>901M00140</v>
          </cell>
          <cell r="AS90" t="str">
            <v>901M00130</v>
          </cell>
          <cell r="AY90" t="str">
            <v>901M00125</v>
          </cell>
          <cell r="BQ90" t="str">
            <v>I.M.I. - Paoli, IN</v>
          </cell>
          <cell r="CI90" t="str">
            <v>CONC1686</v>
          </cell>
          <cell r="CP90" t="str">
            <v>S &amp; G Excavating, Inc. (2180-Linoln Park Stone) - Terre Haute, IN</v>
          </cell>
          <cell r="DS90">
            <v>2113</v>
          </cell>
          <cell r="DY90" t="str">
            <v>D031131</v>
          </cell>
          <cell r="FR90" t="str">
            <v>D030331</v>
          </cell>
        </row>
        <row r="91">
          <cell r="A91" t="str">
            <v>Name</v>
          </cell>
          <cell r="V91" t="str">
            <v>Source #</v>
          </cell>
          <cell r="AA91" t="str">
            <v>BFU</v>
          </cell>
          <cell r="BQ91" t="str">
            <v>I.M.I. - Petersburg, IN</v>
          </cell>
          <cell r="CI91" t="str">
            <v>CONC1530</v>
          </cell>
        </row>
        <row r="92">
          <cell r="A92" t="str">
            <v>Axim Concrete Technologies - CATEXOL SF-D</v>
          </cell>
          <cell r="V92" t="str">
            <v>8273</v>
          </cell>
          <cell r="AM92" t="str">
            <v>W028167</v>
          </cell>
          <cell r="BQ92" t="str">
            <v>I.M.I. - Rockport, IN</v>
          </cell>
          <cell r="CI92" t="str">
            <v>CONC1321</v>
          </cell>
        </row>
        <row r="93">
          <cell r="A93" t="str">
            <v>Buzzi Unicem USA Sales Co. - Aucem, Grade 100</v>
          </cell>
          <cell r="V93" t="str">
            <v>0002</v>
          </cell>
          <cell r="AY93" t="str">
            <v>W128166</v>
          </cell>
          <cell r="BQ93" t="str">
            <v>I.M.I. - Sullivan, IN</v>
          </cell>
          <cell r="CI93" t="str">
            <v>CONC1447</v>
          </cell>
        </row>
        <row r="94">
          <cell r="A94" t="str">
            <v>Buzzi Unicem USA Sales Co. - Aucem, Grade 120</v>
          </cell>
          <cell r="V94" t="str">
            <v>0002</v>
          </cell>
          <cell r="AS94" t="str">
            <v>W038151</v>
          </cell>
          <cell r="BQ94" t="str">
            <v>I.M.I. - Washington, IN</v>
          </cell>
          <cell r="CI94" t="str">
            <v>CONC1212</v>
          </cell>
        </row>
        <row r="95">
          <cell r="A95" t="str">
            <v>Charah, Inc. - Mill Creek Power Plant, Louisville, KY</v>
          </cell>
          <cell r="V95" t="str">
            <v>0229</v>
          </cell>
          <cell r="AG95" t="str">
            <v>W098153</v>
          </cell>
          <cell r="BQ95" t="str">
            <v>JJ's Concrete - 9149 E 800N , Montgomery, IN</v>
          </cell>
          <cell r="CI95" t="str">
            <v>CONC1788</v>
          </cell>
        </row>
        <row r="96">
          <cell r="A96" t="str">
            <v>Charah, Inc. - Petersburg Power Plant, Petersburg, IN</v>
          </cell>
          <cell r="V96" t="str">
            <v>0211</v>
          </cell>
          <cell r="AG96" t="str">
            <v>W128121</v>
          </cell>
          <cell r="BQ96" t="str">
            <v>Jerry David Enterprises - Evansville, IN</v>
          </cell>
          <cell r="CI96" t="str">
            <v>CONC1764</v>
          </cell>
        </row>
        <row r="97">
          <cell r="A97" t="str">
            <v>Charah, Inc. - Trimble County Sta., Unit 1, Bedford, KY</v>
          </cell>
          <cell r="V97" t="str">
            <v>0238</v>
          </cell>
          <cell r="AG97" t="str">
            <v>W108160</v>
          </cell>
          <cell r="BQ97" t="str">
            <v>Jones &amp; Sons - Vincennes, IN</v>
          </cell>
          <cell r="CI97" t="str">
            <v>CONC1420</v>
          </cell>
        </row>
        <row r="98">
          <cell r="A98" t="str">
            <v>Elkem Materials, Inc. - EMS 970 S</v>
          </cell>
          <cell r="V98" t="str">
            <v>0214</v>
          </cell>
          <cell r="AM98" t="str">
            <v>W028169</v>
          </cell>
          <cell r="BQ98" t="str">
            <v>Jones &amp; Sons - Washington, IN</v>
          </cell>
          <cell r="CI98" t="str">
            <v>CONC1468</v>
          </cell>
          <cell r="CP98" t="str">
            <v>FINE AGGREGATE SOURCES</v>
          </cell>
          <cell r="DY98" t="str">
            <v>23 NS</v>
          </cell>
          <cell r="ED98" t="str">
            <v>QA, NS</v>
          </cell>
          <cell r="EI98" t="str">
            <v>23 CS</v>
          </cell>
          <cell r="EN98" t="str">
            <v>23 ACBF</v>
          </cell>
          <cell r="ES98" t="str">
            <v>23 Dolo</v>
          </cell>
        </row>
        <row r="99">
          <cell r="A99" t="str">
            <v>Elkem Materials, Inc. - EMS 970 DA</v>
          </cell>
          <cell r="V99" t="str">
            <v>0214</v>
          </cell>
          <cell r="AM99" t="str">
            <v>W028168</v>
          </cell>
          <cell r="BQ99" t="str">
            <v>Meuth Concrete Services - 2201 Bergdolt Rd., Evansville, IN</v>
          </cell>
          <cell r="CI99" t="str">
            <v>CONC1769</v>
          </cell>
          <cell r="CP99" t="str">
            <v>Name</v>
          </cell>
          <cell r="DY99" t="str">
            <v>904M06020</v>
          </cell>
          <cell r="ED99" t="str">
            <v>904M06040</v>
          </cell>
          <cell r="EI99" t="str">
            <v>904M06220</v>
          </cell>
          <cell r="EN99" t="str">
            <v>904M06230</v>
          </cell>
          <cell r="ES99" t="str">
            <v>904M06720</v>
          </cell>
        </row>
        <row r="100">
          <cell r="A100" t="str">
            <v>Fly Ash Direct - Clifty Creek Power Plant, Madison, IN</v>
          </cell>
          <cell r="V100" t="str">
            <v>0223</v>
          </cell>
          <cell r="AG100" t="str">
            <v>W078164</v>
          </cell>
          <cell r="BQ100" t="str">
            <v>Modified Concrete Suppliers, LLC - Indianoplis, IN</v>
          </cell>
          <cell r="CI100" t="str">
            <v>CONC1760</v>
          </cell>
        </row>
        <row r="101">
          <cell r="A101" t="str">
            <v>Fly Ash Direct-Miami Ft. Unit 8, N. Bend, OH</v>
          </cell>
          <cell r="V101" t="str">
            <v>0209</v>
          </cell>
          <cell r="AG101" t="str">
            <v>W038152</v>
          </cell>
          <cell r="BQ101" t="str">
            <v>Mulzer Crushed Stone - Leavenworth, IN</v>
          </cell>
          <cell r="CI101" t="str">
            <v>CONC1682</v>
          </cell>
          <cell r="CP101" t="str">
            <v>EMI - Evansville, IN</v>
          </cell>
          <cell r="DS101" t="str">
            <v>2632</v>
          </cell>
          <cell r="DY101" t="str">
            <v>D970210</v>
          </cell>
        </row>
        <row r="102">
          <cell r="A102" t="str">
            <v>Fly Ash Direct-Zimmer Power Station, Moscow, OH</v>
          </cell>
          <cell r="V102" t="str">
            <v>0209</v>
          </cell>
          <cell r="AG102" t="str">
            <v>W038153</v>
          </cell>
          <cell r="BQ102" t="str">
            <v>NAAS Concrete Inc. - Elberfeld, IN</v>
          </cell>
          <cell r="CI102" t="str">
            <v>CONC1248</v>
          </cell>
          <cell r="CP102" t="str">
            <v>EMI - Griffin, IN</v>
          </cell>
          <cell r="DS102" t="str">
            <v>2631</v>
          </cell>
          <cell r="DY102" t="str">
            <v>D970200</v>
          </cell>
        </row>
        <row r="103">
          <cell r="A103" t="str">
            <v>Fly Ash Direct-Miami Ft. Unit 7, N. Bend, OH</v>
          </cell>
          <cell r="V103" t="str">
            <v>0209</v>
          </cell>
          <cell r="AG103" t="str">
            <v>W028161</v>
          </cell>
          <cell r="BQ103" t="str">
            <v>NAAS Concrete Inc. - Evansville, IN</v>
          </cell>
          <cell r="CI103" t="str">
            <v>CONC1593</v>
          </cell>
          <cell r="CP103" t="str">
            <v>Gibson Co. S &amp; G, Owensville, IN</v>
          </cell>
          <cell r="DS103" t="str">
            <v>2688</v>
          </cell>
          <cell r="DY103" t="str">
            <v>D040150</v>
          </cell>
        </row>
        <row r="104">
          <cell r="A104" t="str">
            <v>Fly Ash Direct-Wabash River Gen Sta. Unit 6, W Terre Haute, IN</v>
          </cell>
          <cell r="V104" t="str">
            <v>0235</v>
          </cell>
          <cell r="AG104" t="str">
            <v>W098160</v>
          </cell>
          <cell r="BQ104" t="str">
            <v>N.E.W. Interstate Concrete Plant A - 2213 Margaret Ave., Terre Haute, IN</v>
          </cell>
          <cell r="CI104" t="str">
            <v>CONC1504</v>
          </cell>
          <cell r="CP104" t="str">
            <v>IMI Delta - Henderson, KY</v>
          </cell>
          <cell r="DS104" t="str">
            <v>2635</v>
          </cell>
        </row>
        <row r="105">
          <cell r="A105" t="str">
            <v>Headwaters Resources -  Baldwin Power Plant</v>
          </cell>
          <cell r="V105" t="str">
            <v>0221</v>
          </cell>
          <cell r="AA105" t="str">
            <v>W028152</v>
          </cell>
          <cell r="BQ105" t="str">
            <v>N.E.W. Interstate Concrete Plant B - 7255 N Memering Rd., Bicknell, IN</v>
          </cell>
          <cell r="CI105" t="str">
            <v>CONC1720</v>
          </cell>
          <cell r="CP105" t="str">
            <v>Jones &amp; Sons - Plainville, IN</v>
          </cell>
          <cell r="DS105" t="str">
            <v>2667</v>
          </cell>
          <cell r="DY105" t="str">
            <v>D980230</v>
          </cell>
        </row>
        <row r="106">
          <cell r="A106" t="str">
            <v>Headwaters Resources - Eckert Station, Lansing, MI</v>
          </cell>
          <cell r="V106" t="str">
            <v>0240</v>
          </cell>
          <cell r="AA106" t="str">
            <v>W118150</v>
          </cell>
          <cell r="BQ106" t="str">
            <v>Orange County Concrete - Orleans, IN</v>
          </cell>
          <cell r="CI106" t="str">
            <v>CONC1320</v>
          </cell>
          <cell r="CP106" t="str">
            <v>Jones &amp; Sons Star Point Mine - Vincennes, IN</v>
          </cell>
          <cell r="DS106" t="str">
            <v>2686</v>
          </cell>
          <cell r="DY106" t="str">
            <v>D000350</v>
          </cell>
        </row>
        <row r="107">
          <cell r="A107" t="str">
            <v>Headwaters Resources - Erickson Station, Lansing, MI</v>
          </cell>
          <cell r="V107" t="str">
            <v>0239</v>
          </cell>
          <cell r="AA107" t="str">
            <v>W118151</v>
          </cell>
          <cell r="BQ107" t="str">
            <v>Prairie Group, Inc. - 3905 N. 25th St., Terre Haute, IN</v>
          </cell>
          <cell r="CI107" t="str">
            <v>CONC1545</v>
          </cell>
          <cell r="CP107" t="str">
            <v>Mulzer Crushed Stone I-164 Sand Pit - Evansville, IN</v>
          </cell>
          <cell r="DS107" t="str">
            <v>2668</v>
          </cell>
        </row>
        <row r="108">
          <cell r="A108" t="str">
            <v>Headwaters Resources - JH Campbell Power Plant - West Olive, MI</v>
          </cell>
          <cell r="V108" t="str">
            <v>0230</v>
          </cell>
          <cell r="AA108" t="str">
            <v>W088150</v>
          </cell>
          <cell r="BQ108" t="str">
            <v>Prairie Group, Inc. - 5222 Margaret Dr., Terre Haute, IN</v>
          </cell>
          <cell r="CI108" t="str">
            <v>CONC1621</v>
          </cell>
          <cell r="CP108" t="str">
            <v>Mulzer Henderson Yard (2632-EMI) - Henderson, KY</v>
          </cell>
          <cell r="DS108" t="str">
            <v>9996</v>
          </cell>
        </row>
        <row r="109">
          <cell r="A109" t="str">
            <v>Headwaters Resources - Hennepin Power Station</v>
          </cell>
          <cell r="V109" t="str">
            <v>0225</v>
          </cell>
          <cell r="AA109" t="str">
            <v>W058151</v>
          </cell>
          <cell r="BQ109" t="str">
            <v>Prairie Materials - 52 W Albert St., Edwardsport, In</v>
          </cell>
          <cell r="CI109" t="str">
            <v>CONC1715</v>
          </cell>
          <cell r="CP109" t="str">
            <v>Mulzer Mt. Vernon Yard (2632-EMI) - Mt. Vernon, IN</v>
          </cell>
          <cell r="DS109" t="str">
            <v>2969</v>
          </cell>
          <cell r="DY109" t="str">
            <v>D970313</v>
          </cell>
        </row>
        <row r="110">
          <cell r="A110" t="str">
            <v>Headwaters Resources - Schahfer Unit 15, Wheatfield, IN</v>
          </cell>
          <cell r="V110" t="str">
            <v>0207</v>
          </cell>
          <cell r="AA110" t="str">
            <v>W028151</v>
          </cell>
          <cell r="BQ110" t="str">
            <v>Prairie Materials -Bloomington, In</v>
          </cell>
          <cell r="CI110" t="str">
            <v>CONC1674</v>
          </cell>
          <cell r="CP110" t="str">
            <v>Mulzer Newburgh Yard (2632-EMI) - Newburgh, IN</v>
          </cell>
          <cell r="DS110" t="str">
            <v>2970</v>
          </cell>
          <cell r="DY110" t="str">
            <v>D970322</v>
          </cell>
        </row>
        <row r="111">
          <cell r="A111" t="str">
            <v>Headwaters Resources - Monroe  Plant, Unit 1 &amp; 2, Monroe, MI</v>
          </cell>
          <cell r="V111" t="str">
            <v>0236</v>
          </cell>
          <cell r="AG111" t="str">
            <v>W108150</v>
          </cell>
          <cell r="BQ111" t="str">
            <v>Tell City Concrete Supply - Tell City, IN</v>
          </cell>
          <cell r="CI111" t="str">
            <v>CONC1486</v>
          </cell>
          <cell r="CP111" t="str">
            <v>Mulzer Rockport Yard (2632-EMI) - Rockport, IN</v>
          </cell>
          <cell r="DS111" t="str">
            <v>2971</v>
          </cell>
          <cell r="DY111" t="str">
            <v>D970282</v>
          </cell>
        </row>
        <row r="112">
          <cell r="A112" t="str">
            <v>Holcim, Inc. - Chicago, IL</v>
          </cell>
          <cell r="V112" t="str">
            <v>0215</v>
          </cell>
          <cell r="AS112" t="str">
            <v>W028165</v>
          </cell>
          <cell r="CP112" t="str">
            <v>Mulzer Tell City Yard (2632-EMI) - Tell City, IN</v>
          </cell>
          <cell r="DS112" t="str">
            <v>2972</v>
          </cell>
          <cell r="DY112" t="str">
            <v>D970295</v>
          </cell>
        </row>
        <row r="113">
          <cell r="A113" t="str">
            <v>LaFarge North America - S. Chicago Grinding Facility</v>
          </cell>
          <cell r="V113" t="str">
            <v>0224</v>
          </cell>
          <cell r="AS113" t="str">
            <v>W038150</v>
          </cell>
          <cell r="AY113" t="str">
            <v>W108154</v>
          </cell>
          <cell r="CP113" t="str">
            <v>Prairie Aggregates - Bloomfield, IN</v>
          </cell>
          <cell r="DS113" t="str">
            <v>2687</v>
          </cell>
          <cell r="DY113" t="str">
            <v>D020190</v>
          </cell>
        </row>
        <row r="114">
          <cell r="A114" t="str">
            <v>LaFarge North America - Joliet Station Units 7 &amp; 8, Joliet, IL</v>
          </cell>
          <cell r="V114" t="str">
            <v>0205</v>
          </cell>
          <cell r="AA114" t="str">
            <v>W028163</v>
          </cell>
          <cell r="CP114" t="str">
            <v>Prairie Aggregates - Waverly, IN</v>
          </cell>
          <cell r="DS114" t="str">
            <v>2981</v>
          </cell>
          <cell r="DY114" t="str">
            <v>D060430</v>
          </cell>
        </row>
        <row r="115">
          <cell r="A115" t="str">
            <v xml:space="preserve">LaFarge North America - Joppa, IL Grinding Facility ISPAT </v>
          </cell>
          <cell r="V115" t="str">
            <v>0009</v>
          </cell>
          <cell r="AS115" t="str">
            <v>W048150</v>
          </cell>
          <cell r="CP115" t="str">
            <v>Rogers Group, Inc. Knox Co. S&amp;G - Vincennes, IN</v>
          </cell>
          <cell r="DS115" t="str">
            <v>2651</v>
          </cell>
          <cell r="DY115" t="str">
            <v>D970140</v>
          </cell>
        </row>
        <row r="116">
          <cell r="A116" t="str">
            <v>Lafarge North America - Oak Creek Power Plant, Oak Creek, WI</v>
          </cell>
          <cell r="V116" t="str">
            <v>0226</v>
          </cell>
          <cell r="AA116" t="str">
            <v>W068157</v>
          </cell>
          <cell r="CP116" t="str">
            <v>Rogers Group, Inc, Morgan Co.S&amp;G - Martinsville, IN</v>
          </cell>
          <cell r="DS116" t="str">
            <v>2523</v>
          </cell>
          <cell r="DY116" t="str">
            <v>D970450</v>
          </cell>
        </row>
        <row r="117">
          <cell r="A117" t="str">
            <v>Lafarge North America - Pleasant Prairie Plant, Kenosha, WI</v>
          </cell>
          <cell r="V117" t="str">
            <v>0237</v>
          </cell>
          <cell r="AA117" t="str">
            <v>W108151</v>
          </cell>
          <cell r="CP117" t="str">
            <v>S &amp; G Excavating, Inc. - Terre Haute, IN</v>
          </cell>
          <cell r="DS117" t="str">
            <v>2113</v>
          </cell>
          <cell r="DY117" t="str">
            <v>D020110</v>
          </cell>
        </row>
        <row r="118">
          <cell r="A118" t="str">
            <v>Mineral Resource Technology - Labidie Power Plant, Labidie, MO</v>
          </cell>
          <cell r="V118" t="str">
            <v>0231</v>
          </cell>
          <cell r="AA118" t="str">
            <v>W098150</v>
          </cell>
        </row>
        <row r="119">
          <cell r="A119" t="str">
            <v>Mineral Resource Technology - Rush Island  Plant, Festus, MO</v>
          </cell>
          <cell r="V119" t="str">
            <v>0233</v>
          </cell>
          <cell r="AA119" t="str">
            <v>W098152</v>
          </cell>
        </row>
        <row r="120">
          <cell r="A120" t="str">
            <v>Master Builders, Inc - Rheomac SF 100</v>
          </cell>
          <cell r="V120" t="str">
            <v>8265</v>
          </cell>
          <cell r="AM120" t="str">
            <v>W028170</v>
          </cell>
        </row>
        <row r="121">
          <cell r="A121" t="str">
            <v>Master Builders, Inc - Rheomac SF 110</v>
          </cell>
          <cell r="V121" t="str">
            <v>8265</v>
          </cell>
          <cell r="AM121" t="str">
            <v>W028171</v>
          </cell>
        </row>
        <row r="122">
          <cell r="A122" t="str">
            <v>Russtech Admixtures - Russtech CSF</v>
          </cell>
          <cell r="V122" t="str">
            <v>8272</v>
          </cell>
          <cell r="AM122" t="str">
            <v>W028172</v>
          </cell>
        </row>
        <row r="123">
          <cell r="A123" t="str">
            <v>Sika Corp - Sikacrete 950</v>
          </cell>
          <cell r="V123" t="str">
            <v>9514</v>
          </cell>
          <cell r="AM123" t="str">
            <v>W028173</v>
          </cell>
        </row>
        <row r="124">
          <cell r="A124" t="str">
            <v>W. R. Grace and Co. - Force 10000</v>
          </cell>
          <cell r="V124" t="str">
            <v>8266</v>
          </cell>
          <cell r="AM124" t="str">
            <v>W028190</v>
          </cell>
        </row>
        <row r="125">
          <cell r="A125" t="str">
            <v>CEMENT SOURCES</v>
          </cell>
        </row>
        <row r="126">
          <cell r="A126" t="str">
            <v>Name</v>
          </cell>
          <cell r="V126" t="str">
            <v>Source</v>
          </cell>
          <cell r="AA126" t="str">
            <v>BFU</v>
          </cell>
        </row>
        <row r="127">
          <cell r="A127" t="str">
            <v>Argos Cement USA - Roberta, AL</v>
          </cell>
          <cell r="V127" t="str">
            <v>0056</v>
          </cell>
          <cell r="AA127" t="str">
            <v>W068357</v>
          </cell>
        </row>
        <row r="128">
          <cell r="A128" t="str">
            <v>Buzzi Unicem Sales Co. - Cape Girardeau, MO</v>
          </cell>
          <cell r="V128" t="str">
            <v>0029</v>
          </cell>
          <cell r="AA128" t="str">
            <v>W028368</v>
          </cell>
        </row>
        <row r="129">
          <cell r="A129" t="str">
            <v>Buzzi Unicem Sales Co. - Chattanooga, TN</v>
          </cell>
          <cell r="V129" t="str">
            <v>0053</v>
          </cell>
          <cell r="AA129" t="str">
            <v>W048352</v>
          </cell>
        </row>
        <row r="130">
          <cell r="A130" t="str">
            <v>Buzzi Unicem Sales Co. - Greencastle, IN</v>
          </cell>
          <cell r="V130" t="str">
            <v>0002</v>
          </cell>
          <cell r="AA130" t="str">
            <v>W028369</v>
          </cell>
        </row>
        <row r="131">
          <cell r="A131" t="str">
            <v>Buzzi Unicem Sales Co. - Festus, MO</v>
          </cell>
          <cell r="V131" t="str">
            <v>0032</v>
          </cell>
          <cell r="AA131" t="str">
            <v>W028371</v>
          </cell>
        </row>
        <row r="132">
          <cell r="A132" t="str">
            <v>Buzzi Unicem Sales Co. - Shockertwon, PA</v>
          </cell>
          <cell r="V132" t="str">
            <v>0054</v>
          </cell>
          <cell r="AA132" t="str">
            <v>W058350</v>
          </cell>
        </row>
        <row r="133">
          <cell r="A133" t="str">
            <v>Cemex, Inc. - Fairborn, OH</v>
          </cell>
          <cell r="V133" t="str">
            <v>0017</v>
          </cell>
          <cell r="AA133" t="str">
            <v>W088301</v>
          </cell>
        </row>
        <row r="134">
          <cell r="A134" t="str">
            <v>Cemex, Inc. - Kosmosdale, KY</v>
          </cell>
          <cell r="V134" t="str">
            <v>0010</v>
          </cell>
          <cell r="AA134" t="str">
            <v>W028374</v>
          </cell>
        </row>
        <row r="135">
          <cell r="A135" t="str">
            <v>Continental Cement Co., LLC - Hannibal, MO</v>
          </cell>
          <cell r="V135" t="str">
            <v>0033</v>
          </cell>
          <cell r="AA135" t="str">
            <v>W088302</v>
          </cell>
        </row>
        <row r="136">
          <cell r="A136" t="str">
            <v>Essroc Materials, Inc. - Logansport, IN</v>
          </cell>
          <cell r="V136" t="str">
            <v>0003</v>
          </cell>
          <cell r="AA136" t="str">
            <v>W028354</v>
          </cell>
        </row>
        <row r="137">
          <cell r="A137" t="str">
            <v>Essroc Materials, Inc. - Speed, IN</v>
          </cell>
          <cell r="V137" t="str">
            <v>0004</v>
          </cell>
          <cell r="AA137" t="str">
            <v>W028355</v>
          </cell>
        </row>
        <row r="138">
          <cell r="A138" t="str">
            <v>Holcim (Canada), Inc. - Mississauga Plant, Ontario, Canada</v>
          </cell>
          <cell r="V138" t="str">
            <v>0059</v>
          </cell>
          <cell r="AA138" t="str">
            <v>W098351</v>
          </cell>
        </row>
        <row r="139">
          <cell r="A139" t="str">
            <v>Holcim (US), Inc. - Ste. Genevieve Plant, Bloomsdale, MO</v>
          </cell>
          <cell r="V139" t="str">
            <v>0058</v>
          </cell>
          <cell r="AA139" t="str">
            <v>W098352</v>
          </cell>
        </row>
        <row r="140">
          <cell r="A140" t="str">
            <v>Holcim (US), Inc. - Theodore, AL</v>
          </cell>
          <cell r="V140" t="str">
            <v>0050</v>
          </cell>
          <cell r="AA140" t="str">
            <v>W028360</v>
          </cell>
        </row>
        <row r="141">
          <cell r="A141" t="str">
            <v>Illinois Cement Co. - Lasalle, Il</v>
          </cell>
          <cell r="V141" t="str">
            <v>0006</v>
          </cell>
          <cell r="AA141" t="str">
            <v>W078371</v>
          </cell>
        </row>
        <row r="142">
          <cell r="A142" t="str">
            <v>LaFarge North America - Alpena, MI</v>
          </cell>
          <cell r="V142" t="str">
            <v>0020</v>
          </cell>
          <cell r="AA142" t="str">
            <v>W028362</v>
          </cell>
        </row>
        <row r="143">
          <cell r="A143" t="str">
            <v>LaFarge North America - Davenport, IA</v>
          </cell>
          <cell r="V143" t="str">
            <v>0041</v>
          </cell>
          <cell r="AA143" t="str">
            <v>W028364</v>
          </cell>
        </row>
        <row r="144">
          <cell r="A144" t="str">
            <v>LaFarge North America - Joppa, IL</v>
          </cell>
          <cell r="V144" t="str">
            <v>0009</v>
          </cell>
          <cell r="AA144" t="str">
            <v>W028365</v>
          </cell>
        </row>
        <row r="145">
          <cell r="A145" t="str">
            <v>LaFarge North America - Paulding, OH</v>
          </cell>
          <cell r="V145" t="str">
            <v>0014</v>
          </cell>
          <cell r="AA145" t="str">
            <v>W028366</v>
          </cell>
        </row>
        <row r="146">
          <cell r="A146" t="str">
            <v>Lehigh Portland Cement Co. - Leeds, AL</v>
          </cell>
          <cell r="V146" t="str">
            <v>0064</v>
          </cell>
          <cell r="AA146" t="str">
            <v>W128350</v>
          </cell>
        </row>
        <row r="147">
          <cell r="A147" t="str">
            <v>Lehigh Portland Cement Co. - Mitchell, IN</v>
          </cell>
          <cell r="V147" t="str">
            <v>0001</v>
          </cell>
          <cell r="AA147" t="str">
            <v>W028367</v>
          </cell>
        </row>
        <row r="148">
          <cell r="A148" t="str">
            <v>Lehigh Portland Cement Co. - Union Bridge, MD</v>
          </cell>
          <cell r="V148" t="str">
            <v>0061</v>
          </cell>
          <cell r="AA148" t="str">
            <v>W118370</v>
          </cell>
        </row>
        <row r="149">
          <cell r="A149" t="str">
            <v>National Cement Co. of Alabama Inc. - Ragland, AL</v>
          </cell>
          <cell r="V149" t="str">
            <v>0060</v>
          </cell>
          <cell r="AA149" t="str">
            <v>W118360</v>
          </cell>
        </row>
        <row r="150">
          <cell r="A150" t="str">
            <v>St. Mary's Cement Co, Charlevoix, MI</v>
          </cell>
          <cell r="V150" t="str">
            <v>0023</v>
          </cell>
          <cell r="AA150" t="str">
            <v>W028390</v>
          </cell>
        </row>
        <row r="151">
          <cell r="A151" t="str">
            <v>St. Mary's Cement Co. - Detroit, MI</v>
          </cell>
          <cell r="V151" t="str">
            <v>0024</v>
          </cell>
          <cell r="AA151" t="str">
            <v>W028350</v>
          </cell>
        </row>
        <row r="152">
          <cell r="A152" t="str">
            <v>St. Mary's Cement Co. - Bowmanvill Plant, Ontario, Canada</v>
          </cell>
          <cell r="V152" t="str">
            <v>0024</v>
          </cell>
          <cell r="AA152" t="str">
            <v>W048350</v>
          </cell>
        </row>
        <row r="153">
          <cell r="A153" t="str">
            <v>St. Mary's Cement Co. - St. Marys Plant, Ontario, Canada</v>
          </cell>
          <cell r="V153" t="str">
            <v>0057</v>
          </cell>
          <cell r="AA153" t="str">
            <v>W098350</v>
          </cell>
        </row>
        <row r="154">
          <cell r="A154" t="str">
            <v>AIR ENTRAINING</v>
          </cell>
        </row>
        <row r="155">
          <cell r="A155" t="str">
            <v>Product</v>
          </cell>
          <cell r="S155" t="str">
            <v>Source #</v>
          </cell>
          <cell r="Z155" t="str">
            <v>BFU</v>
          </cell>
          <cell r="AE155" t="str">
            <v>Rate</v>
          </cell>
        </row>
        <row r="156">
          <cell r="A156" t="str">
            <v>Axim Concrete Technologies - CATEXOL AE 260</v>
          </cell>
          <cell r="S156" t="str">
            <v>8273</v>
          </cell>
          <cell r="Z156" t="str">
            <v>W028600</v>
          </cell>
          <cell r="AE156" t="str">
            <v>0.1 - 6.0</v>
          </cell>
        </row>
        <row r="157">
          <cell r="A157" t="str">
            <v>Axim Concrete Technologies - CATEXOL AE 360</v>
          </cell>
          <cell r="S157" t="str">
            <v>8273</v>
          </cell>
          <cell r="Z157" t="str">
            <v>W028601</v>
          </cell>
          <cell r="AE157" t="str">
            <v>0.1 - 6.0</v>
          </cell>
        </row>
        <row r="158">
          <cell r="A158" t="str">
            <v>Axim Concrete Technologies - CATEXOL VR</v>
          </cell>
          <cell r="S158" t="str">
            <v>8273</v>
          </cell>
          <cell r="Z158" t="str">
            <v>W028602</v>
          </cell>
          <cell r="AE158" t="str">
            <v>0.5 - 5.0</v>
          </cell>
        </row>
        <row r="159">
          <cell r="A159" t="str">
            <v>Axim Concrete Technologies - CATEXOL VR Concentrate</v>
          </cell>
          <cell r="S159" t="str">
            <v>8273</v>
          </cell>
          <cell r="Z159" t="str">
            <v>W028603</v>
          </cell>
          <cell r="AE159" t="str">
            <v>0.50 - 5.0</v>
          </cell>
        </row>
        <row r="160">
          <cell r="A160" t="str">
            <v>BASF Construction Chemicals, LLC - MB-AE 90</v>
          </cell>
          <cell r="S160" t="str">
            <v>8265</v>
          </cell>
          <cell r="Z160" t="str">
            <v>W028608</v>
          </cell>
          <cell r="AE160" t="str">
            <v>0.25 - 4.0</v>
          </cell>
        </row>
        <row r="161">
          <cell r="A161" t="str">
            <v>BASF Construction Chemicals, LLC - MB-VR Standard</v>
          </cell>
          <cell r="S161" t="str">
            <v>8265</v>
          </cell>
          <cell r="Z161" t="str">
            <v>W028610</v>
          </cell>
          <cell r="AE161" t="str">
            <v>0.25 - 4.0</v>
          </cell>
        </row>
        <row r="162">
          <cell r="A162" t="str">
            <v>BASF Construction Chemicals, LLC - MB-VR Concentrate</v>
          </cell>
          <cell r="S162" t="str">
            <v>8265</v>
          </cell>
          <cell r="Z162" t="str">
            <v>W028609</v>
          </cell>
          <cell r="AE162" t="str">
            <v>0.125 - 4.0</v>
          </cell>
        </row>
        <row r="163">
          <cell r="A163" t="str">
            <v>BASF Construction Chemicals, LLC - Everair Plus</v>
          </cell>
          <cell r="S163" t="str">
            <v>8265</v>
          </cell>
          <cell r="Z163" t="str">
            <v>W078612</v>
          </cell>
          <cell r="AE163" t="str">
            <v>0.25 - 4.0</v>
          </cell>
        </row>
        <row r="164">
          <cell r="A164" t="str">
            <v>BASF Construction Chemicals, LLC - Micro-Air</v>
          </cell>
          <cell r="S164" t="str">
            <v>8265</v>
          </cell>
          <cell r="Z164" t="str">
            <v>W028611</v>
          </cell>
          <cell r="AE164" t="str">
            <v>0.125 - 4.0</v>
          </cell>
        </row>
        <row r="165">
          <cell r="A165" t="str">
            <v>Chryso - Chryso Air NVR</v>
          </cell>
          <cell r="S165" t="str">
            <v>8278</v>
          </cell>
          <cell r="Z165" t="str">
            <v>W058629</v>
          </cell>
          <cell r="AE165" t="str">
            <v>0.30 - 7.50</v>
          </cell>
        </row>
        <row r="166">
          <cell r="A166" t="str">
            <v>Chryso - Chryso Air R2</v>
          </cell>
          <cell r="S166" t="str">
            <v>8278</v>
          </cell>
          <cell r="Z166" t="str">
            <v>W068225</v>
          </cell>
          <cell r="AE166" t="str">
            <v>0.25 - 5.0</v>
          </cell>
        </row>
        <row r="167">
          <cell r="A167" t="str">
            <v>Chryso - Chryso Air 260</v>
          </cell>
          <cell r="S167" t="str">
            <v>8278</v>
          </cell>
          <cell r="Z167" t="str">
            <v>W118611</v>
          </cell>
          <cell r="AE167" t="str">
            <v>0.25 - 5.0</v>
          </cell>
        </row>
        <row r="168">
          <cell r="A168" t="str">
            <v>Euclid Chemical Co. - Airextra</v>
          </cell>
          <cell r="S168" t="str">
            <v>8268</v>
          </cell>
          <cell r="Z168" t="str">
            <v>W088612</v>
          </cell>
          <cell r="AE168" t="str">
            <v>0.2 - 3.0</v>
          </cell>
        </row>
        <row r="169">
          <cell r="A169" t="str">
            <v>Euclid Chemical Co. - Airex-L</v>
          </cell>
          <cell r="S169" t="str">
            <v>8268</v>
          </cell>
          <cell r="Z169" t="str">
            <v>W088611</v>
          </cell>
          <cell r="AE169" t="str">
            <v>0.25 - 7.5</v>
          </cell>
        </row>
        <row r="170">
          <cell r="A170" t="str">
            <v>Euclid Chemical Co. - AIR MIX 200</v>
          </cell>
          <cell r="S170" t="str">
            <v>8268</v>
          </cell>
          <cell r="Z170" t="str">
            <v>W028604</v>
          </cell>
          <cell r="AE170" t="str">
            <v>0.50 - 1.0</v>
          </cell>
        </row>
        <row r="171">
          <cell r="A171" t="str">
            <v>Euclid Chemical Co. - AIR MIX 250</v>
          </cell>
          <cell r="S171" t="str">
            <v>8268</v>
          </cell>
          <cell r="Z171" t="str">
            <v>W028607</v>
          </cell>
          <cell r="AE171" t="str">
            <v>0.50 - 2.0</v>
          </cell>
        </row>
        <row r="172">
          <cell r="A172" t="str">
            <v>Euclid Chemical Co. - Euclid AEA-92</v>
          </cell>
          <cell r="S172" t="str">
            <v>8268</v>
          </cell>
          <cell r="Z172" t="str">
            <v>W028605</v>
          </cell>
          <cell r="AE172" t="str">
            <v>0.1 - 4.0</v>
          </cell>
        </row>
        <row r="173">
          <cell r="A173" t="str">
            <v>Euclid Chemical Co. - Euclid AEA-92S</v>
          </cell>
          <cell r="S173" t="str">
            <v>8268</v>
          </cell>
          <cell r="Z173" t="str">
            <v>W118630</v>
          </cell>
          <cell r="AE173" t="str">
            <v>0.5 - 2.0</v>
          </cell>
        </row>
        <row r="174">
          <cell r="A174" t="str">
            <v>Euclid Chemical Co. - Euco Air Mix</v>
          </cell>
          <cell r="S174" t="str">
            <v>8268</v>
          </cell>
          <cell r="Z174" t="str">
            <v>W028606</v>
          </cell>
          <cell r="AE174" t="str">
            <v>0.5 - 1.0</v>
          </cell>
        </row>
        <row r="175">
          <cell r="A175" t="str">
            <v>General Resources Technology, Inc. - Polychem SA-50</v>
          </cell>
          <cell r="S175" t="str">
            <v>8280</v>
          </cell>
          <cell r="Z175" t="str">
            <v>W108601</v>
          </cell>
          <cell r="AE175" t="str">
            <v>0.5 - 3.0</v>
          </cell>
        </row>
        <row r="176">
          <cell r="A176" t="str">
            <v>General Resources Technology, Inc. - Polychem VR</v>
          </cell>
          <cell r="S176" t="str">
            <v>8280</v>
          </cell>
          <cell r="Z176" t="str">
            <v>W108602</v>
          </cell>
          <cell r="AE176" t="str">
            <v>0.15 - 3.0</v>
          </cell>
        </row>
        <row r="177">
          <cell r="A177" t="str">
            <v>Premiere Concrete Admixtures, LLC - Conair</v>
          </cell>
          <cell r="S177" t="str">
            <v>8279</v>
          </cell>
          <cell r="Z177" t="str">
            <v>W088635</v>
          </cell>
          <cell r="AE177" t="str">
            <v>0.2 - 3.0</v>
          </cell>
        </row>
        <row r="178">
          <cell r="A178" t="str">
            <v>Premiere Concrete Admixtures, LLC - Conair VR</v>
          </cell>
          <cell r="S178" t="str">
            <v>8279</v>
          </cell>
          <cell r="Z178" t="str">
            <v>W078635</v>
          </cell>
          <cell r="AE178" t="str">
            <v>0.5 - 2.0</v>
          </cell>
        </row>
        <row r="179">
          <cell r="A179" t="str">
            <v>Premiere Concrete Admixtures, LLC - Conair 260</v>
          </cell>
          <cell r="S179" t="str">
            <v>8279</v>
          </cell>
          <cell r="Z179" t="str">
            <v>W088623</v>
          </cell>
          <cell r="AE179" t="str">
            <v>0.2 - 3.0</v>
          </cell>
        </row>
        <row r="180">
          <cell r="A180" t="str">
            <v>Russtech Admixtures, Inc. - RSA -10</v>
          </cell>
          <cell r="S180" t="str">
            <v>8272</v>
          </cell>
          <cell r="Z180" t="str">
            <v>W028614</v>
          </cell>
          <cell r="AE180" t="str">
            <v>0.5 - 4.0</v>
          </cell>
        </row>
        <row r="181">
          <cell r="A181" t="str">
            <v>Russtech Admixtures, Inc. - RVR -15</v>
          </cell>
          <cell r="S181" t="str">
            <v>8272</v>
          </cell>
          <cell r="Z181" t="str">
            <v>W028615</v>
          </cell>
          <cell r="AE181" t="str">
            <v>0.50 - 2.0</v>
          </cell>
        </row>
        <row r="182">
          <cell r="A182" t="str">
            <v>Sikacorp - SIKA AEA-14</v>
          </cell>
          <cell r="S182" t="str">
            <v>9514</v>
          </cell>
          <cell r="Z182" t="str">
            <v>W078634</v>
          </cell>
          <cell r="AE182" t="str">
            <v>1.0 - 3.0</v>
          </cell>
        </row>
        <row r="183">
          <cell r="A183" t="str">
            <v>Sikacorp - SIKA AEA-15</v>
          </cell>
          <cell r="S183" t="str">
            <v>9514</v>
          </cell>
          <cell r="Z183" t="str">
            <v>W068211</v>
          </cell>
          <cell r="AE183" t="str">
            <v>0.25 - 6.0</v>
          </cell>
        </row>
        <row r="184">
          <cell r="A184" t="str">
            <v>Sikacorp - SIKA AER-C</v>
          </cell>
          <cell r="S184" t="str">
            <v>9514</v>
          </cell>
          <cell r="Z184" t="str">
            <v>W128602</v>
          </cell>
          <cell r="AE184" t="str">
            <v>0.50 - 5.0</v>
          </cell>
        </row>
        <row r="185">
          <cell r="A185" t="str">
            <v>Sikacorp - SIKA AIR</v>
          </cell>
          <cell r="S185" t="str">
            <v>9514</v>
          </cell>
          <cell r="Z185" t="str">
            <v>W048216</v>
          </cell>
          <cell r="AE185" t="str">
            <v>0.5 - 3.0</v>
          </cell>
        </row>
        <row r="186">
          <cell r="A186" t="str">
            <v>Sikacorp - SIKA AIR-260</v>
          </cell>
          <cell r="S186" t="str">
            <v>9514</v>
          </cell>
          <cell r="Z186" t="str">
            <v>W128603</v>
          </cell>
          <cell r="AE186" t="str">
            <v>0.1 - 6.0</v>
          </cell>
        </row>
        <row r="187">
          <cell r="A187" t="str">
            <v>Sikacorp - SIKA AIR-360</v>
          </cell>
          <cell r="S187" t="str">
            <v>9514</v>
          </cell>
          <cell r="Z187" t="str">
            <v>W128604</v>
          </cell>
          <cell r="AE187" t="str">
            <v>0.1 - 6.0</v>
          </cell>
        </row>
        <row r="188">
          <cell r="A188" t="str">
            <v>Sikacorp - SIKA MULTI AIR 25</v>
          </cell>
          <cell r="S188" t="str">
            <v>9514</v>
          </cell>
          <cell r="Z188" t="str">
            <v>W108625</v>
          </cell>
          <cell r="AE188" t="str">
            <v>0.5 - 3.0</v>
          </cell>
        </row>
        <row r="189">
          <cell r="A189" t="str">
            <v>W.R. Grace &amp; Co. - DAREX AEA ED</v>
          </cell>
          <cell r="S189" t="str">
            <v>8266</v>
          </cell>
          <cell r="Z189" t="str">
            <v>W048637</v>
          </cell>
          <cell r="AE189" t="str">
            <v>0.5 - 5.0</v>
          </cell>
        </row>
        <row r="190">
          <cell r="A190" t="str">
            <v>W.R. Grace &amp; Co. - DAREX EH AEA</v>
          </cell>
          <cell r="S190" t="str">
            <v>8266</v>
          </cell>
          <cell r="Z190" t="str">
            <v>W078633</v>
          </cell>
          <cell r="AE190" t="str">
            <v>0.5 - 5.0</v>
          </cell>
        </row>
        <row r="191">
          <cell r="A191" t="str">
            <v>W.R. Grace &amp; Co. - DARAVAIR 1000</v>
          </cell>
          <cell r="S191" t="str">
            <v>8266</v>
          </cell>
          <cell r="Z191" t="str">
            <v>W028616</v>
          </cell>
          <cell r="AE191" t="str">
            <v>0.5 - 5.0</v>
          </cell>
        </row>
        <row r="192">
          <cell r="A192" t="str">
            <v>W.R. Grace &amp; Co. - DARAVAIR 1400</v>
          </cell>
          <cell r="S192" t="str">
            <v>8266</v>
          </cell>
          <cell r="Z192" t="str">
            <v>W028617</v>
          </cell>
          <cell r="AE192" t="str">
            <v>0.50 - 3.0</v>
          </cell>
        </row>
        <row r="193">
          <cell r="A193" t="str">
            <v>W.R. Grace &amp; Co. - DAREX II AEA</v>
          </cell>
          <cell r="S193" t="str">
            <v>8266</v>
          </cell>
          <cell r="Z193" t="str">
            <v>W028619</v>
          </cell>
          <cell r="AE193" t="str">
            <v>0.2 - 7.5</v>
          </cell>
        </row>
        <row r="194">
          <cell r="A194" t="str">
            <v>W.R. Grace &amp; Co. - DAREX EH AEA</v>
          </cell>
          <cell r="S194" t="str">
            <v>8266</v>
          </cell>
          <cell r="Z194" t="str">
            <v>W078633</v>
          </cell>
          <cell r="AE194" t="str">
            <v>0.5 - 5.0</v>
          </cell>
        </row>
        <row r="195">
          <cell r="A195" t="str">
            <v>W.R. Grace &amp; Co. - Terapave AEA</v>
          </cell>
          <cell r="S195" t="str">
            <v>8266</v>
          </cell>
          <cell r="Z195" t="str">
            <v>W088613</v>
          </cell>
          <cell r="AE195" t="str">
            <v>0.5 - 3.0</v>
          </cell>
        </row>
        <row r="200">
          <cell r="AA200" t="str">
            <v>Type A</v>
          </cell>
          <cell r="AF200" t="str">
            <v>Type B</v>
          </cell>
          <cell r="AK200" t="str">
            <v>Type C</v>
          </cell>
          <cell r="AP200" t="str">
            <v>Type D</v>
          </cell>
          <cell r="AU200" t="str">
            <v>Type E</v>
          </cell>
          <cell r="AZ200" t="str">
            <v>Type F</v>
          </cell>
          <cell r="BE200" t="str">
            <v>Type G</v>
          </cell>
          <cell r="BJ200" t="str">
            <v>HRWR</v>
          </cell>
          <cell r="BN200" t="str">
            <v>HRWRR</v>
          </cell>
          <cell r="BR200" t="str">
            <v>Latex Modifiers</v>
          </cell>
        </row>
        <row r="201">
          <cell r="A201" t="str">
            <v>Product</v>
          </cell>
          <cell r="V201" t="str">
            <v>Source</v>
          </cell>
          <cell r="AA201" t="str">
            <v>912M00010</v>
          </cell>
          <cell r="AF201" t="str">
            <v>912M00020</v>
          </cell>
          <cell r="AK201" t="str">
            <v>912M00030</v>
          </cell>
          <cell r="AP201" t="str">
            <v>912M00040</v>
          </cell>
          <cell r="AU201" t="str">
            <v>912M00050</v>
          </cell>
          <cell r="AZ201" t="str">
            <v>912M00060</v>
          </cell>
          <cell r="BE201" t="str">
            <v>912M00070</v>
          </cell>
          <cell r="BJ201" t="str">
            <v>912M00080</v>
          </cell>
          <cell r="BN201" t="str">
            <v>912M00090</v>
          </cell>
          <cell r="BR201" t="str">
            <v>912M40010</v>
          </cell>
        </row>
        <row r="202">
          <cell r="A202" t="str">
            <v>Axim Concrete Technologies - ALLEGRO 122</v>
          </cell>
          <cell r="V202" t="str">
            <v>8273</v>
          </cell>
          <cell r="AZ202" t="str">
            <v>4.0 - 12.0</v>
          </cell>
        </row>
        <row r="203">
          <cell r="A203" t="str">
            <v>Axim Concrete Technologies - CATEXOL HYDROSENSE</v>
          </cell>
          <cell r="V203" t="str">
            <v>8273</v>
          </cell>
          <cell r="AA203" t="str">
            <v>2.0 - 8.0</v>
          </cell>
          <cell r="AZ203" t="str">
            <v>10.0 - 12.0</v>
          </cell>
        </row>
        <row r="204">
          <cell r="A204" t="str">
            <v>Axim Concrete Technologies - CATEXOL 800N</v>
          </cell>
          <cell r="V204" t="str">
            <v>8273</v>
          </cell>
          <cell r="AA204" t="str">
            <v>2.0 - 6.0</v>
          </cell>
          <cell r="AF204" t="str">
            <v>4.0 - 6.0</v>
          </cell>
          <cell r="AP204" t="str">
            <v>4.0 - 6.0</v>
          </cell>
        </row>
        <row r="205">
          <cell r="A205" t="str">
            <v>Axim Concrete Technologies - CATEXOL 1000N</v>
          </cell>
          <cell r="V205" t="str">
            <v>8273</v>
          </cell>
          <cell r="AA205" t="str">
            <v>1.5 - 5.0</v>
          </cell>
          <cell r="AF205" t="str">
            <v>3.5 - 5.0</v>
          </cell>
          <cell r="AP205" t="str">
            <v>3.5 - 5.0</v>
          </cell>
        </row>
        <row r="206">
          <cell r="A206" t="str">
            <v>Axim Concrete Technologies - CATEXOL 800R</v>
          </cell>
          <cell r="V206" t="str">
            <v>8273</v>
          </cell>
          <cell r="AF206" t="str">
            <v>3.0 - 6.0</v>
          </cell>
          <cell r="AP206" t="str">
            <v>3.0 - 6.0</v>
          </cell>
        </row>
        <row r="207">
          <cell r="A207" t="str">
            <v>Axim Concrete Technologies - CATEXOL 1000R</v>
          </cell>
          <cell r="V207" t="str">
            <v>8273</v>
          </cell>
          <cell r="AF207" t="str">
            <v>1.5 - 4.0</v>
          </cell>
          <cell r="AP207" t="str">
            <v>1.5 - 4.0</v>
          </cell>
        </row>
        <row r="208">
          <cell r="A208" t="str">
            <v>Axim Concrete Technologies - CATEXOL 1000 SP-MN</v>
          </cell>
          <cell r="V208" t="str">
            <v>8273</v>
          </cell>
          <cell r="AZ208" t="str">
            <v xml:space="preserve">10.0 - 40.0 </v>
          </cell>
        </row>
        <row r="209">
          <cell r="A209" t="str">
            <v>Axim Concrete Technologies - CATEXOL 2000NI</v>
          </cell>
          <cell r="V209" t="str">
            <v>8273</v>
          </cell>
          <cell r="AA209" t="str">
            <v>3.0 - 12.0</v>
          </cell>
          <cell r="BE209" t="str">
            <v>12.0 - 24.0</v>
          </cell>
        </row>
        <row r="210">
          <cell r="A210" t="str">
            <v>Axim Concrete Technologies - CATEXOL 2000RHE</v>
          </cell>
          <cell r="V210" t="str">
            <v>8273</v>
          </cell>
          <cell r="AK210" t="str">
            <v>5.0 - 15.0</v>
          </cell>
          <cell r="AU210" t="str">
            <v>5.0 - 60.0</v>
          </cell>
        </row>
        <row r="211">
          <cell r="A211" t="str">
            <v>Axim Concrete Technologies - CATEXOL 3500N</v>
          </cell>
          <cell r="V211" t="str">
            <v>8273</v>
          </cell>
          <cell r="AA211" t="str">
            <v>3.0 - 20.0</v>
          </cell>
        </row>
        <row r="212">
          <cell r="A212" t="str">
            <v>Axim Concrete Technologies - CATEXOL 3000 GP</v>
          </cell>
          <cell r="V212" t="str">
            <v>8273</v>
          </cell>
          <cell r="AA212" t="str">
            <v>2.0 - 12.0</v>
          </cell>
        </row>
        <row r="213">
          <cell r="A213" t="str">
            <v>Axim Concrete Technologies - DURAFLUX 33</v>
          </cell>
          <cell r="V213" t="str">
            <v>8273</v>
          </cell>
          <cell r="AA213" t="str">
            <v>1.0 - 8.0</v>
          </cell>
          <cell r="AZ213" t="str">
            <v>5.0 - 20.0</v>
          </cell>
        </row>
        <row r="214">
          <cell r="A214" t="str">
            <v>Axim Concrete Technologies - DURAFLUX 44</v>
          </cell>
          <cell r="V214" t="str">
            <v>8273</v>
          </cell>
          <cell r="AA214" t="str">
            <v>1.0 - 8.0</v>
          </cell>
          <cell r="AZ214">
            <v>0</v>
          </cell>
        </row>
        <row r="215">
          <cell r="A215" t="str">
            <v>Axim Concrete Technologies - DURAFLUX 55</v>
          </cell>
          <cell r="V215" t="str">
            <v>8273</v>
          </cell>
          <cell r="AA215" t="str">
            <v>1.0 - 8.0</v>
          </cell>
          <cell r="AZ215">
            <v>0</v>
          </cell>
        </row>
        <row r="216">
          <cell r="A216" t="str">
            <v>Axim Concrete Technologies - DURAFLUX 66</v>
          </cell>
          <cell r="V216" t="str">
            <v>8273</v>
          </cell>
          <cell r="AA216" t="str">
            <v>1.0 - 5.0</v>
          </cell>
          <cell r="AZ216" t="str">
            <v>5.0 - 8.0</v>
          </cell>
        </row>
        <row r="217">
          <cell r="A217" t="str">
            <v>Axim Concrete Technologies - DURAFLUX 77</v>
          </cell>
          <cell r="V217" t="str">
            <v>8273</v>
          </cell>
          <cell r="AZ217" t="str">
            <v>4.0 - 8.0</v>
          </cell>
        </row>
        <row r="218">
          <cell r="A218" t="str">
            <v>Axim Concrete Technologies - PAVEX</v>
          </cell>
          <cell r="V218" t="str">
            <v>8273</v>
          </cell>
          <cell r="AA218" t="str">
            <v>2.0 - 8.0</v>
          </cell>
          <cell r="AF218">
            <v>0</v>
          </cell>
          <cell r="AG218">
            <v>0</v>
          </cell>
          <cell r="AP218">
            <v>0</v>
          </cell>
        </row>
        <row r="219">
          <cell r="A219" t="str">
            <v>Axim Concrete Technologies - Stop Set L</v>
          </cell>
          <cell r="V219" t="str">
            <v>8273</v>
          </cell>
          <cell r="AF219" t="str">
            <v>1.0 - 5.0</v>
          </cell>
          <cell r="AP219" t="str">
            <v>1.0 - 5.0</v>
          </cell>
        </row>
        <row r="220">
          <cell r="A220" t="str">
            <v>Axim Concrete Technologies - SUPERFLUX 2000 PC</v>
          </cell>
          <cell r="V220" t="str">
            <v>8273</v>
          </cell>
          <cell r="AZ220" t="str">
            <v>3.0 - 10.0</v>
          </cell>
        </row>
        <row r="221">
          <cell r="A221" t="str">
            <v>Axim Concrete Technologies - SUPERFLUX 2100 PC</v>
          </cell>
          <cell r="V221" t="str">
            <v>8273</v>
          </cell>
          <cell r="AZ221" t="str">
            <v>3.0 - 10.0</v>
          </cell>
        </row>
        <row r="222">
          <cell r="A222" t="str">
            <v>BASF Construction Chemicals, LLC - DELVO ESC</v>
          </cell>
          <cell r="V222" t="str">
            <v>8265</v>
          </cell>
          <cell r="AF222" t="str">
            <v>0.19 - 0.31</v>
          </cell>
          <cell r="AP222" t="str">
            <v>0.19 - 0.31</v>
          </cell>
        </row>
        <row r="223">
          <cell r="A223" t="str">
            <v>BASF Construction Chemicals, LLC - DELVO STABLIZER</v>
          </cell>
          <cell r="V223" t="str">
            <v>8265</v>
          </cell>
          <cell r="AF223" t="str">
            <v>2.0 - 5.0</v>
          </cell>
          <cell r="AP223" t="str">
            <v>3.0 - 5.0</v>
          </cell>
        </row>
        <row r="224">
          <cell r="A224" t="str">
            <v>BASF Construction Chemicals, LLC - POLYHEED 997</v>
          </cell>
          <cell r="V224" t="str">
            <v>8265</v>
          </cell>
          <cell r="AA224" t="str">
            <v>3.0 - 6.0</v>
          </cell>
          <cell r="AZ224" t="str">
            <v>7.0 - 15.0</v>
          </cell>
        </row>
        <row r="225">
          <cell r="A225" t="str">
            <v>BASF Construction Chemicals, LLC - POLYHEED FC 100</v>
          </cell>
          <cell r="V225" t="str">
            <v>8265</v>
          </cell>
          <cell r="AA225" t="str">
            <v>8.0 - 30.0</v>
          </cell>
          <cell r="AK225" t="str">
            <v>8.0 30.0</v>
          </cell>
          <cell r="AU225" t="str">
            <v>8.0 - 30.0</v>
          </cell>
        </row>
        <row r="226">
          <cell r="A226" t="str">
            <v>BASF Construction Chemicals, LLC - POLYHEED 900</v>
          </cell>
          <cell r="V226" t="str">
            <v>8265</v>
          </cell>
          <cell r="AA226" t="str">
            <v>3.0 - 15.0</v>
          </cell>
        </row>
        <row r="227">
          <cell r="A227" t="str">
            <v>BASF Construction Chemicals, LLC - POLYHEED 1020</v>
          </cell>
          <cell r="V227" t="str">
            <v>8265</v>
          </cell>
          <cell r="AA227" t="str">
            <v>3.0 - 5.0</v>
          </cell>
          <cell r="AZ227" t="str">
            <v>6.0 - 12.0</v>
          </cell>
        </row>
        <row r="228">
          <cell r="A228" t="str">
            <v>BASF Construction Chemicals, LLC - POLYHEED 1025</v>
          </cell>
          <cell r="V228" t="str">
            <v>8265</v>
          </cell>
          <cell r="AA228" t="str">
            <v>3.0 - 5.0</v>
          </cell>
          <cell r="AZ228" t="str">
            <v>6.0 - 12.0</v>
          </cell>
        </row>
        <row r="229">
          <cell r="A229" t="str">
            <v>BASF Construction Chemicals, LLC - POLYHEED 1720</v>
          </cell>
          <cell r="V229" t="str">
            <v>8265</v>
          </cell>
          <cell r="AA229" t="str">
            <v>3.0 - 10.0</v>
          </cell>
          <cell r="AZ229" t="str">
            <v>10.0 - 12.0</v>
          </cell>
        </row>
        <row r="230">
          <cell r="A230" t="str">
            <v>BASF Construction Chemicals, LLC - POZZOLITH 80</v>
          </cell>
          <cell r="V230" t="str">
            <v>8265</v>
          </cell>
          <cell r="AA230" t="str">
            <v>3.0 - 5.0</v>
          </cell>
          <cell r="AF230" t="str">
            <v>5.0 - 10.0</v>
          </cell>
          <cell r="AP230" t="str">
            <v>5.0 - 10.0</v>
          </cell>
        </row>
        <row r="231">
          <cell r="A231" t="str">
            <v>BASF Construction Chemicals, LLC  - POZZOLITH 100-XR</v>
          </cell>
          <cell r="V231" t="str">
            <v>8265</v>
          </cell>
          <cell r="AF231" t="str">
            <v>1.0 - 4.0</v>
          </cell>
          <cell r="AP231" t="str">
            <v>1.0 - 4.0</v>
          </cell>
        </row>
        <row r="232">
          <cell r="A232" t="str">
            <v>BASF Construction Chemicals, LLC - POZZOLITH 200 N</v>
          </cell>
          <cell r="V232" t="str">
            <v>8265</v>
          </cell>
          <cell r="AA232" t="str">
            <v>2.0 - 5.0</v>
          </cell>
          <cell r="AF232" t="str">
            <v>2.0 - 5.0</v>
          </cell>
          <cell r="AP232" t="str">
            <v>2.0 - 6.0</v>
          </cell>
        </row>
        <row r="233">
          <cell r="A233" t="str">
            <v>BASF Construction Chemicals, LLC - POZZOLITH 322 N</v>
          </cell>
          <cell r="V233" t="str">
            <v>8265</v>
          </cell>
          <cell r="AA233" t="str">
            <v>3.0 - 4.0</v>
          </cell>
          <cell r="AF233" t="str">
            <v>5.0 - 7.0</v>
          </cell>
          <cell r="AP233" t="str">
            <v>5.0 - 7.0</v>
          </cell>
        </row>
        <row r="234">
          <cell r="A234" t="str">
            <v>BASF Construction Chemicals, LLC - POZZOLITH 700 N</v>
          </cell>
          <cell r="V234" t="str">
            <v>8265</v>
          </cell>
          <cell r="AA234" t="str">
            <v>3.0 - 5.0</v>
          </cell>
          <cell r="AF234" t="str">
            <v>5.0 - 7.0</v>
          </cell>
          <cell r="AP234" t="str">
            <v>5.0 - 7.0</v>
          </cell>
        </row>
        <row r="235">
          <cell r="A235" t="str">
            <v>BASF Construction Chemicals, LLC  - POZZOLITH NC 534</v>
          </cell>
          <cell r="V235" t="str">
            <v>8265</v>
          </cell>
          <cell r="AK235" t="str">
            <v>10.0 - 45.0</v>
          </cell>
        </row>
        <row r="236">
          <cell r="A236" t="str">
            <v>BASF Construction Chemicals, LLC - POZZUTEC 20+</v>
          </cell>
          <cell r="V236" t="str">
            <v>8265</v>
          </cell>
          <cell r="AK236" t="str">
            <v>5.0 - 90.0</v>
          </cell>
          <cell r="AU236" t="str">
            <v>30.0 - 90.0</v>
          </cell>
        </row>
        <row r="237">
          <cell r="A237" t="str">
            <v>BASF Construction Chemicals, LLC - PS 1466</v>
          </cell>
          <cell r="V237" t="str">
            <v>8265</v>
          </cell>
          <cell r="AA237" t="str">
            <v>2.0 - 4.0</v>
          </cell>
          <cell r="AZ237" t="str">
            <v>4.0 - 10.0</v>
          </cell>
        </row>
        <row r="238">
          <cell r="A238" t="str">
            <v>BASF Construction Chemicals, LLC - PS 1583</v>
          </cell>
          <cell r="V238" t="str">
            <v>8265</v>
          </cell>
          <cell r="AA238" t="str">
            <v>2.0 - 5.0</v>
          </cell>
          <cell r="AZ238" t="str">
            <v xml:space="preserve">5.0 - 15.0 </v>
          </cell>
        </row>
        <row r="239">
          <cell r="A239" t="str">
            <v>BASF Construction Chemicals, LLC - GLENIUM 3030 NS</v>
          </cell>
          <cell r="V239" t="str">
            <v>8265</v>
          </cell>
          <cell r="AA239" t="str">
            <v>1.0 - 3.0</v>
          </cell>
          <cell r="AZ239" t="str">
            <v>6.0 - 18.0</v>
          </cell>
        </row>
        <row r="240">
          <cell r="A240" t="str">
            <v>BASF Construction Chemicals, LLC - GLENIUM 3400 NV</v>
          </cell>
          <cell r="V240" t="str">
            <v>8265</v>
          </cell>
          <cell r="AZ240" t="str">
            <v>2.0 - 6.0</v>
          </cell>
        </row>
        <row r="241">
          <cell r="A241" t="str">
            <v>BASF Construction Chemicals, LLC - GLENIUM 7103</v>
          </cell>
          <cell r="V241" t="str">
            <v>8265</v>
          </cell>
          <cell r="AZ241" t="str">
            <v>3.0 - 15.0</v>
          </cell>
        </row>
        <row r="242">
          <cell r="A242" t="str">
            <v>BASF Construction Chemicals, LLC - GLENIUM 7500</v>
          </cell>
          <cell r="V242" t="str">
            <v>8265</v>
          </cell>
          <cell r="AA242" t="str">
            <v>2.0 - 3.0</v>
          </cell>
          <cell r="AZ242" t="str">
            <v>3.0 - 12.0</v>
          </cell>
        </row>
        <row r="243">
          <cell r="A243" t="str">
            <v>BASF Construction Chemicals, LLC - GLENIUM 7700</v>
          </cell>
          <cell r="V243" t="str">
            <v>8265</v>
          </cell>
          <cell r="AZ243" t="str">
            <v>4.0 - 12.0</v>
          </cell>
        </row>
        <row r="244">
          <cell r="A244" t="str">
            <v>BASF Construction Chemicals, LLC - RHEOBUILD 1000</v>
          </cell>
          <cell r="V244" t="str">
            <v>8265</v>
          </cell>
          <cell r="AZ244" t="str">
            <v>8.0 - 20.0</v>
          </cell>
        </row>
        <row r="245">
          <cell r="A245" t="str">
            <v>BASF Construction Chemicals, LLC. - RHEOCRETE CNI</v>
          </cell>
          <cell r="V245" t="str">
            <v>8265</v>
          </cell>
          <cell r="AK245" t="str">
            <v>50.0 - 150.0</v>
          </cell>
        </row>
        <row r="246">
          <cell r="A246" t="str">
            <v>BASF Corp. - STYROFAN 1186</v>
          </cell>
          <cell r="V246" t="str">
            <v>8275</v>
          </cell>
          <cell r="BR246" t="str">
            <v>3.5 gal / 94 lb</v>
          </cell>
        </row>
        <row r="247">
          <cell r="A247" t="str">
            <v>Chryso - CHRYSO ENVIROMIX 159</v>
          </cell>
          <cell r="V247" t="str">
            <v>8278</v>
          </cell>
          <cell r="AA247" t="str">
            <v>3.0 - 14.0</v>
          </cell>
          <cell r="AZ247" t="str">
            <v>12.0 - 20.0</v>
          </cell>
        </row>
        <row r="248">
          <cell r="A248" t="str">
            <v>Chryso - CHRYSO ENVIROMIX 300</v>
          </cell>
          <cell r="V248" t="str">
            <v>8278</v>
          </cell>
          <cell r="AA248" t="str">
            <v>3.0 - 14.0</v>
          </cell>
          <cell r="AZ248">
            <v>0</v>
          </cell>
        </row>
        <row r="249">
          <cell r="A249" t="str">
            <v>Chryso - CHRYSOFLUID OPTIMA 203</v>
          </cell>
          <cell r="V249" t="str">
            <v>8278</v>
          </cell>
          <cell r="AA249" t="str">
            <v>3.0 - 5.0</v>
          </cell>
          <cell r="AZ249" t="str">
            <v>4.5 - 46.0</v>
          </cell>
        </row>
        <row r="250">
          <cell r="A250" t="str">
            <v>Chryso - CHRYSOFLUID OPTIMA 256</v>
          </cell>
          <cell r="V250" t="str">
            <v>8278</v>
          </cell>
          <cell r="AA250" t="str">
            <v xml:space="preserve">2.0 - 7.0 </v>
          </cell>
          <cell r="AZ250">
            <v>0</v>
          </cell>
        </row>
        <row r="251">
          <cell r="A251" t="str">
            <v>Chryso - CHRYSOFLUID PREMIA 180</v>
          </cell>
          <cell r="V251" t="str">
            <v>8278</v>
          </cell>
          <cell r="AA251" t="str">
            <v>3.0 - 8.0</v>
          </cell>
          <cell r="AZ251" t="str">
            <v>6.0 - 20.0</v>
          </cell>
        </row>
        <row r="252">
          <cell r="A252" t="str">
            <v>Chryso - Chryso TURBOCAST 650A</v>
          </cell>
          <cell r="V252" t="str">
            <v>8278</v>
          </cell>
          <cell r="AK252" t="str">
            <v>8.0 - 54.0</v>
          </cell>
        </row>
        <row r="253">
          <cell r="A253" t="str">
            <v>DOW Reichold Specialty Latex LLC - DPS MODIFIER A</v>
          </cell>
          <cell r="V253" t="str">
            <v>8403</v>
          </cell>
          <cell r="BR253" t="str">
            <v>3.5 gal / 94 lb</v>
          </cell>
        </row>
        <row r="254">
          <cell r="A254" t="str">
            <v>Euclid Chemical Co - ACCELGUARD NCA</v>
          </cell>
          <cell r="V254" t="str">
            <v>8268</v>
          </cell>
          <cell r="AK254" t="str">
            <v>12.0 - 75.0</v>
          </cell>
          <cell r="AU254" t="str">
            <v>12.0 - 75.0</v>
          </cell>
        </row>
        <row r="255">
          <cell r="A255" t="str">
            <v>Euclid Chemical Co - ACCELGUARD 80</v>
          </cell>
          <cell r="V255" t="str">
            <v>8268</v>
          </cell>
          <cell r="AK255" t="str">
            <v>12.0 - 90.0</v>
          </cell>
          <cell r="AU255" t="str">
            <v>12.0 - 90.0</v>
          </cell>
        </row>
        <row r="256">
          <cell r="A256" t="str">
            <v>Euclid Chemical Co - ACCELGUARD 90</v>
          </cell>
          <cell r="V256" t="str">
            <v>8268</v>
          </cell>
          <cell r="AK256" t="str">
            <v>10.0 - 90.0</v>
          </cell>
          <cell r="AU256" t="str">
            <v>10.0 - 90.0</v>
          </cell>
        </row>
        <row r="257">
          <cell r="A257" t="str">
            <v>Euclid Chemical Co - EUCON A+</v>
          </cell>
          <cell r="V257" t="str">
            <v>8268</v>
          </cell>
          <cell r="AA257" t="str">
            <v>3.0 - 18.0</v>
          </cell>
        </row>
        <row r="258">
          <cell r="A258" t="str">
            <v>Euclid Chemical Co - EUCON CIA</v>
          </cell>
          <cell r="V258" t="str">
            <v>8268</v>
          </cell>
          <cell r="AK258" t="str">
            <v>10.0 - 90.0</v>
          </cell>
        </row>
        <row r="259">
          <cell r="A259" t="str">
            <v>Euclid Chemical Co - EUCON 37</v>
          </cell>
          <cell r="V259" t="str">
            <v>8268</v>
          </cell>
          <cell r="AZ259" t="str">
            <v>10.0 - 16.0</v>
          </cell>
        </row>
        <row r="260">
          <cell r="A260" t="str">
            <v>Euclid Chemical Co - EUCON MR</v>
          </cell>
          <cell r="V260" t="str">
            <v>8268</v>
          </cell>
          <cell r="AZ260" t="str">
            <v>10.0 - 15.0</v>
          </cell>
        </row>
        <row r="261">
          <cell r="A261" t="str">
            <v>Euclid Chemical Co - EUCON 727</v>
          </cell>
          <cell r="V261" t="str">
            <v>8268</v>
          </cell>
          <cell r="AP261" t="str">
            <v>0.5 - 2.7</v>
          </cell>
        </row>
        <row r="262">
          <cell r="A262" t="str">
            <v>Euclid Chemical Co - EUCON 1037</v>
          </cell>
          <cell r="V262" t="str">
            <v>8268</v>
          </cell>
          <cell r="AZ262" t="str">
            <v>10.0 - 25.0</v>
          </cell>
        </row>
        <row r="263">
          <cell r="A263" t="str">
            <v>Euclid Chemical Co - EUCON RETARDER 75</v>
          </cell>
          <cell r="V263" t="str">
            <v>8268</v>
          </cell>
          <cell r="AP263" t="str">
            <v>2.0 - 5.0</v>
          </cell>
        </row>
        <row r="264">
          <cell r="A264" t="str">
            <v>Euclid Chemical Co - EUCON RETARDER 100</v>
          </cell>
          <cell r="V264" t="str">
            <v>8268</v>
          </cell>
          <cell r="AP264" t="str">
            <v>2.0 - 6.0</v>
          </cell>
        </row>
        <row r="265">
          <cell r="A265" t="str">
            <v>Euclid Chemical Co - EUCON WR-91</v>
          </cell>
          <cell r="V265" t="str">
            <v>8268</v>
          </cell>
          <cell r="AA265" t="str">
            <v>2.0 - 6.0</v>
          </cell>
          <cell r="AF265" t="str">
            <v>6.0 - 10.0</v>
          </cell>
          <cell r="AP265" t="str">
            <v>6.0 - 10.0</v>
          </cell>
        </row>
        <row r="266">
          <cell r="A266" t="str">
            <v>Euclid Chemical Co - EUCON MR</v>
          </cell>
          <cell r="V266" t="str">
            <v>8268</v>
          </cell>
          <cell r="AA266" t="str">
            <v>4.0 - 10.0</v>
          </cell>
        </row>
        <row r="267">
          <cell r="A267" t="str">
            <v>Euclid Chemical Co - EUCON MRX</v>
          </cell>
          <cell r="V267" t="str">
            <v>8268</v>
          </cell>
          <cell r="AA267" t="str">
            <v>3.0 - 5.0</v>
          </cell>
          <cell r="AZ267" t="str">
            <v>7.0 - 12.0</v>
          </cell>
        </row>
        <row r="268">
          <cell r="A268" t="str">
            <v>Euclid Chemical Co - Plastol 341</v>
          </cell>
          <cell r="V268" t="str">
            <v>8268</v>
          </cell>
          <cell r="AA268" t="str">
            <v>2.0 - 6.0</v>
          </cell>
          <cell r="AZ268" t="str">
            <v>7.0 - 10.0</v>
          </cell>
        </row>
        <row r="269">
          <cell r="A269" t="str">
            <v>Euclid Chemical Co - Plastol 5000</v>
          </cell>
          <cell r="V269" t="str">
            <v>8268</v>
          </cell>
          <cell r="AZ269" t="str">
            <v>3.0 - 15.0</v>
          </cell>
        </row>
        <row r="270">
          <cell r="A270" t="str">
            <v>Euclid Chemical Co - Plastol 5700</v>
          </cell>
          <cell r="V270" t="str">
            <v>8268</v>
          </cell>
          <cell r="AZ270" t="str">
            <v>2.0 - 6.0</v>
          </cell>
        </row>
        <row r="271">
          <cell r="A271" t="str">
            <v>General Resources Technology, Inc. - KB-1000</v>
          </cell>
          <cell r="V271" t="str">
            <v>8280</v>
          </cell>
          <cell r="AA271" t="str">
            <v xml:space="preserve">3.0 - 10.0 </v>
          </cell>
        </row>
        <row r="272">
          <cell r="A272" t="str">
            <v>General Resources Technology, Inc. - KB-1200</v>
          </cell>
          <cell r="V272" t="str">
            <v>8280</v>
          </cell>
          <cell r="AA272" t="str">
            <v xml:space="preserve">3.0 - 12.0 </v>
          </cell>
        </row>
        <row r="273">
          <cell r="A273" t="str">
            <v>General Resources Technology, Inc. - MELCHEM</v>
          </cell>
          <cell r="V273" t="str">
            <v>8280</v>
          </cell>
          <cell r="AA273">
            <v>0</v>
          </cell>
          <cell r="AK273">
            <v>0</v>
          </cell>
          <cell r="AZ273" t="str">
            <v>8.0 - 25.0</v>
          </cell>
        </row>
        <row r="274">
          <cell r="A274" t="str">
            <v>General Resources Technology, Inc. - Polychem CI</v>
          </cell>
          <cell r="V274" t="str">
            <v>8280</v>
          </cell>
          <cell r="AA274">
            <v>0</v>
          </cell>
          <cell r="AK274" t="str">
            <v>8.0 - 90.0</v>
          </cell>
        </row>
        <row r="275">
          <cell r="A275" t="str">
            <v>General Resources Technology, Inc. - Polychem R</v>
          </cell>
          <cell r="V275" t="str">
            <v>8280</v>
          </cell>
          <cell r="AA275">
            <v>0</v>
          </cell>
          <cell r="AK275">
            <v>0</v>
          </cell>
          <cell r="AP275" t="str">
            <v>2.0 - 5.0</v>
          </cell>
        </row>
        <row r="276">
          <cell r="A276" t="str">
            <v>General Resources Technology, Inc. - Polychem SPC</v>
          </cell>
          <cell r="V276" t="str">
            <v>8280</v>
          </cell>
          <cell r="AA276">
            <v>0</v>
          </cell>
          <cell r="AK276">
            <v>0</v>
          </cell>
          <cell r="AZ276" t="str">
            <v>6.0 - 20.0</v>
          </cell>
        </row>
        <row r="277">
          <cell r="A277" t="str">
            <v>General Resources Technology, Inc. - Polychem SUPER SET</v>
          </cell>
          <cell r="V277" t="str">
            <v>8280</v>
          </cell>
          <cell r="AA277">
            <v>0</v>
          </cell>
          <cell r="AK277" t="str">
            <v>8.0 - 32.0</v>
          </cell>
        </row>
        <row r="278">
          <cell r="A278" t="str">
            <v>General Resources Technology, Inc. - Polychem 400NC</v>
          </cell>
          <cell r="V278" t="str">
            <v>8280</v>
          </cell>
          <cell r="AA278" t="str">
            <v>3.0 - 8.0</v>
          </cell>
        </row>
        <row r="279">
          <cell r="A279" t="str">
            <v>General Resources Technology, Inc. - Polychem 775</v>
          </cell>
          <cell r="V279" t="str">
            <v>8280</v>
          </cell>
          <cell r="AA279">
            <v>0</v>
          </cell>
          <cell r="AZ279" t="str">
            <v>6.0 - 20.0</v>
          </cell>
        </row>
        <row r="280">
          <cell r="A280" t="str">
            <v>Premiere Concrete Admixtures, LLC - Ecoflo GREEN</v>
          </cell>
          <cell r="V280" t="str">
            <v>8279</v>
          </cell>
          <cell r="AA280" t="str">
            <v>1.0 - 8.0</v>
          </cell>
        </row>
        <row r="281">
          <cell r="A281" t="str">
            <v>Premiere Concrete Admixtures, LLC - Ecoflo SCM-40</v>
          </cell>
          <cell r="V281" t="str">
            <v>8279</v>
          </cell>
          <cell r="AA281" t="str">
            <v>3.0 - 12.0</v>
          </cell>
        </row>
        <row r="282">
          <cell r="A282" t="str">
            <v>Premiere Concrete Admixtures, Nitrocast K</v>
          </cell>
          <cell r="V282" t="str">
            <v>8279</v>
          </cell>
          <cell r="AK282" t="str">
            <v>10.0 - 90.0</v>
          </cell>
        </row>
        <row r="283">
          <cell r="A283" t="str">
            <v>Premiere Concrete Admixtures, Nitrocast 701</v>
          </cell>
          <cell r="V283" t="str">
            <v>8279</v>
          </cell>
          <cell r="AK283" t="str">
            <v>16.0 - 90.0</v>
          </cell>
        </row>
        <row r="284">
          <cell r="A284" t="str">
            <v>Premiere Concrete Admixtures, LLC - Optiflo MR</v>
          </cell>
          <cell r="V284" t="str">
            <v>8279</v>
          </cell>
          <cell r="AA284" t="str">
            <v>4.0 - 12.0</v>
          </cell>
        </row>
        <row r="285">
          <cell r="A285" t="str">
            <v>Premiere Concrete Admixtures, LLC -Optiflo Plus</v>
          </cell>
          <cell r="V285" t="str">
            <v>8279</v>
          </cell>
          <cell r="AA285" t="str">
            <v>5.0 - 10.0</v>
          </cell>
        </row>
        <row r="286">
          <cell r="A286" t="str">
            <v>Premiere Concrete Admixtures, LLC -Optiflo Renu</v>
          </cell>
          <cell r="V286" t="str">
            <v>8279</v>
          </cell>
          <cell r="AP286" t="str">
            <v>3.0 - 6.0</v>
          </cell>
        </row>
        <row r="287">
          <cell r="A287" t="str">
            <v>Premiere Concrete Admixtures, LLC -Optiflo 50</v>
          </cell>
          <cell r="V287" t="str">
            <v>8279</v>
          </cell>
          <cell r="AA287" t="str">
            <v>3.0 - 8.0</v>
          </cell>
        </row>
        <row r="288">
          <cell r="A288" t="str">
            <v>Premiere Concrete Admixtures, LLC -Optiflo100R</v>
          </cell>
          <cell r="V288" t="str">
            <v>8279</v>
          </cell>
          <cell r="AP288" t="str">
            <v>3.0 - 8.0</v>
          </cell>
        </row>
        <row r="289">
          <cell r="A289" t="str">
            <v>Premiere Concrete Admixtures, LLC - Optiflo 500</v>
          </cell>
          <cell r="V289" t="str">
            <v>8279</v>
          </cell>
          <cell r="AA289" t="str">
            <v>2.0 - 4.0</v>
          </cell>
        </row>
        <row r="290">
          <cell r="A290" t="str">
            <v>Premiere Concrete Admixtures, LLC - Ultraflo 2000</v>
          </cell>
          <cell r="V290" t="str">
            <v>8279</v>
          </cell>
          <cell r="AA290" t="str">
            <v>2.0 - 4.0</v>
          </cell>
          <cell r="AZ290" t="str">
            <v xml:space="preserve">6.0 - 12.0 </v>
          </cell>
        </row>
        <row r="291">
          <cell r="A291" t="str">
            <v>Premiere Concrete Admixtures, LLC - Ultraflo 4600</v>
          </cell>
          <cell r="V291" t="str">
            <v>8279</v>
          </cell>
          <cell r="AZ291" t="str">
            <v xml:space="preserve">7.0 - 24.0 </v>
          </cell>
        </row>
        <row r="292">
          <cell r="A292" t="str">
            <v>Premiere Concrete Admixtures, LLC - Ultraflo DP</v>
          </cell>
          <cell r="V292" t="str">
            <v>8279</v>
          </cell>
          <cell r="AZ292" t="str">
            <v>4.0 - 14.0</v>
          </cell>
        </row>
        <row r="293">
          <cell r="A293" t="str">
            <v>Riechold Chemical - TYLAC 97-314</v>
          </cell>
          <cell r="V293" t="str">
            <v>8276</v>
          </cell>
          <cell r="BR293" t="str">
            <v>3.5 gal / 94 lb</v>
          </cell>
        </row>
        <row r="294">
          <cell r="A294" t="str">
            <v>Russtech Admixtures - FINISHEASE NC</v>
          </cell>
          <cell r="V294" t="str">
            <v>8272</v>
          </cell>
          <cell r="AA294" t="str">
            <v>3.0 - 12.0</v>
          </cell>
        </row>
        <row r="295">
          <cell r="A295" t="str">
            <v>Russtech Admixtures - LC-400P</v>
          </cell>
          <cell r="V295" t="str">
            <v>8272</v>
          </cell>
          <cell r="AA295" t="str">
            <v>3.0 - 5.0</v>
          </cell>
          <cell r="AP295" t="str">
            <v>5.0 - 8.0</v>
          </cell>
        </row>
        <row r="296">
          <cell r="A296" t="str">
            <v>Russtech Admixtures - LC-400R</v>
          </cell>
          <cell r="V296" t="str">
            <v>8272</v>
          </cell>
          <cell r="AF296" t="str">
            <v>3.0 - 6.0</v>
          </cell>
          <cell r="AP296" t="str">
            <v>3.0 - 6.0</v>
          </cell>
        </row>
        <row r="297">
          <cell r="A297" t="str">
            <v>Russtech Admixtures - LC-500</v>
          </cell>
          <cell r="V297" t="str">
            <v>8272</v>
          </cell>
          <cell r="AA297" t="str">
            <v>3.0 - 5.0</v>
          </cell>
          <cell r="AP297" t="str">
            <v xml:space="preserve">3.0 - 5.0 </v>
          </cell>
        </row>
        <row r="298">
          <cell r="A298" t="str">
            <v>Russtech Admixtures - LCNC-166</v>
          </cell>
          <cell r="V298" t="str">
            <v>8272</v>
          </cell>
          <cell r="AK298" t="str">
            <v>8.0 - 90.0</v>
          </cell>
          <cell r="AU298" t="str">
            <v>8.0 - 90.0</v>
          </cell>
        </row>
        <row r="299">
          <cell r="A299" t="str">
            <v>Russtech Admixtures - SUPERFLO 2000 RM</v>
          </cell>
          <cell r="V299" t="str">
            <v>8272</v>
          </cell>
          <cell r="AZ299" t="str">
            <v>7.0 - 20.0</v>
          </cell>
        </row>
        <row r="300">
          <cell r="A300" t="str">
            <v>Russtech Admixtures - SUPERFLO 2040 RM</v>
          </cell>
          <cell r="V300" t="str">
            <v>8272</v>
          </cell>
          <cell r="AA300" t="str">
            <v>1.0 - 3.0</v>
          </cell>
          <cell r="AZ300" t="str">
            <v>4.0 - 8.0</v>
          </cell>
        </row>
        <row r="301">
          <cell r="A301" t="str">
            <v>Sika Corp - PLASTIMENT</v>
          </cell>
          <cell r="V301" t="str">
            <v>9514</v>
          </cell>
          <cell r="AF301" t="str">
            <v>2.0 - 4.0</v>
          </cell>
          <cell r="AP301" t="str">
            <v>2.0 - 4.0</v>
          </cell>
        </row>
        <row r="302">
          <cell r="A302" t="str">
            <v>Sika Corp - PLASTIMENT ES</v>
          </cell>
          <cell r="V302" t="str">
            <v>9514</v>
          </cell>
          <cell r="AF302" t="str">
            <v>2.0 - 4.0</v>
          </cell>
          <cell r="AP302" t="str">
            <v>2.0 - 4.0</v>
          </cell>
        </row>
        <row r="303">
          <cell r="A303" t="str">
            <v>Sika Corp - PLASTIOCRETE 10N</v>
          </cell>
          <cell r="V303" t="str">
            <v>9514</v>
          </cell>
          <cell r="AA303" t="str">
            <v>1.5 - 5.0</v>
          </cell>
          <cell r="AF303" t="str">
            <v>3.5 - 5.0</v>
          </cell>
          <cell r="AP303" t="str">
            <v>3.5 - 5.0</v>
          </cell>
        </row>
        <row r="304">
          <cell r="A304" t="str">
            <v>Sika Corp - PLASTIOCRETE 80</v>
          </cell>
          <cell r="V304" t="str">
            <v>9514</v>
          </cell>
          <cell r="AA304" t="str">
            <v>2.0 - 6.0</v>
          </cell>
          <cell r="AF304" t="str">
            <v>4.0 - 6.0</v>
          </cell>
          <cell r="AP304" t="str">
            <v>4.0 - 6.0</v>
          </cell>
        </row>
        <row r="305">
          <cell r="A305" t="str">
            <v>Sika Corp - PLASTIOCRETE 161</v>
          </cell>
          <cell r="V305" t="str">
            <v>9514</v>
          </cell>
          <cell r="AA305" t="str">
            <v>2.0 - 6.0</v>
          </cell>
        </row>
        <row r="306">
          <cell r="A306" t="str">
            <v>Sika Corp - SIKASET NC</v>
          </cell>
          <cell r="V306" t="str">
            <v>9514</v>
          </cell>
          <cell r="AK306" t="str">
            <v>10.0 - 45.0</v>
          </cell>
          <cell r="AU306" t="str">
            <v>10.0 - 45.0</v>
          </cell>
        </row>
        <row r="307">
          <cell r="A307" t="str">
            <v>Sika Corp - SIKASET R.H.E.</v>
          </cell>
          <cell r="V307" t="str">
            <v>9514</v>
          </cell>
          <cell r="AK307" t="str">
            <v>5.0 - 15.0</v>
          </cell>
          <cell r="AU307" t="str">
            <v>5.0 - 60.0</v>
          </cell>
        </row>
        <row r="308">
          <cell r="A308" t="str">
            <v>Sika Corp - SIKATARD 440</v>
          </cell>
          <cell r="V308" t="str">
            <v>9514</v>
          </cell>
          <cell r="AF308" t="str">
            <v>2.0 - 8.0</v>
          </cell>
          <cell r="AK308">
            <v>0</v>
          </cell>
          <cell r="AU308">
            <v>0</v>
          </cell>
        </row>
        <row r="309">
          <cell r="A309" t="str">
            <v>Sika Corp - SIKAMENT 686</v>
          </cell>
          <cell r="V309" t="str">
            <v>9514</v>
          </cell>
          <cell r="AA309" t="str">
            <v>3.0 - 6.5</v>
          </cell>
          <cell r="AZ309" t="str">
            <v>6.0 - 12.0</v>
          </cell>
        </row>
        <row r="310">
          <cell r="A310" t="str">
            <v>Sika Corp - SIKAMENT SPMN</v>
          </cell>
          <cell r="V310" t="str">
            <v>9514</v>
          </cell>
          <cell r="AA310">
            <v>0</v>
          </cell>
          <cell r="AZ310" t="str">
            <v>10.0 - 40.0</v>
          </cell>
        </row>
        <row r="311">
          <cell r="A311" t="str">
            <v>Sika Corp - Sikaplast 200</v>
          </cell>
          <cell r="V311" t="str">
            <v>9514</v>
          </cell>
          <cell r="AA311" t="str">
            <v>3.0 - 12.0</v>
          </cell>
          <cell r="AZ311">
            <v>0</v>
          </cell>
          <cell r="BE311" t="str">
            <v>12.0 - 24.0</v>
          </cell>
        </row>
        <row r="312">
          <cell r="A312" t="str">
            <v>Sika Corp - Sikaplast 300GP</v>
          </cell>
          <cell r="V312" t="str">
            <v>9514</v>
          </cell>
          <cell r="AA312" t="str">
            <v>2.0 - 12.0</v>
          </cell>
          <cell r="AZ312">
            <v>0</v>
          </cell>
        </row>
        <row r="313">
          <cell r="A313" t="str">
            <v>Sika Corp - Sikaplast 500</v>
          </cell>
          <cell r="V313" t="str">
            <v>9514</v>
          </cell>
          <cell r="AA313" t="str">
            <v>3.0 - 6.0</v>
          </cell>
          <cell r="AZ313" t="str">
            <v>6.0 - 12.0</v>
          </cell>
        </row>
        <row r="314">
          <cell r="A314" t="str">
            <v>Sika Corp - VISCOCRETE 1000</v>
          </cell>
          <cell r="V314" t="str">
            <v>9514</v>
          </cell>
          <cell r="AZ314" t="str">
            <v>3.0 - 12.0</v>
          </cell>
        </row>
        <row r="315">
          <cell r="A315" t="str">
            <v>Sika Corp - VISCOCRETE 2100</v>
          </cell>
          <cell r="V315" t="str">
            <v>9514</v>
          </cell>
          <cell r="AZ315" t="str">
            <v>4.5 - 6.5</v>
          </cell>
        </row>
        <row r="316">
          <cell r="A316" t="str">
            <v>Sika Corp - VISCOCRETE 2110</v>
          </cell>
          <cell r="V316" t="str">
            <v>9514</v>
          </cell>
          <cell r="AA316" t="str">
            <v>1.0 - 4.0</v>
          </cell>
          <cell r="AZ316" t="str">
            <v>3.0 - 12.0</v>
          </cell>
        </row>
        <row r="317">
          <cell r="A317" t="str">
            <v>Sika Corp - VISCOCRETE 4100</v>
          </cell>
          <cell r="V317" t="str">
            <v>9514</v>
          </cell>
          <cell r="AZ317" t="str">
            <v>3.0 - 12.0</v>
          </cell>
        </row>
        <row r="318">
          <cell r="A318" t="str">
            <v>Sika Corp - Visocrete 6100</v>
          </cell>
          <cell r="V318" t="str">
            <v>9514</v>
          </cell>
          <cell r="AZ318" t="str">
            <v>3.0 - 8.0</v>
          </cell>
        </row>
        <row r="319">
          <cell r="A319" t="str">
            <v>W.R. Grace &amp; Co - ADVA 140M</v>
          </cell>
          <cell r="V319" t="str">
            <v>8266</v>
          </cell>
          <cell r="AA319" t="str">
            <v>4.0 - 7.0</v>
          </cell>
          <cell r="AZ319" t="str">
            <v>9.5 - 20.0</v>
          </cell>
        </row>
        <row r="320">
          <cell r="A320" t="str">
            <v>W.R. Grace &amp; Co - ADVA 190</v>
          </cell>
          <cell r="V320" t="str">
            <v>8266</v>
          </cell>
          <cell r="AZ320" t="str">
            <v>3.0 - 9.0</v>
          </cell>
        </row>
        <row r="321">
          <cell r="A321" t="str">
            <v>W.R. Grace &amp; Co - ADVA 408</v>
          </cell>
          <cell r="V321" t="str">
            <v>8266</v>
          </cell>
          <cell r="AZ321" t="str">
            <v>12.0 - 18.0</v>
          </cell>
        </row>
        <row r="322">
          <cell r="A322" t="str">
            <v>W.R. Grace &amp; Co - ADVA CAST 530</v>
          </cell>
          <cell r="V322" t="str">
            <v>8266</v>
          </cell>
          <cell r="AZ322" t="str">
            <v>3.0 - 10.0</v>
          </cell>
        </row>
        <row r="323">
          <cell r="A323" t="str">
            <v>W.R. Grace &amp; Co - ADVA CAST 555</v>
          </cell>
          <cell r="V323" t="str">
            <v>8266</v>
          </cell>
          <cell r="AZ323" t="str">
            <v>8.0 - 20.0</v>
          </cell>
        </row>
        <row r="324">
          <cell r="A324" t="str">
            <v>W.R. Grace &amp; Co - ADVA CAST 600</v>
          </cell>
          <cell r="V324" t="str">
            <v>8266</v>
          </cell>
          <cell r="AZ324" t="str">
            <v>3.0 - 10.0</v>
          </cell>
        </row>
        <row r="325">
          <cell r="A325" t="str">
            <v>W.R. Grace &amp; Co - ADVA Flex</v>
          </cell>
          <cell r="V325" t="str">
            <v>8266</v>
          </cell>
          <cell r="AZ325" t="str">
            <v>4.0 - 14.0</v>
          </cell>
        </row>
        <row r="326">
          <cell r="A326" t="str">
            <v>W.R. Grace &amp; Co - DARACHEM 19</v>
          </cell>
          <cell r="V326" t="str">
            <v>8266</v>
          </cell>
          <cell r="AZ326" t="str">
            <v>8.0 - 20.0</v>
          </cell>
        </row>
        <row r="327">
          <cell r="A327" t="str">
            <v>W.R. Grace &amp; Co - DARACHEM-65</v>
          </cell>
          <cell r="V327" t="str">
            <v>8266</v>
          </cell>
          <cell r="AA327" t="str">
            <v>3.0 - 9.0</v>
          </cell>
        </row>
        <row r="328">
          <cell r="A328" t="str">
            <v>W.R. Grace &amp; Co - DARACHEM-55</v>
          </cell>
          <cell r="V328" t="str">
            <v>8266</v>
          </cell>
          <cell r="AA328" t="str">
            <v>3.0 - 9.0</v>
          </cell>
        </row>
        <row r="329">
          <cell r="A329" t="str">
            <v>W.R. Grace &amp; Co - DARACHEM 100</v>
          </cell>
          <cell r="V329" t="str">
            <v>8266</v>
          </cell>
          <cell r="AZ329">
            <v>0</v>
          </cell>
          <cell r="BE329" t="str">
            <v>12.0 - 20.0</v>
          </cell>
        </row>
        <row r="330">
          <cell r="A330" t="str">
            <v>W.R. Grace &amp; Co - DARASET 200</v>
          </cell>
          <cell r="V330" t="str">
            <v>8266</v>
          </cell>
          <cell r="AK330" t="str">
            <v>10.0 - 60.0</v>
          </cell>
        </row>
        <row r="331">
          <cell r="A331" t="str">
            <v>W.R. Grace &amp; Co - DARASET 400</v>
          </cell>
          <cell r="V331" t="str">
            <v>8266</v>
          </cell>
          <cell r="AK331" t="str">
            <v>10.0 - 60.0</v>
          </cell>
        </row>
        <row r="332">
          <cell r="A332" t="str">
            <v>W.R. Grace &amp; Co - DARATARD 17</v>
          </cell>
          <cell r="V332" t="str">
            <v>8266</v>
          </cell>
          <cell r="AP332" t="str">
            <v>2.0 - 8.0</v>
          </cell>
        </row>
        <row r="333">
          <cell r="A333" t="str">
            <v>W.R. Grace &amp; Co - DARATARD HC</v>
          </cell>
          <cell r="V333" t="str">
            <v>8266</v>
          </cell>
          <cell r="AP333" t="str">
            <v>2.0 - 4.0</v>
          </cell>
        </row>
        <row r="334">
          <cell r="A334" t="str">
            <v>W.R. Grace &amp; Co - MIRA 35</v>
          </cell>
          <cell r="V334" t="str">
            <v>8266</v>
          </cell>
          <cell r="AA334" t="str">
            <v>3.0 - 12.0</v>
          </cell>
        </row>
        <row r="335">
          <cell r="A335" t="str">
            <v>W.R. Grace &amp; Co - MIRA 62</v>
          </cell>
          <cell r="V335" t="str">
            <v>8266</v>
          </cell>
          <cell r="AA335" t="str">
            <v>2.0 - 6.0</v>
          </cell>
          <cell r="AZ335" t="str">
            <v>6.0 - 15.0</v>
          </cell>
        </row>
        <row r="336">
          <cell r="A336" t="str">
            <v>W.R. Grace &amp; Co - MIRA 85</v>
          </cell>
          <cell r="V336" t="str">
            <v>8266</v>
          </cell>
          <cell r="AA336" t="str">
            <v>3.0 - 8.0</v>
          </cell>
          <cell r="AZ336" t="str">
            <v>10.0 - 12.0</v>
          </cell>
        </row>
        <row r="337">
          <cell r="A337" t="str">
            <v>W.R. Grace &amp; Co - MIRA 110</v>
          </cell>
          <cell r="V337" t="str">
            <v>8266</v>
          </cell>
          <cell r="AA337" t="str">
            <v>3.0 - 5.0</v>
          </cell>
          <cell r="AZ337" t="str">
            <v>10.0 - 15.0</v>
          </cell>
        </row>
        <row r="338">
          <cell r="A338" t="str">
            <v>W.R. Grace &amp; Co - POLARSET</v>
          </cell>
          <cell r="V338" t="str">
            <v>8266</v>
          </cell>
          <cell r="AK338" t="str">
            <v>8.0 - 60.0</v>
          </cell>
        </row>
        <row r="339">
          <cell r="A339" t="str">
            <v>W.R. Grace &amp; Co - WRDA with HYCOL</v>
          </cell>
          <cell r="V339" t="str">
            <v>8266</v>
          </cell>
          <cell r="AA339" t="str">
            <v>3.0 - 5.0</v>
          </cell>
        </row>
        <row r="340">
          <cell r="A340" t="str">
            <v>W.R. Grace &amp; Co - WRDA PAVE 18</v>
          </cell>
          <cell r="V340" t="str">
            <v>8266</v>
          </cell>
          <cell r="AA340" t="str">
            <v>3.0 - 6.0</v>
          </cell>
          <cell r="AF340">
            <v>0</v>
          </cell>
          <cell r="AP340">
            <v>0</v>
          </cell>
        </row>
        <row r="341">
          <cell r="A341" t="str">
            <v>W.R. Grace &amp; Co - WRDA-20</v>
          </cell>
          <cell r="V341" t="str">
            <v>8266</v>
          </cell>
          <cell r="AA341" t="str">
            <v>2.0 - 4.0</v>
          </cell>
          <cell r="AF341" t="str">
            <v>3.0 - 5.0</v>
          </cell>
          <cell r="AP341" t="str">
            <v>3.0 - 5.0</v>
          </cell>
        </row>
        <row r="342">
          <cell r="A342" t="str">
            <v>W.R. Grace &amp; Co - WRDA-64</v>
          </cell>
          <cell r="V342" t="str">
            <v>8266</v>
          </cell>
          <cell r="AA342" t="str">
            <v>2.0 - 4.0</v>
          </cell>
          <cell r="AP342" t="str">
            <v>4.0 - 6.0</v>
          </cell>
        </row>
        <row r="343">
          <cell r="A343" t="str">
            <v>W.R. Grace &amp; Co - RECOVER</v>
          </cell>
          <cell r="V343" t="str">
            <v>8266</v>
          </cell>
          <cell r="AP343" t="str">
            <v>2.0 - 6.0</v>
          </cell>
        </row>
        <row r="344">
          <cell r="A344" t="str">
            <v>W.R. Grace &amp; Co - WRDA 82</v>
          </cell>
          <cell r="V344" t="str">
            <v>8266</v>
          </cell>
          <cell r="AA344" t="str">
            <v>3.0 - 6.0</v>
          </cell>
        </row>
        <row r="345">
          <cell r="A345" t="str">
            <v>W.R. Grace &amp; Co - WRDA 27</v>
          </cell>
          <cell r="V345" t="str">
            <v>8266</v>
          </cell>
          <cell r="AA345">
            <v>0</v>
          </cell>
        </row>
        <row r="346">
          <cell r="A346" t="str">
            <v>W.R. Grace &amp; Co - Zyla 630</v>
          </cell>
          <cell r="V346" t="str">
            <v>8266</v>
          </cell>
          <cell r="AA346" t="str">
            <v>3.0 - 5.0</v>
          </cell>
        </row>
        <row r="347">
          <cell r="A347" t="str">
            <v>W.R. Grace &amp; Co - Zyla R</v>
          </cell>
          <cell r="V347" t="str">
            <v>8266</v>
          </cell>
          <cell r="AF347" t="str">
            <v>2.0 - 8.0</v>
          </cell>
          <cell r="AP347" t="str">
            <v>2.0 - 8.0</v>
          </cell>
        </row>
        <row r="350">
          <cell r="A350" t="str">
            <v>CALCIUM CHLORIDE</v>
          </cell>
        </row>
        <row r="351">
          <cell r="A351" t="str">
            <v>% Solution</v>
          </cell>
          <cell r="F351" t="str">
            <v>Ilbs of solids</v>
          </cell>
          <cell r="K351" t="str">
            <v>lbs. of water</v>
          </cell>
        </row>
        <row r="352">
          <cell r="A352">
            <v>5</v>
          </cell>
          <cell r="F352" t="str">
            <v>0.44</v>
          </cell>
          <cell r="K352">
            <v>8.2799999999999994</v>
          </cell>
        </row>
        <row r="353">
          <cell r="A353">
            <v>6</v>
          </cell>
          <cell r="F353" t="str">
            <v>0.53</v>
          </cell>
          <cell r="K353">
            <v>8.27</v>
          </cell>
        </row>
        <row r="354">
          <cell r="A354">
            <v>7</v>
          </cell>
          <cell r="F354" t="str">
            <v>0.62</v>
          </cell>
          <cell r="K354">
            <v>8.25</v>
          </cell>
        </row>
        <row r="355">
          <cell r="A355">
            <v>8</v>
          </cell>
          <cell r="F355" t="str">
            <v>0.72</v>
          </cell>
          <cell r="K355">
            <v>8.23</v>
          </cell>
        </row>
        <row r="356">
          <cell r="A356">
            <v>9</v>
          </cell>
          <cell r="F356" t="str">
            <v>0.81</v>
          </cell>
          <cell r="K356">
            <v>8.2100000000000009</v>
          </cell>
        </row>
        <row r="357">
          <cell r="A357" t="str">
            <v>10</v>
          </cell>
          <cell r="F357" t="str">
            <v>0.91</v>
          </cell>
          <cell r="K357">
            <v>8.15</v>
          </cell>
        </row>
        <row r="358">
          <cell r="A358" t="str">
            <v>11</v>
          </cell>
          <cell r="F358" t="str">
            <v>1.01</v>
          </cell>
          <cell r="K358">
            <v>8.1300000000000008</v>
          </cell>
        </row>
        <row r="359">
          <cell r="A359" t="str">
            <v>12</v>
          </cell>
          <cell r="F359" t="str">
            <v>1.11</v>
          </cell>
          <cell r="K359">
            <v>8.11</v>
          </cell>
        </row>
        <row r="360">
          <cell r="A360" t="str">
            <v>13</v>
          </cell>
          <cell r="F360" t="str">
            <v>1.21</v>
          </cell>
          <cell r="K360">
            <v>8.1</v>
          </cell>
        </row>
        <row r="361">
          <cell r="A361" t="str">
            <v>14</v>
          </cell>
          <cell r="F361" t="str">
            <v>1.31</v>
          </cell>
          <cell r="K361">
            <v>8.07</v>
          </cell>
        </row>
        <row r="362">
          <cell r="A362" t="str">
            <v>15</v>
          </cell>
          <cell r="F362" t="str">
            <v>1.42</v>
          </cell>
          <cell r="K362">
            <v>8.0500000000000007</v>
          </cell>
        </row>
        <row r="363">
          <cell r="A363" t="str">
            <v>16</v>
          </cell>
          <cell r="F363" t="str">
            <v>1.53</v>
          </cell>
          <cell r="K363">
            <v>8.02</v>
          </cell>
        </row>
        <row r="364">
          <cell r="A364" t="str">
            <v>17</v>
          </cell>
          <cell r="F364" t="str">
            <v>1.64</v>
          </cell>
          <cell r="K364">
            <v>7.99</v>
          </cell>
        </row>
        <row r="365">
          <cell r="A365" t="str">
            <v>18</v>
          </cell>
          <cell r="F365" t="str">
            <v>1.75</v>
          </cell>
          <cell r="K365">
            <v>7.96</v>
          </cell>
        </row>
        <row r="366">
          <cell r="A366" t="str">
            <v>19</v>
          </cell>
          <cell r="F366" t="str">
            <v>1.86</v>
          </cell>
          <cell r="K366">
            <v>7.94</v>
          </cell>
        </row>
        <row r="367">
          <cell r="A367" t="str">
            <v>20</v>
          </cell>
          <cell r="F367" t="str">
            <v>1.98</v>
          </cell>
          <cell r="K367">
            <v>7.9</v>
          </cell>
        </row>
        <row r="368">
          <cell r="A368" t="str">
            <v>21</v>
          </cell>
          <cell r="F368" t="str">
            <v>2.09</v>
          </cell>
          <cell r="K368">
            <v>7.87</v>
          </cell>
        </row>
        <row r="369">
          <cell r="A369" t="str">
            <v>22</v>
          </cell>
          <cell r="F369" t="str">
            <v>2.21</v>
          </cell>
          <cell r="K369">
            <v>7.84</v>
          </cell>
        </row>
        <row r="370">
          <cell r="A370" t="str">
            <v>23</v>
          </cell>
          <cell r="F370" t="str">
            <v>2.33</v>
          </cell>
          <cell r="K370">
            <v>7.8</v>
          </cell>
        </row>
        <row r="371">
          <cell r="A371" t="str">
            <v>24</v>
          </cell>
          <cell r="F371" t="str">
            <v>2.45</v>
          </cell>
          <cell r="K371">
            <v>7.75</v>
          </cell>
        </row>
        <row r="372">
          <cell r="A372" t="str">
            <v>25</v>
          </cell>
          <cell r="F372" t="str">
            <v>2.58</v>
          </cell>
          <cell r="K372">
            <v>7.72</v>
          </cell>
        </row>
        <row r="373">
          <cell r="A373" t="str">
            <v>26</v>
          </cell>
          <cell r="F373" t="str">
            <v>2.7</v>
          </cell>
          <cell r="K373">
            <v>7.7</v>
          </cell>
        </row>
        <row r="374">
          <cell r="A374" t="str">
            <v>27</v>
          </cell>
          <cell r="F374" t="str">
            <v>2.84</v>
          </cell>
          <cell r="K374">
            <v>7.66</v>
          </cell>
        </row>
        <row r="375">
          <cell r="A375" t="str">
            <v>28</v>
          </cell>
          <cell r="F375" t="str">
            <v>2.97</v>
          </cell>
          <cell r="K375">
            <v>7.63</v>
          </cell>
        </row>
        <row r="376">
          <cell r="A376" t="str">
            <v>29</v>
          </cell>
          <cell r="F376" t="str">
            <v>3.10</v>
          </cell>
          <cell r="K376">
            <v>7.59</v>
          </cell>
        </row>
        <row r="377">
          <cell r="A377" t="str">
            <v>29.6</v>
          </cell>
          <cell r="F377" t="str">
            <v>3.18</v>
          </cell>
          <cell r="K377">
            <v>7.57</v>
          </cell>
        </row>
        <row r="378">
          <cell r="A378" t="str">
            <v>30</v>
          </cell>
          <cell r="F378" t="str">
            <v>3.24</v>
          </cell>
          <cell r="K378">
            <v>7.55</v>
          </cell>
        </row>
        <row r="379">
          <cell r="A379" t="str">
            <v>31</v>
          </cell>
          <cell r="F379" t="str">
            <v>3.38</v>
          </cell>
          <cell r="K379">
            <v>7.51</v>
          </cell>
        </row>
        <row r="380">
          <cell r="A380" t="str">
            <v>32</v>
          </cell>
          <cell r="F380" t="str">
            <v>3.52</v>
          </cell>
          <cell r="K380">
            <v>7.47</v>
          </cell>
        </row>
        <row r="381">
          <cell r="A381" t="str">
            <v>33</v>
          </cell>
          <cell r="F381" t="str">
            <v>3.66</v>
          </cell>
          <cell r="K381">
            <v>7.43</v>
          </cell>
        </row>
        <row r="382">
          <cell r="A382" t="str">
            <v>34</v>
          </cell>
          <cell r="F382" t="str">
            <v>3.80</v>
          </cell>
          <cell r="K382">
            <v>7.38</v>
          </cell>
        </row>
        <row r="383">
          <cell r="A383" t="str">
            <v>35</v>
          </cell>
          <cell r="F383" t="str">
            <v>3.95</v>
          </cell>
          <cell r="K383">
            <v>7.33</v>
          </cell>
        </row>
        <row r="384">
          <cell r="A384" t="str">
            <v>36</v>
          </cell>
          <cell r="F384" t="str">
            <v>4.10</v>
          </cell>
          <cell r="K384">
            <v>7.28</v>
          </cell>
        </row>
        <row r="385">
          <cell r="A385" t="str">
            <v>37</v>
          </cell>
          <cell r="F385" t="str">
            <v>4.25</v>
          </cell>
          <cell r="K385">
            <v>7.23</v>
          </cell>
        </row>
        <row r="386">
          <cell r="A386" t="str">
            <v>38</v>
          </cell>
          <cell r="F386" t="str">
            <v>4.40</v>
          </cell>
          <cell r="K386">
            <v>7.17</v>
          </cell>
        </row>
        <row r="387">
          <cell r="A387" t="str">
            <v>39</v>
          </cell>
          <cell r="F387" t="str">
            <v>4.55</v>
          </cell>
          <cell r="K387">
            <v>7.12</v>
          </cell>
        </row>
        <row r="388">
          <cell r="A388" t="str">
            <v>40</v>
          </cell>
          <cell r="F388" t="str">
            <v>4.71</v>
          </cell>
          <cell r="K388">
            <v>7.06</v>
          </cell>
        </row>
        <row r="389">
          <cell r="A389" t="str">
            <v>41</v>
          </cell>
          <cell r="F389" t="str">
            <v>4.87</v>
          </cell>
          <cell r="K389">
            <v>7</v>
          </cell>
        </row>
        <row r="390">
          <cell r="A390" t="str">
            <v>42</v>
          </cell>
          <cell r="F390" t="str">
            <v>5.02</v>
          </cell>
          <cell r="K390">
            <v>6.94</v>
          </cell>
        </row>
        <row r="391">
          <cell r="A391" t="str">
            <v>45</v>
          </cell>
          <cell r="F391" t="str">
            <v>5.51</v>
          </cell>
          <cell r="K391">
            <v>6.74</v>
          </cell>
        </row>
      </sheetData>
      <sheetData sheetId="2" refreshError="1"/>
      <sheetData sheetId="3" refreshError="1"/>
      <sheetData sheetId="4">
        <row r="131">
          <cell r="AM131" t="str">
            <v>Misc AGG</v>
          </cell>
          <cell r="AT131" t="str">
            <v>SM CODE</v>
          </cell>
        </row>
        <row r="132">
          <cell r="AK132" t="str">
            <v>CA, Class A, CS, QA</v>
          </cell>
          <cell r="AT132" t="str">
            <v>904M00770</v>
          </cell>
        </row>
        <row r="133">
          <cell r="AK133" t="str">
            <v>CA, Class A, Gvl QA</v>
          </cell>
          <cell r="AT133" t="str">
            <v>904M00880</v>
          </cell>
        </row>
        <row r="134">
          <cell r="AK134" t="str">
            <v>CA, CS Recycle PCC, #5</v>
          </cell>
          <cell r="AT134" t="str">
            <v>904M05315</v>
          </cell>
        </row>
        <row r="135">
          <cell r="AK135" t="str">
            <v>CA, Miscellaneous</v>
          </cell>
          <cell r="AT135" t="str">
            <v>904M05330</v>
          </cell>
        </row>
        <row r="136">
          <cell r="AK136" t="str">
            <v>CA, Lightweight</v>
          </cell>
          <cell r="AT136" t="str">
            <v>904M05630</v>
          </cell>
        </row>
        <row r="137">
          <cell r="AK137" t="str">
            <v>FA, NS, QA</v>
          </cell>
          <cell r="AT137" t="str">
            <v>904M06040</v>
          </cell>
        </row>
        <row r="138">
          <cell r="AK138" t="str">
            <v>FA, CS, 23</v>
          </cell>
          <cell r="AT138" t="str">
            <v>904M06220</v>
          </cell>
        </row>
        <row r="139">
          <cell r="AK139" t="str">
            <v>FA, CS, QA</v>
          </cell>
          <cell r="AT139" t="str">
            <v>904M06240</v>
          </cell>
        </row>
        <row r="140">
          <cell r="AK140" t="str">
            <v>FA, Miscellaneous</v>
          </cell>
          <cell r="AT140" t="str">
            <v>904M06806</v>
          </cell>
        </row>
        <row r="141">
          <cell r="AK141" t="str">
            <v>FA, Lightweight</v>
          </cell>
          <cell r="AT141" t="str">
            <v>904M06815</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IAL BATCH WORKSHEET"/>
      <sheetName val="CMDS"/>
      <sheetName val="FBMD"/>
      <sheetName val="Gradation"/>
      <sheetName val="Contract Log"/>
      <sheetName val="Water-Cem Ratio &amp; Slump Limits"/>
      <sheetName val="Sheet2"/>
      <sheetName val="AGG SOURCES"/>
      <sheetName val="CEMENT &amp; POZZOLAN SOURCES"/>
      <sheetName val="ADMIXTURES"/>
      <sheetName val="Contract Approval Log"/>
      <sheetName val="Items Lis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CN251"/>
  <sheetViews>
    <sheetView workbookViewId="0">
      <selection activeCell="H98" sqref="H98:J98"/>
    </sheetView>
  </sheetViews>
  <sheetFormatPr defaultRowHeight="12.75" x14ac:dyDescent="0.2"/>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7.28515625" customWidth="1"/>
    <col min="30" max="31" width="3.140625" style="167" customWidth="1"/>
    <col min="32" max="32" width="3.140625" style="167" hidden="1" customWidth="1"/>
    <col min="33" max="33" width="0" style="167" hidden="1" customWidth="1"/>
    <col min="34" max="92" width="9.140625" style="167"/>
  </cols>
  <sheetData>
    <row r="1" spans="1:92" ht="20.25" x14ac:dyDescent="0.3">
      <c r="A1" s="485" t="s">
        <v>0</v>
      </c>
      <c r="B1" s="485"/>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row>
    <row r="2" spans="1:92" x14ac:dyDescent="0.2">
      <c r="A2" t="s">
        <v>1</v>
      </c>
      <c r="C2" s="482"/>
      <c r="D2" s="483"/>
      <c r="E2" s="483"/>
      <c r="G2" t="s">
        <v>2</v>
      </c>
      <c r="J2" s="487">
        <f>CMDS!G5</f>
        <v>0</v>
      </c>
      <c r="K2" s="319"/>
      <c r="L2" s="319"/>
      <c r="M2" t="s">
        <v>3</v>
      </c>
      <c r="P2" s="487">
        <f>CMDS!G4</f>
        <v>0</v>
      </c>
      <c r="Q2" s="319"/>
      <c r="R2" s="319"/>
      <c r="S2" s="319"/>
      <c r="T2" s="319"/>
      <c r="U2" s="319"/>
      <c r="V2" s="319"/>
      <c r="W2" s="319"/>
      <c r="X2" s="319"/>
      <c r="Y2" s="319"/>
      <c r="Z2" s="319"/>
      <c r="AA2" s="319"/>
      <c r="AB2" s="319"/>
    </row>
    <row r="3" spans="1:92" x14ac:dyDescent="0.2">
      <c r="A3" t="s">
        <v>4</v>
      </c>
      <c r="J3" s="403"/>
      <c r="K3" s="403"/>
      <c r="L3" s="403"/>
      <c r="M3" s="403"/>
      <c r="N3" s="403"/>
      <c r="O3" s="403"/>
      <c r="P3" s="403"/>
      <c r="Q3" s="403"/>
      <c r="R3" s="403"/>
      <c r="S3" s="403"/>
      <c r="T3" s="403"/>
      <c r="U3" s="403"/>
      <c r="V3" s="403"/>
      <c r="W3" s="403"/>
      <c r="X3" s="403"/>
      <c r="Y3" s="403"/>
      <c r="Z3" s="403"/>
      <c r="AA3" s="403"/>
      <c r="AB3" s="403"/>
    </row>
    <row r="4" spans="1:92" x14ac:dyDescent="0.2">
      <c r="A4" t="s">
        <v>5</v>
      </c>
      <c r="F4" s="484" t="str">
        <f>CMDS!V5</f>
        <v>Mix ID Required</v>
      </c>
      <c r="G4" s="484"/>
      <c r="H4" s="484"/>
      <c r="I4" s="484"/>
      <c r="J4" s="484"/>
      <c r="K4" s="484"/>
      <c r="L4" s="484"/>
      <c r="M4" s="484"/>
    </row>
    <row r="5" spans="1:92" x14ac:dyDescent="0.2">
      <c r="A5" s="149" t="s">
        <v>6</v>
      </c>
      <c r="W5" s="403"/>
      <c r="X5" s="403"/>
      <c r="Y5" s="403"/>
      <c r="Z5" s="403"/>
      <c r="AA5" s="403"/>
      <c r="AB5" s="403"/>
    </row>
    <row r="6" spans="1:92" x14ac:dyDescent="0.2">
      <c r="A6" s="403"/>
      <c r="B6" s="403"/>
      <c r="C6" s="403"/>
      <c r="D6" s="403"/>
      <c r="E6" s="403"/>
      <c r="F6" s="403"/>
      <c r="G6" s="403"/>
      <c r="H6" s="403"/>
      <c r="I6" s="403"/>
      <c r="J6" s="403"/>
      <c r="K6" s="403"/>
      <c r="L6" s="403"/>
      <c r="M6" s="403"/>
      <c r="N6" s="403"/>
      <c r="O6" s="403"/>
      <c r="P6" s="403"/>
      <c r="Q6" s="403"/>
      <c r="R6" s="403"/>
      <c r="S6" s="403"/>
      <c r="T6" s="403"/>
      <c r="U6" s="403"/>
      <c r="V6" s="403"/>
      <c r="W6" s="403"/>
      <c r="X6" s="403"/>
      <c r="Y6" s="403"/>
      <c r="Z6" s="403"/>
      <c r="AA6" s="403"/>
      <c r="AB6" s="403"/>
    </row>
    <row r="7" spans="1:92" x14ac:dyDescent="0.2">
      <c r="A7" t="s">
        <v>7</v>
      </c>
      <c r="P7" s="486"/>
      <c r="Q7" s="486"/>
      <c r="R7" s="486"/>
      <c r="S7" s="486"/>
      <c r="T7" s="486"/>
      <c r="U7" s="486"/>
      <c r="V7" s="486"/>
      <c r="W7" s="486"/>
      <c r="X7" s="486"/>
      <c r="Y7" s="486"/>
      <c r="Z7" s="486"/>
      <c r="AA7" s="486"/>
      <c r="AB7" s="486"/>
    </row>
    <row r="8" spans="1:92" x14ac:dyDescent="0.2">
      <c r="A8" s="403"/>
      <c r="B8" s="403"/>
      <c r="C8" s="403"/>
      <c r="D8" s="403"/>
      <c r="E8" s="403"/>
      <c r="F8" s="403"/>
      <c r="G8" s="403"/>
      <c r="H8" s="403"/>
      <c r="I8" s="403"/>
      <c r="J8" s="403"/>
      <c r="K8" s="403"/>
      <c r="L8" s="403"/>
      <c r="M8" s="403"/>
      <c r="N8" s="403"/>
      <c r="O8" s="403"/>
      <c r="P8" s="403"/>
      <c r="Q8" s="403"/>
      <c r="R8" s="403"/>
      <c r="S8" s="403"/>
      <c r="T8" s="403"/>
      <c r="U8" s="403"/>
      <c r="V8" s="403"/>
      <c r="W8" s="403"/>
      <c r="X8" s="403"/>
      <c r="Y8" s="403"/>
      <c r="Z8" s="403"/>
      <c r="AA8" s="403"/>
      <c r="AB8" s="403"/>
    </row>
    <row r="10" spans="1:92" ht="15.75" x14ac:dyDescent="0.25">
      <c r="A10" s="535" t="s">
        <v>8</v>
      </c>
      <c r="B10" s="536"/>
      <c r="C10" s="536"/>
      <c r="D10" s="536"/>
      <c r="E10" s="536"/>
      <c r="F10" s="536"/>
      <c r="G10" s="536"/>
      <c r="H10" s="536"/>
      <c r="I10" s="536"/>
      <c r="J10" s="536"/>
      <c r="K10" s="536"/>
      <c r="L10" s="536"/>
      <c r="M10" s="536"/>
      <c r="N10" s="536"/>
      <c r="O10" s="536"/>
      <c r="P10" s="536"/>
      <c r="Q10" s="536"/>
      <c r="R10" s="536"/>
      <c r="S10" s="536"/>
      <c r="T10" s="536"/>
      <c r="U10" s="536"/>
      <c r="V10" s="537"/>
      <c r="W10" s="537"/>
      <c r="X10" s="537"/>
      <c r="Y10" s="537"/>
      <c r="Z10" s="537"/>
      <c r="AA10" s="537"/>
      <c r="AB10" s="537"/>
    </row>
    <row r="11" spans="1:92" s="6" customFormat="1" ht="15.75" customHeight="1" x14ac:dyDescent="0.2">
      <c r="A11" s="474"/>
      <c r="B11" s="475"/>
      <c r="C11" s="475"/>
      <c r="D11" s="475"/>
      <c r="E11" s="475"/>
      <c r="F11" s="475"/>
      <c r="G11" s="476"/>
      <c r="H11" s="184"/>
      <c r="I11" s="185"/>
      <c r="J11" s="186"/>
      <c r="K11" s="477" t="s">
        <v>9</v>
      </c>
      <c r="L11" s="475"/>
      <c r="M11" s="475"/>
      <c r="N11" s="476"/>
      <c r="O11" s="477"/>
      <c r="P11" s="475"/>
      <c r="Q11" s="476"/>
      <c r="R11" s="477" t="s">
        <v>9</v>
      </c>
      <c r="S11" s="475"/>
      <c r="T11" s="475"/>
      <c r="U11" s="476"/>
      <c r="V11" s="475" t="s">
        <v>10</v>
      </c>
      <c r="W11" s="475"/>
      <c r="X11" s="476"/>
      <c r="Y11" s="477" t="s">
        <v>9</v>
      </c>
      <c r="Z11" s="475"/>
      <c r="AA11" s="475"/>
      <c r="AB11" s="540"/>
      <c r="AC11" s="4"/>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c r="CI11" s="187"/>
      <c r="CJ11" s="187"/>
      <c r="CK11" s="187"/>
      <c r="CL11" s="187"/>
      <c r="CM11" s="187"/>
      <c r="CN11" s="187"/>
    </row>
    <row r="12" spans="1:92" s="6" customFormat="1" x14ac:dyDescent="0.2">
      <c r="A12" s="315" t="s">
        <v>11</v>
      </c>
      <c r="B12" s="316"/>
      <c r="C12" s="316"/>
      <c r="D12" s="316"/>
      <c r="E12" s="316"/>
      <c r="F12" s="316"/>
      <c r="G12" s="317"/>
      <c r="H12" s="372" t="s">
        <v>12</v>
      </c>
      <c r="I12" s="316"/>
      <c r="J12" s="317"/>
      <c r="K12" s="320" t="s">
        <v>13</v>
      </c>
      <c r="L12" s="321"/>
      <c r="M12" s="321"/>
      <c r="N12" s="322"/>
      <c r="O12" s="372" t="s">
        <v>10</v>
      </c>
      <c r="P12" s="316"/>
      <c r="Q12" s="317"/>
      <c r="R12" s="320" t="s">
        <v>14</v>
      </c>
      <c r="S12" s="321"/>
      <c r="T12" s="321"/>
      <c r="U12" s="322"/>
      <c r="V12" s="316" t="s">
        <v>15</v>
      </c>
      <c r="W12" s="316"/>
      <c r="X12" s="317"/>
      <c r="Y12" s="320" t="s">
        <v>14</v>
      </c>
      <c r="Z12" s="321"/>
      <c r="AA12" s="321"/>
      <c r="AB12" s="323"/>
      <c r="AC12" s="4"/>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7"/>
      <c r="CG12" s="187"/>
      <c r="CH12" s="187"/>
      <c r="CI12" s="187"/>
      <c r="CJ12" s="187"/>
      <c r="CK12" s="187"/>
      <c r="CL12" s="187"/>
      <c r="CM12" s="187"/>
      <c r="CN12" s="187"/>
    </row>
    <row r="13" spans="1:92" x14ac:dyDescent="0.2">
      <c r="A13" s="390"/>
      <c r="B13" s="319"/>
      <c r="C13" s="319"/>
      <c r="D13" s="319"/>
      <c r="E13" s="319"/>
      <c r="F13" s="319"/>
      <c r="G13" s="391"/>
      <c r="H13" s="318" t="s">
        <v>16</v>
      </c>
      <c r="I13" s="319"/>
      <c r="J13" s="391"/>
      <c r="K13" s="318" t="s">
        <v>17</v>
      </c>
      <c r="L13" s="319"/>
      <c r="M13" s="319"/>
      <c r="N13" s="391"/>
      <c r="O13" s="318" t="s">
        <v>16</v>
      </c>
      <c r="P13" s="319"/>
      <c r="Q13" s="391"/>
      <c r="R13" s="318" t="s">
        <v>17</v>
      </c>
      <c r="S13" s="319"/>
      <c r="T13" s="319"/>
      <c r="U13" s="391"/>
      <c r="V13" s="319" t="s">
        <v>16</v>
      </c>
      <c r="W13" s="319"/>
      <c r="X13" s="391"/>
      <c r="Y13" s="318" t="s">
        <v>15</v>
      </c>
      <c r="Z13" s="319"/>
      <c r="AA13" s="319"/>
      <c r="AB13" s="346"/>
    </row>
    <row r="14" spans="1:92" ht="12.6" customHeight="1" x14ac:dyDescent="0.2">
      <c r="A14" s="439" t="s">
        <v>18</v>
      </c>
      <c r="B14" s="299"/>
      <c r="C14" s="299"/>
      <c r="D14" s="299"/>
      <c r="E14" s="299"/>
      <c r="F14" s="299"/>
      <c r="G14" s="288"/>
      <c r="H14" s="363">
        <f>CMDS!H35</f>
        <v>0</v>
      </c>
      <c r="I14" s="364"/>
      <c r="J14" s="365"/>
      <c r="K14" s="398"/>
      <c r="L14" s="299"/>
      <c r="M14" s="299"/>
      <c r="N14" s="288"/>
      <c r="O14" s="363">
        <f>H14</f>
        <v>0</v>
      </c>
      <c r="P14" s="299"/>
      <c r="Q14" s="288"/>
      <c r="R14" s="398" t="s">
        <v>19</v>
      </c>
      <c r="S14" s="299"/>
      <c r="T14" s="299"/>
      <c r="U14" s="288"/>
      <c r="V14" s="363">
        <f>O14</f>
        <v>0</v>
      </c>
      <c r="W14" s="299"/>
      <c r="X14" s="288"/>
      <c r="Y14" s="398" t="s">
        <v>19</v>
      </c>
      <c r="Z14" s="299"/>
      <c r="AA14" s="299"/>
      <c r="AB14" s="399"/>
    </row>
    <row r="15" spans="1:92" ht="12.6" customHeight="1" x14ac:dyDescent="0.2">
      <c r="A15" s="439" t="s">
        <v>20</v>
      </c>
      <c r="B15" s="299"/>
      <c r="C15" s="299"/>
      <c r="D15" s="299"/>
      <c r="E15" s="299"/>
      <c r="F15" s="299"/>
      <c r="G15" s="288"/>
      <c r="H15" s="432">
        <f>CMDS!K35</f>
        <v>0</v>
      </c>
      <c r="I15" s="299"/>
      <c r="J15" s="288"/>
      <c r="K15" s="398"/>
      <c r="L15" s="299"/>
      <c r="M15" s="299"/>
      <c r="N15" s="288"/>
      <c r="O15" s="432">
        <f>H15</f>
        <v>0</v>
      </c>
      <c r="P15" s="299"/>
      <c r="Q15" s="288"/>
      <c r="R15" s="398" t="s">
        <v>19</v>
      </c>
      <c r="S15" s="299"/>
      <c r="T15" s="299"/>
      <c r="U15" s="288"/>
      <c r="V15" s="432">
        <f>O15</f>
        <v>0</v>
      </c>
      <c r="W15" s="299"/>
      <c r="X15" s="288"/>
      <c r="Y15" s="398" t="s">
        <v>19</v>
      </c>
      <c r="Z15" s="299"/>
      <c r="AA15" s="299"/>
      <c r="AB15" s="399"/>
    </row>
    <row r="16" spans="1:92" ht="12.6" customHeight="1" x14ac:dyDescent="0.2">
      <c r="A16" s="439" t="s">
        <v>21</v>
      </c>
      <c r="B16" s="299"/>
      <c r="C16" s="299"/>
      <c r="D16" s="299"/>
      <c r="E16" s="299"/>
      <c r="F16" s="299"/>
      <c r="G16" s="288"/>
      <c r="H16" s="432">
        <f>IFERROR(M33,"")</f>
        <v>0</v>
      </c>
      <c r="I16" s="433"/>
      <c r="J16" s="434"/>
      <c r="K16" s="392"/>
      <c r="L16" s="393"/>
      <c r="M16" s="393"/>
      <c r="N16" s="394"/>
      <c r="O16" s="432">
        <f>IFERROR(S33,"")</f>
        <v>0</v>
      </c>
      <c r="P16" s="433"/>
      <c r="Q16" s="434"/>
      <c r="R16" s="392"/>
      <c r="S16" s="393"/>
      <c r="T16" s="393"/>
      <c r="U16" s="394"/>
      <c r="V16" s="433">
        <f>IFERROR(Y33,"")</f>
        <v>0</v>
      </c>
      <c r="W16" s="433"/>
      <c r="X16" s="434"/>
      <c r="Y16" s="392"/>
      <c r="Z16" s="393"/>
      <c r="AA16" s="393"/>
      <c r="AB16" s="471"/>
    </row>
    <row r="17" spans="1:30" ht="12.6" customHeight="1" x14ac:dyDescent="0.2">
      <c r="A17" s="439" t="s">
        <v>22</v>
      </c>
      <c r="B17" s="299"/>
      <c r="C17" s="299"/>
      <c r="D17" s="299"/>
      <c r="E17" s="299"/>
      <c r="F17" s="299"/>
      <c r="G17" s="288"/>
      <c r="H17" s="363">
        <f>CMDS!H36</f>
        <v>0</v>
      </c>
      <c r="I17" s="364"/>
      <c r="J17" s="365"/>
      <c r="K17" s="398"/>
      <c r="L17" s="299"/>
      <c r="M17" s="299"/>
      <c r="N17" s="288"/>
      <c r="O17" s="363">
        <f>H17</f>
        <v>0</v>
      </c>
      <c r="P17" s="299"/>
      <c r="Q17" s="288"/>
      <c r="R17" s="398" t="s">
        <v>19</v>
      </c>
      <c r="S17" s="299"/>
      <c r="T17" s="299"/>
      <c r="U17" s="288"/>
      <c r="V17" s="363">
        <f>O17</f>
        <v>0</v>
      </c>
      <c r="W17" s="299"/>
      <c r="X17" s="288"/>
      <c r="Y17" s="398" t="s">
        <v>19</v>
      </c>
      <c r="Z17" s="299"/>
      <c r="AA17" s="299"/>
      <c r="AB17" s="399"/>
    </row>
    <row r="18" spans="1:30" ht="12.6" customHeight="1" x14ac:dyDescent="0.2">
      <c r="A18" s="439" t="s">
        <v>23</v>
      </c>
      <c r="B18" s="299"/>
      <c r="C18" s="299"/>
      <c r="D18" s="299"/>
      <c r="E18" s="299"/>
      <c r="F18" s="299"/>
      <c r="G18" s="288"/>
      <c r="H18" s="432">
        <f>CMDS!K36</f>
        <v>0</v>
      </c>
      <c r="I18" s="433"/>
      <c r="J18" s="434"/>
      <c r="K18" s="398"/>
      <c r="L18" s="299"/>
      <c r="M18" s="299"/>
      <c r="N18" s="288"/>
      <c r="O18" s="432">
        <f>H18</f>
        <v>0</v>
      </c>
      <c r="P18" s="299"/>
      <c r="Q18" s="288"/>
      <c r="R18" s="398" t="s">
        <v>19</v>
      </c>
      <c r="S18" s="299"/>
      <c r="T18" s="299"/>
      <c r="U18" s="288"/>
      <c r="V18" s="432">
        <f>O18</f>
        <v>0</v>
      </c>
      <c r="W18" s="299"/>
      <c r="X18" s="288"/>
      <c r="Y18" s="398" t="s">
        <v>19</v>
      </c>
      <c r="Z18" s="299"/>
      <c r="AA18" s="299"/>
      <c r="AB18" s="399"/>
    </row>
    <row r="19" spans="1:30" ht="12.6" customHeight="1" x14ac:dyDescent="0.2">
      <c r="A19" s="439" t="s">
        <v>24</v>
      </c>
      <c r="B19" s="299"/>
      <c r="C19" s="299"/>
      <c r="D19" s="299"/>
      <c r="E19" s="299"/>
      <c r="F19" s="299"/>
      <c r="G19" s="288"/>
      <c r="H19" s="432">
        <f>IFERROR(O33,"")</f>
        <v>0</v>
      </c>
      <c r="I19" s="433"/>
      <c r="J19" s="434"/>
      <c r="K19" s="392"/>
      <c r="L19" s="393"/>
      <c r="M19" s="393"/>
      <c r="N19" s="394"/>
      <c r="O19" s="432">
        <f>IFERROR(U33,"")</f>
        <v>0</v>
      </c>
      <c r="P19" s="433"/>
      <c r="Q19" s="434"/>
      <c r="R19" s="392"/>
      <c r="S19" s="393"/>
      <c r="T19" s="393"/>
      <c r="U19" s="394"/>
      <c r="V19" s="433">
        <f>IFERROR(AA33,"")</f>
        <v>0</v>
      </c>
      <c r="W19" s="433"/>
      <c r="X19" s="434"/>
      <c r="Y19" s="392"/>
      <c r="Z19" s="393"/>
      <c r="AA19" s="393"/>
      <c r="AB19" s="471"/>
    </row>
    <row r="20" spans="1:30" ht="12.6" customHeight="1" x14ac:dyDescent="0.2">
      <c r="A20" s="362" t="s">
        <v>25</v>
      </c>
      <c r="B20" s="299"/>
      <c r="C20" s="299"/>
      <c r="D20" s="299"/>
      <c r="E20" s="299"/>
      <c r="F20" s="299"/>
      <c r="G20" s="288"/>
      <c r="H20" s="363">
        <f>CMDS!H38</f>
        <v>0</v>
      </c>
      <c r="I20" s="364"/>
      <c r="J20" s="365"/>
      <c r="K20" s="398"/>
      <c r="L20" s="299"/>
      <c r="M20" s="299"/>
      <c r="N20" s="288"/>
      <c r="O20" s="363">
        <f>H20</f>
        <v>0</v>
      </c>
      <c r="P20" s="299"/>
      <c r="Q20" s="288"/>
      <c r="R20" s="398" t="s">
        <v>19</v>
      </c>
      <c r="S20" s="299"/>
      <c r="T20" s="299"/>
      <c r="U20" s="288"/>
      <c r="V20" s="363">
        <f>O20</f>
        <v>0</v>
      </c>
      <c r="W20" s="299"/>
      <c r="X20" s="288"/>
      <c r="Y20" s="398" t="s">
        <v>19</v>
      </c>
      <c r="Z20" s="299"/>
      <c r="AA20" s="299"/>
      <c r="AB20" s="399"/>
    </row>
    <row r="21" spans="1:30" ht="12.6" customHeight="1" x14ac:dyDescent="0.2">
      <c r="A21" s="362" t="s">
        <v>26</v>
      </c>
      <c r="B21" s="299"/>
      <c r="C21" s="299"/>
      <c r="D21" s="299"/>
      <c r="E21" s="299"/>
      <c r="F21" s="299"/>
      <c r="G21" s="288"/>
      <c r="H21" s="432">
        <f>CMDS!K38</f>
        <v>0</v>
      </c>
      <c r="I21" s="433"/>
      <c r="J21" s="434"/>
      <c r="K21" s="398"/>
      <c r="L21" s="299"/>
      <c r="M21" s="299"/>
      <c r="N21" s="288"/>
      <c r="O21" s="432">
        <f>H21</f>
        <v>0</v>
      </c>
      <c r="P21" s="299"/>
      <c r="Q21" s="288"/>
      <c r="R21" s="398" t="s">
        <v>19</v>
      </c>
      <c r="S21" s="299"/>
      <c r="T21" s="299"/>
      <c r="U21" s="288"/>
      <c r="V21" s="432">
        <f>O21</f>
        <v>0</v>
      </c>
      <c r="W21" s="299"/>
      <c r="X21" s="288"/>
      <c r="Y21" s="398" t="s">
        <v>19</v>
      </c>
      <c r="Z21" s="299"/>
      <c r="AA21" s="299"/>
      <c r="AB21" s="399"/>
    </row>
    <row r="22" spans="1:30" ht="12.6" customHeight="1" x14ac:dyDescent="0.2">
      <c r="A22" s="362" t="s">
        <v>27</v>
      </c>
      <c r="B22" s="299"/>
      <c r="C22" s="299"/>
      <c r="D22" s="299"/>
      <c r="E22" s="299"/>
      <c r="F22" s="299"/>
      <c r="G22" s="288"/>
      <c r="H22" s="432">
        <f>IFERROR(Q33,"")</f>
        <v>0</v>
      </c>
      <c r="I22" s="433"/>
      <c r="J22" s="434"/>
      <c r="K22" s="392"/>
      <c r="L22" s="393"/>
      <c r="M22" s="393"/>
      <c r="N22" s="394"/>
      <c r="O22" s="432">
        <f>IFERROR(W33,"")</f>
        <v>0</v>
      </c>
      <c r="P22" s="433"/>
      <c r="Q22" s="434"/>
      <c r="R22" s="392"/>
      <c r="S22" s="393"/>
      <c r="T22" s="393"/>
      <c r="U22" s="394"/>
      <c r="V22" s="433">
        <f>IFERROR(AC33,"")</f>
        <v>0</v>
      </c>
      <c r="W22" s="433"/>
      <c r="X22" s="434"/>
      <c r="Y22" s="392"/>
      <c r="Z22" s="393"/>
      <c r="AA22" s="393"/>
      <c r="AB22" s="471"/>
    </row>
    <row r="23" spans="1:30" ht="12.6" customHeight="1" thickBot="1" x14ac:dyDescent="0.25">
      <c r="A23" s="373" t="s">
        <v>28</v>
      </c>
      <c r="B23" s="374"/>
      <c r="C23" s="374"/>
      <c r="D23" s="374"/>
      <c r="E23" s="374"/>
      <c r="F23" s="374"/>
      <c r="G23" s="375"/>
      <c r="H23" s="425"/>
      <c r="I23" s="410"/>
      <c r="J23" s="411"/>
      <c r="K23" s="353"/>
      <c r="L23" s="354"/>
      <c r="M23" s="354"/>
      <c r="N23" s="355"/>
      <c r="O23" s="425"/>
      <c r="P23" s="410"/>
      <c r="Q23" s="411"/>
      <c r="R23" s="353"/>
      <c r="S23" s="354"/>
      <c r="T23" s="354"/>
      <c r="U23" s="355"/>
      <c r="V23" s="410"/>
      <c r="W23" s="410"/>
      <c r="X23" s="411"/>
      <c r="Y23" s="353"/>
      <c r="Z23" s="354"/>
      <c r="AA23" s="354"/>
      <c r="AB23" s="357"/>
    </row>
    <row r="24" spans="1:30" ht="12.6" customHeight="1" thickBot="1" x14ac:dyDescent="0.25">
      <c r="A24" s="1"/>
      <c r="B24" s="1"/>
      <c r="C24" s="1"/>
      <c r="D24" s="1"/>
      <c r="E24" s="1"/>
      <c r="F24" s="1"/>
      <c r="G24" s="1"/>
      <c r="H24" s="151"/>
      <c r="I24" s="151"/>
      <c r="J24" s="151"/>
      <c r="K24" s="21"/>
      <c r="L24" s="21"/>
      <c r="M24" s="21"/>
      <c r="N24" s="21"/>
      <c r="O24" s="151"/>
      <c r="P24" s="151"/>
      <c r="Q24" s="151"/>
      <c r="R24" s="21"/>
      <c r="S24" s="21"/>
      <c r="T24" s="21"/>
      <c r="U24" s="21"/>
      <c r="V24" s="151"/>
      <c r="W24" s="151"/>
      <c r="X24" s="151"/>
      <c r="Y24" s="21"/>
      <c r="Z24" s="21"/>
      <c r="AA24" s="21"/>
      <c r="AB24" s="21"/>
    </row>
    <row r="25" spans="1:30" ht="12.6" customHeight="1" x14ac:dyDescent="0.2">
      <c r="A25" s="465" t="s">
        <v>29</v>
      </c>
      <c r="B25" s="466"/>
      <c r="C25" s="466"/>
      <c r="D25" s="466"/>
      <c r="E25" s="466"/>
      <c r="F25" s="466"/>
      <c r="G25" s="466"/>
      <c r="H25" s="466"/>
      <c r="I25" s="466"/>
      <c r="J25" s="466"/>
      <c r="K25" s="466"/>
      <c r="L25" s="466"/>
      <c r="M25" s="466"/>
      <c r="N25" s="466"/>
      <c r="O25" s="466"/>
      <c r="P25" s="466"/>
      <c r="Q25" s="466"/>
      <c r="R25" s="466"/>
      <c r="S25" s="466"/>
      <c r="T25" s="466"/>
      <c r="U25" s="466"/>
      <c r="V25" s="466"/>
      <c r="W25" s="466"/>
      <c r="X25" s="466"/>
      <c r="Y25" s="466"/>
      <c r="Z25" s="466"/>
      <c r="AA25" s="466"/>
      <c r="AB25" s="466"/>
      <c r="AC25" s="467"/>
    </row>
    <row r="26" spans="1:30" ht="12.6" customHeight="1" x14ac:dyDescent="0.2">
      <c r="A26" s="460"/>
      <c r="B26" s="292" t="s">
        <v>30</v>
      </c>
      <c r="C26" s="293"/>
      <c r="D26" s="293"/>
      <c r="E26" s="293"/>
      <c r="F26" s="293"/>
      <c r="G26" s="293"/>
      <c r="H26" s="293"/>
      <c r="I26" s="293"/>
      <c r="J26" s="292" t="s">
        <v>31</v>
      </c>
      <c r="K26" s="292"/>
      <c r="L26" s="292"/>
      <c r="M26" s="295" t="s">
        <v>12</v>
      </c>
      <c r="N26" s="473"/>
      <c r="O26" s="473"/>
      <c r="P26" s="473"/>
      <c r="Q26" s="296"/>
      <c r="R26" s="296"/>
      <c r="S26" s="295" t="s">
        <v>32</v>
      </c>
      <c r="T26" s="473"/>
      <c r="U26" s="473"/>
      <c r="V26" s="473"/>
      <c r="W26" s="296"/>
      <c r="X26" s="296"/>
      <c r="Y26" s="295" t="s">
        <v>33</v>
      </c>
      <c r="Z26" s="296"/>
      <c r="AA26" s="296"/>
      <c r="AB26" s="296"/>
      <c r="AC26" s="297"/>
    </row>
    <row r="27" spans="1:30" ht="12.6" customHeight="1" x14ac:dyDescent="0.2">
      <c r="A27" s="461"/>
      <c r="B27" s="294"/>
      <c r="C27" s="294"/>
      <c r="D27" s="294"/>
      <c r="E27" s="294"/>
      <c r="F27" s="294"/>
      <c r="G27" s="294"/>
      <c r="H27" s="294"/>
      <c r="I27" s="294"/>
      <c r="J27" s="481"/>
      <c r="K27" s="481"/>
      <c r="L27" s="481"/>
      <c r="M27" s="287" t="s">
        <v>34</v>
      </c>
      <c r="N27" s="288"/>
      <c r="O27" s="287" t="s">
        <v>35</v>
      </c>
      <c r="P27" s="288"/>
      <c r="Q27" s="287" t="s">
        <v>36</v>
      </c>
      <c r="R27" s="289"/>
      <c r="S27" s="287" t="s">
        <v>34</v>
      </c>
      <c r="T27" s="288"/>
      <c r="U27" s="287" t="s">
        <v>35</v>
      </c>
      <c r="V27" s="288"/>
      <c r="W27" s="287" t="s">
        <v>36</v>
      </c>
      <c r="X27" s="289"/>
      <c r="Y27" s="287" t="s">
        <v>34</v>
      </c>
      <c r="Z27" s="288"/>
      <c r="AA27" s="287" t="s">
        <v>35</v>
      </c>
      <c r="AB27" s="288"/>
      <c r="AC27" s="159" t="s">
        <v>36</v>
      </c>
    </row>
    <row r="28" spans="1:30" ht="12.6" customHeight="1" x14ac:dyDescent="0.2">
      <c r="A28" s="160" t="s">
        <v>37</v>
      </c>
      <c r="B28" s="455" t="s">
        <v>38</v>
      </c>
      <c r="C28" s="456"/>
      <c r="D28" s="456"/>
      <c r="E28" s="456"/>
      <c r="F28" s="456"/>
      <c r="G28" s="456"/>
      <c r="H28" s="456"/>
      <c r="I28" s="456"/>
      <c r="J28" s="478" t="s">
        <v>39</v>
      </c>
      <c r="K28" s="479"/>
      <c r="L28" s="480"/>
      <c r="M28" s="290"/>
      <c r="N28" s="291"/>
      <c r="O28" s="290"/>
      <c r="P28" s="291"/>
      <c r="Q28" s="290"/>
      <c r="R28" s="291"/>
      <c r="S28" s="290"/>
      <c r="T28" s="291"/>
      <c r="U28" s="290"/>
      <c r="V28" s="291"/>
      <c r="W28" s="290"/>
      <c r="X28" s="291"/>
      <c r="Y28" s="290"/>
      <c r="Z28" s="291"/>
      <c r="AA28" s="290"/>
      <c r="AB28" s="291"/>
      <c r="AC28" s="161"/>
      <c r="AD28" s="168"/>
    </row>
    <row r="29" spans="1:30" ht="12.6" customHeight="1" x14ac:dyDescent="0.2">
      <c r="A29" s="160" t="s">
        <v>40</v>
      </c>
      <c r="B29" s="455" t="s">
        <v>41</v>
      </c>
      <c r="C29" s="456"/>
      <c r="D29" s="456"/>
      <c r="E29" s="456"/>
      <c r="F29" s="456"/>
      <c r="G29" s="456"/>
      <c r="H29" s="456"/>
      <c r="I29" s="456"/>
      <c r="J29" s="478" t="s">
        <v>39</v>
      </c>
      <c r="K29" s="479"/>
      <c r="L29" s="480"/>
      <c r="M29" s="290"/>
      <c r="N29" s="291"/>
      <c r="O29" s="290"/>
      <c r="P29" s="291"/>
      <c r="Q29" s="290"/>
      <c r="R29" s="291"/>
      <c r="S29" s="290"/>
      <c r="T29" s="291"/>
      <c r="U29" s="290"/>
      <c r="V29" s="291"/>
      <c r="W29" s="290"/>
      <c r="X29" s="291"/>
      <c r="Y29" s="290"/>
      <c r="Z29" s="291"/>
      <c r="AA29" s="290"/>
      <c r="AB29" s="291"/>
      <c r="AC29" s="161"/>
      <c r="AD29" s="168"/>
    </row>
    <row r="30" spans="1:30" ht="12.6" customHeight="1" x14ac:dyDescent="0.2">
      <c r="A30" s="160" t="s">
        <v>42</v>
      </c>
      <c r="B30" s="455" t="s">
        <v>43</v>
      </c>
      <c r="C30" s="456"/>
      <c r="D30" s="456"/>
      <c r="E30" s="456"/>
      <c r="F30" s="456"/>
      <c r="G30" s="456"/>
      <c r="H30" s="456"/>
      <c r="I30" s="152"/>
      <c r="J30" s="478" t="s">
        <v>44</v>
      </c>
      <c r="K30" s="479"/>
      <c r="L30" s="480"/>
      <c r="M30" s="298" t="str">
        <f>IF(M28-M29=0,"",M28-M29)</f>
        <v/>
      </c>
      <c r="N30" s="299"/>
      <c r="O30" s="298" t="str">
        <f>IF(O28-O29=0,"",O28-O29)</f>
        <v/>
      </c>
      <c r="P30" s="299"/>
      <c r="Q30" s="298" t="str">
        <f>IF(Q28-Q29=0,"",Q28-Q29)</f>
        <v/>
      </c>
      <c r="R30" s="299"/>
      <c r="S30" s="298" t="str">
        <f>IF(S28-S29=0,"",S28-S29)</f>
        <v/>
      </c>
      <c r="T30" s="299"/>
      <c r="U30" s="298" t="str">
        <f>IF(U28-U29=0,"",U28-U29)</f>
        <v/>
      </c>
      <c r="V30" s="299"/>
      <c r="W30" s="298" t="str">
        <f>IF(W28-W29=0,"",W28-W29)</f>
        <v/>
      </c>
      <c r="X30" s="299"/>
      <c r="Y30" s="298" t="str">
        <f>IF(Y28-Y29=0,"",Y28-Y29)</f>
        <v/>
      </c>
      <c r="Z30" s="299"/>
      <c r="AA30" s="298" t="str">
        <f>IF(AA28-AA29=0,"",AA28-AA29)</f>
        <v/>
      </c>
      <c r="AB30" s="299"/>
      <c r="AC30" s="162" t="str">
        <f>IF(AC28-AC29=0,"",AC28-AC29)</f>
        <v/>
      </c>
    </row>
    <row r="31" spans="1:30" ht="12.6" customHeight="1" x14ac:dyDescent="0.2">
      <c r="A31" s="160" t="s">
        <v>45</v>
      </c>
      <c r="B31" s="455" t="s">
        <v>46</v>
      </c>
      <c r="C31" s="456"/>
      <c r="D31" s="456"/>
      <c r="E31" s="456"/>
      <c r="F31" s="456"/>
      <c r="G31" s="153"/>
      <c r="H31" s="153"/>
      <c r="I31" s="153"/>
      <c r="J31" s="478" t="s">
        <v>39</v>
      </c>
      <c r="K31" s="479"/>
      <c r="L31" s="480"/>
      <c r="M31" s="290"/>
      <c r="N31" s="291"/>
      <c r="O31" s="290"/>
      <c r="P31" s="291"/>
      <c r="Q31" s="290"/>
      <c r="R31" s="291"/>
      <c r="S31" s="290"/>
      <c r="T31" s="291"/>
      <c r="U31" s="290"/>
      <c r="V31" s="291"/>
      <c r="W31" s="290"/>
      <c r="X31" s="291"/>
      <c r="Y31" s="290"/>
      <c r="Z31" s="291"/>
      <c r="AA31" s="290"/>
      <c r="AB31" s="291"/>
      <c r="AC31" s="161"/>
      <c r="AD31" s="168"/>
    </row>
    <row r="32" spans="1:30" ht="12.6" customHeight="1" x14ac:dyDescent="0.2">
      <c r="A32" s="160" t="s">
        <v>47</v>
      </c>
      <c r="B32" s="455" t="s">
        <v>48</v>
      </c>
      <c r="C32" s="456"/>
      <c r="D32" s="456"/>
      <c r="E32" s="456"/>
      <c r="F32" s="456"/>
      <c r="G32" s="456"/>
      <c r="H32" s="456"/>
      <c r="I32" s="153"/>
      <c r="J32" s="478" t="s">
        <v>49</v>
      </c>
      <c r="K32" s="479"/>
      <c r="L32" s="480"/>
      <c r="M32" s="298" t="str">
        <f>IF(M29-M31=0,"",M29-M31)</f>
        <v/>
      </c>
      <c r="N32" s="299"/>
      <c r="O32" s="298" t="str">
        <f>IF(O29-O31=0,"",O29-O31)</f>
        <v/>
      </c>
      <c r="P32" s="299"/>
      <c r="Q32" s="298" t="str">
        <f>IF(Q29-Q31=0,"",Q29-Q31)</f>
        <v/>
      </c>
      <c r="R32" s="299"/>
      <c r="S32" s="298" t="str">
        <f>IF(S29-S31=0,"",S29-S31)</f>
        <v/>
      </c>
      <c r="T32" s="299"/>
      <c r="U32" s="298" t="str">
        <f>IF(U29-U31=0,"",U29-U31)</f>
        <v/>
      </c>
      <c r="V32" s="299"/>
      <c r="W32" s="298" t="str">
        <f>IF(W29-W31=0,"",W29-W31)</f>
        <v/>
      </c>
      <c r="X32" s="299"/>
      <c r="Y32" s="298" t="str">
        <f>IF(Y29-Y31=0,"",Y29-Y31)</f>
        <v/>
      </c>
      <c r="Z32" s="299"/>
      <c r="AA32" s="298" t="str">
        <f>IF(AA29-AA31=0,"",AA29-AA31)</f>
        <v/>
      </c>
      <c r="AB32" s="299"/>
      <c r="AC32" s="162" t="str">
        <f>IF(AC29-AC31=0,"",AC29-AC31)</f>
        <v/>
      </c>
    </row>
    <row r="33" spans="1:30" ht="12.6" customHeight="1" thickBot="1" x14ac:dyDescent="0.25">
      <c r="A33" s="163" t="s">
        <v>50</v>
      </c>
      <c r="B33" s="451" t="s">
        <v>51</v>
      </c>
      <c r="C33" s="452"/>
      <c r="D33" s="452"/>
      <c r="E33" s="452"/>
      <c r="F33" s="452"/>
      <c r="G33" s="452"/>
      <c r="H33" s="164"/>
      <c r="I33" s="164"/>
      <c r="J33" s="453" t="s">
        <v>52</v>
      </c>
      <c r="K33" s="454"/>
      <c r="L33" s="454"/>
      <c r="M33" s="304">
        <f>IFERROR((M30/M32)*100,0)</f>
        <v>0</v>
      </c>
      <c r="N33" s="305"/>
      <c r="O33" s="304">
        <f>IFERROR((O30/O32)*100,0)</f>
        <v>0</v>
      </c>
      <c r="P33" s="305"/>
      <c r="Q33" s="304">
        <f>IFERROR((Q30/Q32)*100,0)</f>
        <v>0</v>
      </c>
      <c r="R33" s="305"/>
      <c r="S33" s="304">
        <f>IFERROR((S30/S32)*100,0)</f>
        <v>0</v>
      </c>
      <c r="T33" s="305"/>
      <c r="U33" s="304">
        <f>IFERROR((U30/U32)*100,0)</f>
        <v>0</v>
      </c>
      <c r="V33" s="305"/>
      <c r="W33" s="304">
        <f>IFERROR((W30/W32)*100,0)</f>
        <v>0</v>
      </c>
      <c r="X33" s="374"/>
      <c r="Y33" s="304">
        <f>IFERROR((Y30/Y32)*100,0)</f>
        <v>0</v>
      </c>
      <c r="Z33" s="305"/>
      <c r="AA33" s="304">
        <f>IFERROR((AA30/AA32)*100,0)</f>
        <v>0</v>
      </c>
      <c r="AB33" s="305"/>
      <c r="AC33" s="165">
        <f>IFERROR((AC30/AC32)*100,0)</f>
        <v>0</v>
      </c>
      <c r="AD33" s="169"/>
    </row>
    <row r="34" spans="1:30" ht="12.6" customHeight="1" x14ac:dyDescent="0.2">
      <c r="A34" s="154"/>
      <c r="B34" s="155"/>
      <c r="C34" s="156"/>
      <c r="D34" s="156"/>
      <c r="E34" s="156"/>
      <c r="F34" s="156"/>
      <c r="G34" s="156"/>
      <c r="H34" s="155"/>
      <c r="I34" s="155"/>
      <c r="J34" s="157"/>
      <c r="K34" s="67"/>
      <c r="L34" s="67"/>
      <c r="M34" s="158"/>
      <c r="N34" s="1"/>
      <c r="O34" s="1"/>
      <c r="P34" s="158"/>
      <c r="Q34" s="158"/>
      <c r="R34" s="158"/>
      <c r="S34" s="158"/>
      <c r="T34" s="158"/>
      <c r="U34" s="158"/>
      <c r="V34" s="158"/>
      <c r="W34" s="1"/>
      <c r="X34" s="1"/>
      <c r="Y34" s="158"/>
      <c r="Z34" s="1"/>
      <c r="AA34" s="1"/>
      <c r="AB34" s="158"/>
      <c r="AC34" s="166"/>
    </row>
    <row r="35" spans="1:30" ht="12.6" customHeight="1" x14ac:dyDescent="0.2">
      <c r="A35" s="302" t="s">
        <v>53</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row>
    <row r="36" spans="1:30" ht="12.6" customHeight="1" x14ac:dyDescent="0.2">
      <c r="A36" s="154"/>
      <c r="B36" s="155"/>
      <c r="C36" s="156"/>
      <c r="D36" s="156"/>
      <c r="E36" s="156"/>
      <c r="F36" s="156"/>
      <c r="G36" s="287" t="s">
        <v>12</v>
      </c>
      <c r="H36" s="301"/>
      <c r="I36" s="301"/>
      <c r="J36" s="301"/>
      <c r="K36" s="301"/>
      <c r="L36" s="289"/>
      <c r="M36" s="287" t="s">
        <v>32</v>
      </c>
      <c r="N36" s="301"/>
      <c r="O36" s="301"/>
      <c r="P36" s="301"/>
      <c r="Q36" s="301"/>
      <c r="R36" s="289"/>
      <c r="S36" s="287" t="s">
        <v>33</v>
      </c>
      <c r="T36" s="301"/>
      <c r="U36" s="301"/>
      <c r="V36" s="301"/>
      <c r="W36" s="289"/>
      <c r="X36" s="158"/>
      <c r="Y36" s="1"/>
      <c r="Z36" s="1"/>
      <c r="AA36" s="158"/>
      <c r="AB36" s="1"/>
    </row>
    <row r="37" spans="1:30" ht="12.6" customHeight="1" x14ac:dyDescent="0.2">
      <c r="A37" s="154"/>
      <c r="B37" s="306" t="s">
        <v>54</v>
      </c>
      <c r="C37" s="307"/>
      <c r="D37" s="307"/>
      <c r="E37" s="307"/>
      <c r="F37" s="307"/>
      <c r="G37" s="457"/>
      <c r="H37" s="458"/>
      <c r="I37" s="458"/>
      <c r="J37" s="458"/>
      <c r="K37" s="458"/>
      <c r="L37" s="459"/>
      <c r="M37" s="457"/>
      <c r="N37" s="458"/>
      <c r="O37" s="458"/>
      <c r="P37" s="458"/>
      <c r="Q37" s="458"/>
      <c r="R37" s="459"/>
      <c r="S37" s="457"/>
      <c r="T37" s="458"/>
      <c r="U37" s="458"/>
      <c r="V37" s="458"/>
      <c r="W37" s="459"/>
      <c r="X37" s="158"/>
      <c r="Y37" s="1"/>
      <c r="Z37" s="1"/>
      <c r="AA37" s="158"/>
      <c r="AB37" s="1"/>
    </row>
    <row r="38" spans="1:30" ht="12.6" customHeight="1" x14ac:dyDescent="0.2">
      <c r="A38" s="154"/>
      <c r="B38" s="306" t="s">
        <v>55</v>
      </c>
      <c r="C38" s="307"/>
      <c r="D38" s="307"/>
      <c r="E38" s="307"/>
      <c r="F38" s="308"/>
      <c r="G38" s="287" t="s">
        <v>34</v>
      </c>
      <c r="H38" s="288"/>
      <c r="I38" s="287" t="s">
        <v>35</v>
      </c>
      <c r="J38" s="288"/>
      <c r="K38" s="287" t="s">
        <v>36</v>
      </c>
      <c r="L38" s="289"/>
      <c r="M38" s="287" t="s">
        <v>34</v>
      </c>
      <c r="N38" s="288"/>
      <c r="O38" s="287" t="s">
        <v>35</v>
      </c>
      <c r="P38" s="288"/>
      <c r="Q38" s="287" t="s">
        <v>36</v>
      </c>
      <c r="R38" s="289"/>
      <c r="S38" s="287" t="s">
        <v>34</v>
      </c>
      <c r="T38" s="288"/>
      <c r="U38" s="287" t="s">
        <v>35</v>
      </c>
      <c r="V38" s="288"/>
      <c r="W38" s="287" t="s">
        <v>36</v>
      </c>
      <c r="X38" s="289"/>
      <c r="Y38" s="1"/>
      <c r="Z38" s="1"/>
      <c r="AA38" s="158"/>
      <c r="AB38" s="1"/>
    </row>
    <row r="39" spans="1:30" ht="12.6" customHeight="1" x14ac:dyDescent="0.2">
      <c r="A39" s="154"/>
      <c r="B39" s="306" t="s">
        <v>56</v>
      </c>
      <c r="C39" s="307"/>
      <c r="D39" s="307"/>
      <c r="E39" s="307"/>
      <c r="F39" s="308"/>
      <c r="G39" s="300">
        <f>G37*($I$52/27)</f>
        <v>0</v>
      </c>
      <c r="H39" s="296"/>
      <c r="I39" s="300">
        <f>G37*($I$53/27)</f>
        <v>0</v>
      </c>
      <c r="J39" s="296"/>
      <c r="K39" s="300">
        <f>G37*($I$54/27)</f>
        <v>0</v>
      </c>
      <c r="L39" s="296"/>
      <c r="M39" s="300">
        <f>M37*($I$52/27)</f>
        <v>0</v>
      </c>
      <c r="N39" s="296"/>
      <c r="O39" s="300">
        <f>M37*($I$53/27)</f>
        <v>0</v>
      </c>
      <c r="P39" s="296"/>
      <c r="Q39" s="300">
        <f>M37*($I$54/27)</f>
        <v>0</v>
      </c>
      <c r="R39" s="296"/>
      <c r="S39" s="300">
        <f>S37*($I$52/27)</f>
        <v>0</v>
      </c>
      <c r="T39" s="296"/>
      <c r="U39" s="300">
        <f>S37*($I$53/27)</f>
        <v>0</v>
      </c>
      <c r="V39" s="296"/>
      <c r="W39" s="300">
        <f>S37*($I$54/27)</f>
        <v>0</v>
      </c>
      <c r="X39" s="296"/>
      <c r="Y39" s="1"/>
      <c r="Z39" s="1"/>
      <c r="AA39" s="158"/>
      <c r="AB39" s="1"/>
    </row>
    <row r="40" spans="1:30" ht="12.6" customHeight="1" thickBot="1" x14ac:dyDescent="0.25">
      <c r="A40" s="154"/>
      <c r="B40" s="155"/>
      <c r="C40" s="156"/>
      <c r="D40" s="156"/>
      <c r="E40" s="156"/>
      <c r="F40" s="156"/>
      <c r="G40" s="156"/>
      <c r="H40" s="155"/>
      <c r="I40" s="155"/>
      <c r="J40" s="157"/>
      <c r="K40" s="67"/>
      <c r="L40" s="67"/>
      <c r="M40" s="158"/>
      <c r="N40" s="1"/>
      <c r="O40" s="1"/>
      <c r="P40" s="158"/>
      <c r="Q40" s="158"/>
      <c r="R40" s="158"/>
      <c r="S40" s="158"/>
      <c r="T40" s="158"/>
      <c r="U40" s="158"/>
      <c r="V40" s="158"/>
      <c r="W40" s="1"/>
      <c r="X40" s="158"/>
      <c r="Y40" s="1"/>
      <c r="Z40" s="1"/>
      <c r="AA40" s="158"/>
      <c r="AB40" s="1"/>
    </row>
    <row r="41" spans="1:30" ht="15.75" x14ac:dyDescent="0.25">
      <c r="A41" s="468" t="s">
        <v>57</v>
      </c>
      <c r="B41" s="469"/>
      <c r="C41" s="469"/>
      <c r="D41" s="469"/>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70"/>
    </row>
    <row r="42" spans="1:30" x14ac:dyDescent="0.2">
      <c r="A42" s="315"/>
      <c r="B42" s="316"/>
      <c r="C42" s="316"/>
      <c r="D42" s="7"/>
      <c r="H42" s="8"/>
      <c r="I42" s="7"/>
      <c r="M42" s="8"/>
      <c r="N42" s="7"/>
      <c r="P42" s="8"/>
      <c r="Q42" s="372" t="s">
        <v>58</v>
      </c>
      <c r="R42" s="316"/>
      <c r="S42" s="317"/>
      <c r="T42" s="7"/>
      <c r="V42" s="8"/>
      <c r="W42" s="7"/>
      <c r="Y42" s="8"/>
      <c r="Z42" s="372"/>
      <c r="AA42" s="316"/>
      <c r="AB42" s="316"/>
      <c r="AC42" s="472"/>
    </row>
    <row r="43" spans="1:30" x14ac:dyDescent="0.2">
      <c r="A43" s="315"/>
      <c r="B43" s="316"/>
      <c r="C43" s="316"/>
      <c r="D43" s="372" t="s">
        <v>59</v>
      </c>
      <c r="E43" s="316"/>
      <c r="F43" s="316"/>
      <c r="G43" s="316"/>
      <c r="H43" s="317"/>
      <c r="I43" s="372" t="s">
        <v>60</v>
      </c>
      <c r="J43" s="316"/>
      <c r="K43" s="316"/>
      <c r="L43" s="316"/>
      <c r="M43" s="317"/>
      <c r="N43" s="372" t="s">
        <v>61</v>
      </c>
      <c r="O43" s="316"/>
      <c r="P43" s="317"/>
      <c r="Q43" s="372" t="s">
        <v>61</v>
      </c>
      <c r="R43" s="316"/>
      <c r="S43" s="317"/>
      <c r="T43" s="372" t="s">
        <v>62</v>
      </c>
      <c r="U43" s="316"/>
      <c r="V43" s="317"/>
      <c r="W43" s="372" t="s">
        <v>63</v>
      </c>
      <c r="X43" s="316"/>
      <c r="Y43" s="317"/>
      <c r="Z43" s="372" t="s">
        <v>64</v>
      </c>
      <c r="AA43" s="316"/>
      <c r="AB43" s="316"/>
      <c r="AC43" s="472"/>
    </row>
    <row r="44" spans="1:30" x14ac:dyDescent="0.2">
      <c r="A44" s="315" t="s">
        <v>65</v>
      </c>
      <c r="B44" s="316"/>
      <c r="C44" s="317"/>
      <c r="D44" s="372" t="s">
        <v>66</v>
      </c>
      <c r="E44" s="316"/>
      <c r="F44" s="316"/>
      <c r="G44" s="316"/>
      <c r="H44" s="317"/>
      <c r="I44" s="372" t="s">
        <v>66</v>
      </c>
      <c r="J44" s="316"/>
      <c r="K44" s="316"/>
      <c r="L44" s="316"/>
      <c r="M44" s="317"/>
      <c r="N44" s="372" t="s">
        <v>67</v>
      </c>
      <c r="O44" s="316"/>
      <c r="P44" s="317"/>
      <c r="Q44" s="372" t="s">
        <v>67</v>
      </c>
      <c r="R44" s="316"/>
      <c r="S44" s="317"/>
      <c r="T44" s="372" t="s">
        <v>67</v>
      </c>
      <c r="U44" s="316"/>
      <c r="V44" s="317"/>
      <c r="W44" s="372" t="s">
        <v>68</v>
      </c>
      <c r="X44" s="316"/>
      <c r="Y44" s="317"/>
      <c r="Z44" s="372" t="s">
        <v>68</v>
      </c>
      <c r="AA44" s="316"/>
      <c r="AB44" s="316"/>
      <c r="AC44" s="472"/>
    </row>
    <row r="45" spans="1:30" x14ac:dyDescent="0.2">
      <c r="A45" s="315"/>
      <c r="B45" s="316"/>
      <c r="C45" s="316"/>
      <c r="D45" s="369" t="s">
        <v>69</v>
      </c>
      <c r="E45" s="370"/>
      <c r="F45" s="370"/>
      <c r="G45" s="370"/>
      <c r="H45" s="371"/>
      <c r="I45" s="369" t="s">
        <v>70</v>
      </c>
      <c r="J45" s="370"/>
      <c r="K45" s="370"/>
      <c r="L45" s="370"/>
      <c r="M45" s="371"/>
      <c r="N45" s="372" t="s">
        <v>71</v>
      </c>
      <c r="O45" s="316"/>
      <c r="P45" s="317"/>
      <c r="Q45" s="372" t="s">
        <v>66</v>
      </c>
      <c r="R45" s="316"/>
      <c r="S45" s="317"/>
      <c r="T45" s="372" t="s">
        <v>66</v>
      </c>
      <c r="U45" s="316"/>
      <c r="V45" s="317"/>
      <c r="W45" s="7"/>
      <c r="Y45" s="8"/>
      <c r="Z45" s="7"/>
      <c r="AC45" s="3"/>
    </row>
    <row r="46" spans="1:30" x14ac:dyDescent="0.2">
      <c r="A46" s="315"/>
      <c r="B46" s="316"/>
      <c r="C46" s="316"/>
      <c r="D46" s="318" t="s">
        <v>72</v>
      </c>
      <c r="E46" s="319"/>
      <c r="F46" s="319"/>
      <c r="G46" s="319"/>
      <c r="H46" s="391"/>
      <c r="I46" s="318" t="s">
        <v>72</v>
      </c>
      <c r="J46" s="319"/>
      <c r="K46" s="319"/>
      <c r="L46" s="319"/>
      <c r="M46" s="391"/>
      <c r="N46" s="318" t="s">
        <v>73</v>
      </c>
      <c r="O46" s="319"/>
      <c r="P46" s="391"/>
      <c r="Q46" s="318" t="s">
        <v>72</v>
      </c>
      <c r="R46" s="319"/>
      <c r="S46" s="391"/>
      <c r="T46" s="318" t="s">
        <v>72</v>
      </c>
      <c r="U46" s="319"/>
      <c r="V46" s="391"/>
      <c r="W46" s="318" t="s">
        <v>74</v>
      </c>
      <c r="X46" s="319"/>
      <c r="Y46" s="391"/>
      <c r="Z46" s="318" t="s">
        <v>74</v>
      </c>
      <c r="AA46" s="319"/>
      <c r="AB46" s="319"/>
      <c r="AC46" s="346"/>
    </row>
    <row r="47" spans="1:30" ht="12.6" customHeight="1" x14ac:dyDescent="0.2">
      <c r="A47" s="439" t="s">
        <v>75</v>
      </c>
      <c r="B47" s="299"/>
      <c r="C47" s="288"/>
      <c r="D47" s="376">
        <f>CMDS!E30</f>
        <v>0</v>
      </c>
      <c r="E47" s="377"/>
      <c r="F47" s="377"/>
      <c r="G47" s="377"/>
      <c r="H47" s="378"/>
      <c r="I47" s="376">
        <f>D47</f>
        <v>0</v>
      </c>
      <c r="J47" s="377"/>
      <c r="K47" s="377"/>
      <c r="L47" s="377"/>
      <c r="M47" s="378"/>
      <c r="N47" s="366"/>
      <c r="O47" s="367"/>
      <c r="P47" s="368"/>
      <c r="Q47" s="376">
        <f>I47*N47</f>
        <v>0</v>
      </c>
      <c r="R47" s="377"/>
      <c r="S47" s="378"/>
      <c r="T47" s="366"/>
      <c r="U47" s="367"/>
      <c r="V47" s="368"/>
      <c r="W47" s="432">
        <f>IFERROR(100*(T47-Q47)/Q47,0)</f>
        <v>0</v>
      </c>
      <c r="X47" s="433"/>
      <c r="Y47" s="434"/>
      <c r="Z47" s="398" t="s">
        <v>76</v>
      </c>
      <c r="AA47" s="299"/>
      <c r="AB47" s="299"/>
      <c r="AC47" s="399"/>
    </row>
    <row r="48" spans="1:30" ht="12.6" customHeight="1" x14ac:dyDescent="0.2">
      <c r="A48" s="362" t="s">
        <v>77</v>
      </c>
      <c r="B48" s="299"/>
      <c r="C48" s="288"/>
      <c r="D48" s="376">
        <f>CMDS!E31</f>
        <v>0</v>
      </c>
      <c r="E48" s="377"/>
      <c r="F48" s="377"/>
      <c r="G48" s="377"/>
      <c r="H48" s="378"/>
      <c r="I48" s="376">
        <f>D48</f>
        <v>0</v>
      </c>
      <c r="J48" s="377"/>
      <c r="K48" s="377"/>
      <c r="L48" s="377"/>
      <c r="M48" s="378"/>
      <c r="N48" s="376">
        <f>N47</f>
        <v>0</v>
      </c>
      <c r="O48" s="377"/>
      <c r="P48" s="378"/>
      <c r="Q48" s="376">
        <f>I48*N48</f>
        <v>0</v>
      </c>
      <c r="R48" s="377"/>
      <c r="S48" s="378"/>
      <c r="T48" s="366"/>
      <c r="U48" s="367"/>
      <c r="V48" s="368"/>
      <c r="W48" s="432" t="str">
        <f>IF(D48=0,"",100*(T48-Q48)/Q48)</f>
        <v/>
      </c>
      <c r="X48" s="433"/>
      <c r="Y48" s="434"/>
      <c r="Z48" s="398" t="s">
        <v>76</v>
      </c>
      <c r="AA48" s="299"/>
      <c r="AB48" s="299"/>
      <c r="AC48" s="399"/>
    </row>
    <row r="49" spans="1:29" ht="12.6" customHeight="1" x14ac:dyDescent="0.2">
      <c r="A49" s="439" t="s">
        <v>78</v>
      </c>
      <c r="B49" s="299"/>
      <c r="C49" s="288"/>
      <c r="D49" s="376">
        <f>CMDS!E32</f>
        <v>0</v>
      </c>
      <c r="E49" s="377"/>
      <c r="F49" s="377"/>
      <c r="G49" s="377"/>
      <c r="H49" s="378"/>
      <c r="I49" s="376">
        <f>D49</f>
        <v>0</v>
      </c>
      <c r="J49" s="377"/>
      <c r="K49" s="377"/>
      <c r="L49" s="377"/>
      <c r="M49" s="378"/>
      <c r="N49" s="376">
        <f>N47</f>
        <v>0</v>
      </c>
      <c r="O49" s="377"/>
      <c r="P49" s="378"/>
      <c r="Q49" s="376">
        <f>I49*N49</f>
        <v>0</v>
      </c>
      <c r="R49" s="377"/>
      <c r="S49" s="378"/>
      <c r="T49" s="366"/>
      <c r="U49" s="367"/>
      <c r="V49" s="368"/>
      <c r="W49" s="432" t="str">
        <f>IF(D49=0,"",100*(T49-Q49)/Q49)</f>
        <v/>
      </c>
      <c r="X49" s="433"/>
      <c r="Y49" s="434"/>
      <c r="Z49" s="398" t="s">
        <v>76</v>
      </c>
      <c r="AA49" s="299"/>
      <c r="AB49" s="299"/>
      <c r="AC49" s="399"/>
    </row>
    <row r="50" spans="1:29" ht="12.6" customHeight="1" x14ac:dyDescent="0.2">
      <c r="A50" s="462" t="s">
        <v>79</v>
      </c>
      <c r="B50" s="463"/>
      <c r="C50" s="464"/>
      <c r="D50" s="376">
        <f>CMDS!E33</f>
        <v>0</v>
      </c>
      <c r="E50" s="377"/>
      <c r="F50" s="377"/>
      <c r="G50" s="377"/>
      <c r="H50" s="378"/>
      <c r="I50" s="376">
        <f>D50</f>
        <v>0</v>
      </c>
      <c r="J50" s="377"/>
      <c r="K50" s="377"/>
      <c r="L50" s="377"/>
      <c r="M50" s="378"/>
      <c r="N50" s="376">
        <f>N47</f>
        <v>0</v>
      </c>
      <c r="O50" s="377"/>
      <c r="P50" s="378"/>
      <c r="Q50" s="376">
        <f>I50*N50</f>
        <v>0</v>
      </c>
      <c r="R50" s="377"/>
      <c r="S50" s="378"/>
      <c r="T50" s="366"/>
      <c r="U50" s="367"/>
      <c r="V50" s="368"/>
      <c r="W50" s="432" t="str">
        <f>IFERROR(IF(D50=0,"",100*(T50-Q50)/Q50),"")</f>
        <v/>
      </c>
      <c r="X50" s="433"/>
      <c r="Y50" s="434"/>
      <c r="Z50" s="398" t="s">
        <v>76</v>
      </c>
      <c r="AA50" s="299"/>
      <c r="AB50" s="299"/>
      <c r="AC50" s="399"/>
    </row>
    <row r="51" spans="1:29" ht="12.6" customHeight="1" x14ac:dyDescent="0.2">
      <c r="A51" s="462" t="s">
        <v>80</v>
      </c>
      <c r="B51" s="463"/>
      <c r="C51" s="464"/>
      <c r="D51" s="376">
        <f>CMDS!E34</f>
        <v>0</v>
      </c>
      <c r="E51" s="377"/>
      <c r="F51" s="377"/>
      <c r="G51" s="377"/>
      <c r="H51" s="378"/>
      <c r="I51" s="376">
        <f>D51</f>
        <v>0</v>
      </c>
      <c r="J51" s="377"/>
      <c r="K51" s="377"/>
      <c r="L51" s="377"/>
      <c r="M51" s="378"/>
      <c r="N51" s="376">
        <f>N48</f>
        <v>0</v>
      </c>
      <c r="O51" s="377"/>
      <c r="P51" s="378"/>
      <c r="Q51" s="376">
        <f>I51*N51</f>
        <v>0</v>
      </c>
      <c r="R51" s="377"/>
      <c r="S51" s="378"/>
      <c r="T51" s="366"/>
      <c r="U51" s="367"/>
      <c r="V51" s="368"/>
      <c r="W51" s="432" t="str">
        <f>IF(D51=0,"",100*(T51-Q51)/Q51)</f>
        <v/>
      </c>
      <c r="X51" s="433"/>
      <c r="Y51" s="434"/>
      <c r="Z51" s="398" t="s">
        <v>76</v>
      </c>
      <c r="AA51" s="299"/>
      <c r="AB51" s="299"/>
      <c r="AC51" s="399"/>
    </row>
    <row r="52" spans="1:29" ht="12.6" customHeight="1" x14ac:dyDescent="0.2">
      <c r="A52" s="448" t="s">
        <v>81</v>
      </c>
      <c r="B52" s="438" t="s">
        <v>82</v>
      </c>
      <c r="C52" s="288"/>
      <c r="D52" s="376">
        <f>CMDS!E35</f>
        <v>0</v>
      </c>
      <c r="E52" s="377"/>
      <c r="F52" s="377"/>
      <c r="G52" s="377"/>
      <c r="H52" s="378"/>
      <c r="I52" s="376">
        <f>IF(H16="","see cell L16",D52*(1+(H16-H15)/100))</f>
        <v>0</v>
      </c>
      <c r="J52" s="377"/>
      <c r="K52" s="377"/>
      <c r="L52" s="377"/>
      <c r="M52" s="378"/>
      <c r="N52" s="376">
        <f>N47</f>
        <v>0</v>
      </c>
      <c r="O52" s="377"/>
      <c r="P52" s="378"/>
      <c r="Q52" s="376">
        <f>IFERROR(I52*N52,0)</f>
        <v>0</v>
      </c>
      <c r="R52" s="377"/>
      <c r="S52" s="378"/>
      <c r="T52" s="366"/>
      <c r="U52" s="367"/>
      <c r="V52" s="368"/>
      <c r="W52" s="432">
        <f>IFERROR(100*(T52-Q52)/Q52,0)</f>
        <v>0</v>
      </c>
      <c r="X52" s="433"/>
      <c r="Y52" s="434"/>
      <c r="Z52" s="398" t="s">
        <v>83</v>
      </c>
      <c r="AA52" s="299"/>
      <c r="AB52" s="299"/>
      <c r="AC52" s="399"/>
    </row>
    <row r="53" spans="1:29" ht="12.6" customHeight="1" x14ac:dyDescent="0.2">
      <c r="A53" s="449"/>
      <c r="B53" s="438" t="s">
        <v>84</v>
      </c>
      <c r="C53" s="288"/>
      <c r="D53" s="376">
        <f>CMDS!E36</f>
        <v>0</v>
      </c>
      <c r="E53" s="377"/>
      <c r="F53" s="377"/>
      <c r="G53" s="377"/>
      <c r="H53" s="378"/>
      <c r="I53" s="376">
        <f>IF(H19="","see cell L19",D53*(1+(H19-H18)/100))</f>
        <v>0</v>
      </c>
      <c r="J53" s="377"/>
      <c r="K53" s="377"/>
      <c r="L53" s="377"/>
      <c r="M53" s="378"/>
      <c r="N53" s="376">
        <f>N47</f>
        <v>0</v>
      </c>
      <c r="O53" s="377"/>
      <c r="P53" s="378"/>
      <c r="Q53" s="376">
        <f>IFERROR(I53*N53,0)</f>
        <v>0</v>
      </c>
      <c r="R53" s="377"/>
      <c r="S53" s="378"/>
      <c r="T53" s="366"/>
      <c r="U53" s="367"/>
      <c r="V53" s="368"/>
      <c r="W53" s="432">
        <f>IFERROR(100*(T53-Q53)/Q53,0)</f>
        <v>0</v>
      </c>
      <c r="X53" s="433"/>
      <c r="Y53" s="434"/>
      <c r="Z53" s="398" t="s">
        <v>83</v>
      </c>
      <c r="AA53" s="299"/>
      <c r="AB53" s="299"/>
      <c r="AC53" s="399"/>
    </row>
    <row r="54" spans="1:29" ht="12.6" customHeight="1" x14ac:dyDescent="0.2">
      <c r="A54" s="450"/>
      <c r="B54" s="438" t="s">
        <v>85</v>
      </c>
      <c r="C54" s="288"/>
      <c r="D54" s="376">
        <f>CMDS!E38</f>
        <v>0</v>
      </c>
      <c r="E54" s="377"/>
      <c r="F54" s="377"/>
      <c r="G54" s="377"/>
      <c r="H54" s="378"/>
      <c r="I54" s="376">
        <f>IF(H22="","see cell L22",D54*(1+(H22-H21)/100))</f>
        <v>0</v>
      </c>
      <c r="J54" s="377"/>
      <c r="K54" s="377"/>
      <c r="L54" s="377"/>
      <c r="M54" s="378"/>
      <c r="N54" s="376">
        <f>N47</f>
        <v>0</v>
      </c>
      <c r="O54" s="377"/>
      <c r="P54" s="378"/>
      <c r="Q54" s="376">
        <f>IFERROR(I54*N54,0)</f>
        <v>0</v>
      </c>
      <c r="R54" s="377"/>
      <c r="S54" s="378"/>
      <c r="T54" s="539"/>
      <c r="U54" s="367"/>
      <c r="V54" s="368"/>
      <c r="W54" s="432">
        <f>IFERROR(100*(T54-Q54)/Q54,0)</f>
        <v>0</v>
      </c>
      <c r="X54" s="433"/>
      <c r="Y54" s="434"/>
      <c r="Z54" s="398" t="s">
        <v>83</v>
      </c>
      <c r="AA54" s="299"/>
      <c r="AB54" s="299"/>
      <c r="AC54" s="399"/>
    </row>
    <row r="55" spans="1:29" ht="27" customHeight="1" x14ac:dyDescent="0.2">
      <c r="A55" s="442" t="str">
        <f>CMDS!A39</f>
        <v>Water CaCl₂ / Accel Adm</v>
      </c>
      <c r="B55" s="443"/>
      <c r="C55" s="444"/>
      <c r="D55" s="376">
        <f>CMDS!E39</f>
        <v>0</v>
      </c>
      <c r="E55" s="377"/>
      <c r="F55" s="377"/>
      <c r="G55" s="377"/>
      <c r="H55" s="378"/>
      <c r="I55" s="376">
        <f>D55</f>
        <v>0</v>
      </c>
      <c r="J55" s="377"/>
      <c r="K55" s="377"/>
      <c r="L55" s="377"/>
      <c r="M55" s="378"/>
      <c r="N55" s="376">
        <f>N47</f>
        <v>0</v>
      </c>
      <c r="O55" s="377"/>
      <c r="P55" s="378"/>
      <c r="Q55" s="376">
        <f>I55*N55</f>
        <v>0</v>
      </c>
      <c r="R55" s="377"/>
      <c r="S55" s="378"/>
      <c r="T55" s="366"/>
      <c r="U55" s="367"/>
      <c r="V55" s="368"/>
      <c r="W55" s="429"/>
      <c r="X55" s="430"/>
      <c r="Y55" s="431"/>
      <c r="Z55" s="435"/>
      <c r="AA55" s="436"/>
      <c r="AB55" s="436"/>
      <c r="AC55" s="437"/>
    </row>
    <row r="56" spans="1:29" ht="12.6" customHeight="1" x14ac:dyDescent="0.2">
      <c r="A56" s="439" t="s">
        <v>86</v>
      </c>
      <c r="B56" s="299"/>
      <c r="C56" s="288"/>
      <c r="D56" s="376">
        <f>CMDS!E41</f>
        <v>0</v>
      </c>
      <c r="E56" s="377"/>
      <c r="F56" s="377"/>
      <c r="G56" s="377"/>
      <c r="H56" s="378"/>
      <c r="I56" s="376">
        <f>IFERROR(D56-(I52-D52)-(I53-D53)-(I54-D54),0)</f>
        <v>0</v>
      </c>
      <c r="J56" s="377"/>
      <c r="K56" s="377"/>
      <c r="L56" s="377"/>
      <c r="M56" s="378"/>
      <c r="N56" s="376">
        <f>N47</f>
        <v>0</v>
      </c>
      <c r="O56" s="377"/>
      <c r="P56" s="378"/>
      <c r="Q56" s="376">
        <f>I56*N56</f>
        <v>0</v>
      </c>
      <c r="R56" s="377"/>
      <c r="S56" s="378"/>
      <c r="T56" s="366"/>
      <c r="U56" s="367"/>
      <c r="V56" s="368"/>
      <c r="W56" s="432">
        <f>IFERROR(100*(((T56-Q56)+(T55-Q55))/(Q56+Q55)),0)</f>
        <v>0</v>
      </c>
      <c r="X56" s="433"/>
      <c r="Y56" s="434"/>
      <c r="Z56" s="398" t="s">
        <v>76</v>
      </c>
      <c r="AA56" s="299"/>
      <c r="AB56" s="299"/>
      <c r="AC56" s="399"/>
    </row>
    <row r="57" spans="1:29" ht="12.6" customHeight="1" thickBot="1" x14ac:dyDescent="0.25">
      <c r="A57" s="373" t="s">
        <v>87</v>
      </c>
      <c r="B57" s="374"/>
      <c r="C57" s="375"/>
      <c r="D57" s="400">
        <f>SUM(D47:D56)</f>
        <v>0</v>
      </c>
      <c r="E57" s="401"/>
      <c r="F57" s="401"/>
      <c r="G57" s="401"/>
      <c r="H57" s="402"/>
      <c r="I57" s="400">
        <f>IFERROR(SUM(I47:I56),0)</f>
        <v>0</v>
      </c>
      <c r="J57" s="401"/>
      <c r="K57" s="401"/>
      <c r="L57" s="401"/>
      <c r="M57" s="402"/>
      <c r="N57" s="412" t="s">
        <v>19</v>
      </c>
      <c r="O57" s="413"/>
      <c r="P57" s="414"/>
      <c r="Q57" s="400">
        <f>SUM(Q47:Q56)</f>
        <v>0</v>
      </c>
      <c r="R57" s="401"/>
      <c r="S57" s="402"/>
      <c r="T57" s="400">
        <f>SUM(T47:T56)</f>
        <v>0</v>
      </c>
      <c r="U57" s="401"/>
      <c r="V57" s="402"/>
      <c r="W57" s="412" t="s">
        <v>19</v>
      </c>
      <c r="X57" s="413"/>
      <c r="Y57" s="414"/>
      <c r="Z57" s="488" t="s">
        <v>19</v>
      </c>
      <c r="AA57" s="374"/>
      <c r="AB57" s="374"/>
      <c r="AC57" s="419"/>
    </row>
    <row r="58" spans="1:29" ht="13.5" thickBot="1" x14ac:dyDescent="0.25"/>
    <row r="59" spans="1:29" ht="16.5" thickBot="1" x14ac:dyDescent="0.3">
      <c r="B59" s="426" t="s">
        <v>88</v>
      </c>
      <c r="C59" s="427"/>
      <c r="D59" s="427"/>
      <c r="E59" s="427"/>
      <c r="F59" s="427"/>
      <c r="G59" s="427"/>
      <c r="H59" s="427"/>
      <c r="I59" s="427"/>
      <c r="J59" s="427"/>
      <c r="K59" s="427"/>
      <c r="L59" s="427"/>
      <c r="M59" s="427"/>
      <c r="N59" s="427"/>
      <c r="O59" s="427"/>
      <c r="P59" s="427"/>
      <c r="Q59" s="427"/>
      <c r="R59" s="427"/>
      <c r="S59" s="427"/>
      <c r="T59" s="427"/>
      <c r="U59" s="427"/>
      <c r="V59" s="427"/>
      <c r="W59" s="427"/>
      <c r="X59" s="427"/>
      <c r="Y59" s="427"/>
      <c r="Z59" s="428"/>
    </row>
    <row r="60" spans="1:29" ht="13.5" thickBot="1" x14ac:dyDescent="0.25">
      <c r="B60" s="13"/>
      <c r="K60" s="8"/>
      <c r="L60" s="372" t="s">
        <v>61</v>
      </c>
      <c r="M60" s="316"/>
      <c r="N60" s="317"/>
      <c r="O60" s="372" t="s">
        <v>89</v>
      </c>
      <c r="P60" s="316"/>
      <c r="Q60" s="317"/>
      <c r="R60" s="372" t="s">
        <v>62</v>
      </c>
      <c r="S60" s="316"/>
      <c r="T60" s="317"/>
      <c r="U60" s="372" t="s">
        <v>63</v>
      </c>
      <c r="V60" s="316"/>
      <c r="W60" s="317"/>
      <c r="X60" s="372" t="s">
        <v>64</v>
      </c>
      <c r="Y60" s="316"/>
      <c r="Z60" s="472"/>
    </row>
    <row r="61" spans="1:29" ht="16.5" thickBot="1" x14ac:dyDescent="0.3">
      <c r="A61" s="197"/>
      <c r="B61" s="445" t="s">
        <v>90</v>
      </c>
      <c r="C61" s="446"/>
      <c r="D61" s="446"/>
      <c r="E61" s="446"/>
      <c r="F61" s="446"/>
      <c r="G61" s="446"/>
      <c r="H61" s="446"/>
      <c r="I61" s="446"/>
      <c r="J61" s="446"/>
      <c r="K61" s="447"/>
      <c r="L61" s="316" t="s">
        <v>91</v>
      </c>
      <c r="M61" s="316"/>
      <c r="N61" s="317"/>
      <c r="O61" s="372" t="s">
        <v>91</v>
      </c>
      <c r="P61" s="316"/>
      <c r="Q61" s="317"/>
      <c r="R61" s="372" t="s">
        <v>91</v>
      </c>
      <c r="S61" s="316"/>
      <c r="T61" s="317"/>
      <c r="U61" s="372" t="s">
        <v>68</v>
      </c>
      <c r="V61" s="316"/>
      <c r="W61" s="317"/>
      <c r="X61" s="372" t="s">
        <v>68</v>
      </c>
      <c r="Y61" s="316"/>
      <c r="Z61" s="472"/>
      <c r="AA61" s="9"/>
      <c r="AB61" s="9"/>
    </row>
    <row r="62" spans="1:29" ht="13.5" thickBot="1" x14ac:dyDescent="0.25">
      <c r="A62" s="1"/>
      <c r="B62" s="13"/>
      <c r="K62" s="8"/>
      <c r="L62" s="318" t="s">
        <v>92</v>
      </c>
      <c r="M62" s="319"/>
      <c r="N62" s="391"/>
      <c r="O62" s="318" t="s">
        <v>93</v>
      </c>
      <c r="P62" s="319"/>
      <c r="Q62" s="391"/>
      <c r="R62" s="318" t="s">
        <v>93</v>
      </c>
      <c r="S62" s="319"/>
      <c r="T62" s="391"/>
      <c r="U62" s="318" t="s">
        <v>74</v>
      </c>
      <c r="V62" s="319"/>
      <c r="W62" s="391"/>
      <c r="X62" s="318" t="s">
        <v>74</v>
      </c>
      <c r="Y62" s="319"/>
      <c r="Z62" s="346"/>
    </row>
    <row r="63" spans="1:29" ht="17.25" customHeight="1" thickBot="1" x14ac:dyDescent="0.25">
      <c r="A63" s="50"/>
      <c r="B63" s="407">
        <f>CMDS!M20</f>
        <v>0</v>
      </c>
      <c r="C63" s="408"/>
      <c r="D63" s="408"/>
      <c r="E63" s="408"/>
      <c r="F63" s="408"/>
      <c r="G63" s="408"/>
      <c r="H63" s="408"/>
      <c r="I63" s="408"/>
      <c r="J63" s="408"/>
      <c r="K63" s="409"/>
      <c r="L63" s="385"/>
      <c r="M63" s="385"/>
      <c r="N63" s="386"/>
      <c r="O63" s="381">
        <f>L63*(Q47+Q48+Q49+Q50)/100</f>
        <v>0</v>
      </c>
      <c r="P63" s="382"/>
      <c r="Q63" s="383"/>
      <c r="R63" s="384"/>
      <c r="S63" s="385"/>
      <c r="T63" s="386"/>
      <c r="U63" s="420" t="str">
        <f>IF(L63=0,"",100*(R63-O63)/O63)</f>
        <v/>
      </c>
      <c r="V63" s="421"/>
      <c r="W63" s="422"/>
      <c r="X63" s="398" t="s">
        <v>94</v>
      </c>
      <c r="Y63" s="299"/>
      <c r="Z63" s="399"/>
    </row>
    <row r="64" spans="1:29" ht="15.75" customHeight="1" thickBot="1" x14ac:dyDescent="0.25">
      <c r="A64" s="1"/>
      <c r="B64" s="407">
        <f>CMDS!M21</f>
        <v>0</v>
      </c>
      <c r="C64" s="408"/>
      <c r="D64" s="408"/>
      <c r="E64" s="408"/>
      <c r="F64" s="408"/>
      <c r="G64" s="408"/>
      <c r="H64" s="408"/>
      <c r="I64" s="408"/>
      <c r="J64" s="408"/>
      <c r="K64" s="409"/>
      <c r="L64" s="385"/>
      <c r="M64" s="385"/>
      <c r="N64" s="386"/>
      <c r="O64" s="381">
        <f>L64*(Q47+Q48+Q49+Q50)/100</f>
        <v>0</v>
      </c>
      <c r="P64" s="382"/>
      <c r="Q64" s="383"/>
      <c r="R64" s="384"/>
      <c r="S64" s="385"/>
      <c r="T64" s="386"/>
      <c r="U64" s="420" t="str">
        <f>IF(L64=0,"",100*(R64-O64)/O64)</f>
        <v/>
      </c>
      <c r="V64" s="421"/>
      <c r="W64" s="422"/>
      <c r="X64" s="398" t="s">
        <v>94</v>
      </c>
      <c r="Y64" s="299"/>
      <c r="Z64" s="399"/>
    </row>
    <row r="65" spans="1:29" ht="15.75" customHeight="1" thickBot="1" x14ac:dyDescent="0.25">
      <c r="A65" s="1"/>
      <c r="B65" s="407">
        <f>CMDS!M22</f>
        <v>0</v>
      </c>
      <c r="C65" s="408"/>
      <c r="D65" s="408"/>
      <c r="E65" s="408"/>
      <c r="F65" s="408"/>
      <c r="G65" s="408"/>
      <c r="H65" s="408"/>
      <c r="I65" s="408"/>
      <c r="J65" s="408"/>
      <c r="K65" s="409"/>
      <c r="L65" s="385"/>
      <c r="M65" s="385"/>
      <c r="N65" s="386"/>
      <c r="O65" s="381">
        <f>L65*(Q47+Q48+Q49+Q50)/100</f>
        <v>0</v>
      </c>
      <c r="P65" s="382"/>
      <c r="Q65" s="383"/>
      <c r="R65" s="384"/>
      <c r="S65" s="385"/>
      <c r="T65" s="386"/>
      <c r="U65" s="420" t="str">
        <f>IF(L65=0,"",100*(R65-O65)/O65)</f>
        <v/>
      </c>
      <c r="V65" s="421"/>
      <c r="W65" s="422"/>
      <c r="X65" s="193"/>
      <c r="Y65" s="398" t="s">
        <v>94</v>
      </c>
      <c r="Z65" s="399"/>
    </row>
    <row r="66" spans="1:29" ht="14.25" customHeight="1" thickBot="1" x14ac:dyDescent="0.25">
      <c r="A66" s="1"/>
      <c r="B66" s="407">
        <f>CMDS!M23</f>
        <v>0</v>
      </c>
      <c r="C66" s="408"/>
      <c r="D66" s="408"/>
      <c r="E66" s="408"/>
      <c r="F66" s="408"/>
      <c r="G66" s="408"/>
      <c r="H66" s="408"/>
      <c r="I66" s="408"/>
      <c r="J66" s="408"/>
      <c r="K66" s="409"/>
      <c r="L66" s="410"/>
      <c r="M66" s="410"/>
      <c r="N66" s="411"/>
      <c r="O66" s="404">
        <f>L66*(Q47+Q48+Q49+Q50)/100</f>
        <v>0</v>
      </c>
      <c r="P66" s="405"/>
      <c r="Q66" s="406"/>
      <c r="R66" s="425"/>
      <c r="S66" s="410"/>
      <c r="T66" s="411"/>
      <c r="U66" s="415" t="str">
        <f>IF(L66=0,"",100*(R66-O66)/O66)</f>
        <v/>
      </c>
      <c r="V66" s="416"/>
      <c r="W66" s="417"/>
      <c r="X66" s="418" t="s">
        <v>94</v>
      </c>
      <c r="Y66" s="374"/>
      <c r="Z66" s="419"/>
    </row>
    <row r="67" spans="1:29" ht="14.25" customHeight="1" thickBot="1" x14ac:dyDescent="0.25">
      <c r="A67" s="1"/>
      <c r="B67" s="407">
        <f>CMDS!M24</f>
        <v>0</v>
      </c>
      <c r="C67" s="408"/>
      <c r="D67" s="408"/>
      <c r="E67" s="408"/>
      <c r="F67" s="408"/>
      <c r="G67" s="408"/>
      <c r="H67" s="408"/>
      <c r="I67" s="408"/>
      <c r="J67" s="408"/>
      <c r="K67" s="409"/>
      <c r="L67" s="410"/>
      <c r="M67" s="410"/>
      <c r="N67" s="411"/>
      <c r="O67" s="404">
        <f>L67*(Q47+Q48+Q49+Q50)/100</f>
        <v>0</v>
      </c>
      <c r="P67" s="405"/>
      <c r="Q67" s="406"/>
      <c r="R67" s="425"/>
      <c r="S67" s="410"/>
      <c r="T67" s="411"/>
      <c r="U67" s="415" t="str">
        <f>IF(L67=0,"",100*(R67-O67)/O67)</f>
        <v/>
      </c>
      <c r="V67" s="416"/>
      <c r="W67" s="417"/>
      <c r="X67" s="418" t="s">
        <v>94</v>
      </c>
      <c r="Y67" s="374"/>
      <c r="Z67" s="419"/>
    </row>
    <row r="69" spans="1:29" ht="12.6" customHeight="1" x14ac:dyDescent="0.2">
      <c r="A69" t="s">
        <v>95</v>
      </c>
      <c r="H69" s="403"/>
      <c r="I69" s="403"/>
      <c r="J69" s="403"/>
      <c r="K69" s="403"/>
      <c r="L69" s="403"/>
      <c r="M69" s="403"/>
      <c r="N69" s="403"/>
      <c r="O69" s="403"/>
      <c r="P69" s="403"/>
      <c r="Q69" s="403"/>
      <c r="R69" s="403"/>
      <c r="S69" s="403"/>
      <c r="T69" s="403"/>
      <c r="U69" s="403"/>
      <c r="V69" s="403"/>
      <c r="W69" s="403"/>
      <c r="X69" s="403"/>
      <c r="Y69" s="403"/>
      <c r="Z69" s="403"/>
      <c r="AA69" s="403"/>
      <c r="AB69" s="403"/>
      <c r="AC69" s="403"/>
    </row>
    <row r="70" spans="1:29" ht="12.6" customHeight="1" x14ac:dyDescent="0.2">
      <c r="A70" s="403"/>
      <c r="B70" s="403"/>
      <c r="C70" s="403"/>
      <c r="D70" s="403"/>
      <c r="E70" s="403"/>
      <c r="F70" s="403"/>
      <c r="G70" s="403"/>
      <c r="H70" s="403"/>
      <c r="I70" s="403"/>
      <c r="J70" s="403"/>
      <c r="K70" s="403"/>
      <c r="L70" s="403"/>
      <c r="M70" s="403"/>
      <c r="N70" s="403"/>
      <c r="O70" s="403"/>
      <c r="P70" s="403"/>
      <c r="Q70" s="403"/>
      <c r="R70" s="403"/>
      <c r="S70" s="403"/>
      <c r="T70" s="403"/>
      <c r="U70" s="403"/>
      <c r="V70" s="403"/>
      <c r="W70" s="403"/>
      <c r="X70" s="403"/>
      <c r="Y70" s="403"/>
      <c r="Z70" s="403"/>
      <c r="AA70" s="403"/>
      <c r="AB70" s="403"/>
      <c r="AC70" s="403"/>
    </row>
    <row r="71" spans="1:29" ht="12.6" customHeight="1" x14ac:dyDescent="0.2">
      <c r="A71" s="403"/>
      <c r="B71" s="403"/>
      <c r="C71" s="403"/>
      <c r="D71" s="403"/>
      <c r="E71" s="403"/>
      <c r="F71" s="403"/>
      <c r="G71" s="403"/>
      <c r="H71" s="403"/>
      <c r="I71" s="403"/>
      <c r="J71" s="403"/>
      <c r="K71" s="403"/>
      <c r="L71" s="403"/>
      <c r="M71" s="403"/>
      <c r="N71" s="403"/>
      <c r="O71" s="403"/>
      <c r="P71" s="403"/>
      <c r="Q71" s="403"/>
      <c r="R71" s="403"/>
      <c r="S71" s="403"/>
      <c r="T71" s="403"/>
      <c r="U71" s="403"/>
      <c r="V71" s="403"/>
      <c r="W71" s="403"/>
      <c r="X71" s="403"/>
      <c r="Y71" s="403"/>
      <c r="Z71" s="403"/>
      <c r="AA71" s="403"/>
      <c r="AB71" s="403"/>
      <c r="AC71" s="403"/>
    </row>
    <row r="72" spans="1:29" ht="12.6" customHeight="1" x14ac:dyDescent="0.2">
      <c r="A72" s="403"/>
      <c r="B72" s="403"/>
      <c r="C72" s="403"/>
      <c r="D72" s="403"/>
      <c r="E72" s="403"/>
      <c r="F72" s="403"/>
      <c r="G72" s="403"/>
      <c r="H72" s="403"/>
      <c r="I72" s="403"/>
      <c r="J72" s="403"/>
      <c r="K72" s="403"/>
      <c r="L72" s="403"/>
      <c r="M72" s="403"/>
      <c r="N72" s="403"/>
      <c r="O72" s="403"/>
      <c r="P72" s="403"/>
      <c r="Q72" s="403"/>
      <c r="R72" s="403"/>
      <c r="S72" s="403"/>
      <c r="T72" s="403"/>
      <c r="U72" s="403"/>
      <c r="V72" s="403"/>
      <c r="W72" s="403"/>
      <c r="X72" s="403"/>
      <c r="Y72" s="403"/>
      <c r="Z72" s="403"/>
      <c r="AA72" s="403"/>
      <c r="AB72" s="403"/>
      <c r="AC72" s="403"/>
    </row>
    <row r="73" spans="1:29" ht="12.6" customHeight="1" x14ac:dyDescent="0.2">
      <c r="A73" s="403"/>
      <c r="B73" s="403"/>
      <c r="C73" s="403"/>
      <c r="D73" s="403"/>
      <c r="E73" s="403"/>
      <c r="F73" s="403"/>
      <c r="G73" s="403"/>
      <c r="H73" s="403"/>
      <c r="I73" s="403"/>
      <c r="J73" s="403"/>
      <c r="K73" s="403"/>
      <c r="L73" s="403"/>
      <c r="M73" s="403"/>
      <c r="N73" s="403"/>
      <c r="O73" s="403"/>
      <c r="P73" s="403"/>
      <c r="Q73" s="403"/>
      <c r="R73" s="403"/>
      <c r="S73" s="403"/>
      <c r="T73" s="403"/>
      <c r="U73" s="403"/>
      <c r="V73" s="403"/>
      <c r="W73" s="403"/>
      <c r="X73" s="403"/>
      <c r="Y73" s="403"/>
      <c r="Z73" s="403"/>
      <c r="AA73" s="403"/>
      <c r="AB73" s="403"/>
      <c r="AC73" s="403"/>
    </row>
    <row r="74" spans="1:29" ht="12.6" customHeight="1" x14ac:dyDescent="0.2">
      <c r="A74" s="403"/>
      <c r="B74" s="403"/>
      <c r="C74" s="403"/>
      <c r="D74" s="403"/>
      <c r="E74" s="403"/>
      <c r="F74" s="403"/>
      <c r="G74" s="403"/>
      <c r="H74" s="403"/>
      <c r="I74" s="403"/>
      <c r="J74" s="403"/>
      <c r="K74" s="403"/>
      <c r="L74" s="403"/>
      <c r="M74" s="403"/>
      <c r="N74" s="403"/>
      <c r="O74" s="403"/>
      <c r="P74" s="403"/>
      <c r="Q74" s="403"/>
      <c r="R74" s="403"/>
      <c r="S74" s="403"/>
      <c r="T74" s="403"/>
      <c r="U74" s="403"/>
      <c r="V74" s="403"/>
      <c r="W74" s="403"/>
      <c r="X74" s="403"/>
      <c r="Y74" s="403"/>
      <c r="Z74" s="403"/>
      <c r="AA74" s="403"/>
      <c r="AB74" s="403"/>
      <c r="AC74" s="403"/>
    </row>
    <row r="75" spans="1:29" ht="12.6" customHeight="1" x14ac:dyDescent="0.2">
      <c r="A75" s="423"/>
      <c r="B75" s="423"/>
      <c r="C75" s="423"/>
      <c r="D75" s="423"/>
      <c r="E75" s="423"/>
      <c r="F75" s="423"/>
      <c r="G75" s="423"/>
      <c r="H75" s="423"/>
      <c r="I75" s="423"/>
      <c r="J75" s="423"/>
      <c r="K75" s="423"/>
      <c r="L75" s="423"/>
      <c r="M75" s="423"/>
      <c r="N75" s="423"/>
      <c r="O75" s="423"/>
      <c r="P75" s="423"/>
      <c r="Q75" s="423"/>
      <c r="R75" s="423"/>
      <c r="S75" s="423"/>
      <c r="T75" s="423"/>
      <c r="U75" s="423"/>
      <c r="V75" s="423"/>
      <c r="W75" s="423"/>
      <c r="X75" s="423"/>
      <c r="Y75" s="423"/>
      <c r="Z75" s="321" t="str">
        <f>CMDS!AA60</f>
        <v>v14q.4.8.2025</v>
      </c>
      <c r="AA75" s="316"/>
      <c r="AB75" s="316"/>
      <c r="AC75" s="316"/>
    </row>
    <row r="76" spans="1:29" ht="15.75" customHeight="1" x14ac:dyDescent="0.25">
      <c r="B76" s="535" t="s">
        <v>96</v>
      </c>
      <c r="C76" s="536"/>
      <c r="D76" s="536"/>
      <c r="E76" s="536"/>
      <c r="F76" s="536"/>
      <c r="G76" s="536"/>
      <c r="H76" s="536"/>
      <c r="I76" s="536"/>
      <c r="J76" s="536"/>
      <c r="K76" s="536"/>
      <c r="L76" s="536"/>
      <c r="M76" s="536"/>
      <c r="N76" s="536"/>
      <c r="O76" s="536"/>
      <c r="P76" s="536"/>
      <c r="Q76" s="536"/>
      <c r="R76" s="536"/>
      <c r="S76" s="536"/>
      <c r="T76" s="537"/>
      <c r="U76" s="537"/>
      <c r="V76" s="537"/>
      <c r="W76" s="537"/>
      <c r="X76" s="537"/>
      <c r="Y76" s="537"/>
    </row>
    <row r="77" spans="1:29" x14ac:dyDescent="0.2">
      <c r="B77" s="424"/>
      <c r="C77" s="313"/>
      <c r="D77" s="313"/>
      <c r="E77" s="313"/>
      <c r="F77" s="313"/>
      <c r="G77" s="324"/>
      <c r="H77" s="312" t="s">
        <v>12</v>
      </c>
      <c r="I77" s="313"/>
      <c r="J77" s="324"/>
      <c r="K77" s="312" t="s">
        <v>97</v>
      </c>
      <c r="L77" s="313"/>
      <c r="M77" s="324"/>
      <c r="N77" s="312" t="s">
        <v>10</v>
      </c>
      <c r="O77" s="313"/>
      <c r="P77" s="324"/>
      <c r="Q77" s="312" t="s">
        <v>97</v>
      </c>
      <c r="R77" s="313"/>
      <c r="S77" s="313"/>
      <c r="T77" s="312" t="s">
        <v>10</v>
      </c>
      <c r="U77" s="313"/>
      <c r="V77" s="324"/>
      <c r="W77" s="312" t="s">
        <v>97</v>
      </c>
      <c r="X77" s="313"/>
      <c r="Y77" s="314"/>
    </row>
    <row r="78" spans="1:29" x14ac:dyDescent="0.2">
      <c r="B78" s="315" t="s">
        <v>98</v>
      </c>
      <c r="C78" s="316"/>
      <c r="D78" s="316"/>
      <c r="E78" s="316"/>
      <c r="F78" s="316"/>
      <c r="G78" s="317"/>
      <c r="H78" s="316" t="s">
        <v>99</v>
      </c>
      <c r="I78" s="316"/>
      <c r="J78" s="317"/>
      <c r="K78" s="320" t="s">
        <v>100</v>
      </c>
      <c r="L78" s="321"/>
      <c r="M78" s="322"/>
      <c r="N78" s="372" t="s">
        <v>101</v>
      </c>
      <c r="O78" s="316"/>
      <c r="P78" s="317"/>
      <c r="Q78" s="320" t="s">
        <v>102</v>
      </c>
      <c r="R78" s="321"/>
      <c r="S78" s="321"/>
      <c r="T78" s="372" t="s">
        <v>101</v>
      </c>
      <c r="U78" s="316"/>
      <c r="V78" s="317"/>
      <c r="W78" s="320" t="s">
        <v>102</v>
      </c>
      <c r="X78" s="321"/>
      <c r="Y78" s="323"/>
    </row>
    <row r="79" spans="1:29" x14ac:dyDescent="0.2">
      <c r="B79" s="440">
        <f>CMDS!G6</f>
        <v>0</v>
      </c>
      <c r="C79" s="441"/>
      <c r="D79" s="441"/>
      <c r="E79" s="441"/>
      <c r="F79" s="441"/>
      <c r="G79" s="441"/>
      <c r="H79" s="372" t="s">
        <v>17</v>
      </c>
      <c r="I79" s="316"/>
      <c r="J79" s="317"/>
      <c r="K79" s="320" t="s">
        <v>103</v>
      </c>
      <c r="L79" s="321"/>
      <c r="M79" s="322"/>
      <c r="N79" s="372" t="s">
        <v>17</v>
      </c>
      <c r="O79" s="316"/>
      <c r="P79" s="317"/>
      <c r="Q79" s="320" t="s">
        <v>101</v>
      </c>
      <c r="R79" s="321"/>
      <c r="S79" s="321"/>
      <c r="T79" s="372" t="s">
        <v>15</v>
      </c>
      <c r="U79" s="316"/>
      <c r="V79" s="317"/>
      <c r="W79" s="320" t="s">
        <v>15</v>
      </c>
      <c r="X79" s="321"/>
      <c r="Y79" s="323"/>
    </row>
    <row r="80" spans="1:29" x14ac:dyDescent="0.2">
      <c r="B80" s="390"/>
      <c r="C80" s="319"/>
      <c r="D80" s="319"/>
      <c r="E80" s="319"/>
      <c r="F80" s="319"/>
      <c r="G80" s="391"/>
      <c r="H80" s="318" t="s">
        <v>104</v>
      </c>
      <c r="I80" s="319"/>
      <c r="J80" s="391"/>
      <c r="K80" s="318" t="s">
        <v>17</v>
      </c>
      <c r="L80" s="319"/>
      <c r="M80" s="391"/>
      <c r="N80" s="318" t="s">
        <v>104</v>
      </c>
      <c r="O80" s="319"/>
      <c r="P80" s="391"/>
      <c r="Q80" s="318" t="s">
        <v>17</v>
      </c>
      <c r="R80" s="319"/>
      <c r="S80" s="319"/>
      <c r="T80" s="318" t="s">
        <v>104</v>
      </c>
      <c r="U80" s="319"/>
      <c r="V80" s="391"/>
      <c r="W80" s="318" t="s">
        <v>17</v>
      </c>
      <c r="X80" s="319"/>
      <c r="Y80" s="346"/>
    </row>
    <row r="81" spans="2:29" x14ac:dyDescent="0.2">
      <c r="B81" s="439" t="s">
        <v>105</v>
      </c>
      <c r="C81" s="299"/>
      <c r="D81" s="299"/>
      <c r="E81" s="299"/>
      <c r="F81" s="299"/>
      <c r="G81" s="288"/>
      <c r="H81" s="363">
        <f>IFERROR((T56+T55+T54-(T54/(1+H22/100))+T53-(T53/(1+H19/100))+T52-(T52/(1+H16/100))-(T54*H21/(100+H22))-(T53*H18/(100+H19))-(T52*H15/(100+H16)))/(T47+T48+T49+T50),0)</f>
        <v>0</v>
      </c>
      <c r="I81" s="364"/>
      <c r="J81" s="365"/>
      <c r="K81" s="398"/>
      <c r="L81" s="299"/>
      <c r="M81" s="288"/>
      <c r="N81" s="363" t="str">
        <f>IFERROR(((T56+T55+T54-(T54/(1+O22/100))+T53-(T53/(1+O19/100))+T52-(T52/(1+O16/100))-(T54*O21/(100+O22))-(T53*O18/(100+O19))-(T52*O15/(100+O16)))/(T47+T48+T49+T50)),"")</f>
        <v/>
      </c>
      <c r="O81" s="364"/>
      <c r="P81" s="365"/>
      <c r="Q81" s="398"/>
      <c r="R81" s="299"/>
      <c r="S81" s="299"/>
      <c r="T81" s="363" t="str">
        <f>IFERROR((T56+T55+T54-(T54/(1+V22/100))+T53-(T53/(1+V19/100))+T52-(T52/(1+V16/100))-(T54*V21/(100+V22))-(T53*V18/(100+V19))-(T52*V15/(100+V16)))/(T47+T48+T49+T50),"")</f>
        <v/>
      </c>
      <c r="U81" s="364"/>
      <c r="V81" s="365"/>
      <c r="W81" s="398"/>
      <c r="X81" s="299"/>
      <c r="Y81" s="399"/>
    </row>
    <row r="82" spans="2:29" x14ac:dyDescent="0.2">
      <c r="B82" s="362" t="s">
        <v>106</v>
      </c>
      <c r="C82" s="299"/>
      <c r="D82" s="299"/>
      <c r="E82" s="299"/>
      <c r="F82" s="299"/>
      <c r="G82" s="288"/>
      <c r="H82" s="395"/>
      <c r="I82" s="396"/>
      <c r="J82" s="397"/>
      <c r="K82" s="392"/>
      <c r="L82" s="393"/>
      <c r="M82" s="394"/>
      <c r="N82" s="395"/>
      <c r="O82" s="396"/>
      <c r="P82" s="397"/>
      <c r="Q82" s="392"/>
      <c r="R82" s="393"/>
      <c r="S82" s="393"/>
      <c r="T82" s="395"/>
      <c r="U82" s="396"/>
      <c r="V82" s="397"/>
      <c r="W82" s="392"/>
      <c r="X82" s="393"/>
      <c r="Y82" s="471"/>
    </row>
    <row r="83" spans="2:29" x14ac:dyDescent="0.2">
      <c r="B83" s="439" t="s">
        <v>107</v>
      </c>
      <c r="C83" s="299"/>
      <c r="D83" s="299"/>
      <c r="E83" s="299"/>
      <c r="F83" s="299"/>
      <c r="G83" s="288"/>
      <c r="H83" s="395"/>
      <c r="I83" s="396"/>
      <c r="J83" s="397"/>
      <c r="K83" s="392"/>
      <c r="L83" s="393"/>
      <c r="M83" s="394"/>
      <c r="N83" s="395"/>
      <c r="O83" s="396"/>
      <c r="P83" s="397"/>
      <c r="Q83" s="392"/>
      <c r="R83" s="393"/>
      <c r="S83" s="393"/>
      <c r="T83" s="395"/>
      <c r="U83" s="396"/>
      <c r="V83" s="397"/>
      <c r="W83" s="392"/>
      <c r="X83" s="393"/>
      <c r="Y83" s="471"/>
    </row>
    <row r="84" spans="2:29" x14ac:dyDescent="0.2">
      <c r="B84" s="439" t="s">
        <v>108</v>
      </c>
      <c r="C84" s="299"/>
      <c r="D84" s="299"/>
      <c r="E84" s="299"/>
      <c r="F84" s="299"/>
      <c r="G84" s="288"/>
      <c r="H84" s="363">
        <f>H82-H83</f>
        <v>0</v>
      </c>
      <c r="I84" s="364"/>
      <c r="J84" s="365"/>
      <c r="K84" s="398"/>
      <c r="L84" s="299"/>
      <c r="M84" s="288"/>
      <c r="N84" s="363">
        <f>N82-N83</f>
        <v>0</v>
      </c>
      <c r="O84" s="364"/>
      <c r="P84" s="365"/>
      <c r="Q84" s="398"/>
      <c r="R84" s="299"/>
      <c r="S84" s="299"/>
      <c r="T84" s="363">
        <f>T82-T83</f>
        <v>0</v>
      </c>
      <c r="U84" s="364"/>
      <c r="V84" s="365"/>
      <c r="W84" s="398"/>
      <c r="X84" s="299"/>
      <c r="Y84" s="399"/>
    </row>
    <row r="85" spans="2:29" ht="21.75" customHeight="1" x14ac:dyDescent="0.2">
      <c r="B85" s="489" t="s">
        <v>109</v>
      </c>
      <c r="C85" s="490"/>
      <c r="D85" s="490"/>
      <c r="E85" s="490"/>
      <c r="F85" s="490"/>
      <c r="G85" s="491"/>
      <c r="H85" s="495">
        <f>G37</f>
        <v>0</v>
      </c>
      <c r="I85" s="496"/>
      <c r="J85" s="497"/>
      <c r="K85" s="392"/>
      <c r="L85" s="393"/>
      <c r="M85" s="394"/>
      <c r="N85" s="495">
        <f>M37</f>
        <v>0</v>
      </c>
      <c r="O85" s="496"/>
      <c r="P85" s="497"/>
      <c r="Q85" s="392"/>
      <c r="R85" s="393"/>
      <c r="S85" s="393"/>
      <c r="T85" s="495">
        <f>S37</f>
        <v>0</v>
      </c>
      <c r="U85" s="496"/>
      <c r="V85" s="497"/>
      <c r="W85" s="392"/>
      <c r="X85" s="393"/>
      <c r="Y85" s="471"/>
    </row>
    <row r="86" spans="2:29" ht="12.75" customHeight="1" x14ac:dyDescent="0.2">
      <c r="B86" s="439" t="s">
        <v>110</v>
      </c>
      <c r="C86" s="299"/>
      <c r="D86" s="299"/>
      <c r="E86" s="299"/>
      <c r="F86" s="299"/>
      <c r="G86" s="288"/>
      <c r="H86" s="420">
        <f>IFERROR(H84/H85,0)</f>
        <v>0</v>
      </c>
      <c r="I86" s="421"/>
      <c r="J86" s="422"/>
      <c r="K86" s="379"/>
      <c r="L86" s="291"/>
      <c r="M86" s="380"/>
      <c r="N86" s="420">
        <f>IFERROR(N84/N85,0)</f>
        <v>0</v>
      </c>
      <c r="O86" s="421"/>
      <c r="P86" s="422"/>
      <c r="Q86" s="379"/>
      <c r="R86" s="291"/>
      <c r="S86" s="291"/>
      <c r="T86" s="420">
        <f>IFERROR(T84/T85,0)</f>
        <v>0</v>
      </c>
      <c r="U86" s="421"/>
      <c r="V86" s="422"/>
      <c r="W86" s="379"/>
      <c r="X86" s="291"/>
      <c r="Y86" s="538"/>
    </row>
    <row r="87" spans="2:29" x14ac:dyDescent="0.2">
      <c r="B87" s="439" t="s">
        <v>111</v>
      </c>
      <c r="C87" s="299"/>
      <c r="D87" s="299"/>
      <c r="E87" s="299"/>
      <c r="F87" s="299"/>
      <c r="G87" s="288"/>
      <c r="H87" s="492"/>
      <c r="I87" s="493"/>
      <c r="J87" s="494"/>
      <c r="K87" s="392"/>
      <c r="L87" s="393"/>
      <c r="M87" s="394"/>
      <c r="N87" s="492"/>
      <c r="O87" s="493"/>
      <c r="P87" s="494"/>
      <c r="Q87" s="392"/>
      <c r="R87" s="393"/>
      <c r="S87" s="393"/>
      <c r="T87" s="492"/>
      <c r="U87" s="493"/>
      <c r="V87" s="494"/>
      <c r="W87" s="392"/>
      <c r="X87" s="393"/>
      <c r="Y87" s="471"/>
    </row>
    <row r="88" spans="2:29" x14ac:dyDescent="0.2">
      <c r="B88" s="439" t="s">
        <v>28</v>
      </c>
      <c r="C88" s="299"/>
      <c r="D88" s="299"/>
      <c r="E88" s="299"/>
      <c r="F88" s="299"/>
      <c r="G88" s="288"/>
      <c r="H88" s="420">
        <f>H23</f>
        <v>0</v>
      </c>
      <c r="I88" s="421"/>
      <c r="J88" s="422"/>
      <c r="K88" s="398"/>
      <c r="L88" s="299"/>
      <c r="M88" s="288"/>
      <c r="N88" s="420">
        <f>O23</f>
        <v>0</v>
      </c>
      <c r="O88" s="421"/>
      <c r="P88" s="422"/>
      <c r="Q88" s="398"/>
      <c r="R88" s="299"/>
      <c r="S88" s="299"/>
      <c r="T88" s="420">
        <f>V23</f>
        <v>0</v>
      </c>
      <c r="U88" s="421"/>
      <c r="V88" s="422"/>
      <c r="W88" s="398"/>
      <c r="X88" s="299"/>
      <c r="Y88" s="399"/>
    </row>
    <row r="89" spans="2:29" x14ac:dyDescent="0.2">
      <c r="B89" s="439" t="s">
        <v>112</v>
      </c>
      <c r="C89" s="299"/>
      <c r="D89" s="299"/>
      <c r="E89" s="299"/>
      <c r="F89" s="299"/>
      <c r="G89" s="288"/>
      <c r="H89" s="420">
        <f>H87-H88</f>
        <v>0</v>
      </c>
      <c r="I89" s="421"/>
      <c r="J89" s="422"/>
      <c r="K89" s="398"/>
      <c r="L89" s="299"/>
      <c r="M89" s="288"/>
      <c r="N89" s="420">
        <f>N87-N88</f>
        <v>0</v>
      </c>
      <c r="O89" s="421"/>
      <c r="P89" s="422"/>
      <c r="Q89" s="398"/>
      <c r="R89" s="299"/>
      <c r="S89" s="299"/>
      <c r="T89" s="420">
        <f>T87-T88</f>
        <v>0</v>
      </c>
      <c r="U89" s="421"/>
      <c r="V89" s="422"/>
      <c r="W89" s="398"/>
      <c r="X89" s="299"/>
      <c r="Y89" s="399"/>
    </row>
    <row r="90" spans="2:29" x14ac:dyDescent="0.2">
      <c r="B90" s="439" t="s">
        <v>113</v>
      </c>
      <c r="C90" s="299"/>
      <c r="D90" s="299"/>
      <c r="E90" s="299"/>
      <c r="F90" s="299"/>
      <c r="G90" s="288"/>
      <c r="H90" s="384"/>
      <c r="I90" s="385"/>
      <c r="J90" s="386"/>
      <c r="K90" s="392"/>
      <c r="L90" s="393"/>
      <c r="M90" s="394"/>
      <c r="N90" s="384"/>
      <c r="O90" s="385"/>
      <c r="P90" s="386"/>
      <c r="Q90" s="392"/>
      <c r="R90" s="393"/>
      <c r="S90" s="393"/>
      <c r="T90" s="384"/>
      <c r="U90" s="385"/>
      <c r="V90" s="386"/>
      <c r="W90" s="392"/>
      <c r="X90" s="393"/>
      <c r="Y90" s="471"/>
    </row>
    <row r="91" spans="2:29" ht="13.5" thickBot="1" x14ac:dyDescent="0.25">
      <c r="B91" s="373" t="s">
        <v>114</v>
      </c>
      <c r="C91" s="374"/>
      <c r="D91" s="374"/>
      <c r="E91" s="374"/>
      <c r="F91" s="374"/>
      <c r="G91" s="375"/>
      <c r="H91" s="387">
        <f>IFERROR(T57/(N47*27*H86),0)</f>
        <v>0</v>
      </c>
      <c r="I91" s="388"/>
      <c r="J91" s="389"/>
      <c r="K91" s="418"/>
      <c r="L91" s="374"/>
      <c r="M91" s="375"/>
      <c r="N91" s="387">
        <f>IFERROR(T57/(N47*27*N86),0)</f>
        <v>0</v>
      </c>
      <c r="O91" s="388"/>
      <c r="P91" s="389"/>
      <c r="Q91" s="418"/>
      <c r="R91" s="374"/>
      <c r="S91" s="374"/>
      <c r="T91" s="387">
        <f>IFERROR(T57/(N47*27*T86),0)</f>
        <v>0</v>
      </c>
      <c r="U91" s="388"/>
      <c r="V91" s="389"/>
      <c r="W91" s="418"/>
      <c r="X91" s="374"/>
      <c r="Y91" s="419"/>
    </row>
    <row r="92" spans="2:29" ht="13.5" thickBot="1" x14ac:dyDescent="0.25">
      <c r="G92" s="1"/>
      <c r="H92" s="1"/>
      <c r="I92" s="1"/>
      <c r="J92" s="1"/>
      <c r="K92" s="1"/>
      <c r="L92" s="1"/>
      <c r="M92" s="20"/>
      <c r="N92" s="20"/>
      <c r="O92" s="20"/>
      <c r="P92" s="21"/>
      <c r="Q92" s="21"/>
      <c r="R92" s="21"/>
      <c r="S92" s="20"/>
      <c r="T92" s="20"/>
      <c r="U92" s="20"/>
      <c r="V92" s="21"/>
      <c r="W92" s="21"/>
      <c r="X92" s="21"/>
    </row>
    <row r="93" spans="2:29" ht="36" customHeight="1" x14ac:dyDescent="0.25">
      <c r="E93" s="309" t="s">
        <v>115</v>
      </c>
      <c r="F93" s="310"/>
      <c r="G93" s="310"/>
      <c r="H93" s="310"/>
      <c r="I93" s="310"/>
      <c r="J93" s="310"/>
      <c r="K93" s="310"/>
      <c r="L93" s="310"/>
      <c r="M93" s="310"/>
      <c r="N93" s="310"/>
      <c r="O93" s="310"/>
      <c r="P93" s="310"/>
      <c r="Q93" s="310"/>
      <c r="R93" s="310"/>
      <c r="S93" s="310"/>
      <c r="T93" s="310"/>
      <c r="U93" s="310"/>
      <c r="V93" s="310"/>
      <c r="W93" s="310"/>
      <c r="X93" s="310"/>
      <c r="Y93" s="311"/>
      <c r="Z93" s="9"/>
      <c r="AA93" s="9"/>
      <c r="AB93" s="9"/>
      <c r="AC93" s="9"/>
    </row>
    <row r="94" spans="2:29" ht="12.6" customHeight="1" x14ac:dyDescent="0.2">
      <c r="E94" s="11"/>
      <c r="F94" s="10"/>
      <c r="G94" s="12"/>
      <c r="H94" s="312" t="s">
        <v>116</v>
      </c>
      <c r="I94" s="313"/>
      <c r="J94" s="313"/>
      <c r="K94" s="313"/>
      <c r="L94" s="313"/>
      <c r="M94" s="324"/>
      <c r="N94" s="312" t="s">
        <v>97</v>
      </c>
      <c r="O94" s="313"/>
      <c r="P94" s="324"/>
      <c r="Q94" s="312" t="s">
        <v>117</v>
      </c>
      <c r="R94" s="313"/>
      <c r="S94" s="313"/>
      <c r="T94" s="313"/>
      <c r="U94" s="313"/>
      <c r="V94" s="313"/>
      <c r="W94" s="312" t="s">
        <v>97</v>
      </c>
      <c r="X94" s="313"/>
      <c r="Y94" s="314"/>
    </row>
    <row r="95" spans="2:29" ht="12.6" customHeight="1" x14ac:dyDescent="0.2">
      <c r="E95" s="13"/>
      <c r="H95" s="372" t="s">
        <v>118</v>
      </c>
      <c r="I95" s="316"/>
      <c r="J95" s="316"/>
      <c r="K95" s="316"/>
      <c r="L95" s="316"/>
      <c r="M95" s="317"/>
      <c r="N95" s="320" t="s">
        <v>119</v>
      </c>
      <c r="O95" s="321"/>
      <c r="P95" s="322"/>
      <c r="Q95" s="372" t="s">
        <v>120</v>
      </c>
      <c r="R95" s="316"/>
      <c r="S95" s="316"/>
      <c r="T95" s="316"/>
      <c r="U95" s="316"/>
      <c r="V95" s="316"/>
      <c r="W95" s="320" t="s">
        <v>102</v>
      </c>
      <c r="X95" s="321"/>
      <c r="Y95" s="323"/>
    </row>
    <row r="96" spans="2:29" ht="12.6" customHeight="1" x14ac:dyDescent="0.2">
      <c r="E96" s="315" t="s">
        <v>121</v>
      </c>
      <c r="F96" s="316"/>
      <c r="G96" s="317"/>
      <c r="H96" s="318" t="s">
        <v>122</v>
      </c>
      <c r="I96" s="319"/>
      <c r="J96" s="319"/>
      <c r="K96" s="319"/>
      <c r="L96" s="319"/>
      <c r="M96" s="319"/>
      <c r="N96" s="320" t="s">
        <v>12</v>
      </c>
      <c r="O96" s="321"/>
      <c r="P96" s="322"/>
      <c r="Q96" s="319" t="s">
        <v>122</v>
      </c>
      <c r="R96" s="319"/>
      <c r="S96" s="319"/>
      <c r="T96" s="319"/>
      <c r="U96" s="319"/>
      <c r="V96" s="319"/>
      <c r="W96" s="320" t="s">
        <v>101</v>
      </c>
      <c r="X96" s="321"/>
      <c r="Y96" s="323"/>
    </row>
    <row r="97" spans="1:25" ht="12.6" customHeight="1" x14ac:dyDescent="0.2">
      <c r="E97" s="390"/>
      <c r="F97" s="319"/>
      <c r="G97" s="391"/>
      <c r="H97" s="296" t="s">
        <v>123</v>
      </c>
      <c r="I97" s="296"/>
      <c r="J97" s="296"/>
      <c r="K97" s="296" t="s">
        <v>124</v>
      </c>
      <c r="L97" s="296"/>
      <c r="M97" s="296"/>
      <c r="N97" s="294" t="s">
        <v>17</v>
      </c>
      <c r="O97" s="294"/>
      <c r="P97" s="294"/>
      <c r="Q97" s="296" t="s">
        <v>123</v>
      </c>
      <c r="R97" s="296"/>
      <c r="S97" s="296"/>
      <c r="T97" s="296" t="s">
        <v>124</v>
      </c>
      <c r="U97" s="296"/>
      <c r="V97" s="296"/>
      <c r="W97" s="318" t="s">
        <v>17</v>
      </c>
      <c r="X97" s="319"/>
      <c r="Y97" s="346"/>
    </row>
    <row r="98" spans="1:25" ht="12.6" customHeight="1" x14ac:dyDescent="0.2">
      <c r="E98" s="498"/>
      <c r="F98" s="351"/>
      <c r="G98" s="351"/>
      <c r="H98" s="359"/>
      <c r="I98" s="359"/>
      <c r="J98" s="359"/>
      <c r="K98" s="328">
        <f>IFERROR(AVERAGE(H98:J100),0)</f>
        <v>0</v>
      </c>
      <c r="L98" s="329"/>
      <c r="M98" s="330"/>
      <c r="N98" s="351"/>
      <c r="O98" s="351"/>
      <c r="P98" s="351"/>
      <c r="Q98" s="359"/>
      <c r="R98" s="359"/>
      <c r="S98" s="359"/>
      <c r="T98" s="337">
        <f>IFERROR(AVERAGE(Q98:S100),0)</f>
        <v>0</v>
      </c>
      <c r="U98" s="338"/>
      <c r="V98" s="339"/>
      <c r="W98" s="350"/>
      <c r="X98" s="351"/>
      <c r="Y98" s="352"/>
    </row>
    <row r="99" spans="1:25" ht="12.6" customHeight="1" x14ac:dyDescent="0.2">
      <c r="E99" s="498"/>
      <c r="F99" s="351"/>
      <c r="G99" s="351"/>
      <c r="H99" s="359"/>
      <c r="I99" s="359"/>
      <c r="J99" s="359"/>
      <c r="K99" s="331"/>
      <c r="L99" s="332"/>
      <c r="M99" s="333"/>
      <c r="N99" s="351"/>
      <c r="O99" s="351"/>
      <c r="P99" s="351"/>
      <c r="Q99" s="359"/>
      <c r="R99" s="359"/>
      <c r="S99" s="359"/>
      <c r="T99" s="340"/>
      <c r="U99" s="341"/>
      <c r="V99" s="342"/>
      <c r="W99" s="350"/>
      <c r="X99" s="351"/>
      <c r="Y99" s="352"/>
    </row>
    <row r="100" spans="1:25" ht="12.6" customHeight="1" thickBot="1" x14ac:dyDescent="0.25">
      <c r="E100" s="360"/>
      <c r="F100" s="361"/>
      <c r="G100" s="361"/>
      <c r="H100" s="347"/>
      <c r="I100" s="348"/>
      <c r="J100" s="349"/>
      <c r="K100" s="334"/>
      <c r="L100" s="335"/>
      <c r="M100" s="336"/>
      <c r="N100" s="353"/>
      <c r="O100" s="354"/>
      <c r="P100" s="355"/>
      <c r="Q100" s="347"/>
      <c r="R100" s="348"/>
      <c r="S100" s="349"/>
      <c r="T100" s="343"/>
      <c r="U100" s="344"/>
      <c r="V100" s="345"/>
      <c r="W100" s="356"/>
      <c r="X100" s="354"/>
      <c r="Y100" s="357"/>
    </row>
    <row r="101" spans="1:25" ht="12.6" customHeight="1" x14ac:dyDescent="0.2">
      <c r="E101" s="502"/>
      <c r="F101" s="326"/>
      <c r="G101" s="326"/>
      <c r="H101" s="358"/>
      <c r="I101" s="358"/>
      <c r="J101" s="358"/>
      <c r="K101" s="328">
        <f>IFERROR(AVERAGE(H101:J103),0)</f>
        <v>0</v>
      </c>
      <c r="L101" s="329"/>
      <c r="M101" s="330"/>
      <c r="N101" s="326"/>
      <c r="O101" s="326"/>
      <c r="P101" s="326"/>
      <c r="Q101" s="358"/>
      <c r="R101" s="358"/>
      <c r="S101" s="358"/>
      <c r="T101" s="337">
        <f>IFERROR(AVERAGE(Q101:S103),0)</f>
        <v>0</v>
      </c>
      <c r="U101" s="338"/>
      <c r="V101" s="339"/>
      <c r="W101" s="325"/>
      <c r="X101" s="326"/>
      <c r="Y101" s="327"/>
    </row>
    <row r="102" spans="1:25" ht="12.6" customHeight="1" x14ac:dyDescent="0.2">
      <c r="E102" s="498"/>
      <c r="F102" s="351"/>
      <c r="G102" s="351"/>
      <c r="H102" s="359"/>
      <c r="I102" s="359"/>
      <c r="J102" s="359"/>
      <c r="K102" s="331"/>
      <c r="L102" s="332"/>
      <c r="M102" s="333"/>
      <c r="N102" s="351"/>
      <c r="O102" s="351"/>
      <c r="P102" s="351"/>
      <c r="Q102" s="359"/>
      <c r="R102" s="359"/>
      <c r="S102" s="359"/>
      <c r="T102" s="340"/>
      <c r="U102" s="341"/>
      <c r="V102" s="342"/>
      <c r="W102" s="350"/>
      <c r="X102" s="351"/>
      <c r="Y102" s="352"/>
    </row>
    <row r="103" spans="1:25" ht="12.6" customHeight="1" thickBot="1" x14ac:dyDescent="0.25">
      <c r="E103" s="360"/>
      <c r="F103" s="361"/>
      <c r="G103" s="361"/>
      <c r="H103" s="347"/>
      <c r="I103" s="348"/>
      <c r="J103" s="349"/>
      <c r="K103" s="334"/>
      <c r="L103" s="335"/>
      <c r="M103" s="336"/>
      <c r="N103" s="353"/>
      <c r="O103" s="354"/>
      <c r="P103" s="355"/>
      <c r="Q103" s="347"/>
      <c r="R103" s="348"/>
      <c r="S103" s="349"/>
      <c r="T103" s="343"/>
      <c r="U103" s="344"/>
      <c r="V103" s="345"/>
      <c r="W103" s="356"/>
      <c r="X103" s="354"/>
      <c r="Y103" s="357"/>
    </row>
    <row r="104" spans="1:25" ht="12.6" customHeight="1" x14ac:dyDescent="0.2">
      <c r="E104" s="502"/>
      <c r="F104" s="326"/>
      <c r="G104" s="326"/>
      <c r="H104" s="326"/>
      <c r="I104" s="326"/>
      <c r="J104" s="326"/>
      <c r="K104" s="328">
        <f>IFERROR(AVERAGE(H104:J106),0)</f>
        <v>0</v>
      </c>
      <c r="L104" s="329"/>
      <c r="M104" s="330"/>
      <c r="N104" s="326"/>
      <c r="O104" s="326"/>
      <c r="P104" s="326"/>
      <c r="Q104" s="326"/>
      <c r="R104" s="326"/>
      <c r="S104" s="326"/>
      <c r="T104" s="337">
        <f>IFERROR(AVERAGE(Q104:S106),0)</f>
        <v>0</v>
      </c>
      <c r="U104" s="338"/>
      <c r="V104" s="339"/>
      <c r="W104" s="325"/>
      <c r="X104" s="326"/>
      <c r="Y104" s="327"/>
    </row>
    <row r="105" spans="1:25" ht="12.6" customHeight="1" x14ac:dyDescent="0.2">
      <c r="E105" s="498"/>
      <c r="F105" s="351"/>
      <c r="G105" s="351"/>
      <c r="H105" s="392"/>
      <c r="I105" s="393"/>
      <c r="J105" s="394"/>
      <c r="K105" s="331"/>
      <c r="L105" s="332"/>
      <c r="M105" s="333"/>
      <c r="N105" s="392"/>
      <c r="O105" s="393"/>
      <c r="P105" s="394"/>
      <c r="Q105" s="392"/>
      <c r="R105" s="393"/>
      <c r="S105" s="394"/>
      <c r="T105" s="340"/>
      <c r="U105" s="341"/>
      <c r="V105" s="342"/>
      <c r="W105" s="499"/>
      <c r="X105" s="393"/>
      <c r="Y105" s="471"/>
    </row>
    <row r="106" spans="1:25" ht="12.6" customHeight="1" thickBot="1" x14ac:dyDescent="0.25">
      <c r="E106" s="360"/>
      <c r="F106" s="361"/>
      <c r="G106" s="361"/>
      <c r="H106" s="361"/>
      <c r="I106" s="361"/>
      <c r="J106" s="361"/>
      <c r="K106" s="334"/>
      <c r="L106" s="335"/>
      <c r="M106" s="336"/>
      <c r="N106" s="361"/>
      <c r="O106" s="361"/>
      <c r="P106" s="361"/>
      <c r="Q106" s="361"/>
      <c r="R106" s="361"/>
      <c r="S106" s="361"/>
      <c r="T106" s="343"/>
      <c r="U106" s="344"/>
      <c r="V106" s="345"/>
      <c r="W106" s="500"/>
      <c r="X106" s="361"/>
      <c r="Y106" s="501"/>
    </row>
    <row r="107" spans="1:25" ht="12.6" customHeight="1" x14ac:dyDescent="0.2">
      <c r="E107" s="503"/>
      <c r="F107" s="504"/>
      <c r="G107" s="505"/>
      <c r="H107" s="506"/>
      <c r="I107" s="483"/>
      <c r="J107" s="507"/>
      <c r="K107" s="328">
        <f>IFERROR(AVERAGE(H107:J109),0)</f>
        <v>0</v>
      </c>
      <c r="L107" s="329"/>
      <c r="M107" s="330"/>
      <c r="N107" s="506"/>
      <c r="O107" s="483"/>
      <c r="P107" s="507"/>
      <c r="Q107" s="506"/>
      <c r="R107" s="483"/>
      <c r="S107" s="507"/>
      <c r="T107" s="337">
        <f>IFERROR(AVERAGE(Q107:S109),0)</f>
        <v>0</v>
      </c>
      <c r="U107" s="338"/>
      <c r="V107" s="339"/>
      <c r="W107" s="506"/>
      <c r="X107" s="483"/>
      <c r="Y107" s="508"/>
    </row>
    <row r="108" spans="1:25" ht="12.6" customHeight="1" x14ac:dyDescent="0.2">
      <c r="E108" s="509"/>
      <c r="F108" s="510"/>
      <c r="G108" s="511"/>
      <c r="H108" s="392"/>
      <c r="I108" s="393"/>
      <c r="J108" s="394"/>
      <c r="K108" s="331"/>
      <c r="L108" s="332"/>
      <c r="M108" s="333"/>
      <c r="N108" s="392"/>
      <c r="O108" s="393"/>
      <c r="P108" s="394"/>
      <c r="Q108" s="392"/>
      <c r="R108" s="393"/>
      <c r="S108" s="394"/>
      <c r="T108" s="340"/>
      <c r="U108" s="341"/>
      <c r="V108" s="342"/>
      <c r="W108" s="392"/>
      <c r="X108" s="393"/>
      <c r="Y108" s="471"/>
    </row>
    <row r="109" spans="1:25" ht="12.6" customHeight="1" thickBot="1" x14ac:dyDescent="0.25">
      <c r="E109" s="512"/>
      <c r="F109" s="513"/>
      <c r="G109" s="514"/>
      <c r="H109" s="353"/>
      <c r="I109" s="354"/>
      <c r="J109" s="355"/>
      <c r="K109" s="334"/>
      <c r="L109" s="335"/>
      <c r="M109" s="336"/>
      <c r="N109" s="353"/>
      <c r="O109" s="354"/>
      <c r="P109" s="355"/>
      <c r="Q109" s="353"/>
      <c r="R109" s="354"/>
      <c r="S109" s="355"/>
      <c r="T109" s="343"/>
      <c r="U109" s="344"/>
      <c r="V109" s="345"/>
      <c r="W109" s="353"/>
      <c r="X109" s="354"/>
      <c r="Y109" s="357"/>
    </row>
    <row r="110" spans="1:25" ht="12.6" customHeight="1" x14ac:dyDescent="0.2">
      <c r="E110" s="502"/>
      <c r="F110" s="326"/>
      <c r="G110" s="326"/>
      <c r="H110" s="506"/>
      <c r="I110" s="483"/>
      <c r="J110" s="507"/>
      <c r="K110" s="328">
        <f>IFERROR(AVERAGE(H110:J112),0)</f>
        <v>0</v>
      </c>
      <c r="L110" s="329"/>
      <c r="M110" s="330"/>
      <c r="N110" s="506"/>
      <c r="O110" s="483"/>
      <c r="P110" s="507"/>
      <c r="Q110" s="506"/>
      <c r="R110" s="483"/>
      <c r="S110" s="507"/>
      <c r="T110" s="337">
        <f>IFERROR(AVERAGE(Q110:S112),0)</f>
        <v>0</v>
      </c>
      <c r="U110" s="338"/>
      <c r="V110" s="339"/>
      <c r="W110" s="527"/>
      <c r="X110" s="483"/>
      <c r="Y110" s="508"/>
    </row>
    <row r="111" spans="1:25" ht="12.6" customHeight="1" x14ac:dyDescent="0.2">
      <c r="A111" s="17"/>
      <c r="B111" s="17"/>
      <c r="C111" s="17"/>
      <c r="D111" s="17"/>
      <c r="E111" s="498"/>
      <c r="F111" s="351"/>
      <c r="G111" s="351"/>
      <c r="H111" s="351"/>
      <c r="I111" s="351"/>
      <c r="J111" s="351"/>
      <c r="K111" s="331"/>
      <c r="L111" s="332"/>
      <c r="M111" s="333"/>
      <c r="N111" s="351"/>
      <c r="O111" s="351"/>
      <c r="P111" s="351"/>
      <c r="Q111" s="392"/>
      <c r="R111" s="393"/>
      <c r="S111" s="394"/>
      <c r="T111" s="340"/>
      <c r="U111" s="341"/>
      <c r="V111" s="342"/>
      <c r="W111" s="350"/>
      <c r="X111" s="351"/>
      <c r="Y111" s="352"/>
    </row>
    <row r="112" spans="1:25" ht="12.6" customHeight="1" thickBot="1" x14ac:dyDescent="0.25">
      <c r="A112" s="17"/>
      <c r="B112" s="17"/>
      <c r="C112" s="17"/>
      <c r="D112" s="17"/>
      <c r="E112" s="360"/>
      <c r="F112" s="361"/>
      <c r="G112" s="361"/>
      <c r="H112" s="361"/>
      <c r="I112" s="361"/>
      <c r="J112" s="361"/>
      <c r="K112" s="334"/>
      <c r="L112" s="335"/>
      <c r="M112" s="336"/>
      <c r="N112" s="361"/>
      <c r="O112" s="361"/>
      <c r="P112" s="361"/>
      <c r="Q112" s="353"/>
      <c r="R112" s="354"/>
      <c r="S112" s="355"/>
      <c r="T112" s="343"/>
      <c r="U112" s="344"/>
      <c r="V112" s="345"/>
      <c r="W112" s="500"/>
      <c r="X112" s="361"/>
      <c r="Y112" s="501"/>
    </row>
    <row r="113" spans="1:33" ht="12.6" customHeight="1" x14ac:dyDescent="0.2">
      <c r="A113" s="17"/>
      <c r="B113" s="17"/>
      <c r="C113" s="17"/>
      <c r="D113" s="17"/>
      <c r="E113" s="502"/>
      <c r="F113" s="326"/>
      <c r="G113" s="326"/>
      <c r="H113" s="326"/>
      <c r="I113" s="326"/>
      <c r="J113" s="326"/>
      <c r="K113" s="515">
        <f>IFERROR(AVERAGE(H113:J114),0)</f>
        <v>0</v>
      </c>
      <c r="L113" s="516"/>
      <c r="M113" s="517"/>
      <c r="N113" s="326"/>
      <c r="O113" s="326"/>
      <c r="P113" s="326"/>
      <c r="Q113" s="326"/>
      <c r="R113" s="326"/>
      <c r="S113" s="326"/>
      <c r="T113" s="521">
        <f>IFERROR(AVERAGE(Q113:S114),0)</f>
        <v>0</v>
      </c>
      <c r="U113" s="522"/>
      <c r="V113" s="523"/>
      <c r="W113" s="325"/>
      <c r="X113" s="326"/>
      <c r="Y113" s="327"/>
    </row>
    <row r="114" spans="1:33" ht="12.6" customHeight="1" thickBot="1" x14ac:dyDescent="0.25">
      <c r="A114" s="17"/>
      <c r="B114" s="17"/>
      <c r="C114" s="17"/>
      <c r="D114" s="17"/>
      <c r="E114" s="360"/>
      <c r="F114" s="361"/>
      <c r="G114" s="361"/>
      <c r="H114" s="361"/>
      <c r="I114" s="361"/>
      <c r="J114" s="361"/>
      <c r="K114" s="518"/>
      <c r="L114" s="519"/>
      <c r="M114" s="520"/>
      <c r="N114" s="361"/>
      <c r="O114" s="361"/>
      <c r="P114" s="361"/>
      <c r="Q114" s="361"/>
      <c r="R114" s="361"/>
      <c r="S114" s="361"/>
      <c r="T114" s="524"/>
      <c r="U114" s="525"/>
      <c r="V114" s="526"/>
      <c r="W114" s="500"/>
      <c r="X114" s="361"/>
      <c r="Y114" s="501"/>
    </row>
    <row r="115" spans="1:33" ht="12.6" customHeight="1" x14ac:dyDescent="0.2">
      <c r="A115" s="17"/>
      <c r="B115" s="17"/>
      <c r="C115" s="17"/>
      <c r="D115" s="17"/>
      <c r="E115" s="177"/>
      <c r="F115" s="21"/>
      <c r="G115" s="21"/>
      <c r="H115" s="21"/>
      <c r="I115" s="21"/>
      <c r="J115" s="21"/>
      <c r="K115" s="178"/>
      <c r="L115" s="178"/>
      <c r="M115" s="178"/>
      <c r="N115" s="21"/>
      <c r="O115" s="21"/>
      <c r="P115" s="21"/>
      <c r="Q115" s="21"/>
      <c r="R115" s="21"/>
      <c r="S115" s="21"/>
      <c r="T115" s="200"/>
      <c r="U115" s="200"/>
      <c r="V115" s="200"/>
      <c r="W115" s="177"/>
      <c r="X115" s="21"/>
      <c r="Y115" s="21"/>
      <c r="AF115" s="167">
        <v>1</v>
      </c>
    </row>
    <row r="116" spans="1:33" x14ac:dyDescent="0.2">
      <c r="A116" s="17"/>
      <c r="B116" s="17"/>
      <c r="C116" s="17"/>
      <c r="D116" s="17"/>
      <c r="E116" s="177"/>
      <c r="F116" s="21"/>
      <c r="G116" s="21"/>
      <c r="H116" s="21"/>
      <c r="I116" s="21"/>
      <c r="J116" s="21"/>
      <c r="K116" s="178"/>
      <c r="L116" s="178"/>
      <c r="M116" s="178"/>
      <c r="N116" s="21"/>
      <c r="O116" s="21"/>
      <c r="P116" s="21"/>
      <c r="Q116" s="21"/>
      <c r="R116" s="21"/>
      <c r="S116" s="21"/>
      <c r="T116" s="200"/>
      <c r="U116" s="200"/>
      <c r="V116" s="200"/>
      <c r="W116" s="177"/>
      <c r="X116" s="21"/>
      <c r="Y116" s="21"/>
      <c r="AF116" s="167">
        <v>2</v>
      </c>
    </row>
    <row r="117" spans="1:33" x14ac:dyDescent="0.2">
      <c r="A117" s="179"/>
      <c r="B117" s="179"/>
      <c r="C117" s="278" t="s">
        <v>4755</v>
      </c>
      <c r="D117" s="278"/>
      <c r="E117" s="278"/>
      <c r="F117" s="278"/>
      <c r="G117" s="278"/>
      <c r="H117" s="278"/>
      <c r="I117" s="278"/>
      <c r="J117" s="278"/>
      <c r="K117" s="278"/>
      <c r="L117" s="278"/>
      <c r="M117" s="278"/>
      <c r="N117" s="278"/>
      <c r="O117" s="278"/>
      <c r="P117" s="278"/>
      <c r="Q117" s="278"/>
      <c r="R117" s="278"/>
      <c r="S117" s="278"/>
      <c r="T117" s="278"/>
      <c r="U117" s="278"/>
      <c r="V117" s="278"/>
      <c r="W117" s="278"/>
      <c r="X117" s="278"/>
      <c r="Y117" s="278"/>
      <c r="Z117" s="278"/>
      <c r="AA117" s="278"/>
      <c r="AB117" s="278"/>
      <c r="AF117" s="167">
        <v>3</v>
      </c>
    </row>
    <row r="118" spans="1:33" x14ac:dyDescent="0.2">
      <c r="A118" s="179"/>
      <c r="B118" s="179"/>
      <c r="C118" s="179"/>
      <c r="D118" s="179"/>
      <c r="E118" s="180"/>
      <c r="F118" s="201"/>
      <c r="G118" s="532" t="s">
        <v>125</v>
      </c>
      <c r="H118" s="532"/>
      <c r="I118" s="532"/>
      <c r="J118" s="532"/>
      <c r="K118" s="532"/>
      <c r="L118" s="532"/>
      <c r="M118" s="532"/>
      <c r="N118" s="532"/>
      <c r="O118" s="532"/>
      <c r="P118" s="532"/>
      <c r="Q118" s="532"/>
      <c r="R118" s="532"/>
      <c r="S118" s="532"/>
      <c r="T118" s="532"/>
      <c r="U118" s="532"/>
      <c r="V118" s="532"/>
      <c r="W118" s="532"/>
      <c r="X118" s="532"/>
      <c r="Y118" s="532"/>
      <c r="Z118" s="532"/>
      <c r="AA118" s="532"/>
      <c r="AB118" s="532"/>
      <c r="AF118" s="167">
        <v>4</v>
      </c>
    </row>
    <row r="119" spans="1:33" x14ac:dyDescent="0.2">
      <c r="A119" s="179"/>
      <c r="B119" s="179"/>
      <c r="C119" s="179"/>
      <c r="D119" s="179"/>
      <c r="E119" s="180"/>
      <c r="F119" s="201"/>
      <c r="G119" s="532" t="s">
        <v>126</v>
      </c>
      <c r="H119" s="532"/>
      <c r="I119" s="532"/>
      <c r="J119" s="532"/>
      <c r="K119" s="532"/>
      <c r="L119" s="532"/>
      <c r="M119" s="532"/>
      <c r="N119" s="532"/>
      <c r="O119" s="532"/>
      <c r="P119" s="532"/>
      <c r="Q119" s="532"/>
      <c r="R119" s="532"/>
      <c r="S119" s="532"/>
      <c r="T119" s="532"/>
      <c r="U119" s="532"/>
      <c r="V119" s="532"/>
      <c r="W119" s="532"/>
      <c r="X119" s="532"/>
      <c r="Y119" s="532"/>
      <c r="Z119" s="532"/>
      <c r="AA119" s="532"/>
      <c r="AB119" s="532"/>
    </row>
    <row r="120" spans="1:33" x14ac:dyDescent="0.2">
      <c r="A120" s="179"/>
      <c r="B120" s="278" t="s">
        <v>127</v>
      </c>
      <c r="C120" s="279"/>
      <c r="D120" s="279"/>
      <c r="E120" s="279"/>
      <c r="F120" s="283"/>
      <c r="G120" s="284"/>
      <c r="H120" s="201"/>
      <c r="I120" s="533"/>
      <c r="J120" s="534"/>
      <c r="K120" s="534"/>
      <c r="L120" s="534"/>
      <c r="M120" s="534"/>
      <c r="N120" s="534"/>
      <c r="O120" s="534"/>
      <c r="P120" s="534"/>
      <c r="Q120" s="534"/>
      <c r="R120" s="534"/>
      <c r="S120" s="534"/>
      <c r="T120" s="534"/>
      <c r="U120" s="534"/>
      <c r="V120" s="534"/>
      <c r="W120" s="534"/>
      <c r="X120" s="534"/>
      <c r="Y120" s="534"/>
      <c r="Z120" s="534"/>
      <c r="AA120" s="534"/>
      <c r="AB120" s="534"/>
    </row>
    <row r="121" spans="1:33" x14ac:dyDescent="0.2">
      <c r="A121" s="179"/>
      <c r="B121" s="278" t="s">
        <v>128</v>
      </c>
      <c r="C121" s="279"/>
      <c r="D121" s="279"/>
      <c r="E121" s="279"/>
      <c r="F121" s="283"/>
      <c r="G121" s="284"/>
      <c r="H121" s="201"/>
      <c r="I121" s="534"/>
      <c r="J121" s="534"/>
      <c r="K121" s="534"/>
      <c r="L121" s="534"/>
      <c r="M121" s="534"/>
      <c r="N121" s="534"/>
      <c r="O121" s="534"/>
      <c r="P121" s="534"/>
      <c r="Q121" s="534"/>
      <c r="R121" s="534"/>
      <c r="S121" s="534"/>
      <c r="T121" s="534"/>
      <c r="U121" s="534"/>
      <c r="V121" s="534"/>
      <c r="W121" s="534"/>
      <c r="X121" s="534"/>
      <c r="Y121" s="534"/>
      <c r="Z121" s="534"/>
      <c r="AA121" s="534"/>
      <c r="AB121" s="534"/>
    </row>
    <row r="122" spans="1:33" x14ac:dyDescent="0.2">
      <c r="A122" s="179"/>
      <c r="B122" s="278" t="s">
        <v>129</v>
      </c>
      <c r="C122" s="279"/>
      <c r="D122" s="279"/>
      <c r="E122" s="279"/>
      <c r="F122" s="283"/>
      <c r="G122" s="284"/>
      <c r="H122" s="201"/>
      <c r="I122" s="534"/>
      <c r="J122" s="534"/>
      <c r="K122" s="534"/>
      <c r="L122" s="534"/>
      <c r="M122" s="534"/>
      <c r="N122" s="534"/>
      <c r="O122" s="534"/>
      <c r="P122" s="534"/>
      <c r="Q122" s="534"/>
      <c r="R122" s="534"/>
      <c r="S122" s="534"/>
      <c r="T122" s="534"/>
      <c r="U122" s="534"/>
      <c r="V122" s="534"/>
      <c r="W122" s="534"/>
      <c r="X122" s="534"/>
      <c r="Y122" s="534"/>
      <c r="Z122" s="534"/>
      <c r="AA122" s="534"/>
      <c r="AB122" s="534"/>
    </row>
    <row r="123" spans="1:33" x14ac:dyDescent="0.2">
      <c r="A123" s="179"/>
      <c r="B123" s="278" t="s">
        <v>130</v>
      </c>
      <c r="C123" s="279"/>
      <c r="D123" s="279"/>
      <c r="E123" s="279"/>
      <c r="F123" s="283"/>
      <c r="G123" s="284"/>
      <c r="H123" s="201"/>
      <c r="I123" s="534"/>
      <c r="J123" s="534"/>
      <c r="K123" s="534"/>
      <c r="L123" s="534"/>
      <c r="M123" s="534"/>
      <c r="N123" s="534"/>
      <c r="O123" s="534"/>
      <c r="P123" s="534"/>
      <c r="Q123" s="534"/>
      <c r="R123" s="534"/>
      <c r="S123" s="534"/>
      <c r="T123" s="534"/>
      <c r="U123" s="534"/>
      <c r="V123" s="534"/>
      <c r="W123" s="534"/>
      <c r="X123" s="534"/>
      <c r="Y123" s="534"/>
      <c r="Z123" s="534"/>
      <c r="AA123" s="534"/>
      <c r="AB123" s="534"/>
    </row>
    <row r="124" spans="1:33" x14ac:dyDescent="0.2">
      <c r="A124" s="179"/>
      <c r="B124" s="278" t="s">
        <v>131</v>
      </c>
      <c r="C124" s="279"/>
      <c r="D124" s="279"/>
      <c r="E124" s="279"/>
      <c r="F124" s="285">
        <f>(F120+F121+F122+F123)/4</f>
        <v>0</v>
      </c>
      <c r="G124" s="285"/>
      <c r="H124" s="201"/>
      <c r="I124" s="534"/>
      <c r="J124" s="534"/>
      <c r="K124" s="534"/>
      <c r="L124" s="534"/>
      <c r="M124" s="534"/>
      <c r="N124" s="534"/>
      <c r="O124" s="534"/>
      <c r="P124" s="534"/>
      <c r="Q124" s="534"/>
      <c r="R124" s="534"/>
      <c r="S124" s="534"/>
      <c r="T124" s="534"/>
      <c r="U124" s="534"/>
      <c r="V124" s="534"/>
      <c r="W124" s="534"/>
      <c r="X124" s="534"/>
      <c r="Y124" s="534"/>
      <c r="Z124" s="534"/>
      <c r="AA124" s="534"/>
      <c r="AB124" s="534"/>
    </row>
    <row r="125" spans="1:33" x14ac:dyDescent="0.2">
      <c r="A125" s="179"/>
      <c r="B125" s="179"/>
      <c r="C125" s="179"/>
      <c r="D125" s="179"/>
      <c r="E125" s="180"/>
      <c r="F125" s="201"/>
      <c r="G125" s="201"/>
      <c r="H125" s="201"/>
      <c r="I125" s="534"/>
      <c r="J125" s="534"/>
      <c r="K125" s="534"/>
      <c r="L125" s="534"/>
      <c r="M125" s="534"/>
      <c r="N125" s="534"/>
      <c r="O125" s="534"/>
      <c r="P125" s="534"/>
      <c r="Q125" s="534"/>
      <c r="R125" s="534"/>
      <c r="S125" s="534"/>
      <c r="T125" s="534"/>
      <c r="U125" s="534"/>
      <c r="V125" s="534"/>
      <c r="W125" s="534"/>
      <c r="X125" s="534"/>
      <c r="Y125" s="534"/>
      <c r="Z125" s="534"/>
      <c r="AA125" s="534"/>
      <c r="AB125" s="534"/>
      <c r="AG125" s="183">
        <v>0</v>
      </c>
    </row>
    <row r="126" spans="1:33" s="167" customFormat="1" x14ac:dyDescent="0.2">
      <c r="A126" s="179"/>
      <c r="B126" s="179"/>
      <c r="C126" s="179"/>
      <c r="D126" s="179"/>
      <c r="E126" s="180"/>
      <c r="F126" s="201"/>
      <c r="G126" s="201"/>
      <c r="H126" s="201"/>
      <c r="I126" s="534"/>
      <c r="J126" s="534"/>
      <c r="K126" s="534"/>
      <c r="L126" s="534"/>
      <c r="M126" s="534"/>
      <c r="N126" s="534"/>
      <c r="O126" s="534"/>
      <c r="P126" s="534"/>
      <c r="Q126" s="534"/>
      <c r="R126" s="534"/>
      <c r="S126" s="534"/>
      <c r="T126" s="534"/>
      <c r="U126" s="534"/>
      <c r="V126" s="534"/>
      <c r="W126" s="534"/>
      <c r="X126" s="534"/>
      <c r="Y126" s="534"/>
      <c r="Z126" s="534"/>
      <c r="AA126" s="534"/>
      <c r="AB126" s="534"/>
      <c r="AC126"/>
      <c r="AG126" s="183">
        <v>0.25</v>
      </c>
    </row>
    <row r="127" spans="1:33" s="167" customFormat="1" x14ac:dyDescent="0.2">
      <c r="A127" s="179"/>
      <c r="B127" s="179"/>
      <c r="C127" s="179"/>
      <c r="D127" s="179"/>
      <c r="E127" s="180"/>
      <c r="F127" s="201"/>
      <c r="G127" s="201"/>
      <c r="H127" s="201"/>
      <c r="I127" s="534"/>
      <c r="J127" s="534"/>
      <c r="K127" s="534"/>
      <c r="L127" s="534"/>
      <c r="M127" s="534"/>
      <c r="N127" s="534"/>
      <c r="O127" s="534"/>
      <c r="P127" s="534"/>
      <c r="Q127" s="534"/>
      <c r="R127" s="534"/>
      <c r="S127" s="534"/>
      <c r="T127" s="534"/>
      <c r="U127" s="534"/>
      <c r="V127" s="534"/>
      <c r="W127" s="534"/>
      <c r="X127" s="534"/>
      <c r="Y127" s="534"/>
      <c r="Z127" s="534"/>
      <c r="AA127" s="534"/>
      <c r="AB127" s="534"/>
      <c r="AC127"/>
      <c r="AG127" s="183">
        <v>0.5</v>
      </c>
    </row>
    <row r="128" spans="1:33" s="167" customFormat="1" x14ac:dyDescent="0.2">
      <c r="A128" s="179"/>
      <c r="B128" s="179"/>
      <c r="C128" s="179"/>
      <c r="D128" s="179"/>
      <c r="E128" s="180"/>
      <c r="F128" s="201"/>
      <c r="G128" s="201"/>
      <c r="H128" s="201"/>
      <c r="I128" s="534"/>
      <c r="J128" s="534"/>
      <c r="K128" s="534"/>
      <c r="L128" s="534"/>
      <c r="M128" s="534"/>
      <c r="N128" s="534"/>
      <c r="O128" s="534"/>
      <c r="P128" s="534"/>
      <c r="Q128" s="534"/>
      <c r="R128" s="534"/>
      <c r="S128" s="534"/>
      <c r="T128" s="534"/>
      <c r="U128" s="534"/>
      <c r="V128" s="534"/>
      <c r="W128" s="534"/>
      <c r="X128" s="534"/>
      <c r="Y128" s="534"/>
      <c r="Z128" s="534"/>
      <c r="AA128" s="534"/>
      <c r="AB128" s="534"/>
      <c r="AC128"/>
      <c r="AG128" s="183">
        <v>0.75</v>
      </c>
    </row>
    <row r="129" spans="1:33" s="167" customFormat="1" x14ac:dyDescent="0.2">
      <c r="A129" s="179"/>
      <c r="B129" s="179"/>
      <c r="C129" s="179"/>
      <c r="D129" s="179"/>
      <c r="E129" s="180"/>
      <c r="F129" s="201"/>
      <c r="G129" s="201"/>
      <c r="H129" s="201"/>
      <c r="I129" s="534"/>
      <c r="J129" s="534"/>
      <c r="K129" s="534"/>
      <c r="L129" s="534"/>
      <c r="M129" s="534"/>
      <c r="N129" s="534"/>
      <c r="O129" s="534"/>
      <c r="P129" s="534"/>
      <c r="Q129" s="534"/>
      <c r="R129" s="534"/>
      <c r="S129" s="534"/>
      <c r="T129" s="534"/>
      <c r="U129" s="534"/>
      <c r="V129" s="534"/>
      <c r="W129" s="534"/>
      <c r="X129" s="534"/>
      <c r="Y129" s="534"/>
      <c r="Z129" s="534"/>
      <c r="AA129" s="534"/>
      <c r="AB129" s="534"/>
      <c r="AC129"/>
      <c r="AG129" s="183">
        <v>1</v>
      </c>
    </row>
    <row r="130" spans="1:33" s="167" customFormat="1" x14ac:dyDescent="0.2">
      <c r="A130" s="179"/>
      <c r="B130" s="179"/>
      <c r="C130" s="179"/>
      <c r="D130" s="179"/>
      <c r="E130" s="180"/>
      <c r="F130" s="201"/>
      <c r="G130" s="201"/>
      <c r="H130" s="201"/>
      <c r="I130" s="534"/>
      <c r="J130" s="534"/>
      <c r="K130" s="534"/>
      <c r="L130" s="534"/>
      <c r="M130" s="534"/>
      <c r="N130" s="534"/>
      <c r="O130" s="534"/>
      <c r="P130" s="534"/>
      <c r="Q130" s="534"/>
      <c r="R130" s="534"/>
      <c r="S130" s="534"/>
      <c r="T130" s="534"/>
      <c r="U130" s="534"/>
      <c r="V130" s="534"/>
      <c r="W130" s="534"/>
      <c r="X130" s="534"/>
      <c r="Y130" s="534"/>
      <c r="Z130" s="534"/>
      <c r="AA130" s="534"/>
      <c r="AB130" s="534"/>
      <c r="AC130"/>
      <c r="AG130" s="183">
        <v>1.25</v>
      </c>
    </row>
    <row r="131" spans="1:33" s="167" customFormat="1" x14ac:dyDescent="0.2">
      <c r="A131" s="179"/>
      <c r="B131" s="179"/>
      <c r="C131" s="179"/>
      <c r="D131" s="179"/>
      <c r="E131" s="180"/>
      <c r="F131" s="201"/>
      <c r="G131" s="201"/>
      <c r="H131" s="201"/>
      <c r="I131" s="534"/>
      <c r="J131" s="534"/>
      <c r="K131" s="534"/>
      <c r="L131" s="534"/>
      <c r="M131" s="534"/>
      <c r="N131" s="534"/>
      <c r="O131" s="534"/>
      <c r="P131" s="534"/>
      <c r="Q131" s="534"/>
      <c r="R131" s="534"/>
      <c r="S131" s="534"/>
      <c r="T131" s="534"/>
      <c r="U131" s="534"/>
      <c r="V131" s="534"/>
      <c r="W131" s="534"/>
      <c r="X131" s="534"/>
      <c r="Y131" s="534"/>
      <c r="Z131" s="534"/>
      <c r="AA131" s="534"/>
      <c r="AB131" s="534"/>
      <c r="AC131"/>
      <c r="AG131" s="183">
        <v>1.5</v>
      </c>
    </row>
    <row r="132" spans="1:33" s="167" customFormat="1" x14ac:dyDescent="0.2">
      <c r="A132" s="179"/>
      <c r="B132" s="179"/>
      <c r="C132" s="179"/>
      <c r="D132" s="179"/>
      <c r="E132" s="180"/>
      <c r="F132" s="201"/>
      <c r="G132" s="201"/>
      <c r="H132" s="201"/>
      <c r="I132" s="534"/>
      <c r="J132" s="534"/>
      <c r="K132" s="534"/>
      <c r="L132" s="534"/>
      <c r="M132" s="534"/>
      <c r="N132" s="534"/>
      <c r="O132" s="534"/>
      <c r="P132" s="534"/>
      <c r="Q132" s="534"/>
      <c r="R132" s="534"/>
      <c r="S132" s="534"/>
      <c r="T132" s="534"/>
      <c r="U132" s="534"/>
      <c r="V132" s="534"/>
      <c r="W132" s="534"/>
      <c r="X132" s="534"/>
      <c r="Y132" s="534"/>
      <c r="Z132" s="534"/>
      <c r="AA132" s="534"/>
      <c r="AB132" s="534"/>
      <c r="AC132"/>
    </row>
    <row r="133" spans="1:33" s="167" customFormat="1" x14ac:dyDescent="0.2">
      <c r="A133" s="179"/>
      <c r="B133" s="179"/>
      <c r="C133" s="179"/>
      <c r="D133" s="179"/>
      <c r="E133" s="180"/>
      <c r="F133" s="201"/>
      <c r="G133" s="201"/>
      <c r="H133" s="201"/>
      <c r="I133" s="534"/>
      <c r="J133" s="534"/>
      <c r="K133" s="534"/>
      <c r="L133" s="534"/>
      <c r="M133" s="534"/>
      <c r="N133" s="534"/>
      <c r="O133" s="534"/>
      <c r="P133" s="534"/>
      <c r="Q133" s="534"/>
      <c r="R133" s="534"/>
      <c r="S133" s="534"/>
      <c r="T133" s="534"/>
      <c r="U133" s="534"/>
      <c r="V133" s="534"/>
      <c r="W133" s="534"/>
      <c r="X133" s="534"/>
      <c r="Y133" s="534"/>
      <c r="Z133" s="534"/>
      <c r="AA133" s="534"/>
      <c r="AB133" s="534"/>
      <c r="AC133"/>
    </row>
    <row r="134" spans="1:33" s="167" customFormat="1" x14ac:dyDescent="0.2">
      <c r="A134" s="179"/>
      <c r="B134" s="179"/>
      <c r="C134" s="179"/>
      <c r="D134" s="179"/>
      <c r="E134" s="180"/>
      <c r="F134" s="201"/>
      <c r="G134" s="201"/>
      <c r="H134" s="201"/>
      <c r="I134" s="534"/>
      <c r="J134" s="534"/>
      <c r="K134" s="534"/>
      <c r="L134" s="534"/>
      <c r="M134" s="534"/>
      <c r="N134" s="534"/>
      <c r="O134" s="534"/>
      <c r="P134" s="534"/>
      <c r="Q134" s="534"/>
      <c r="R134" s="534"/>
      <c r="S134" s="534"/>
      <c r="T134" s="534"/>
      <c r="U134" s="534"/>
      <c r="V134" s="534"/>
      <c r="W134" s="534"/>
      <c r="X134" s="534"/>
      <c r="Y134" s="534"/>
      <c r="Z134" s="534"/>
      <c r="AA134" s="534"/>
      <c r="AB134" s="534"/>
      <c r="AC134"/>
    </row>
    <row r="135" spans="1:33" s="167" customFormat="1" x14ac:dyDescent="0.2">
      <c r="A135" s="179"/>
      <c r="B135" s="179"/>
      <c r="C135" s="179"/>
      <c r="D135" s="179"/>
      <c r="E135" s="180"/>
      <c r="F135" s="201"/>
      <c r="G135" s="201"/>
      <c r="H135" s="201"/>
      <c r="I135" s="534"/>
      <c r="J135" s="534"/>
      <c r="K135" s="534"/>
      <c r="L135" s="534"/>
      <c r="M135" s="534"/>
      <c r="N135" s="534"/>
      <c r="O135" s="534"/>
      <c r="P135" s="534"/>
      <c r="Q135" s="534"/>
      <c r="R135" s="534"/>
      <c r="S135" s="534"/>
      <c r="T135" s="534"/>
      <c r="U135" s="534"/>
      <c r="V135" s="534"/>
      <c r="W135" s="534"/>
      <c r="X135" s="534"/>
      <c r="Y135" s="534"/>
      <c r="Z135" s="534"/>
      <c r="AA135" s="534"/>
      <c r="AB135" s="534"/>
      <c r="AC135"/>
    </row>
    <row r="136" spans="1:33" s="167" customFormat="1" x14ac:dyDescent="0.2">
      <c r="A136" s="179"/>
      <c r="B136" s="179"/>
      <c r="C136" s="179"/>
      <c r="D136" s="179"/>
      <c r="E136" s="180"/>
      <c r="F136" s="201"/>
      <c r="G136" s="201"/>
      <c r="H136" s="201"/>
      <c r="I136" s="534"/>
      <c r="J136" s="534"/>
      <c r="K136" s="534"/>
      <c r="L136" s="534"/>
      <c r="M136" s="534"/>
      <c r="N136" s="534"/>
      <c r="O136" s="534"/>
      <c r="P136" s="534"/>
      <c r="Q136" s="534"/>
      <c r="R136" s="534"/>
      <c r="S136" s="534"/>
      <c r="T136" s="534"/>
      <c r="U136" s="534"/>
      <c r="V136" s="534"/>
      <c r="W136" s="534"/>
      <c r="X136" s="534"/>
      <c r="Y136" s="534"/>
      <c r="Z136" s="534"/>
      <c r="AA136" s="534"/>
      <c r="AB136" s="534"/>
      <c r="AC136"/>
    </row>
    <row r="137" spans="1:33" s="167" customFormat="1" x14ac:dyDescent="0.2">
      <c r="A137" s="179"/>
      <c r="B137" s="179"/>
      <c r="C137" s="179"/>
      <c r="D137" s="179"/>
      <c r="E137" s="180"/>
      <c r="F137" s="201"/>
      <c r="G137" s="201"/>
      <c r="H137" s="201"/>
      <c r="I137" s="534"/>
      <c r="J137" s="534"/>
      <c r="K137" s="534"/>
      <c r="L137" s="534"/>
      <c r="M137" s="534"/>
      <c r="N137" s="534"/>
      <c r="O137" s="534"/>
      <c r="P137" s="534"/>
      <c r="Q137" s="534"/>
      <c r="R137" s="534"/>
      <c r="S137" s="534"/>
      <c r="T137" s="534"/>
      <c r="U137" s="534"/>
      <c r="V137" s="534"/>
      <c r="W137" s="534"/>
      <c r="X137" s="534"/>
      <c r="Y137" s="534"/>
      <c r="Z137" s="534"/>
      <c r="AA137" s="534"/>
      <c r="AB137" s="534"/>
      <c r="AC137"/>
    </row>
    <row r="138" spans="1:33" s="167" customFormat="1" x14ac:dyDescent="0.2">
      <c r="A138" s="179"/>
      <c r="B138" s="179"/>
      <c r="C138" s="179"/>
      <c r="D138" s="179"/>
      <c r="E138" s="180"/>
      <c r="F138" s="201"/>
      <c r="G138" s="201"/>
      <c r="H138" s="201"/>
      <c r="I138" s="534"/>
      <c r="J138" s="534"/>
      <c r="K138" s="534"/>
      <c r="L138" s="534"/>
      <c r="M138" s="534"/>
      <c r="N138" s="534"/>
      <c r="O138" s="534"/>
      <c r="P138" s="534"/>
      <c r="Q138" s="534"/>
      <c r="R138" s="534"/>
      <c r="S138" s="534"/>
      <c r="T138" s="534"/>
      <c r="U138" s="534"/>
      <c r="V138" s="534"/>
      <c r="W138" s="534"/>
      <c r="X138" s="534"/>
      <c r="Y138" s="534"/>
      <c r="Z138" s="534"/>
      <c r="AA138" s="534"/>
      <c r="AB138" s="534"/>
      <c r="AC138"/>
    </row>
    <row r="139" spans="1:33" s="167" customFormat="1" x14ac:dyDescent="0.2">
      <c r="A139" s="179"/>
      <c r="B139" s="179"/>
      <c r="C139" s="179"/>
      <c r="D139" s="179"/>
      <c r="E139" s="180"/>
      <c r="F139" s="201"/>
      <c r="G139" s="201"/>
      <c r="H139" s="201"/>
      <c r="I139" s="534"/>
      <c r="J139" s="534"/>
      <c r="K139" s="534"/>
      <c r="L139" s="534"/>
      <c r="M139" s="534"/>
      <c r="N139" s="534"/>
      <c r="O139" s="534"/>
      <c r="P139" s="534"/>
      <c r="Q139" s="534"/>
      <c r="R139" s="534"/>
      <c r="S139" s="534"/>
      <c r="T139" s="534"/>
      <c r="U139" s="534"/>
      <c r="V139" s="534"/>
      <c r="W139" s="534"/>
      <c r="X139" s="534"/>
      <c r="Y139" s="534"/>
      <c r="Z139" s="534"/>
      <c r="AA139" s="534"/>
      <c r="AB139" s="534"/>
      <c r="AC139"/>
    </row>
    <row r="140" spans="1:33" s="167" customFormat="1" x14ac:dyDescent="0.2">
      <c r="A140" s="179"/>
      <c r="B140" s="179"/>
      <c r="C140" s="179"/>
      <c r="D140" s="179"/>
      <c r="E140" s="180"/>
      <c r="F140" s="201"/>
      <c r="G140" s="201"/>
      <c r="H140" s="201"/>
      <c r="I140" s="534"/>
      <c r="J140" s="534"/>
      <c r="K140" s="534"/>
      <c r="L140" s="534"/>
      <c r="M140" s="534"/>
      <c r="N140" s="534"/>
      <c r="O140" s="534"/>
      <c r="P140" s="534"/>
      <c r="Q140" s="534"/>
      <c r="R140" s="534"/>
      <c r="S140" s="534"/>
      <c r="T140" s="534"/>
      <c r="U140" s="534"/>
      <c r="V140" s="534"/>
      <c r="W140" s="534"/>
      <c r="X140" s="534"/>
      <c r="Y140" s="534"/>
      <c r="Z140" s="534"/>
      <c r="AA140" s="534"/>
      <c r="AB140" s="534"/>
      <c r="AC140"/>
    </row>
    <row r="141" spans="1:33" s="167" customFormat="1" x14ac:dyDescent="0.2">
      <c r="A141" s="179"/>
      <c r="B141" s="179"/>
      <c r="C141" s="179"/>
      <c r="D141" s="179"/>
      <c r="E141" s="180"/>
      <c r="F141" s="201"/>
      <c r="G141" s="201"/>
      <c r="H141" s="201"/>
      <c r="I141" s="201"/>
      <c r="J141" s="201"/>
      <c r="K141" s="181"/>
      <c r="L141" s="181"/>
      <c r="M141" s="181"/>
      <c r="N141" s="201"/>
      <c r="O141" s="201"/>
      <c r="P141" s="201"/>
      <c r="Q141" s="201"/>
      <c r="R141" s="201"/>
      <c r="S141" s="201"/>
      <c r="T141" s="182"/>
      <c r="U141" s="182"/>
      <c r="V141" s="182"/>
      <c r="W141" s="180"/>
      <c r="X141" s="201"/>
      <c r="Y141" s="201"/>
      <c r="Z141" s="179"/>
      <c r="AA141" s="179"/>
      <c r="AB141" s="179"/>
      <c r="AC141"/>
    </row>
    <row r="142" spans="1:33" s="167" customFormat="1" ht="15" x14ac:dyDescent="0.2">
      <c r="A142" s="179"/>
      <c r="B142" s="179"/>
      <c r="C142" s="286" t="s">
        <v>132</v>
      </c>
      <c r="D142" s="286"/>
      <c r="E142" s="286"/>
      <c r="F142" s="286"/>
      <c r="G142" s="286"/>
      <c r="H142" s="286"/>
      <c r="I142" s="286"/>
      <c r="J142" s="286"/>
      <c r="K142" s="286"/>
      <c r="L142" s="286"/>
      <c r="M142" s="286"/>
      <c r="N142" s="286"/>
      <c r="O142" s="286"/>
      <c r="P142" s="286"/>
      <c r="Q142" s="286"/>
      <c r="R142" s="286"/>
      <c r="S142" s="286"/>
      <c r="T142" s="286"/>
      <c r="U142" s="286"/>
      <c r="V142" s="286"/>
      <c r="W142" s="286"/>
      <c r="X142" s="286"/>
      <c r="Y142" s="286"/>
      <c r="Z142" s="286"/>
      <c r="AA142" s="286"/>
      <c r="AB142" s="286"/>
      <c r="AC142"/>
    </row>
    <row r="143" spans="1:33" s="167" customFormat="1" x14ac:dyDescent="0.2">
      <c r="A143" s="179"/>
      <c r="B143" s="179"/>
      <c r="C143" s="179"/>
      <c r="D143" s="179"/>
      <c r="E143" s="180"/>
      <c r="F143" s="201"/>
      <c r="G143" s="201"/>
      <c r="H143" s="201"/>
      <c r="I143" s="201"/>
      <c r="J143" s="201"/>
      <c r="K143" s="181"/>
      <c r="L143" s="181"/>
      <c r="M143" s="181"/>
      <c r="N143" s="201"/>
      <c r="O143" s="201"/>
      <c r="P143" s="201"/>
      <c r="Q143" s="201"/>
      <c r="R143" s="201"/>
      <c r="S143" s="201"/>
      <c r="T143" s="182"/>
      <c r="U143" s="182"/>
      <c r="V143" s="182"/>
      <c r="W143" s="180"/>
      <c r="X143" s="201"/>
      <c r="Y143" s="201"/>
      <c r="Z143" s="179"/>
      <c r="AA143" s="179"/>
      <c r="AB143" s="179"/>
      <c r="AC143"/>
    </row>
    <row r="144" spans="1:33" s="167" customFormat="1" x14ac:dyDescent="0.2">
      <c r="A144" s="179"/>
      <c r="B144" s="179"/>
      <c r="C144" s="179"/>
      <c r="D144" s="179"/>
      <c r="E144" s="180"/>
      <c r="F144" s="201"/>
      <c r="G144" s="201"/>
      <c r="H144" s="201"/>
      <c r="I144" s="201"/>
      <c r="J144" s="201"/>
      <c r="K144" s="181"/>
      <c r="L144" s="181"/>
      <c r="M144" s="181"/>
      <c r="N144" s="201"/>
      <c r="O144" s="201"/>
      <c r="P144" s="201"/>
      <c r="Q144" s="201"/>
      <c r="R144" s="201"/>
      <c r="S144" s="201"/>
      <c r="T144" s="182"/>
      <c r="U144" s="182"/>
      <c r="V144" s="182"/>
      <c r="W144" s="180"/>
      <c r="X144" s="201"/>
      <c r="Y144" s="201"/>
      <c r="Z144" s="179"/>
      <c r="AA144" s="179"/>
      <c r="AB144" s="179"/>
      <c r="AC144"/>
    </row>
    <row r="145" spans="1:29" s="167" customFormat="1" x14ac:dyDescent="0.2">
      <c r="A145" s="179"/>
      <c r="B145" s="179"/>
      <c r="C145" s="278" t="s">
        <v>127</v>
      </c>
      <c r="D145" s="279"/>
      <c r="E145" s="279"/>
      <c r="F145" s="279"/>
      <c r="G145" s="280"/>
      <c r="H145" s="281"/>
      <c r="I145" s="201"/>
      <c r="J145" s="201"/>
      <c r="K145" s="181"/>
      <c r="L145" s="181"/>
      <c r="M145" s="181"/>
      <c r="N145" s="201"/>
      <c r="O145" s="201"/>
      <c r="P145" s="201"/>
      <c r="Q145" s="201"/>
      <c r="R145" s="201"/>
      <c r="S145" s="201"/>
      <c r="T145" s="182"/>
      <c r="U145" s="182"/>
      <c r="V145" s="182"/>
      <c r="W145" s="180"/>
      <c r="X145" s="201"/>
      <c r="Y145" s="201"/>
      <c r="Z145" s="179"/>
      <c r="AA145" s="179"/>
      <c r="AB145" s="179"/>
      <c r="AC145"/>
    </row>
    <row r="146" spans="1:29" s="167" customFormat="1" x14ac:dyDescent="0.2">
      <c r="A146" s="179"/>
      <c r="B146" s="179"/>
      <c r="C146" s="278" t="s">
        <v>128</v>
      </c>
      <c r="D146" s="279"/>
      <c r="E146" s="279"/>
      <c r="F146" s="279"/>
      <c r="G146" s="280"/>
      <c r="H146" s="281"/>
      <c r="I146" s="201"/>
      <c r="J146" s="201"/>
      <c r="K146" s="181"/>
      <c r="L146" s="181"/>
      <c r="M146" s="181"/>
      <c r="N146" s="201"/>
      <c r="O146" s="201"/>
      <c r="P146" s="201"/>
      <c r="Q146" s="201"/>
      <c r="R146" s="201"/>
      <c r="S146" s="201"/>
      <c r="T146" s="182"/>
      <c r="U146" s="182"/>
      <c r="V146" s="182"/>
      <c r="W146" s="180"/>
      <c r="X146" s="201"/>
      <c r="Y146" s="201"/>
      <c r="Z146" s="179"/>
      <c r="AA146" s="179"/>
      <c r="AB146" s="179"/>
      <c r="AC146"/>
    </row>
    <row r="147" spans="1:29" s="167" customFormat="1" x14ac:dyDescent="0.2">
      <c r="A147" s="179"/>
      <c r="B147" s="179"/>
      <c r="C147" s="278" t="s">
        <v>129</v>
      </c>
      <c r="D147" s="279"/>
      <c r="E147" s="279"/>
      <c r="F147" s="279"/>
      <c r="G147" s="280"/>
      <c r="H147" s="281"/>
      <c r="I147" s="201"/>
      <c r="J147" s="201"/>
      <c r="K147" s="181"/>
      <c r="L147" s="181"/>
      <c r="M147" s="181"/>
      <c r="N147" s="201"/>
      <c r="O147" s="201"/>
      <c r="P147" s="201"/>
      <c r="Q147" s="201"/>
      <c r="R147" s="201"/>
      <c r="S147" s="201"/>
      <c r="T147" s="182"/>
      <c r="U147" s="182"/>
      <c r="V147" s="182"/>
      <c r="W147" s="180"/>
      <c r="X147" s="201"/>
      <c r="Y147" s="201"/>
      <c r="Z147" s="179"/>
      <c r="AA147" s="179"/>
      <c r="AB147" s="179"/>
      <c r="AC147"/>
    </row>
    <row r="148" spans="1:29" s="167" customFormat="1" x14ac:dyDescent="0.2">
      <c r="A148" s="179"/>
      <c r="B148" s="179"/>
      <c r="C148" s="278" t="s">
        <v>130</v>
      </c>
      <c r="D148" s="279"/>
      <c r="E148" s="279"/>
      <c r="F148" s="279"/>
      <c r="G148" s="280"/>
      <c r="H148" s="281"/>
      <c r="I148" s="201"/>
      <c r="J148" s="201"/>
      <c r="K148" s="181"/>
      <c r="L148" s="181"/>
      <c r="M148" s="181"/>
      <c r="N148" s="201"/>
      <c r="O148" s="201"/>
      <c r="P148" s="201"/>
      <c r="Q148" s="201"/>
      <c r="R148" s="201"/>
      <c r="S148" s="201"/>
      <c r="T148" s="182"/>
      <c r="U148" s="182"/>
      <c r="V148" s="182"/>
      <c r="W148" s="180"/>
      <c r="X148" s="201"/>
      <c r="Y148" s="201"/>
      <c r="Z148" s="179"/>
      <c r="AA148" s="179"/>
      <c r="AB148" s="179"/>
      <c r="AC148"/>
    </row>
    <row r="149" spans="1:29" s="167" customFormat="1" x14ac:dyDescent="0.2">
      <c r="A149" s="179"/>
      <c r="B149" s="179"/>
      <c r="C149" s="278" t="s">
        <v>131</v>
      </c>
      <c r="D149" s="279"/>
      <c r="E149" s="279"/>
      <c r="F149" s="279"/>
      <c r="G149" s="282">
        <f>(G145+G146+G147+G148)/4</f>
        <v>0</v>
      </c>
      <c r="H149" s="282"/>
      <c r="I149" s="201"/>
      <c r="J149" s="201"/>
      <c r="K149" s="181"/>
      <c r="L149" s="181"/>
      <c r="M149" s="181"/>
      <c r="N149" s="201"/>
      <c r="O149" s="201"/>
      <c r="P149" s="201"/>
      <c r="Q149" s="201"/>
      <c r="R149" s="201"/>
      <c r="S149" s="201"/>
      <c r="T149" s="182"/>
      <c r="U149" s="182"/>
      <c r="V149" s="182"/>
      <c r="W149" s="180"/>
      <c r="X149" s="201"/>
      <c r="Y149" s="201"/>
      <c r="Z149" s="179"/>
      <c r="AA149" s="179"/>
      <c r="AB149" s="179"/>
      <c r="AC149"/>
    </row>
    <row r="150" spans="1:29" s="167" customFormat="1" x14ac:dyDescent="0.2">
      <c r="A150" s="179"/>
      <c r="B150" s="179"/>
      <c r="C150" s="179"/>
      <c r="D150" s="179"/>
      <c r="E150" s="179"/>
      <c r="F150" s="180"/>
      <c r="G150" s="201"/>
      <c r="H150" s="201"/>
      <c r="I150" s="201"/>
      <c r="J150" s="201"/>
      <c r="K150" s="181"/>
      <c r="L150" s="181"/>
      <c r="M150" s="181"/>
      <c r="N150" s="201"/>
      <c r="O150" s="201"/>
      <c r="P150" s="201"/>
      <c r="Q150" s="201"/>
      <c r="R150" s="201"/>
      <c r="S150" s="201"/>
      <c r="T150" s="182"/>
      <c r="U150" s="182"/>
      <c r="V150" s="182"/>
      <c r="W150" s="180"/>
      <c r="X150" s="201"/>
      <c r="Y150" s="201"/>
      <c r="Z150" s="179"/>
      <c r="AA150" s="179"/>
      <c r="AB150" s="179"/>
      <c r="AC150"/>
    </row>
    <row r="151" spans="1:29" s="167" customFormat="1" x14ac:dyDescent="0.2">
      <c r="A151" s="179"/>
      <c r="B151" s="179"/>
      <c r="C151" s="179"/>
      <c r="D151" s="179"/>
      <c r="E151" s="180"/>
      <c r="F151" s="201"/>
      <c r="G151" s="201"/>
      <c r="H151" s="201"/>
      <c r="I151" s="201"/>
      <c r="J151" s="201"/>
      <c r="K151" s="181"/>
      <c r="L151" s="181"/>
      <c r="M151" s="181"/>
      <c r="N151" s="201"/>
      <c r="O151" s="201"/>
      <c r="P151" s="201"/>
      <c r="Q151" s="201"/>
      <c r="R151" s="201"/>
      <c r="S151" s="201"/>
      <c r="T151" s="182"/>
      <c r="U151" s="182"/>
      <c r="V151" s="182"/>
      <c r="W151" s="180"/>
      <c r="X151" s="201"/>
      <c r="Y151" s="201"/>
      <c r="Z151" s="179"/>
      <c r="AA151" s="179"/>
      <c r="AB151" s="179"/>
      <c r="AC151"/>
    </row>
    <row r="152" spans="1:29" s="167" customFormat="1" x14ac:dyDescent="0.2">
      <c r="A152" s="179"/>
      <c r="B152" s="179"/>
      <c r="C152" s="179"/>
      <c r="D152" s="179"/>
      <c r="E152" s="180"/>
      <c r="F152" s="201"/>
      <c r="G152" s="201"/>
      <c r="H152" s="201"/>
      <c r="I152" s="201"/>
      <c r="J152" s="201"/>
      <c r="K152" s="181"/>
      <c r="L152" s="181"/>
      <c r="M152" s="181"/>
      <c r="N152" s="201"/>
      <c r="O152" s="201"/>
      <c r="P152" s="201"/>
      <c r="Q152" s="201"/>
      <c r="R152" s="201"/>
      <c r="S152" s="201"/>
      <c r="T152" s="182"/>
      <c r="U152" s="182"/>
      <c r="V152" s="182"/>
      <c r="W152" s="180"/>
      <c r="X152" s="201"/>
      <c r="Y152" s="201"/>
      <c r="Z152" s="179"/>
      <c r="AA152" s="179"/>
      <c r="AB152" s="179"/>
      <c r="AC152"/>
    </row>
    <row r="153" spans="1:29" s="167" customFormat="1" x14ac:dyDescent="0.2">
      <c r="A153" s="179"/>
      <c r="B153" s="179"/>
      <c r="C153" s="179"/>
      <c r="D153" s="179"/>
      <c r="E153" s="180"/>
      <c r="F153" s="201"/>
      <c r="G153" s="201"/>
      <c r="H153" s="201"/>
      <c r="I153" s="201"/>
      <c r="J153" s="201"/>
      <c r="K153" s="181"/>
      <c r="L153" s="181"/>
      <c r="M153" s="181"/>
      <c r="N153" s="201"/>
      <c r="O153" s="201"/>
      <c r="P153" s="201"/>
      <c r="Q153" s="201"/>
      <c r="R153" s="201"/>
      <c r="S153" s="201"/>
      <c r="T153" s="182"/>
      <c r="U153" s="182"/>
      <c r="V153" s="182"/>
      <c r="W153" s="180"/>
      <c r="X153" s="201"/>
      <c r="Y153" s="201"/>
      <c r="Z153" s="179"/>
      <c r="AA153" s="179"/>
      <c r="AB153" s="179"/>
      <c r="AC153"/>
    </row>
    <row r="154" spans="1:29" s="167" customFormat="1" x14ac:dyDescent="0.2">
      <c r="A154" s="179"/>
      <c r="B154" s="179"/>
      <c r="C154" s="179"/>
      <c r="D154" s="179"/>
      <c r="E154" s="180"/>
      <c r="F154" s="201"/>
      <c r="G154" s="201"/>
      <c r="H154" s="201"/>
      <c r="I154" s="201"/>
      <c r="J154" s="201"/>
      <c r="K154" s="181"/>
      <c r="L154" s="181"/>
      <c r="M154" s="181"/>
      <c r="N154" s="201"/>
      <c r="O154" s="201"/>
      <c r="P154" s="201"/>
      <c r="Q154" s="201"/>
      <c r="R154" s="201"/>
      <c r="S154" s="201"/>
      <c r="T154" s="182"/>
      <c r="U154" s="182"/>
      <c r="V154" s="182"/>
      <c r="W154" s="180"/>
      <c r="X154" s="201"/>
      <c r="Y154" s="201"/>
      <c r="Z154" s="179"/>
      <c r="AA154" s="179"/>
      <c r="AB154" s="179"/>
      <c r="AC154"/>
    </row>
    <row r="155" spans="1:29" s="167" customFormat="1" x14ac:dyDescent="0.2">
      <c r="A155" s="179"/>
      <c r="B155" s="179"/>
      <c r="C155" s="179"/>
      <c r="D155" s="179"/>
      <c r="E155" s="180"/>
      <c r="F155" s="201"/>
      <c r="G155" s="201"/>
      <c r="H155" s="201"/>
      <c r="I155" s="201"/>
      <c r="J155" s="201"/>
      <c r="K155" s="181"/>
      <c r="L155" s="181"/>
      <c r="M155" s="181"/>
      <c r="N155" s="201"/>
      <c r="O155" s="201"/>
      <c r="P155" s="201"/>
      <c r="Q155" s="201"/>
      <c r="R155" s="201"/>
      <c r="S155" s="201"/>
      <c r="T155" s="182"/>
      <c r="U155" s="182"/>
      <c r="V155" s="182"/>
      <c r="W155" s="180"/>
      <c r="X155" s="201"/>
      <c r="Y155" s="201"/>
      <c r="Z155" s="179"/>
      <c r="AA155" s="179"/>
      <c r="AB155" s="179"/>
      <c r="AC155"/>
    </row>
    <row r="156" spans="1:29" s="167" customFormat="1" x14ac:dyDescent="0.2">
      <c r="A156" s="179"/>
      <c r="B156" s="179"/>
      <c r="C156" s="179"/>
      <c r="D156" s="179"/>
      <c r="E156" s="180"/>
      <c r="F156" s="201"/>
      <c r="G156" s="201"/>
      <c r="H156" s="201"/>
      <c r="I156" s="201"/>
      <c r="J156" s="201"/>
      <c r="K156" s="181"/>
      <c r="L156" s="181"/>
      <c r="M156" s="181"/>
      <c r="N156" s="201"/>
      <c r="O156" s="201"/>
      <c r="P156" s="201"/>
      <c r="Q156" s="201"/>
      <c r="R156" s="201"/>
      <c r="S156" s="201"/>
      <c r="T156" s="182"/>
      <c r="U156" s="182"/>
      <c r="V156" s="182"/>
      <c r="W156" s="180"/>
      <c r="X156" s="201"/>
      <c r="Y156" s="201"/>
      <c r="Z156" s="179"/>
      <c r="AA156" s="179"/>
      <c r="AB156" s="179"/>
      <c r="AC156"/>
    </row>
    <row r="157" spans="1:29" s="167" customFormat="1" x14ac:dyDescent="0.2">
      <c r="A157"/>
      <c r="B157"/>
      <c r="C157"/>
      <c r="D157"/>
      <c r="E157"/>
      <c r="F157"/>
      <c r="G157"/>
      <c r="H157"/>
      <c r="I157"/>
      <c r="J157"/>
      <c r="K157"/>
      <c r="L157"/>
      <c r="M157"/>
      <c r="N157"/>
      <c r="O157"/>
      <c r="P157"/>
      <c r="Q157"/>
      <c r="R157"/>
      <c r="S157"/>
      <c r="T157"/>
      <c r="U157"/>
      <c r="V157"/>
      <c r="W157"/>
      <c r="X157"/>
      <c r="Y157"/>
      <c r="Z157"/>
      <c r="AA157"/>
      <c r="AB157"/>
      <c r="AC157"/>
    </row>
    <row r="158" spans="1:29" s="167" customFormat="1" x14ac:dyDescent="0.2">
      <c r="A158" s="4" t="s">
        <v>133</v>
      </c>
      <c r="B158"/>
      <c r="C158"/>
      <c r="D158"/>
      <c r="E158"/>
      <c r="F158"/>
      <c r="G158"/>
      <c r="H158"/>
      <c r="I158" s="528"/>
      <c r="J158" s="403"/>
      <c r="K158" s="403"/>
      <c r="L158" s="403"/>
      <c r="M158" s="403"/>
      <c r="N158" s="403"/>
      <c r="O158" s="403"/>
      <c r="P158" s="403"/>
      <c r="Q158" s="403"/>
      <c r="R158" s="403"/>
      <c r="S158" s="403"/>
      <c r="T158" s="403"/>
      <c r="U158" s="403"/>
      <c r="V158" s="403"/>
      <c r="W158" s="403"/>
      <c r="X158" s="403"/>
      <c r="Y158" s="403"/>
      <c r="Z158" s="403"/>
      <c r="AA158" s="403"/>
      <c r="AB158" s="403"/>
      <c r="AC158" s="403"/>
    </row>
    <row r="159" spans="1:29" s="167" customFormat="1" x14ac:dyDescent="0.2">
      <c r="A159" s="528"/>
      <c r="B159" s="403"/>
      <c r="C159" s="403"/>
      <c r="D159" s="403"/>
      <c r="E159" s="403"/>
      <c r="F159" s="403"/>
      <c r="G159" s="403"/>
      <c r="H159" s="403"/>
      <c r="I159" s="403"/>
      <c r="J159" s="403"/>
      <c r="K159" s="403"/>
      <c r="L159" s="403"/>
      <c r="M159" s="403"/>
      <c r="N159" s="403"/>
      <c r="O159" s="403"/>
      <c r="P159" s="403"/>
      <c r="Q159" s="403"/>
      <c r="R159" s="403"/>
      <c r="S159" s="403"/>
      <c r="T159" s="403"/>
      <c r="U159" s="403"/>
      <c r="V159" s="403"/>
      <c r="W159" s="403"/>
      <c r="X159" s="403"/>
      <c r="Y159" s="403"/>
      <c r="Z159" s="403"/>
      <c r="AA159" s="403"/>
      <c r="AB159" s="403"/>
      <c r="AC159" s="403"/>
    </row>
    <row r="160" spans="1:29" s="167" customFormat="1" x14ac:dyDescent="0.2">
      <c r="A160" s="528"/>
      <c r="B160" s="403"/>
      <c r="C160" s="403"/>
      <c r="D160" s="403"/>
      <c r="E160" s="403"/>
      <c r="F160" s="403"/>
      <c r="G160" s="403"/>
      <c r="H160" s="403"/>
      <c r="I160" s="403"/>
      <c r="J160" s="403"/>
      <c r="K160" s="403"/>
      <c r="L160" s="403"/>
      <c r="M160" s="403"/>
      <c r="N160" s="403"/>
      <c r="O160" s="403"/>
      <c r="P160" s="403"/>
      <c r="Q160" s="403"/>
      <c r="R160" s="403"/>
      <c r="S160" s="403"/>
      <c r="T160" s="403"/>
      <c r="U160" s="403"/>
      <c r="V160" s="403"/>
      <c r="W160" s="403"/>
      <c r="X160" s="403"/>
      <c r="Y160" s="403"/>
      <c r="Z160" s="403"/>
      <c r="AA160" s="403"/>
      <c r="AB160" s="403"/>
      <c r="AC160" s="403"/>
    </row>
    <row r="161" spans="1:29" s="167" customFormat="1" x14ac:dyDescent="0.2">
      <c r="A161" s="528"/>
      <c r="B161" s="403"/>
      <c r="C161" s="403"/>
      <c r="D161" s="403"/>
      <c r="E161" s="403"/>
      <c r="F161" s="403"/>
      <c r="G161" s="403"/>
      <c r="H161" s="403"/>
      <c r="I161" s="403"/>
      <c r="J161" s="403"/>
      <c r="K161" s="403"/>
      <c r="L161" s="403"/>
      <c r="M161" s="403"/>
      <c r="N161" s="403"/>
      <c r="O161" s="403"/>
      <c r="P161" s="403"/>
      <c r="Q161" s="403"/>
      <c r="R161" s="403"/>
      <c r="S161" s="403"/>
      <c r="T161" s="403"/>
      <c r="U161" s="403"/>
      <c r="V161" s="403"/>
      <c r="W161" s="403"/>
      <c r="X161" s="403"/>
      <c r="Y161" s="403"/>
      <c r="Z161" s="403"/>
      <c r="AA161" s="403"/>
      <c r="AB161" s="403"/>
      <c r="AC161" s="403"/>
    </row>
    <row r="162" spans="1:29" s="167" customFormat="1" x14ac:dyDescent="0.2">
      <c r="A162" s="528"/>
      <c r="B162" s="403"/>
      <c r="C162" s="403"/>
      <c r="D162" s="403"/>
      <c r="E162" s="403"/>
      <c r="F162" s="403"/>
      <c r="G162" s="403"/>
      <c r="H162" s="403"/>
      <c r="I162" s="403"/>
      <c r="J162" s="403"/>
      <c r="K162" s="403"/>
      <c r="L162" s="403"/>
      <c r="M162" s="403"/>
      <c r="N162" s="403"/>
      <c r="O162" s="403"/>
      <c r="P162" s="403"/>
      <c r="Q162" s="403"/>
      <c r="R162" s="403"/>
      <c r="S162" s="403"/>
      <c r="T162" s="403"/>
      <c r="U162" s="403"/>
      <c r="V162" s="403"/>
      <c r="W162" s="403"/>
      <c r="X162" s="403"/>
      <c r="Y162" s="403"/>
      <c r="Z162" s="403"/>
      <c r="AA162" s="403"/>
      <c r="AB162" s="403"/>
      <c r="AC162" s="403"/>
    </row>
    <row r="163" spans="1:29" s="167" customFormat="1" x14ac:dyDescent="0.2">
      <c r="A163" s="528"/>
      <c r="B163" s="403"/>
      <c r="C163" s="403"/>
      <c r="D163" s="403"/>
      <c r="E163" s="403"/>
      <c r="F163" s="403"/>
      <c r="G163" s="403"/>
      <c r="H163" s="403"/>
      <c r="I163" s="403"/>
      <c r="J163" s="403"/>
      <c r="K163" s="403"/>
      <c r="L163" s="403"/>
      <c r="M163" s="403"/>
      <c r="N163" s="403"/>
      <c r="O163" s="403"/>
      <c r="P163" s="403"/>
      <c r="Q163" s="403"/>
      <c r="R163" s="403"/>
      <c r="S163" s="403"/>
      <c r="T163" s="403"/>
      <c r="U163" s="403"/>
      <c r="V163" s="403"/>
      <c r="W163" s="403"/>
      <c r="X163" s="403"/>
      <c r="Y163" s="403"/>
      <c r="Z163" s="403"/>
      <c r="AA163" s="403"/>
      <c r="AB163" s="403"/>
      <c r="AC163" s="403"/>
    </row>
    <row r="164" spans="1:29" s="167" customFormat="1" x14ac:dyDescent="0.2">
      <c r="A164" s="528"/>
      <c r="B164" s="403"/>
      <c r="C164" s="403"/>
      <c r="D164" s="403"/>
      <c r="E164" s="403"/>
      <c r="F164" s="403"/>
      <c r="G164" s="403"/>
      <c r="H164" s="403"/>
      <c r="I164" s="403"/>
      <c r="J164" s="403"/>
      <c r="K164" s="403"/>
      <c r="L164" s="403"/>
      <c r="M164" s="403"/>
      <c r="N164" s="403"/>
      <c r="O164" s="403"/>
      <c r="P164" s="403"/>
      <c r="Q164" s="403"/>
      <c r="R164" s="403"/>
      <c r="S164" s="403"/>
      <c r="T164" s="403"/>
      <c r="U164" s="403"/>
      <c r="V164" s="403"/>
      <c r="W164" s="403"/>
      <c r="X164" s="403"/>
      <c r="Y164" s="403"/>
      <c r="Z164" s="403"/>
      <c r="AA164" s="403"/>
      <c r="AB164" s="403"/>
      <c r="AC164" s="403"/>
    </row>
    <row r="165" spans="1:29" s="167" customFormat="1" x14ac:dyDescent="0.2">
      <c r="A165" s="528"/>
      <c r="B165" s="403"/>
      <c r="C165" s="403"/>
      <c r="D165" s="403"/>
      <c r="E165" s="403"/>
      <c r="F165" s="403"/>
      <c r="G165" s="403"/>
      <c r="H165" s="403"/>
      <c r="I165" s="403"/>
      <c r="J165" s="403"/>
      <c r="K165" s="403"/>
      <c r="L165" s="403"/>
      <c r="M165" s="403"/>
      <c r="N165" s="403"/>
      <c r="O165" s="403"/>
      <c r="P165" s="403"/>
      <c r="Q165" s="403"/>
      <c r="R165" s="403"/>
      <c r="S165" s="403"/>
      <c r="T165" s="403"/>
      <c r="U165" s="403"/>
      <c r="V165" s="403"/>
      <c r="W165" s="403"/>
      <c r="X165" s="403"/>
      <c r="Y165" s="403"/>
      <c r="Z165" s="403"/>
      <c r="AA165" s="403"/>
      <c r="AB165" s="403"/>
      <c r="AC165" s="403"/>
    </row>
    <row r="166" spans="1:29" s="167" customFormat="1" x14ac:dyDescent="0.2">
      <c r="A166" s="528"/>
      <c r="B166" s="403"/>
      <c r="C166" s="403"/>
      <c r="D166" s="403"/>
      <c r="E166" s="403"/>
      <c r="F166" s="403"/>
      <c r="G166" s="403"/>
      <c r="H166" s="403"/>
      <c r="I166" s="403"/>
      <c r="J166" s="403"/>
      <c r="K166" s="403"/>
      <c r="L166" s="403"/>
      <c r="M166" s="403"/>
      <c r="N166" s="403"/>
      <c r="O166" s="403"/>
      <c r="P166" s="403"/>
      <c r="Q166" s="403"/>
      <c r="R166" s="403"/>
      <c r="S166" s="403"/>
      <c r="T166" s="403"/>
      <c r="U166" s="403"/>
      <c r="V166" s="403"/>
      <c r="W166" s="403"/>
      <c r="X166" s="403"/>
      <c r="Y166" s="403"/>
      <c r="Z166" s="403"/>
      <c r="AA166" s="403"/>
      <c r="AB166" s="403"/>
      <c r="AC166" s="403"/>
    </row>
    <row r="167" spans="1:29" s="167" customFormat="1" ht="13.5" thickBot="1" x14ac:dyDescent="0.25">
      <c r="A167" s="529"/>
      <c r="B167" s="529"/>
      <c r="C167" s="529"/>
      <c r="D167" s="529"/>
      <c r="E167" s="529"/>
      <c r="F167" s="529"/>
      <c r="G167" s="529"/>
      <c r="H167" s="529"/>
      <c r="I167" s="529"/>
      <c r="J167" s="529"/>
      <c r="K167" s="529"/>
      <c r="L167" s="529"/>
      <c r="M167" s="529"/>
      <c r="N167" s="529"/>
      <c r="O167" s="529"/>
      <c r="P167" s="529"/>
      <c r="Q167" s="529"/>
      <c r="R167" s="529"/>
      <c r="S167" s="529"/>
      <c r="T167" s="529"/>
      <c r="U167" s="529"/>
      <c r="V167" s="529"/>
      <c r="W167" s="529"/>
      <c r="X167" s="529"/>
      <c r="Y167" s="530" t="str">
        <f>CMDS!AA60</f>
        <v>v14q.4.8.2025</v>
      </c>
      <c r="Z167" s="531"/>
      <c r="AA167" s="531"/>
      <c r="AB167" s="531"/>
      <c r="AC167" s="531"/>
    </row>
    <row r="168" spans="1:29" s="167" customFormat="1" ht="13.5" thickTop="1" x14ac:dyDescent="0.2"/>
    <row r="169" spans="1:29" s="167" customFormat="1" x14ac:dyDescent="0.2"/>
    <row r="170" spans="1:29" s="167" customFormat="1" x14ac:dyDescent="0.2"/>
    <row r="171" spans="1:29" s="167" customFormat="1" x14ac:dyDescent="0.2"/>
    <row r="172" spans="1:29" s="167" customFormat="1" x14ac:dyDescent="0.2"/>
    <row r="173" spans="1:29" s="167" customFormat="1" x14ac:dyDescent="0.2"/>
    <row r="174" spans="1:29" s="167" customFormat="1" x14ac:dyDescent="0.2"/>
    <row r="175" spans="1:29" s="167" customFormat="1" x14ac:dyDescent="0.2"/>
    <row r="176" spans="1:29" s="167" customFormat="1" x14ac:dyDescent="0.2"/>
    <row r="177" s="167" customFormat="1" x14ac:dyDescent="0.2"/>
    <row r="178" s="167" customFormat="1" x14ac:dyDescent="0.2"/>
    <row r="179" s="167" customFormat="1" x14ac:dyDescent="0.2"/>
    <row r="180" s="167" customFormat="1" x14ac:dyDescent="0.2"/>
    <row r="181" s="167" customFormat="1" x14ac:dyDescent="0.2"/>
    <row r="182" s="167" customFormat="1" x14ac:dyDescent="0.2"/>
    <row r="183" s="167" customFormat="1" x14ac:dyDescent="0.2"/>
    <row r="184" s="167" customFormat="1" x14ac:dyDescent="0.2"/>
    <row r="185" s="167" customFormat="1" x14ac:dyDescent="0.2"/>
    <row r="186" s="167" customFormat="1" x14ac:dyDescent="0.2"/>
    <row r="187" s="167" customFormat="1" x14ac:dyDescent="0.2"/>
    <row r="188" s="167" customFormat="1" x14ac:dyDescent="0.2"/>
    <row r="189" s="167" customFormat="1" x14ac:dyDescent="0.2"/>
    <row r="190" s="167" customFormat="1" x14ac:dyDescent="0.2"/>
    <row r="191" s="167" customFormat="1" x14ac:dyDescent="0.2"/>
    <row r="192" s="167" customFormat="1" x14ac:dyDescent="0.2"/>
    <row r="193" s="167" customFormat="1" x14ac:dyDescent="0.2"/>
    <row r="194" s="167" customFormat="1" x14ac:dyDescent="0.2"/>
    <row r="195" s="167" customFormat="1" x14ac:dyDescent="0.2"/>
    <row r="196" s="167" customFormat="1" x14ac:dyDescent="0.2"/>
    <row r="197" s="167" customFormat="1" x14ac:dyDescent="0.2"/>
    <row r="198" s="167" customFormat="1" x14ac:dyDescent="0.2"/>
    <row r="199" s="167" customFormat="1" x14ac:dyDescent="0.2"/>
    <row r="200" s="167" customFormat="1" x14ac:dyDescent="0.2"/>
    <row r="201" s="167" customFormat="1" x14ac:dyDescent="0.2"/>
    <row r="202" s="167" customFormat="1" x14ac:dyDescent="0.2"/>
    <row r="203" s="167" customFormat="1" x14ac:dyDescent="0.2"/>
    <row r="204" s="167" customFormat="1" x14ac:dyDescent="0.2"/>
    <row r="205" s="167" customFormat="1" x14ac:dyDescent="0.2"/>
    <row r="206" s="167" customFormat="1" x14ac:dyDescent="0.2"/>
    <row r="207" s="167" customFormat="1" x14ac:dyDescent="0.2"/>
    <row r="208" s="167" customFormat="1" x14ac:dyDescent="0.2"/>
    <row r="209" spans="1:29" s="167" customFormat="1" x14ac:dyDescent="0.2"/>
    <row r="210" spans="1:29" x14ac:dyDescent="0.2">
      <c r="A210" s="167"/>
      <c r="B210" s="167"/>
      <c r="C210" s="167"/>
      <c r="D210" s="167"/>
      <c r="E210" s="167"/>
      <c r="F210" s="167"/>
      <c r="G210" s="167"/>
      <c r="H210" s="167"/>
      <c r="I210" s="167"/>
      <c r="J210" s="167"/>
      <c r="K210" s="167"/>
      <c r="L210" s="167"/>
      <c r="M210" s="167"/>
      <c r="N210" s="167"/>
      <c r="O210" s="167"/>
      <c r="P210" s="167"/>
      <c r="Q210" s="167"/>
      <c r="R210" s="167"/>
      <c r="S210" s="167"/>
      <c r="T210" s="167"/>
      <c r="U210" s="167"/>
      <c r="V210" s="167"/>
      <c r="W210" s="167"/>
      <c r="X210" s="167"/>
      <c r="Y210" s="167"/>
      <c r="Z210" s="167"/>
      <c r="AA210" s="167"/>
      <c r="AB210" s="167"/>
      <c r="AC210" s="167"/>
    </row>
    <row r="211" spans="1:29" x14ac:dyDescent="0.2">
      <c r="A211" s="167"/>
      <c r="B211" s="167"/>
      <c r="C211" s="167"/>
      <c r="D211" s="167"/>
      <c r="E211" s="167"/>
      <c r="F211" s="167"/>
      <c r="G211" s="167"/>
      <c r="H211" s="167"/>
      <c r="I211" s="167"/>
      <c r="J211" s="167"/>
      <c r="K211" s="167"/>
      <c r="L211" s="167"/>
      <c r="M211" s="167"/>
      <c r="N211" s="167"/>
      <c r="O211" s="167"/>
      <c r="P211" s="167"/>
      <c r="Q211" s="167"/>
      <c r="R211" s="167"/>
      <c r="S211" s="167"/>
      <c r="T211" s="167"/>
      <c r="U211" s="167"/>
      <c r="V211" s="167"/>
      <c r="W211" s="167"/>
      <c r="X211" s="167"/>
      <c r="Y211" s="167"/>
      <c r="Z211" s="167"/>
      <c r="AA211" s="167"/>
      <c r="AB211" s="167"/>
      <c r="AC211" s="167"/>
    </row>
    <row r="212" spans="1:29" x14ac:dyDescent="0.2">
      <c r="A212" s="167"/>
      <c r="B212" s="167"/>
      <c r="C212" s="167"/>
      <c r="D212" s="167"/>
      <c r="E212" s="167"/>
      <c r="F212" s="167"/>
      <c r="G212" s="167"/>
      <c r="H212" s="167"/>
      <c r="I212" s="167"/>
      <c r="J212" s="167"/>
      <c r="K212" s="167"/>
      <c r="L212" s="167"/>
      <c r="M212" s="167"/>
      <c r="N212" s="167"/>
      <c r="O212" s="167"/>
      <c r="P212" s="167"/>
      <c r="Q212" s="167"/>
      <c r="R212" s="167"/>
      <c r="S212" s="167"/>
      <c r="T212" s="167"/>
      <c r="U212" s="167"/>
      <c r="V212" s="167"/>
      <c r="W212" s="167"/>
      <c r="X212" s="167"/>
      <c r="Y212" s="167"/>
      <c r="Z212" s="167"/>
      <c r="AA212" s="167"/>
      <c r="AB212" s="167"/>
      <c r="AC212" s="167"/>
    </row>
    <row r="213" spans="1:29" x14ac:dyDescent="0.2">
      <c r="A213" s="167"/>
      <c r="B213" s="167"/>
      <c r="C213" s="167"/>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167"/>
      <c r="Z213" s="167"/>
      <c r="AA213" s="167"/>
      <c r="AB213" s="167"/>
      <c r="AC213" s="167"/>
    </row>
    <row r="214" spans="1:29" x14ac:dyDescent="0.2">
      <c r="A214" s="167"/>
      <c r="B214" s="167"/>
      <c r="C214" s="167"/>
      <c r="D214" s="167"/>
      <c r="E214" s="167"/>
      <c r="F214" s="167"/>
      <c r="G214" s="167"/>
      <c r="H214" s="167"/>
      <c r="I214" s="167"/>
      <c r="J214" s="167"/>
      <c r="K214" s="167"/>
      <c r="L214" s="167"/>
      <c r="M214" s="167"/>
      <c r="N214" s="167"/>
      <c r="O214" s="167"/>
      <c r="P214" s="167"/>
      <c r="Q214" s="167"/>
      <c r="R214" s="167"/>
      <c r="S214" s="167"/>
      <c r="T214" s="167"/>
      <c r="U214" s="167"/>
      <c r="V214" s="167"/>
      <c r="W214" s="167"/>
      <c r="X214" s="167"/>
      <c r="Y214" s="167"/>
      <c r="Z214" s="167"/>
      <c r="AA214" s="167"/>
      <c r="AB214" s="167"/>
      <c r="AC214" s="167"/>
    </row>
    <row r="215" spans="1:29" x14ac:dyDescent="0.2">
      <c r="A215" s="167"/>
      <c r="B215" s="167"/>
      <c r="C215" s="167"/>
      <c r="D215" s="167"/>
      <c r="E215" s="167"/>
      <c r="F215" s="167"/>
      <c r="G215" s="167"/>
      <c r="H215" s="167"/>
      <c r="I215" s="167"/>
      <c r="J215" s="167"/>
      <c r="K215" s="167"/>
      <c r="L215" s="167"/>
      <c r="M215" s="167"/>
      <c r="N215" s="167"/>
      <c r="O215" s="167"/>
      <c r="P215" s="167"/>
      <c r="Q215" s="167"/>
      <c r="R215" s="167"/>
      <c r="S215" s="167"/>
      <c r="T215" s="167"/>
      <c r="U215" s="167"/>
      <c r="V215" s="167"/>
      <c r="W215" s="167"/>
      <c r="X215" s="167"/>
      <c r="Y215" s="167"/>
      <c r="Z215" s="167"/>
      <c r="AA215" s="167"/>
      <c r="AB215" s="167"/>
      <c r="AC215" s="167"/>
    </row>
    <row r="216" spans="1:29" x14ac:dyDescent="0.2">
      <c r="A216" s="167"/>
      <c r="B216" s="167"/>
      <c r="C216" s="167"/>
      <c r="D216" s="167"/>
      <c r="E216" s="167"/>
      <c r="F216" s="167"/>
      <c r="G216" s="167"/>
      <c r="H216" s="167"/>
      <c r="I216" s="167"/>
      <c r="J216" s="167"/>
      <c r="K216" s="167"/>
      <c r="L216" s="167"/>
      <c r="M216" s="167"/>
      <c r="N216" s="167"/>
      <c r="O216" s="167"/>
      <c r="P216" s="167"/>
      <c r="Q216" s="167"/>
      <c r="R216" s="167"/>
      <c r="S216" s="167"/>
      <c r="T216" s="167"/>
      <c r="U216" s="167"/>
      <c r="V216" s="167"/>
      <c r="W216" s="167"/>
      <c r="X216" s="167"/>
      <c r="Y216" s="167"/>
      <c r="Z216" s="167"/>
      <c r="AA216" s="167"/>
      <c r="AB216" s="167"/>
      <c r="AC216" s="167"/>
    </row>
    <row r="217" spans="1:29" x14ac:dyDescent="0.2">
      <c r="A217" s="167"/>
      <c r="B217" s="167"/>
      <c r="C217" s="167"/>
      <c r="D217" s="167"/>
      <c r="E217" s="167"/>
      <c r="F217" s="167"/>
      <c r="G217" s="167"/>
      <c r="H217" s="167"/>
      <c r="I217" s="167"/>
      <c r="J217" s="167"/>
      <c r="K217" s="167"/>
      <c r="L217" s="167"/>
      <c r="M217" s="167"/>
      <c r="N217" s="167"/>
      <c r="O217" s="167"/>
      <c r="P217" s="167"/>
      <c r="Q217" s="167"/>
      <c r="R217" s="167"/>
      <c r="S217" s="167"/>
      <c r="T217" s="167"/>
      <c r="U217" s="167"/>
      <c r="V217" s="167"/>
      <c r="W217" s="167"/>
      <c r="X217" s="167"/>
      <c r="Y217" s="167"/>
      <c r="Z217" s="167"/>
      <c r="AA217" s="167"/>
      <c r="AB217" s="167"/>
      <c r="AC217" s="167"/>
    </row>
    <row r="218" spans="1:29" x14ac:dyDescent="0.2">
      <c r="A218" s="167"/>
      <c r="B218" s="167"/>
      <c r="C218" s="167"/>
      <c r="D218" s="167"/>
      <c r="E218" s="167"/>
      <c r="F218" s="167"/>
      <c r="G218" s="167"/>
      <c r="H218" s="167"/>
      <c r="I218" s="167"/>
      <c r="J218" s="167"/>
      <c r="K218" s="167"/>
      <c r="L218" s="167"/>
      <c r="M218" s="167"/>
      <c r="N218" s="167"/>
      <c r="O218" s="167"/>
      <c r="P218" s="167"/>
      <c r="Q218" s="167"/>
      <c r="R218" s="167"/>
      <c r="S218" s="167"/>
      <c r="T218" s="167"/>
      <c r="U218" s="167"/>
      <c r="V218" s="167"/>
      <c r="W218" s="167"/>
      <c r="X218" s="167"/>
      <c r="Y218" s="167"/>
      <c r="Z218" s="167"/>
      <c r="AA218" s="167"/>
      <c r="AB218" s="167"/>
      <c r="AC218" s="167"/>
    </row>
    <row r="219" spans="1:29" x14ac:dyDescent="0.2">
      <c r="A219" s="167"/>
      <c r="B219" s="167"/>
      <c r="C219" s="167"/>
      <c r="D219" s="167"/>
      <c r="E219" s="167"/>
      <c r="F219" s="167"/>
      <c r="G219" s="167"/>
      <c r="H219" s="167"/>
      <c r="I219" s="167"/>
      <c r="J219" s="167"/>
      <c r="K219" s="167"/>
      <c r="L219" s="167"/>
      <c r="M219" s="167"/>
      <c r="N219" s="167"/>
      <c r="O219" s="167"/>
      <c r="P219" s="167"/>
      <c r="Q219" s="167"/>
      <c r="R219" s="167"/>
      <c r="S219" s="167"/>
      <c r="T219" s="167"/>
      <c r="U219" s="167"/>
      <c r="V219" s="167"/>
      <c r="W219" s="167"/>
      <c r="X219" s="167"/>
      <c r="Y219" s="167"/>
      <c r="Z219" s="167"/>
      <c r="AA219" s="167"/>
      <c r="AB219" s="167"/>
      <c r="AC219" s="167"/>
    </row>
    <row r="220" spans="1:29" x14ac:dyDescent="0.2">
      <c r="A220" s="167"/>
      <c r="B220" s="167"/>
      <c r="C220" s="167"/>
      <c r="D220" s="167"/>
      <c r="E220" s="167"/>
      <c r="F220" s="167"/>
      <c r="G220" s="167"/>
      <c r="H220" s="167"/>
      <c r="I220" s="167"/>
      <c r="J220" s="167"/>
      <c r="K220" s="167"/>
      <c r="L220" s="167"/>
      <c r="M220" s="167"/>
      <c r="N220" s="167"/>
      <c r="O220" s="167"/>
      <c r="P220" s="167"/>
      <c r="Q220" s="167"/>
      <c r="R220" s="167"/>
      <c r="S220" s="167"/>
      <c r="T220" s="167"/>
      <c r="U220" s="167"/>
      <c r="V220" s="167"/>
      <c r="W220" s="167"/>
      <c r="X220" s="167"/>
      <c r="Y220" s="167"/>
      <c r="Z220" s="167"/>
      <c r="AA220" s="167"/>
      <c r="AB220" s="167"/>
      <c r="AC220" s="167"/>
    </row>
    <row r="221" spans="1:29" x14ac:dyDescent="0.2">
      <c r="A221" s="167"/>
      <c r="B221" s="167"/>
      <c r="C221" s="167"/>
      <c r="D221" s="167"/>
      <c r="E221" s="167"/>
      <c r="F221" s="167"/>
      <c r="G221" s="167"/>
      <c r="H221" s="167"/>
      <c r="I221" s="167"/>
      <c r="J221" s="167"/>
      <c r="K221" s="167"/>
      <c r="L221" s="167"/>
      <c r="M221" s="167"/>
      <c r="N221" s="167"/>
      <c r="O221" s="167"/>
      <c r="P221" s="167"/>
      <c r="Q221" s="167"/>
      <c r="R221" s="167"/>
      <c r="S221" s="167"/>
      <c r="T221" s="167"/>
      <c r="U221" s="167"/>
      <c r="V221" s="167"/>
      <c r="W221" s="167"/>
      <c r="X221" s="167"/>
      <c r="Y221" s="167"/>
      <c r="Z221" s="167"/>
      <c r="AA221" s="167"/>
      <c r="AB221" s="167"/>
      <c r="AC221" s="167"/>
    </row>
    <row r="222" spans="1:29" x14ac:dyDescent="0.2">
      <c r="A222" s="167"/>
      <c r="B222" s="167"/>
      <c r="C222" s="167"/>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c r="AA222" s="167"/>
      <c r="AB222" s="167"/>
      <c r="AC222" s="167"/>
    </row>
    <row r="223" spans="1:29" x14ac:dyDescent="0.2">
      <c r="A223" s="167"/>
      <c r="B223" s="167"/>
      <c r="C223" s="167"/>
      <c r="D223" s="167"/>
      <c r="E223" s="167"/>
      <c r="F223" s="167"/>
      <c r="G223" s="167"/>
      <c r="H223" s="167"/>
      <c r="I223" s="167"/>
      <c r="J223" s="167"/>
      <c r="K223" s="167"/>
      <c r="L223" s="167"/>
      <c r="M223" s="167"/>
      <c r="N223" s="167"/>
      <c r="O223" s="167"/>
      <c r="P223" s="167"/>
      <c r="Q223" s="167"/>
      <c r="R223" s="167"/>
      <c r="S223" s="167"/>
      <c r="T223" s="167"/>
      <c r="U223" s="167"/>
      <c r="V223" s="167"/>
      <c r="W223" s="167"/>
      <c r="X223" s="167"/>
      <c r="Y223" s="167"/>
      <c r="Z223" s="167"/>
      <c r="AA223" s="167"/>
      <c r="AB223" s="167"/>
      <c r="AC223" s="167"/>
    </row>
    <row r="224" spans="1:29" x14ac:dyDescent="0.2">
      <c r="A224" s="167"/>
      <c r="B224" s="167"/>
      <c r="C224" s="167"/>
      <c r="D224" s="167"/>
      <c r="E224" s="167"/>
      <c r="F224" s="167"/>
      <c r="G224" s="167"/>
      <c r="H224" s="167"/>
      <c r="I224" s="167"/>
      <c r="J224" s="167"/>
      <c r="K224" s="167"/>
      <c r="L224" s="167"/>
      <c r="M224" s="167"/>
      <c r="N224" s="167"/>
      <c r="O224" s="167"/>
      <c r="P224" s="167"/>
      <c r="Q224" s="167"/>
      <c r="R224" s="167"/>
      <c r="S224" s="167"/>
      <c r="T224" s="167"/>
      <c r="U224" s="167"/>
      <c r="V224" s="167"/>
      <c r="W224" s="167"/>
      <c r="X224" s="167"/>
      <c r="Y224" s="167"/>
      <c r="Z224" s="167"/>
      <c r="AA224" s="167"/>
      <c r="AB224" s="167"/>
      <c r="AC224" s="167"/>
    </row>
    <row r="225" spans="1:29" x14ac:dyDescent="0.2">
      <c r="A225" s="167"/>
      <c r="B225" s="167"/>
      <c r="C225" s="167"/>
      <c r="D225" s="167"/>
      <c r="E225" s="167"/>
      <c r="F225" s="167"/>
      <c r="G225" s="167"/>
      <c r="H225" s="167"/>
      <c r="I225" s="167"/>
      <c r="J225" s="167"/>
      <c r="K225" s="167"/>
      <c r="L225" s="167"/>
      <c r="M225" s="167"/>
      <c r="N225" s="167"/>
      <c r="O225" s="167"/>
      <c r="P225" s="167"/>
      <c r="Q225" s="167"/>
      <c r="R225" s="167"/>
      <c r="S225" s="167"/>
      <c r="T225" s="167"/>
      <c r="U225" s="167"/>
      <c r="V225" s="167"/>
      <c r="W225" s="167"/>
      <c r="X225" s="167"/>
      <c r="Y225" s="167"/>
      <c r="Z225" s="167"/>
      <c r="AA225" s="167"/>
      <c r="AB225" s="167"/>
      <c r="AC225" s="167"/>
    </row>
    <row r="226" spans="1:29" x14ac:dyDescent="0.2">
      <c r="A226" s="167"/>
      <c r="B226" s="167"/>
      <c r="C226" s="167"/>
      <c r="D226" s="167"/>
      <c r="E226" s="167"/>
      <c r="F226" s="167"/>
      <c r="G226" s="167"/>
      <c r="H226" s="167"/>
      <c r="I226" s="167"/>
      <c r="J226" s="167"/>
      <c r="K226" s="167"/>
      <c r="L226" s="167"/>
      <c r="M226" s="167"/>
      <c r="N226" s="167"/>
      <c r="O226" s="167"/>
      <c r="P226" s="167"/>
      <c r="Q226" s="167"/>
      <c r="R226" s="167"/>
      <c r="S226" s="167"/>
      <c r="T226" s="167"/>
      <c r="U226" s="167"/>
      <c r="V226" s="167"/>
      <c r="W226" s="167"/>
      <c r="X226" s="167"/>
      <c r="Y226" s="167"/>
      <c r="Z226" s="167"/>
      <c r="AA226" s="167"/>
      <c r="AB226" s="167"/>
      <c r="AC226" s="167"/>
    </row>
    <row r="227" spans="1:29" x14ac:dyDescent="0.2">
      <c r="A227" s="167"/>
      <c r="B227" s="167"/>
      <c r="C227" s="167"/>
      <c r="D227" s="167"/>
      <c r="E227" s="167"/>
      <c r="F227" s="167"/>
      <c r="G227" s="167"/>
      <c r="H227" s="167"/>
      <c r="I227" s="167"/>
      <c r="J227" s="167"/>
      <c r="K227" s="167"/>
      <c r="L227" s="167"/>
      <c r="M227" s="167"/>
      <c r="N227" s="167"/>
      <c r="O227" s="167"/>
      <c r="P227" s="167"/>
      <c r="Q227" s="167"/>
      <c r="R227" s="167"/>
      <c r="S227" s="167"/>
      <c r="T227" s="167"/>
      <c r="U227" s="167"/>
      <c r="V227" s="167"/>
      <c r="W227" s="167"/>
      <c r="X227" s="167"/>
      <c r="Y227" s="167"/>
      <c r="Z227" s="167"/>
      <c r="AA227" s="167"/>
      <c r="AB227" s="167"/>
      <c r="AC227" s="167"/>
    </row>
    <row r="228" spans="1:29" x14ac:dyDescent="0.2">
      <c r="A228" s="167"/>
      <c r="B228" s="167"/>
      <c r="C228" s="167"/>
      <c r="D228" s="167"/>
      <c r="E228" s="167"/>
      <c r="F228" s="167"/>
      <c r="G228" s="167"/>
      <c r="H228" s="167"/>
      <c r="I228" s="167"/>
      <c r="J228" s="167"/>
      <c r="K228" s="167"/>
      <c r="L228" s="167"/>
      <c r="M228" s="167"/>
      <c r="N228" s="167"/>
      <c r="O228" s="167"/>
      <c r="P228" s="167"/>
      <c r="Q228" s="167"/>
      <c r="R228" s="167"/>
      <c r="S228" s="167"/>
      <c r="T228" s="167"/>
      <c r="U228" s="167"/>
      <c r="V228" s="167"/>
      <c r="W228" s="167"/>
      <c r="X228" s="167"/>
      <c r="Y228" s="167"/>
      <c r="Z228" s="167"/>
      <c r="AA228" s="167"/>
      <c r="AB228" s="167"/>
      <c r="AC228" s="167"/>
    </row>
    <row r="229" spans="1:29" x14ac:dyDescent="0.2">
      <c r="A229" s="167"/>
      <c r="B229" s="167"/>
      <c r="C229" s="167"/>
      <c r="D229" s="167"/>
      <c r="E229" s="167"/>
      <c r="F229" s="167"/>
      <c r="G229" s="167"/>
      <c r="H229" s="167"/>
      <c r="I229" s="167"/>
      <c r="J229" s="167"/>
      <c r="K229" s="167"/>
      <c r="L229" s="167"/>
      <c r="M229" s="167"/>
      <c r="N229" s="167"/>
      <c r="O229" s="167"/>
      <c r="P229" s="167"/>
      <c r="Q229" s="167"/>
      <c r="R229" s="167"/>
      <c r="S229" s="167"/>
      <c r="T229" s="167"/>
      <c r="U229" s="167"/>
      <c r="V229" s="167"/>
      <c r="W229" s="167"/>
      <c r="X229" s="167"/>
      <c r="Y229" s="167"/>
      <c r="Z229" s="167"/>
      <c r="AA229" s="167"/>
      <c r="AB229" s="167"/>
      <c r="AC229" s="167"/>
    </row>
    <row r="230" spans="1:29" x14ac:dyDescent="0.2">
      <c r="A230" s="167"/>
      <c r="B230" s="167"/>
      <c r="C230" s="167"/>
      <c r="D230" s="167"/>
      <c r="E230" s="167"/>
      <c r="F230" s="167"/>
      <c r="G230" s="167"/>
      <c r="H230" s="167"/>
      <c r="I230" s="167"/>
      <c r="J230" s="167"/>
      <c r="K230" s="167"/>
      <c r="L230" s="167"/>
      <c r="M230" s="167"/>
      <c r="N230" s="167"/>
      <c r="O230" s="167"/>
      <c r="P230" s="167"/>
      <c r="Q230" s="167"/>
      <c r="R230" s="167"/>
      <c r="S230" s="167"/>
      <c r="T230" s="167"/>
      <c r="U230" s="167"/>
      <c r="V230" s="167"/>
      <c r="W230" s="167"/>
      <c r="X230" s="167"/>
      <c r="Y230" s="167"/>
      <c r="Z230" s="167"/>
      <c r="AA230" s="167"/>
      <c r="AB230" s="167"/>
      <c r="AC230" s="167"/>
    </row>
    <row r="231" spans="1:29" x14ac:dyDescent="0.2">
      <c r="A231" s="167"/>
      <c r="B231" s="167"/>
      <c r="C231" s="167"/>
      <c r="D231" s="167"/>
      <c r="E231" s="167"/>
      <c r="F231" s="167"/>
      <c r="G231" s="167"/>
      <c r="H231" s="167"/>
      <c r="I231" s="167"/>
      <c r="J231" s="167"/>
      <c r="K231" s="167"/>
      <c r="L231" s="167"/>
      <c r="M231" s="167"/>
      <c r="N231" s="167"/>
      <c r="O231" s="167"/>
      <c r="P231" s="167"/>
      <c r="Q231" s="167"/>
      <c r="R231" s="167"/>
      <c r="S231" s="167"/>
      <c r="T231" s="167"/>
      <c r="U231" s="167"/>
      <c r="V231" s="167"/>
      <c r="W231" s="167"/>
      <c r="X231" s="167"/>
      <c r="Y231" s="167"/>
      <c r="Z231" s="167"/>
      <c r="AA231" s="167"/>
      <c r="AB231" s="167"/>
      <c r="AC231" s="167"/>
    </row>
    <row r="232" spans="1:29" x14ac:dyDescent="0.2">
      <c r="A232" s="167"/>
      <c r="B232" s="167"/>
      <c r="C232" s="167"/>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row>
    <row r="233" spans="1:29" x14ac:dyDescent="0.2">
      <c r="A233" s="167"/>
      <c r="B233" s="167"/>
      <c r="C233" s="167"/>
      <c r="D233" s="167"/>
      <c r="E233" s="167"/>
      <c r="F233" s="167"/>
      <c r="G233" s="167"/>
      <c r="H233" s="167"/>
      <c r="I233" s="167"/>
      <c r="J233" s="167"/>
      <c r="K233" s="167"/>
      <c r="L233" s="167"/>
      <c r="M233" s="167"/>
      <c r="N233" s="167"/>
      <c r="O233" s="167"/>
      <c r="P233" s="167"/>
      <c r="Q233" s="167"/>
      <c r="R233" s="167"/>
      <c r="S233" s="167"/>
      <c r="T233" s="167"/>
      <c r="U233" s="167"/>
      <c r="V233" s="167"/>
      <c r="W233" s="167"/>
      <c r="X233" s="167"/>
      <c r="Y233" s="167"/>
      <c r="Z233" s="167"/>
      <c r="AA233" s="167"/>
      <c r="AB233" s="167"/>
      <c r="AC233" s="167"/>
    </row>
    <row r="234" spans="1:29" x14ac:dyDescent="0.2">
      <c r="A234" s="167"/>
      <c r="B234" s="167"/>
      <c r="C234" s="167"/>
      <c r="D234" s="167"/>
      <c r="E234" s="167"/>
      <c r="F234" s="167"/>
      <c r="G234" s="167"/>
      <c r="H234" s="167"/>
      <c r="I234" s="167"/>
      <c r="J234" s="167"/>
      <c r="K234" s="167"/>
      <c r="L234" s="167"/>
      <c r="M234" s="167"/>
      <c r="N234" s="167"/>
      <c r="O234" s="167"/>
      <c r="P234" s="167"/>
      <c r="Q234" s="167"/>
      <c r="R234" s="167"/>
      <c r="S234" s="167"/>
      <c r="T234" s="167"/>
      <c r="U234" s="167"/>
      <c r="V234" s="167"/>
      <c r="W234" s="167"/>
      <c r="X234" s="167"/>
      <c r="Y234" s="167"/>
      <c r="Z234" s="167"/>
      <c r="AA234" s="167"/>
      <c r="AB234" s="167"/>
      <c r="AC234" s="167"/>
    </row>
    <row r="235" spans="1:29" x14ac:dyDescent="0.2">
      <c r="A235" s="167"/>
      <c r="B235" s="167"/>
      <c r="C235" s="167"/>
      <c r="D235" s="167"/>
      <c r="E235" s="167"/>
      <c r="F235" s="167"/>
      <c r="G235" s="167"/>
      <c r="H235" s="167"/>
      <c r="I235" s="167"/>
      <c r="J235" s="167"/>
      <c r="K235" s="167"/>
      <c r="L235" s="167"/>
      <c r="M235" s="167"/>
      <c r="N235" s="167"/>
      <c r="O235" s="167"/>
      <c r="P235" s="167"/>
      <c r="Q235" s="167"/>
      <c r="R235" s="167"/>
      <c r="S235" s="167"/>
      <c r="T235" s="167"/>
      <c r="U235" s="167"/>
      <c r="V235" s="167"/>
      <c r="W235" s="167"/>
      <c r="X235" s="167"/>
      <c r="Y235" s="167"/>
      <c r="Z235" s="167"/>
      <c r="AA235" s="167"/>
      <c r="AB235" s="167"/>
      <c r="AC235" s="167"/>
    </row>
    <row r="236" spans="1:29" x14ac:dyDescent="0.2">
      <c r="A236" s="167"/>
      <c r="B236" s="167"/>
      <c r="C236" s="167"/>
      <c r="D236" s="167"/>
      <c r="E236" s="167"/>
      <c r="F236" s="167"/>
      <c r="G236" s="167"/>
      <c r="H236" s="167"/>
      <c r="I236" s="167"/>
      <c r="J236" s="167"/>
      <c r="K236" s="167"/>
      <c r="L236" s="167"/>
      <c r="M236" s="167"/>
      <c r="N236" s="167"/>
      <c r="O236" s="167"/>
      <c r="P236" s="167"/>
      <c r="Q236" s="167"/>
      <c r="R236" s="167"/>
      <c r="S236" s="167"/>
      <c r="T236" s="167"/>
      <c r="U236" s="167"/>
      <c r="V236" s="167"/>
      <c r="W236" s="167"/>
      <c r="X236" s="167"/>
      <c r="Y236" s="167"/>
      <c r="Z236" s="167"/>
      <c r="AA236" s="167"/>
      <c r="AB236" s="167"/>
      <c r="AC236" s="167"/>
    </row>
    <row r="237" spans="1:29" x14ac:dyDescent="0.2">
      <c r="A237" s="167"/>
      <c r="B237" s="167"/>
      <c r="C237" s="167"/>
      <c r="D237" s="167"/>
      <c r="E237" s="167"/>
      <c r="F237" s="167"/>
      <c r="G237" s="167"/>
      <c r="H237" s="167"/>
      <c r="I237" s="167"/>
      <c r="J237" s="167"/>
      <c r="K237" s="167"/>
      <c r="L237" s="167"/>
      <c r="M237" s="167"/>
      <c r="N237" s="167"/>
      <c r="O237" s="167"/>
      <c r="P237" s="167"/>
      <c r="Q237" s="167"/>
      <c r="R237" s="167"/>
      <c r="S237" s="167"/>
      <c r="T237" s="167"/>
      <c r="U237" s="167"/>
      <c r="V237" s="167"/>
      <c r="W237" s="167"/>
      <c r="X237" s="167"/>
      <c r="Y237" s="167"/>
      <c r="Z237" s="167"/>
      <c r="AA237" s="167"/>
      <c r="AB237" s="167"/>
      <c r="AC237" s="167"/>
    </row>
    <row r="238" spans="1:29" x14ac:dyDescent="0.2">
      <c r="A238" s="167"/>
      <c r="B238" s="167"/>
      <c r="C238" s="167"/>
      <c r="D238" s="167"/>
      <c r="E238" s="167"/>
      <c r="F238" s="167"/>
      <c r="G238" s="167"/>
      <c r="H238" s="167"/>
      <c r="I238" s="167"/>
      <c r="J238" s="167"/>
      <c r="K238" s="167"/>
      <c r="L238" s="167"/>
      <c r="M238" s="167"/>
      <c r="N238" s="167"/>
      <c r="O238" s="167"/>
      <c r="P238" s="167"/>
      <c r="Q238" s="167"/>
      <c r="R238" s="167"/>
      <c r="S238" s="167"/>
      <c r="T238" s="167"/>
      <c r="U238" s="167"/>
      <c r="V238" s="167"/>
      <c r="W238" s="167"/>
      <c r="X238" s="167"/>
      <c r="Y238" s="167"/>
      <c r="Z238" s="167"/>
      <c r="AA238" s="167"/>
      <c r="AB238" s="167"/>
      <c r="AC238" s="167"/>
    </row>
    <row r="239" spans="1:29" x14ac:dyDescent="0.2">
      <c r="A239" s="167"/>
      <c r="B239" s="167"/>
      <c r="C239" s="167"/>
      <c r="D239" s="167"/>
      <c r="E239" s="167"/>
      <c r="F239" s="167"/>
      <c r="G239" s="167"/>
      <c r="H239" s="167"/>
      <c r="I239" s="167"/>
      <c r="J239" s="167"/>
      <c r="K239" s="167"/>
      <c r="L239" s="167"/>
      <c r="M239" s="167"/>
      <c r="N239" s="167"/>
      <c r="O239" s="167"/>
      <c r="P239" s="167"/>
      <c r="Q239" s="167"/>
      <c r="R239" s="167"/>
      <c r="S239" s="167"/>
      <c r="T239" s="167"/>
      <c r="U239" s="167"/>
      <c r="V239" s="167"/>
      <c r="W239" s="167"/>
      <c r="X239" s="167"/>
      <c r="Y239" s="167"/>
      <c r="Z239" s="167"/>
      <c r="AA239" s="167"/>
      <c r="AB239" s="167"/>
      <c r="AC239" s="167"/>
    </row>
    <row r="240" spans="1:29" x14ac:dyDescent="0.2">
      <c r="A240" s="167"/>
      <c r="B240" s="167"/>
      <c r="C240" s="167"/>
      <c r="D240" s="167"/>
      <c r="E240" s="167"/>
      <c r="F240" s="167"/>
      <c r="G240" s="167"/>
      <c r="H240" s="167"/>
      <c r="I240" s="167"/>
      <c r="J240" s="167"/>
      <c r="K240" s="167"/>
      <c r="L240" s="167"/>
      <c r="M240" s="167"/>
      <c r="N240" s="167"/>
      <c r="O240" s="167"/>
      <c r="P240" s="167"/>
      <c r="Q240" s="167"/>
      <c r="R240" s="167"/>
      <c r="S240" s="167"/>
      <c r="T240" s="167"/>
      <c r="U240" s="167"/>
      <c r="V240" s="167"/>
      <c r="W240" s="167"/>
      <c r="X240" s="167"/>
      <c r="Y240" s="167"/>
      <c r="Z240" s="167"/>
      <c r="AA240" s="167"/>
      <c r="AB240" s="167"/>
      <c r="AC240" s="167"/>
    </row>
    <row r="241" spans="1:29" x14ac:dyDescent="0.2">
      <c r="A241" s="167"/>
      <c r="B241" s="167"/>
      <c r="C241" s="167"/>
      <c r="D241" s="167"/>
      <c r="E241" s="167"/>
      <c r="F241" s="167"/>
      <c r="G241" s="167"/>
      <c r="H241" s="167"/>
      <c r="I241" s="167"/>
      <c r="J241" s="167"/>
      <c r="K241" s="167"/>
      <c r="L241" s="167"/>
      <c r="M241" s="167"/>
      <c r="N241" s="167"/>
      <c r="O241" s="167"/>
      <c r="P241" s="167"/>
      <c r="Q241" s="167"/>
      <c r="R241" s="167"/>
      <c r="S241" s="167"/>
      <c r="T241" s="167"/>
      <c r="U241" s="167"/>
      <c r="V241" s="167"/>
      <c r="W241" s="167"/>
      <c r="X241" s="167"/>
      <c r="Y241" s="167"/>
      <c r="Z241" s="167"/>
      <c r="AA241" s="167"/>
      <c r="AB241" s="167"/>
      <c r="AC241" s="167"/>
    </row>
    <row r="242" spans="1:29" x14ac:dyDescent="0.2">
      <c r="A242" s="167"/>
      <c r="B242" s="167"/>
      <c r="C242" s="167"/>
      <c r="D242" s="167"/>
      <c r="E242" s="167"/>
      <c r="F242" s="167"/>
      <c r="G242" s="167"/>
      <c r="H242" s="167"/>
      <c r="I242" s="167"/>
      <c r="J242" s="167"/>
      <c r="K242" s="167"/>
      <c r="L242" s="167"/>
      <c r="M242" s="167"/>
      <c r="N242" s="167"/>
      <c r="O242" s="167"/>
      <c r="P242" s="167"/>
      <c r="Q242" s="167"/>
      <c r="R242" s="167"/>
      <c r="S242" s="167"/>
      <c r="T242" s="167"/>
      <c r="U242" s="167"/>
      <c r="V242" s="167"/>
      <c r="W242" s="167"/>
      <c r="X242" s="167"/>
      <c r="Y242" s="167"/>
      <c r="Z242" s="167"/>
      <c r="AA242" s="167"/>
      <c r="AB242" s="167"/>
      <c r="AC242" s="167"/>
    </row>
    <row r="243" spans="1:29" x14ac:dyDescent="0.2">
      <c r="A243" s="167"/>
      <c r="B243" s="167"/>
      <c r="C243" s="167"/>
      <c r="D243" s="167"/>
      <c r="E243" s="167"/>
      <c r="F243" s="167"/>
      <c r="G243" s="167"/>
      <c r="H243" s="167"/>
      <c r="I243" s="167"/>
      <c r="J243" s="167"/>
      <c r="K243" s="167"/>
      <c r="L243" s="167"/>
      <c r="M243" s="167"/>
      <c r="N243" s="167"/>
      <c r="O243" s="167"/>
      <c r="P243" s="167"/>
      <c r="Q243" s="167"/>
      <c r="R243" s="167"/>
      <c r="S243" s="167"/>
      <c r="T243" s="167"/>
      <c r="U243" s="167"/>
      <c r="V243" s="167"/>
      <c r="W243" s="167"/>
      <c r="X243" s="167"/>
      <c r="Y243" s="167"/>
      <c r="Z243" s="167"/>
      <c r="AA243" s="167"/>
      <c r="AB243" s="167"/>
      <c r="AC243" s="167"/>
    </row>
    <row r="244" spans="1:29" x14ac:dyDescent="0.2">
      <c r="A244" s="167"/>
      <c r="B244" s="167"/>
      <c r="C244" s="167"/>
      <c r="D244" s="167"/>
      <c r="E244" s="167"/>
      <c r="F244" s="167"/>
      <c r="G244" s="167"/>
      <c r="H244" s="167"/>
      <c r="I244" s="167"/>
      <c r="J244" s="167"/>
      <c r="K244" s="167"/>
      <c r="L244" s="167"/>
      <c r="M244" s="167"/>
      <c r="N244" s="167"/>
      <c r="O244" s="167"/>
      <c r="P244" s="167"/>
      <c r="Q244" s="167"/>
      <c r="R244" s="167"/>
      <c r="S244" s="167"/>
      <c r="T244" s="167"/>
      <c r="U244" s="167"/>
      <c r="V244" s="167"/>
      <c r="W244" s="167"/>
      <c r="X244" s="167"/>
      <c r="Y244" s="167"/>
      <c r="Z244" s="167"/>
      <c r="AA244" s="167"/>
      <c r="AB244" s="167"/>
      <c r="AC244" s="167"/>
    </row>
    <row r="245" spans="1:29" x14ac:dyDescent="0.2">
      <c r="A245" s="167"/>
      <c r="B245" s="167"/>
      <c r="C245" s="167"/>
      <c r="D245" s="167"/>
      <c r="E245" s="167"/>
      <c r="F245" s="167"/>
      <c r="G245" s="167"/>
      <c r="H245" s="167"/>
      <c r="I245" s="167"/>
      <c r="J245" s="167"/>
      <c r="K245" s="167"/>
      <c r="L245" s="167"/>
      <c r="M245" s="167"/>
      <c r="N245" s="167"/>
      <c r="O245" s="167"/>
      <c r="P245" s="167"/>
      <c r="Q245" s="167"/>
      <c r="R245" s="167"/>
      <c r="S245" s="167"/>
      <c r="T245" s="167"/>
      <c r="U245" s="167"/>
      <c r="V245" s="167"/>
      <c r="W245" s="167"/>
      <c r="X245" s="167"/>
      <c r="Y245" s="167"/>
      <c r="Z245" s="167"/>
      <c r="AA245" s="167"/>
      <c r="AB245" s="167"/>
      <c r="AC245" s="167"/>
    </row>
    <row r="246" spans="1:29" x14ac:dyDescent="0.2">
      <c r="A246" s="167"/>
      <c r="B246" s="167"/>
      <c r="C246" s="167"/>
      <c r="D246" s="167"/>
      <c r="E246" s="167"/>
      <c r="F246" s="167"/>
      <c r="G246" s="167"/>
      <c r="H246" s="167"/>
      <c r="I246" s="167"/>
      <c r="J246" s="167"/>
      <c r="K246" s="167"/>
      <c r="L246" s="167"/>
      <c r="M246" s="167"/>
      <c r="N246" s="167"/>
      <c r="O246" s="167"/>
      <c r="P246" s="167"/>
      <c r="Q246" s="167"/>
      <c r="R246" s="167"/>
      <c r="S246" s="167"/>
      <c r="T246" s="167"/>
      <c r="U246" s="167"/>
      <c r="V246" s="167"/>
      <c r="W246" s="167"/>
      <c r="X246" s="167"/>
      <c r="Y246" s="167"/>
      <c r="Z246" s="167"/>
      <c r="AA246" s="167"/>
      <c r="AB246" s="167"/>
      <c r="AC246" s="167"/>
    </row>
    <row r="247" spans="1:29" x14ac:dyDescent="0.2">
      <c r="A247" s="167"/>
      <c r="B247" s="167"/>
      <c r="C247" s="167"/>
      <c r="D247" s="167"/>
      <c r="E247" s="167"/>
      <c r="F247" s="167"/>
      <c r="G247" s="167"/>
      <c r="H247" s="167"/>
      <c r="I247" s="167"/>
      <c r="J247" s="167"/>
      <c r="K247" s="167"/>
      <c r="L247" s="167"/>
      <c r="M247" s="167"/>
      <c r="N247" s="167"/>
      <c r="O247" s="167"/>
      <c r="P247" s="167"/>
      <c r="Q247" s="167"/>
      <c r="R247" s="167"/>
      <c r="S247" s="167"/>
      <c r="T247" s="167"/>
      <c r="U247" s="167"/>
      <c r="V247" s="167"/>
      <c r="W247" s="167"/>
      <c r="X247" s="167"/>
      <c r="Y247" s="167"/>
      <c r="Z247" s="167"/>
      <c r="AA247" s="167"/>
      <c r="AB247" s="167"/>
      <c r="AC247" s="167"/>
    </row>
    <row r="248" spans="1:29" x14ac:dyDescent="0.2">
      <c r="A248" s="167"/>
      <c r="B248" s="167"/>
      <c r="C248" s="167"/>
      <c r="D248" s="167"/>
      <c r="E248" s="167"/>
      <c r="F248" s="167"/>
      <c r="G248" s="167"/>
      <c r="H248" s="167"/>
      <c r="I248" s="167"/>
      <c r="J248" s="167"/>
      <c r="K248" s="167"/>
      <c r="L248" s="167"/>
      <c r="M248" s="167"/>
      <c r="N248" s="167"/>
      <c r="O248" s="167"/>
      <c r="P248" s="167"/>
      <c r="Q248" s="167"/>
      <c r="R248" s="167"/>
      <c r="S248" s="167"/>
      <c r="T248" s="167"/>
      <c r="U248" s="167"/>
      <c r="V248" s="167"/>
      <c r="W248" s="167"/>
      <c r="X248" s="167"/>
      <c r="Y248" s="167"/>
      <c r="Z248" s="167"/>
      <c r="AA248" s="167"/>
      <c r="AB248" s="167"/>
      <c r="AC248" s="167"/>
    </row>
    <row r="249" spans="1:29" x14ac:dyDescent="0.2">
      <c r="A249" s="167"/>
      <c r="B249" s="167"/>
      <c r="C249" s="167"/>
      <c r="D249" s="167"/>
      <c r="E249" s="167"/>
      <c r="F249" s="167"/>
      <c r="G249" s="167"/>
      <c r="H249" s="167"/>
      <c r="I249" s="167"/>
      <c r="J249" s="167"/>
      <c r="K249" s="167"/>
      <c r="L249" s="167"/>
      <c r="M249" s="167"/>
      <c r="N249" s="167"/>
      <c r="O249" s="167"/>
      <c r="P249" s="167"/>
      <c r="Q249" s="167"/>
      <c r="R249" s="167"/>
      <c r="S249" s="167"/>
      <c r="T249" s="167"/>
      <c r="U249" s="167"/>
      <c r="V249" s="167"/>
      <c r="W249" s="167"/>
      <c r="X249" s="167"/>
      <c r="Y249" s="167"/>
      <c r="Z249" s="167"/>
      <c r="AA249" s="167"/>
      <c r="AB249" s="167"/>
      <c r="AC249" s="167"/>
    </row>
    <row r="250" spans="1:29" x14ac:dyDescent="0.2">
      <c r="A250" s="167"/>
      <c r="B250" s="167"/>
      <c r="C250" s="167"/>
      <c r="D250" s="167"/>
      <c r="E250" s="167"/>
      <c r="F250" s="167"/>
      <c r="G250" s="167"/>
      <c r="H250" s="167"/>
      <c r="I250" s="167"/>
      <c r="J250" s="167"/>
      <c r="K250" s="167"/>
      <c r="L250" s="167"/>
      <c r="M250" s="167"/>
      <c r="N250" s="167"/>
      <c r="O250" s="167"/>
      <c r="P250" s="167"/>
      <c r="Q250" s="167"/>
      <c r="R250" s="167"/>
      <c r="S250" s="167"/>
      <c r="T250" s="167"/>
      <c r="U250" s="167"/>
      <c r="V250" s="167"/>
      <c r="W250" s="167"/>
      <c r="X250" s="167"/>
      <c r="Y250" s="167"/>
      <c r="Z250" s="167"/>
      <c r="AA250" s="167"/>
      <c r="AB250" s="167"/>
      <c r="AC250" s="167"/>
    </row>
    <row r="251" spans="1:29" x14ac:dyDescent="0.2">
      <c r="A251" s="167"/>
      <c r="B251" s="167"/>
      <c r="C251" s="167"/>
      <c r="D251" s="167"/>
      <c r="E251" s="167"/>
      <c r="F251" s="167"/>
      <c r="G251" s="167"/>
      <c r="H251" s="167"/>
      <c r="I251" s="167"/>
      <c r="J251" s="167"/>
      <c r="K251" s="167"/>
      <c r="L251" s="167"/>
      <c r="M251" s="167"/>
      <c r="N251" s="167"/>
      <c r="O251" s="167"/>
      <c r="P251" s="167"/>
      <c r="Q251" s="167"/>
      <c r="R251" s="167"/>
      <c r="S251" s="167"/>
      <c r="T251" s="167"/>
      <c r="U251" s="167"/>
      <c r="V251" s="167"/>
      <c r="W251" s="167"/>
      <c r="X251" s="167"/>
      <c r="Y251" s="167"/>
      <c r="Z251" s="167"/>
      <c r="AA251" s="167"/>
      <c r="AB251" s="167"/>
      <c r="AC251" s="167"/>
    </row>
  </sheetData>
  <sheetProtection algorithmName="SHA-512" hashValue="aTmblQ4FTBO0XLejvxtOtiz8MjQFhx7Q3zxZwNPmEYGo1XdTqohYURHWfNrtx6TcPOj6asifuQrZqJ6gQX0CJA==" saltValue="87HT9pIQrxylD9zcPQxDpg==" spinCount="100000" sheet="1" objects="1" scenarios="1" formatCells="0" selectLockedCells="1"/>
  <mergeCells count="642">
    <mergeCell ref="U65:W65"/>
    <mergeCell ref="Y65:Z65"/>
    <mergeCell ref="A10:AB10"/>
    <mergeCell ref="V16:X16"/>
    <mergeCell ref="Y16:AB16"/>
    <mergeCell ref="V17:X17"/>
    <mergeCell ref="Y17:AB17"/>
    <mergeCell ref="V18:X18"/>
    <mergeCell ref="Y18:AB18"/>
    <mergeCell ref="V19:X19"/>
    <mergeCell ref="Y19:AB19"/>
    <mergeCell ref="V11:X11"/>
    <mergeCell ref="Y11:AB11"/>
    <mergeCell ref="V12:X12"/>
    <mergeCell ref="Y12:AB12"/>
    <mergeCell ref="V13:X13"/>
    <mergeCell ref="Y13:AB13"/>
    <mergeCell ref="V14:X14"/>
    <mergeCell ref="Y14:AB14"/>
    <mergeCell ref="V15:X15"/>
    <mergeCell ref="Y15:AB15"/>
    <mergeCell ref="R18:U18"/>
    <mergeCell ref="R17:U17"/>
    <mergeCell ref="R15:U15"/>
    <mergeCell ref="R16:U16"/>
    <mergeCell ref="H15:J15"/>
    <mergeCell ref="W81:Y81"/>
    <mergeCell ref="T82:V82"/>
    <mergeCell ref="W82:Y82"/>
    <mergeCell ref="Q88:S88"/>
    <mergeCell ref="Q87:S87"/>
    <mergeCell ref="H80:J80"/>
    <mergeCell ref="K82:M82"/>
    <mergeCell ref="W80:Y80"/>
    <mergeCell ref="T81:V81"/>
    <mergeCell ref="Q83:S83"/>
    <mergeCell ref="N84:P84"/>
    <mergeCell ref="N85:P85"/>
    <mergeCell ref="Q80:S80"/>
    <mergeCell ref="W51:Y51"/>
    <mergeCell ref="Q32:R32"/>
    <mergeCell ref="I44:M44"/>
    <mergeCell ref="I49:M49"/>
    <mergeCell ref="O32:P32"/>
    <mergeCell ref="O31:P31"/>
    <mergeCell ref="Q31:R31"/>
    <mergeCell ref="S37:W37"/>
    <mergeCell ref="Q50:S50"/>
    <mergeCell ref="N43:P43"/>
    <mergeCell ref="U32:V32"/>
    <mergeCell ref="U33:V33"/>
    <mergeCell ref="Q30:R30"/>
    <mergeCell ref="S32:T32"/>
    <mergeCell ref="M31:N31"/>
    <mergeCell ref="M32:N32"/>
    <mergeCell ref="O33:P33"/>
    <mergeCell ref="N49:P49"/>
    <mergeCell ref="Q49:S49"/>
    <mergeCell ref="U31:V31"/>
    <mergeCell ref="O30:P30"/>
    <mergeCell ref="Q38:R38"/>
    <mergeCell ref="S38:T38"/>
    <mergeCell ref="V20:X20"/>
    <mergeCell ref="Y20:AB20"/>
    <mergeCell ref="R21:U21"/>
    <mergeCell ref="R22:U22"/>
    <mergeCell ref="K21:N21"/>
    <mergeCell ref="K22:N22"/>
    <mergeCell ref="T49:V49"/>
    <mergeCell ref="T89:V89"/>
    <mergeCell ref="W89:Y89"/>
    <mergeCell ref="S39:T39"/>
    <mergeCell ref="U39:V39"/>
    <mergeCell ref="J32:L32"/>
    <mergeCell ref="Q44:S44"/>
    <mergeCell ref="I48:M48"/>
    <mergeCell ref="S30:T30"/>
    <mergeCell ref="U30:V30"/>
    <mergeCell ref="T54:V54"/>
    <mergeCell ref="U63:W63"/>
    <mergeCell ref="W52:Y52"/>
    <mergeCell ref="X61:Z61"/>
    <mergeCell ref="X60:Z60"/>
    <mergeCell ref="X62:Z62"/>
    <mergeCell ref="U62:W62"/>
    <mergeCell ref="N51:P51"/>
    <mergeCell ref="T90:V90"/>
    <mergeCell ref="W90:Y90"/>
    <mergeCell ref="T91:V91"/>
    <mergeCell ref="W91:Y91"/>
    <mergeCell ref="B76:Y76"/>
    <mergeCell ref="T83:V83"/>
    <mergeCell ref="W83:Y83"/>
    <mergeCell ref="T84:V84"/>
    <mergeCell ref="W84:Y84"/>
    <mergeCell ref="T85:V85"/>
    <mergeCell ref="W85:Y85"/>
    <mergeCell ref="T86:V86"/>
    <mergeCell ref="W86:Y86"/>
    <mergeCell ref="T87:V87"/>
    <mergeCell ref="W87:Y87"/>
    <mergeCell ref="T78:V78"/>
    <mergeCell ref="W78:Y78"/>
    <mergeCell ref="T79:V79"/>
    <mergeCell ref="W79:Y79"/>
    <mergeCell ref="T80:V80"/>
    <mergeCell ref="T88:V88"/>
    <mergeCell ref="W88:Y88"/>
    <mergeCell ref="K91:M91"/>
    <mergeCell ref="Q86:S86"/>
    <mergeCell ref="A165:AC165"/>
    <mergeCell ref="A166:AC166"/>
    <mergeCell ref="A167:X167"/>
    <mergeCell ref="Y167:AC167"/>
    <mergeCell ref="A160:AC160"/>
    <mergeCell ref="I158:AC158"/>
    <mergeCell ref="A159:AC159"/>
    <mergeCell ref="W114:Y114"/>
    <mergeCell ref="W113:Y113"/>
    <mergeCell ref="E114:G114"/>
    <mergeCell ref="H114:J114"/>
    <mergeCell ref="N114:P114"/>
    <mergeCell ref="Q114:S114"/>
    <mergeCell ref="Q113:S113"/>
    <mergeCell ref="A161:AC161"/>
    <mergeCell ref="A162:AC162"/>
    <mergeCell ref="A163:AC163"/>
    <mergeCell ref="A164:AC164"/>
    <mergeCell ref="C117:AB117"/>
    <mergeCell ref="G118:AB118"/>
    <mergeCell ref="G119:AB119"/>
    <mergeCell ref="B120:E120"/>
    <mergeCell ref="F120:G120"/>
    <mergeCell ref="I120:AB140"/>
    <mergeCell ref="K110:M112"/>
    <mergeCell ref="W112:Y112"/>
    <mergeCell ref="K113:M114"/>
    <mergeCell ref="N113:P113"/>
    <mergeCell ref="T113:V114"/>
    <mergeCell ref="E113:G113"/>
    <mergeCell ref="H113:J113"/>
    <mergeCell ref="N112:P112"/>
    <mergeCell ref="Q112:S112"/>
    <mergeCell ref="H112:J112"/>
    <mergeCell ref="T110:V112"/>
    <mergeCell ref="W110:Y110"/>
    <mergeCell ref="W111:Y111"/>
    <mergeCell ref="E112:G112"/>
    <mergeCell ref="E110:G110"/>
    <mergeCell ref="N110:P110"/>
    <mergeCell ref="Q110:S110"/>
    <mergeCell ref="E111:G111"/>
    <mergeCell ref="H111:J111"/>
    <mergeCell ref="N111:P111"/>
    <mergeCell ref="Q111:S111"/>
    <mergeCell ref="H110:J110"/>
    <mergeCell ref="E104:G104"/>
    <mergeCell ref="H104:J104"/>
    <mergeCell ref="K104:M106"/>
    <mergeCell ref="E107:G107"/>
    <mergeCell ref="H107:J107"/>
    <mergeCell ref="K107:M109"/>
    <mergeCell ref="H109:J109"/>
    <mergeCell ref="W107:Y107"/>
    <mergeCell ref="H106:J106"/>
    <mergeCell ref="Q107:S107"/>
    <mergeCell ref="W109:Y109"/>
    <mergeCell ref="N107:P107"/>
    <mergeCell ref="E108:G108"/>
    <mergeCell ref="H108:J108"/>
    <mergeCell ref="N108:P108"/>
    <mergeCell ref="Q108:S108"/>
    <mergeCell ref="W108:Y108"/>
    <mergeCell ref="N109:P109"/>
    <mergeCell ref="Q109:S109"/>
    <mergeCell ref="T107:V109"/>
    <mergeCell ref="E109:G109"/>
    <mergeCell ref="E98:G98"/>
    <mergeCell ref="N104:P104"/>
    <mergeCell ref="Q104:S104"/>
    <mergeCell ref="T104:V106"/>
    <mergeCell ref="W104:Y104"/>
    <mergeCell ref="Q99:S99"/>
    <mergeCell ref="H98:J98"/>
    <mergeCell ref="K98:M100"/>
    <mergeCell ref="E105:G105"/>
    <mergeCell ref="H105:J105"/>
    <mergeCell ref="E103:G103"/>
    <mergeCell ref="N105:P105"/>
    <mergeCell ref="Q105:S105"/>
    <mergeCell ref="W105:Y105"/>
    <mergeCell ref="N106:P106"/>
    <mergeCell ref="Q106:S106"/>
    <mergeCell ref="W106:Y106"/>
    <mergeCell ref="E106:G106"/>
    <mergeCell ref="E99:G99"/>
    <mergeCell ref="H99:J99"/>
    <mergeCell ref="N99:P99"/>
    <mergeCell ref="E101:G101"/>
    <mergeCell ref="E102:G102"/>
    <mergeCell ref="N102:P102"/>
    <mergeCell ref="K90:M90"/>
    <mergeCell ref="B89:G89"/>
    <mergeCell ref="N88:P88"/>
    <mergeCell ref="B90:G90"/>
    <mergeCell ref="N86:P86"/>
    <mergeCell ref="N87:P87"/>
    <mergeCell ref="Q91:S91"/>
    <mergeCell ref="N91:P91"/>
    <mergeCell ref="Q90:S90"/>
    <mergeCell ref="Q89:S89"/>
    <mergeCell ref="N90:P90"/>
    <mergeCell ref="N89:P89"/>
    <mergeCell ref="K87:M87"/>
    <mergeCell ref="K89:M89"/>
    <mergeCell ref="K88:M88"/>
    <mergeCell ref="H89:J89"/>
    <mergeCell ref="B88:G88"/>
    <mergeCell ref="H88:J88"/>
    <mergeCell ref="B84:G84"/>
    <mergeCell ref="B85:G85"/>
    <mergeCell ref="K84:M84"/>
    <mergeCell ref="H87:J87"/>
    <mergeCell ref="H81:J81"/>
    <mergeCell ref="H86:J86"/>
    <mergeCell ref="B87:G87"/>
    <mergeCell ref="B82:G82"/>
    <mergeCell ref="H82:J82"/>
    <mergeCell ref="B83:G83"/>
    <mergeCell ref="H83:J83"/>
    <mergeCell ref="H84:J84"/>
    <mergeCell ref="H85:J85"/>
    <mergeCell ref="B86:G86"/>
    <mergeCell ref="A1:AC1"/>
    <mergeCell ref="N57:P57"/>
    <mergeCell ref="W5:AB5"/>
    <mergeCell ref="A6:AB6"/>
    <mergeCell ref="P7:AB7"/>
    <mergeCell ref="A8:AB8"/>
    <mergeCell ref="J2:L2"/>
    <mergeCell ref="P2:AB2"/>
    <mergeCell ref="J3:AB3"/>
    <mergeCell ref="A15:G15"/>
    <mergeCell ref="A16:G16"/>
    <mergeCell ref="R14:U14"/>
    <mergeCell ref="K12:N12"/>
    <mergeCell ref="K13:N13"/>
    <mergeCell ref="R11:U11"/>
    <mergeCell ref="Z57:AC57"/>
    <mergeCell ref="W56:Y56"/>
    <mergeCell ref="D47:H47"/>
    <mergeCell ref="K23:N23"/>
    <mergeCell ref="Z51:AC51"/>
    <mergeCell ref="T51:V51"/>
    <mergeCell ref="W50:Y50"/>
    <mergeCell ref="W49:Y49"/>
    <mergeCell ref="R19:U19"/>
    <mergeCell ref="C2:E2"/>
    <mergeCell ref="R12:U12"/>
    <mergeCell ref="F4:M4"/>
    <mergeCell ref="Z47:AC47"/>
    <mergeCell ref="Z50:AC50"/>
    <mergeCell ref="Z46:AC46"/>
    <mergeCell ref="Z42:AC42"/>
    <mergeCell ref="T50:V50"/>
    <mergeCell ref="Z49:AC49"/>
    <mergeCell ref="Q45:S45"/>
    <mergeCell ref="W48:Y48"/>
    <mergeCell ref="Q42:S42"/>
    <mergeCell ref="T43:V43"/>
    <mergeCell ref="Q47:S47"/>
    <mergeCell ref="Q46:S46"/>
    <mergeCell ref="R20:U20"/>
    <mergeCell ref="O19:Q19"/>
    <mergeCell ref="O21:Q21"/>
    <mergeCell ref="N48:P48"/>
    <mergeCell ref="Q48:S48"/>
    <mergeCell ref="Y21:AB21"/>
    <mergeCell ref="V22:X22"/>
    <mergeCell ref="H16:J16"/>
    <mergeCell ref="K15:N15"/>
    <mergeCell ref="A42:C42"/>
    <mergeCell ref="A46:C46"/>
    <mergeCell ref="T46:V46"/>
    <mergeCell ref="A45:C45"/>
    <mergeCell ref="J31:L31"/>
    <mergeCell ref="J30:L30"/>
    <mergeCell ref="B37:F37"/>
    <mergeCell ref="N45:P45"/>
    <mergeCell ref="O20:Q20"/>
    <mergeCell ref="V21:X21"/>
    <mergeCell ref="J26:L27"/>
    <mergeCell ref="W44:Y44"/>
    <mergeCell ref="J28:L28"/>
    <mergeCell ref="J29:L29"/>
    <mergeCell ref="S28:T28"/>
    <mergeCell ref="S29:T29"/>
    <mergeCell ref="W31:X31"/>
    <mergeCell ref="W30:X30"/>
    <mergeCell ref="S31:T31"/>
    <mergeCell ref="B31:F31"/>
    <mergeCell ref="O27:P27"/>
    <mergeCell ref="Q27:R27"/>
    <mergeCell ref="O28:P28"/>
    <mergeCell ref="O29:P29"/>
    <mergeCell ref="A11:G11"/>
    <mergeCell ref="H13:J13"/>
    <mergeCell ref="H14:J14"/>
    <mergeCell ref="A12:G12"/>
    <mergeCell ref="K17:N17"/>
    <mergeCell ref="K11:N11"/>
    <mergeCell ref="H17:J17"/>
    <mergeCell ref="H18:J18"/>
    <mergeCell ref="O11:Q11"/>
    <mergeCell ref="H12:J12"/>
    <mergeCell ref="O13:Q13"/>
    <mergeCell ref="O17:Q17"/>
    <mergeCell ref="K16:N16"/>
    <mergeCell ref="O16:Q16"/>
    <mergeCell ref="O15:Q15"/>
    <mergeCell ref="O14:Q14"/>
    <mergeCell ref="K18:N18"/>
    <mergeCell ref="O18:Q18"/>
    <mergeCell ref="K14:N14"/>
    <mergeCell ref="O12:Q12"/>
    <mergeCell ref="Y22:AB22"/>
    <mergeCell ref="V23:X23"/>
    <mergeCell ref="Y23:AB23"/>
    <mergeCell ref="T47:V47"/>
    <mergeCell ref="T48:V48"/>
    <mergeCell ref="W47:Y47"/>
    <mergeCell ref="I45:M45"/>
    <mergeCell ref="N44:P44"/>
    <mergeCell ref="N46:P46"/>
    <mergeCell ref="Z43:AC43"/>
    <mergeCell ref="Z44:AC44"/>
    <mergeCell ref="T44:V44"/>
    <mergeCell ref="R23:U23"/>
    <mergeCell ref="M26:R26"/>
    <mergeCell ref="S26:X26"/>
    <mergeCell ref="M27:N27"/>
    <mergeCell ref="W29:X29"/>
    <mergeCell ref="U38:V38"/>
    <mergeCell ref="Q33:R33"/>
    <mergeCell ref="W32:X32"/>
    <mergeCell ref="W33:X33"/>
    <mergeCell ref="H23:J23"/>
    <mergeCell ref="Q28:R28"/>
    <mergeCell ref="Q29:R29"/>
    <mergeCell ref="A51:C51"/>
    <mergeCell ref="A50:C50"/>
    <mergeCell ref="A47:C47"/>
    <mergeCell ref="A48:C48"/>
    <mergeCell ref="A17:G17"/>
    <mergeCell ref="A13:G13"/>
    <mergeCell ref="A14:G14"/>
    <mergeCell ref="A18:G18"/>
    <mergeCell ref="B32:H32"/>
    <mergeCell ref="G37:L37"/>
    <mergeCell ref="G36:L36"/>
    <mergeCell ref="A49:C49"/>
    <mergeCell ref="A25:AC25"/>
    <mergeCell ref="Z48:AC48"/>
    <mergeCell ref="W43:Y43"/>
    <mergeCell ref="O23:Q23"/>
    <mergeCell ref="O22:Q22"/>
    <mergeCell ref="T45:V45"/>
    <mergeCell ref="A41:AC41"/>
    <mergeCell ref="W46:Y46"/>
    <mergeCell ref="Q43:S43"/>
    <mergeCell ref="I46:M46"/>
    <mergeCell ref="D46:H46"/>
    <mergeCell ref="R13:U13"/>
    <mergeCell ref="D49:H49"/>
    <mergeCell ref="H19:J19"/>
    <mergeCell ref="K19:N19"/>
    <mergeCell ref="H21:J21"/>
    <mergeCell ref="I47:M47"/>
    <mergeCell ref="A20:G20"/>
    <mergeCell ref="K20:N20"/>
    <mergeCell ref="A19:G19"/>
    <mergeCell ref="H22:J22"/>
    <mergeCell ref="A43:C43"/>
    <mergeCell ref="I43:M43"/>
    <mergeCell ref="A44:C44"/>
    <mergeCell ref="B33:G33"/>
    <mergeCell ref="J33:L33"/>
    <mergeCell ref="B28:I28"/>
    <mergeCell ref="B29:I29"/>
    <mergeCell ref="B30:H30"/>
    <mergeCell ref="M33:N33"/>
    <mergeCell ref="M28:N28"/>
    <mergeCell ref="M29:N29"/>
    <mergeCell ref="M30:N30"/>
    <mergeCell ref="M37:R37"/>
    <mergeCell ref="O39:P39"/>
    <mergeCell ref="A26:A27"/>
    <mergeCell ref="D55:H55"/>
    <mergeCell ref="I55:M55"/>
    <mergeCell ref="Q55:S55"/>
    <mergeCell ref="A56:C56"/>
    <mergeCell ref="A55:C55"/>
    <mergeCell ref="B61:K61"/>
    <mergeCell ref="B63:K63"/>
    <mergeCell ref="A52:A54"/>
    <mergeCell ref="Q56:S56"/>
    <mergeCell ref="N55:P55"/>
    <mergeCell ref="R61:T61"/>
    <mergeCell ref="L60:N60"/>
    <mergeCell ref="L63:N63"/>
    <mergeCell ref="L61:N61"/>
    <mergeCell ref="L62:N62"/>
    <mergeCell ref="O62:Q62"/>
    <mergeCell ref="R62:T62"/>
    <mergeCell ref="D52:H52"/>
    <mergeCell ref="B80:G80"/>
    <mergeCell ref="K81:M81"/>
    <mergeCell ref="Q79:S79"/>
    <mergeCell ref="Q81:S81"/>
    <mergeCell ref="D50:H50"/>
    <mergeCell ref="I51:M51"/>
    <mergeCell ref="B54:C54"/>
    <mergeCell ref="N54:P54"/>
    <mergeCell ref="Q54:S54"/>
    <mergeCell ref="I52:M52"/>
    <mergeCell ref="B52:C52"/>
    <mergeCell ref="B53:C53"/>
    <mergeCell ref="N50:P50"/>
    <mergeCell ref="B81:G81"/>
    <mergeCell ref="Q51:S51"/>
    <mergeCell ref="O60:Q60"/>
    <mergeCell ref="H79:J79"/>
    <mergeCell ref="B79:G79"/>
    <mergeCell ref="Q78:S78"/>
    <mergeCell ref="H69:AC69"/>
    <mergeCell ref="A70:AC70"/>
    <mergeCell ref="O67:Q67"/>
    <mergeCell ref="R67:T67"/>
    <mergeCell ref="U67:W67"/>
    <mergeCell ref="Z56:AC56"/>
    <mergeCell ref="Z54:AC54"/>
    <mergeCell ref="T55:V55"/>
    <mergeCell ref="U61:W61"/>
    <mergeCell ref="Q57:S57"/>
    <mergeCell ref="O61:Q61"/>
    <mergeCell ref="B59:Z59"/>
    <mergeCell ref="D53:H53"/>
    <mergeCell ref="T52:V52"/>
    <mergeCell ref="I53:M53"/>
    <mergeCell ref="N52:P52"/>
    <mergeCell ref="Q52:S52"/>
    <mergeCell ref="N53:P53"/>
    <mergeCell ref="A57:C57"/>
    <mergeCell ref="R60:T60"/>
    <mergeCell ref="T56:V56"/>
    <mergeCell ref="W55:Y55"/>
    <mergeCell ref="D56:H56"/>
    <mergeCell ref="Q53:S53"/>
    <mergeCell ref="T53:V53"/>
    <mergeCell ref="W54:Y54"/>
    <mergeCell ref="W53:Y53"/>
    <mergeCell ref="U60:W60"/>
    <mergeCell ref="Z55:AC55"/>
    <mergeCell ref="X63:Z63"/>
    <mergeCell ref="R64:T64"/>
    <mergeCell ref="O64:Q64"/>
    <mergeCell ref="L66:N66"/>
    <mergeCell ref="X67:Z67"/>
    <mergeCell ref="T77:V77"/>
    <mergeCell ref="W77:Y77"/>
    <mergeCell ref="Z75:AC75"/>
    <mergeCell ref="A73:AC73"/>
    <mergeCell ref="U64:W64"/>
    <mergeCell ref="A75:Y75"/>
    <mergeCell ref="H77:J77"/>
    <mergeCell ref="B64:K64"/>
    <mergeCell ref="B66:K66"/>
    <mergeCell ref="L64:N64"/>
    <mergeCell ref="A74:AC74"/>
    <mergeCell ref="X66:Z66"/>
    <mergeCell ref="A72:AC72"/>
    <mergeCell ref="B65:K65"/>
    <mergeCell ref="L65:N65"/>
    <mergeCell ref="O65:Q65"/>
    <mergeCell ref="R65:T65"/>
    <mergeCell ref="B77:G77"/>
    <mergeCell ref="R66:T66"/>
    <mergeCell ref="Z52:AC52"/>
    <mergeCell ref="B78:G78"/>
    <mergeCell ref="N78:P78"/>
    <mergeCell ref="D54:H54"/>
    <mergeCell ref="I54:M54"/>
    <mergeCell ref="N77:P77"/>
    <mergeCell ref="I56:M56"/>
    <mergeCell ref="N56:P56"/>
    <mergeCell ref="T57:V57"/>
    <mergeCell ref="K78:M78"/>
    <mergeCell ref="R63:T63"/>
    <mergeCell ref="D57:H57"/>
    <mergeCell ref="A71:AC71"/>
    <mergeCell ref="O66:Q66"/>
    <mergeCell ref="K77:M77"/>
    <mergeCell ref="B67:K67"/>
    <mergeCell ref="L67:N67"/>
    <mergeCell ref="W57:Y57"/>
    <mergeCell ref="Z53:AC53"/>
    <mergeCell ref="U66:W66"/>
    <mergeCell ref="Q77:S77"/>
    <mergeCell ref="X64:Z64"/>
    <mergeCell ref="H78:J78"/>
    <mergeCell ref="I57:M57"/>
    <mergeCell ref="N79:P79"/>
    <mergeCell ref="K83:M83"/>
    <mergeCell ref="N83:P83"/>
    <mergeCell ref="Q84:S84"/>
    <mergeCell ref="Q85:S85"/>
    <mergeCell ref="K80:M80"/>
    <mergeCell ref="Q82:S82"/>
    <mergeCell ref="N80:P80"/>
    <mergeCell ref="K85:M85"/>
    <mergeCell ref="K79:M79"/>
    <mergeCell ref="N81:P81"/>
    <mergeCell ref="N82:P82"/>
    <mergeCell ref="H101:J101"/>
    <mergeCell ref="H102:J102"/>
    <mergeCell ref="E100:G100"/>
    <mergeCell ref="A21:G21"/>
    <mergeCell ref="A22:G22"/>
    <mergeCell ref="H20:J20"/>
    <mergeCell ref="N47:P47"/>
    <mergeCell ref="D45:H45"/>
    <mergeCell ref="D44:H44"/>
    <mergeCell ref="A23:G23"/>
    <mergeCell ref="D48:H48"/>
    <mergeCell ref="D51:H51"/>
    <mergeCell ref="I50:M50"/>
    <mergeCell ref="K86:M86"/>
    <mergeCell ref="D43:H43"/>
    <mergeCell ref="O63:Q63"/>
    <mergeCell ref="H90:J90"/>
    <mergeCell ref="H91:J91"/>
    <mergeCell ref="B91:G91"/>
    <mergeCell ref="H95:M95"/>
    <mergeCell ref="N95:P95"/>
    <mergeCell ref="Q95:V95"/>
    <mergeCell ref="E97:G97"/>
    <mergeCell ref="K97:M97"/>
    <mergeCell ref="W101:Y101"/>
    <mergeCell ref="N101:P101"/>
    <mergeCell ref="K101:M103"/>
    <mergeCell ref="T101:V103"/>
    <mergeCell ref="W97:Y97"/>
    <mergeCell ref="Q100:S100"/>
    <mergeCell ref="W102:Y102"/>
    <mergeCell ref="H103:J103"/>
    <mergeCell ref="N103:P103"/>
    <mergeCell ref="Q103:S103"/>
    <mergeCell ref="W103:Y103"/>
    <mergeCell ref="Q101:S101"/>
    <mergeCell ref="Q102:S102"/>
    <mergeCell ref="H100:J100"/>
    <mergeCell ref="Q97:S97"/>
    <mergeCell ref="W98:Y98"/>
    <mergeCell ref="Q98:S98"/>
    <mergeCell ref="W100:Y100"/>
    <mergeCell ref="N98:P98"/>
    <mergeCell ref="T98:V100"/>
    <mergeCell ref="N100:P100"/>
    <mergeCell ref="W99:Y99"/>
    <mergeCell ref="T97:V97"/>
    <mergeCell ref="H97:J97"/>
    <mergeCell ref="N97:P97"/>
    <mergeCell ref="E93:Y93"/>
    <mergeCell ref="Q94:V94"/>
    <mergeCell ref="W94:Y94"/>
    <mergeCell ref="E96:G96"/>
    <mergeCell ref="H96:M96"/>
    <mergeCell ref="N96:P96"/>
    <mergeCell ref="Q96:V96"/>
    <mergeCell ref="W96:Y96"/>
    <mergeCell ref="W95:Y95"/>
    <mergeCell ref="H94:M94"/>
    <mergeCell ref="N94:P94"/>
    <mergeCell ref="W39:X39"/>
    <mergeCell ref="M36:R36"/>
    <mergeCell ref="S36:W36"/>
    <mergeCell ref="A35:AC35"/>
    <mergeCell ref="AA32:AB32"/>
    <mergeCell ref="AA33:AB33"/>
    <mergeCell ref="S33:T33"/>
    <mergeCell ref="Y32:Z32"/>
    <mergeCell ref="Y33:Z33"/>
    <mergeCell ref="B39:F39"/>
    <mergeCell ref="B38:F38"/>
    <mergeCell ref="G38:H38"/>
    <mergeCell ref="I38:J38"/>
    <mergeCell ref="K38:L38"/>
    <mergeCell ref="M38:N38"/>
    <mergeCell ref="O38:P38"/>
    <mergeCell ref="G39:H39"/>
    <mergeCell ref="I39:J39"/>
    <mergeCell ref="K39:L39"/>
    <mergeCell ref="M39:N39"/>
    <mergeCell ref="Q39:R39"/>
    <mergeCell ref="AA31:AB31"/>
    <mergeCell ref="Y26:AC26"/>
    <mergeCell ref="Y27:Z27"/>
    <mergeCell ref="AA27:AB27"/>
    <mergeCell ref="Y28:Z28"/>
    <mergeCell ref="AA28:AB28"/>
    <mergeCell ref="Y29:Z29"/>
    <mergeCell ref="AA29:AB29"/>
    <mergeCell ref="Y30:Z30"/>
    <mergeCell ref="AA30:AB30"/>
    <mergeCell ref="S27:T27"/>
    <mergeCell ref="U27:V27"/>
    <mergeCell ref="W27:X27"/>
    <mergeCell ref="W28:X28"/>
    <mergeCell ref="B26:I27"/>
    <mergeCell ref="U28:V28"/>
    <mergeCell ref="U29:V29"/>
    <mergeCell ref="W38:X38"/>
    <mergeCell ref="Y31:Z31"/>
    <mergeCell ref="B121:E121"/>
    <mergeCell ref="F121:G121"/>
    <mergeCell ref="B122:E122"/>
    <mergeCell ref="F122:G122"/>
    <mergeCell ref="B123:E123"/>
    <mergeCell ref="F123:G123"/>
    <mergeCell ref="B124:E124"/>
    <mergeCell ref="F124:G124"/>
    <mergeCell ref="C142:AB142"/>
    <mergeCell ref="C145:F145"/>
    <mergeCell ref="G145:H145"/>
    <mergeCell ref="C146:F146"/>
    <mergeCell ref="G146:H146"/>
    <mergeCell ref="C147:F147"/>
    <mergeCell ref="G147:H147"/>
    <mergeCell ref="C148:F148"/>
    <mergeCell ref="G148:H148"/>
    <mergeCell ref="C149:F149"/>
    <mergeCell ref="G149:H149"/>
  </mergeCells>
  <phoneticPr fontId="0" type="noConversion"/>
  <conditionalFormatting sqref="B79:G79">
    <cfRule type="cellIs" dxfId="68" priority="55" operator="equal">
      <formula>0</formula>
    </cfRule>
  </conditionalFormatting>
  <conditionalFormatting sqref="B63:K67">
    <cfRule type="containsErrors" dxfId="67" priority="62" stopIfTrue="1">
      <formula>ISERROR(B63)</formula>
    </cfRule>
  </conditionalFormatting>
  <conditionalFormatting sqref="D47:M52 D53:H53 D54:M57">
    <cfRule type="cellIs" dxfId="66" priority="59" operator="equal">
      <formula>0</formula>
    </cfRule>
  </conditionalFormatting>
  <conditionalFormatting sqref="G39:X39">
    <cfRule type="containsErrors" dxfId="65" priority="25">
      <formula>ISERROR(G39)</formula>
    </cfRule>
  </conditionalFormatting>
  <conditionalFormatting sqref="H81:M81 Q81:S81 W81:Y81 H82:Y91">
    <cfRule type="cellIs" dxfId="64" priority="58" operator="equal">
      <formula>0</formula>
    </cfRule>
  </conditionalFormatting>
  <conditionalFormatting sqref="I52:M54">
    <cfRule type="containsErrors" dxfId="63" priority="37">
      <formula>ISERROR(I52)</formula>
    </cfRule>
  </conditionalFormatting>
  <conditionalFormatting sqref="I53:M54">
    <cfRule type="cellIs" dxfId="62" priority="5" operator="equal">
      <formula>0</formula>
    </cfRule>
  </conditionalFormatting>
  <conditionalFormatting sqref="J2:L2 P2:AB2 F4:M4">
    <cfRule type="cellIs" dxfId="61" priority="56" operator="equal">
      <formula>0</formula>
    </cfRule>
  </conditionalFormatting>
  <conditionalFormatting sqref="K98:M116 T98:V116">
    <cfRule type="cellIs" dxfId="60" priority="3" operator="equal">
      <formula>0</formula>
    </cfRule>
  </conditionalFormatting>
  <conditionalFormatting sqref="K141:M141 T141:V141">
    <cfRule type="cellIs" dxfId="59" priority="2" operator="equal">
      <formula>0</formula>
    </cfRule>
  </conditionalFormatting>
  <conditionalFormatting sqref="K143:M156 T143:V156">
    <cfRule type="cellIs" dxfId="58" priority="1" operator="equal">
      <formula>0</formula>
    </cfRule>
  </conditionalFormatting>
  <conditionalFormatting sqref="N47:Y57">
    <cfRule type="cellIs" dxfId="57" priority="60" operator="equal">
      <formula>0</formula>
    </cfRule>
  </conditionalFormatting>
  <conditionalFormatting sqref="W50:Y50">
    <cfRule type="cellIs" dxfId="56" priority="4" operator="equal">
      <formula>0</formula>
    </cfRule>
  </conditionalFormatting>
  <dataValidations disablePrompts="1" count="2">
    <dataValidation type="list" allowBlank="1" showInputMessage="1" showErrorMessage="1" sqref="G145:H148" xr:uid="{70C35CB5-8243-4AD6-AA08-EEEF1FB08A35}">
      <formula1>$AG$125:$AG$131</formula1>
    </dataValidation>
    <dataValidation type="list" allowBlank="1" showInputMessage="1" showErrorMessage="1" sqref="F120:G123" xr:uid="{2854149E-0366-4778-A604-68B431E674AE}">
      <formula1>$AF$115:$AF$118</formula1>
    </dataValidation>
  </dataValidations>
  <printOptions horizontalCentered="1" verticalCentered="1"/>
  <pageMargins left="0" right="0" top="0" bottom="0" header="0" footer="0"/>
  <pageSetup scale="75" orientation="portrait" r:id="rId1"/>
  <headerFooter alignWithMargins="0">
    <oddFooter>Page &amp;P of &amp;N</oddFooter>
  </headerFooter>
  <rowBreaks count="1" manualBreakCount="1">
    <brk id="75" max="28" man="1"/>
  </rowBreaks>
  <ignoredErrors>
    <ignoredError sqref="H20:H21" unlockedFormula="1"/>
    <ignoredError sqref="G39:X39 R33 X33 J54:M54 J52:M52 J53:M53" evalError="1"/>
    <ignoredError sqref="V19 V16 O16 O19 W50"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B88"/>
  <sheetViews>
    <sheetView topLeftCell="A61" workbookViewId="0">
      <selection activeCell="E76" sqref="E76"/>
    </sheetView>
  </sheetViews>
  <sheetFormatPr defaultRowHeight="12.75" x14ac:dyDescent="0.2"/>
  <cols>
    <col min="1" max="1" width="82.28515625" style="41" customWidth="1"/>
    <col min="2" max="2" width="9" style="44" customWidth="1"/>
    <col min="3" max="3" width="9.140625" customWidth="1"/>
  </cols>
  <sheetData>
    <row r="1" spans="1:2" ht="13.5" x14ac:dyDescent="0.2">
      <c r="A1" s="43" t="s">
        <v>756</v>
      </c>
      <c r="B1" s="42" t="s">
        <v>757</v>
      </c>
    </row>
    <row r="2" spans="1:2" ht="13.5" x14ac:dyDescent="0.2">
      <c r="A2" s="43" t="s">
        <v>758</v>
      </c>
      <c r="B2" s="42">
        <v>118350</v>
      </c>
    </row>
    <row r="3" spans="1:2" ht="13.5" x14ac:dyDescent="0.2">
      <c r="A3" s="43" t="s">
        <v>4761</v>
      </c>
      <c r="B3" s="42" t="s">
        <v>1589</v>
      </c>
    </row>
    <row r="4" spans="1:2" ht="13.5" x14ac:dyDescent="0.2">
      <c r="A4" s="43" t="s">
        <v>4763</v>
      </c>
      <c r="B4" s="42" t="s">
        <v>4762</v>
      </c>
    </row>
    <row r="5" spans="1:2" ht="13.5" x14ac:dyDescent="0.2">
      <c r="A5" s="43" t="s">
        <v>759</v>
      </c>
      <c r="B5" s="42" t="s">
        <v>760</v>
      </c>
    </row>
    <row r="6" spans="1:2" ht="13.5" x14ac:dyDescent="0.2">
      <c r="A6" s="43" t="s">
        <v>761</v>
      </c>
      <c r="B6" s="42" t="s">
        <v>762</v>
      </c>
    </row>
    <row r="7" spans="1:2" ht="13.5" x14ac:dyDescent="0.2">
      <c r="A7" s="43" t="s">
        <v>763</v>
      </c>
      <c r="B7" s="42" t="s">
        <v>764</v>
      </c>
    </row>
    <row r="8" spans="1:2" ht="13.5" x14ac:dyDescent="0.2">
      <c r="A8" s="43" t="s">
        <v>765</v>
      </c>
      <c r="B8" s="42" t="s">
        <v>766</v>
      </c>
    </row>
    <row r="9" spans="1:2" ht="13.5" x14ac:dyDescent="0.2">
      <c r="A9" s="43" t="s">
        <v>179</v>
      </c>
      <c r="B9" s="42" t="s">
        <v>767</v>
      </c>
    </row>
    <row r="10" spans="1:2" ht="13.5" x14ac:dyDescent="0.2">
      <c r="A10" s="43" t="s">
        <v>768</v>
      </c>
      <c r="B10" s="42" t="s">
        <v>769</v>
      </c>
    </row>
    <row r="11" spans="1:2" ht="13.5" x14ac:dyDescent="0.2">
      <c r="A11" s="43" t="s">
        <v>770</v>
      </c>
      <c r="B11" s="42" t="s">
        <v>771</v>
      </c>
    </row>
    <row r="12" spans="1:2" ht="13.5" x14ac:dyDescent="0.2">
      <c r="A12" s="43" t="s">
        <v>772</v>
      </c>
      <c r="B12" s="42" t="s">
        <v>773</v>
      </c>
    </row>
    <row r="13" spans="1:2" ht="13.5" x14ac:dyDescent="0.2">
      <c r="A13" s="45" t="s">
        <v>774</v>
      </c>
      <c r="B13" s="170" t="s">
        <v>775</v>
      </c>
    </row>
    <row r="14" spans="1:2" ht="13.5" x14ac:dyDescent="0.2">
      <c r="A14" s="43" t="s">
        <v>776</v>
      </c>
      <c r="B14" s="42" t="s">
        <v>777</v>
      </c>
    </row>
    <row r="15" spans="1:2" ht="13.5" x14ac:dyDescent="0.2">
      <c r="A15" s="43" t="s">
        <v>778</v>
      </c>
      <c r="B15" s="42" t="s">
        <v>779</v>
      </c>
    </row>
    <row r="16" spans="1:2" ht="13.5" x14ac:dyDescent="0.2">
      <c r="A16" s="43" t="s">
        <v>780</v>
      </c>
      <c r="B16" s="42" t="s">
        <v>781</v>
      </c>
    </row>
    <row r="17" spans="1:2" ht="13.5" x14ac:dyDescent="0.2">
      <c r="A17" s="43" t="s">
        <v>782</v>
      </c>
      <c r="B17" s="42" t="s">
        <v>783</v>
      </c>
    </row>
    <row r="18" spans="1:2" ht="13.5" x14ac:dyDescent="0.2">
      <c r="A18" s="43" t="s">
        <v>784</v>
      </c>
      <c r="B18" s="42" t="s">
        <v>785</v>
      </c>
    </row>
    <row r="19" spans="1:2" ht="13.5" x14ac:dyDescent="0.2">
      <c r="A19" s="43" t="s">
        <v>786</v>
      </c>
      <c r="B19" s="44">
        <v>158351</v>
      </c>
    </row>
    <row r="20" spans="1:2" ht="13.5" x14ac:dyDescent="0.2">
      <c r="A20" s="43" t="s">
        <v>787</v>
      </c>
      <c r="B20" s="42" t="s">
        <v>788</v>
      </c>
    </row>
    <row r="21" spans="1:2" ht="13.5" x14ac:dyDescent="0.2">
      <c r="A21" s="43" t="s">
        <v>789</v>
      </c>
      <c r="B21" s="44">
        <v>118370</v>
      </c>
    </row>
    <row r="22" spans="1:2" ht="13.5" x14ac:dyDescent="0.2">
      <c r="A22" s="43" t="s">
        <v>790</v>
      </c>
      <c r="B22" s="42" t="s">
        <v>791</v>
      </c>
    </row>
    <row r="23" spans="1:2" ht="13.5" x14ac:dyDescent="0.2">
      <c r="A23" s="43" t="s">
        <v>792</v>
      </c>
      <c r="B23" s="42" t="s">
        <v>793</v>
      </c>
    </row>
    <row r="24" spans="1:2" ht="13.5" x14ac:dyDescent="0.2">
      <c r="A24" s="43" t="s">
        <v>794</v>
      </c>
      <c r="B24" s="42" t="s">
        <v>795</v>
      </c>
    </row>
    <row r="25" spans="1:2" ht="13.5" x14ac:dyDescent="0.2">
      <c r="A25" s="43" t="s">
        <v>796</v>
      </c>
      <c r="B25" s="42" t="s">
        <v>797</v>
      </c>
    </row>
    <row r="26" spans="1:2" ht="13.5" x14ac:dyDescent="0.2">
      <c r="A26" s="43" t="s">
        <v>798</v>
      </c>
      <c r="B26" s="42" t="s">
        <v>799</v>
      </c>
    </row>
    <row r="27" spans="1:2" ht="13.5" x14ac:dyDescent="0.2">
      <c r="A27" s="43" t="s">
        <v>1597</v>
      </c>
      <c r="B27" s="42" t="s">
        <v>1596</v>
      </c>
    </row>
    <row r="28" spans="1:2" ht="13.5" x14ac:dyDescent="0.2">
      <c r="A28" s="43" t="s">
        <v>1595</v>
      </c>
      <c r="B28" s="42" t="s">
        <v>1594</v>
      </c>
    </row>
    <row r="29" spans="1:2" ht="13.5" x14ac:dyDescent="0.2">
      <c r="A29" s="43" t="s">
        <v>4765</v>
      </c>
      <c r="B29" s="42" t="s">
        <v>4764</v>
      </c>
    </row>
    <row r="30" spans="1:2" ht="13.5" x14ac:dyDescent="0.2">
      <c r="A30" s="43" t="s">
        <v>800</v>
      </c>
      <c r="B30" s="42" t="s">
        <v>801</v>
      </c>
    </row>
    <row r="31" spans="1:2" ht="13.5" x14ac:dyDescent="0.2">
      <c r="A31" s="43" t="s">
        <v>802</v>
      </c>
      <c r="B31" s="42" t="s">
        <v>803</v>
      </c>
    </row>
    <row r="32" spans="1:2" ht="13.5" x14ac:dyDescent="0.2">
      <c r="A32" s="43" t="s">
        <v>804</v>
      </c>
      <c r="B32" s="42" t="s">
        <v>805</v>
      </c>
    </row>
    <row r="33" spans="1:2" ht="13.5" x14ac:dyDescent="0.2">
      <c r="A33" s="43" t="s">
        <v>806</v>
      </c>
      <c r="B33" s="44">
        <v>118360</v>
      </c>
    </row>
    <row r="34" spans="1:2" ht="13.5" x14ac:dyDescent="0.2">
      <c r="A34" s="43" t="s">
        <v>807</v>
      </c>
      <c r="B34" s="44" t="s">
        <v>808</v>
      </c>
    </row>
    <row r="35" spans="1:2" ht="13.5" x14ac:dyDescent="0.2">
      <c r="A35" s="43" t="s">
        <v>4702</v>
      </c>
      <c r="B35" s="44" t="s">
        <v>4703</v>
      </c>
    </row>
    <row r="36" spans="1:2" ht="13.5" x14ac:dyDescent="0.2">
      <c r="A36" s="43" t="s">
        <v>4754</v>
      </c>
      <c r="B36" s="44" t="s">
        <v>4753</v>
      </c>
    </row>
    <row r="37" spans="1:2" ht="13.5" x14ac:dyDescent="0.2">
      <c r="A37" s="43" t="s">
        <v>4767</v>
      </c>
      <c r="B37" s="44" t="s">
        <v>4766</v>
      </c>
    </row>
    <row r="38" spans="1:2" ht="13.5" x14ac:dyDescent="0.2">
      <c r="A38" s="43" t="s">
        <v>809</v>
      </c>
      <c r="B38" s="42" t="s">
        <v>810</v>
      </c>
    </row>
    <row r="39" spans="1:2" ht="13.5" x14ac:dyDescent="0.2">
      <c r="A39" s="45" t="s">
        <v>811</v>
      </c>
      <c r="B39" s="42" t="s">
        <v>812</v>
      </c>
    </row>
    <row r="40" spans="1:2" ht="13.5" x14ac:dyDescent="0.2">
      <c r="A40" s="45" t="s">
        <v>813</v>
      </c>
      <c r="B40" s="42" t="s">
        <v>814</v>
      </c>
    </row>
    <row r="41" spans="1:2" ht="13.5" x14ac:dyDescent="0.2">
      <c r="A41" s="45" t="s">
        <v>815</v>
      </c>
      <c r="B41" s="42" t="s">
        <v>816</v>
      </c>
    </row>
    <row r="42" spans="1:2" ht="13.5" x14ac:dyDescent="0.2">
      <c r="A42" s="117" t="s">
        <v>817</v>
      </c>
      <c r="B42" s="42"/>
    </row>
    <row r="43" spans="1:2" x14ac:dyDescent="0.2">
      <c r="A43" s="47" t="s">
        <v>818</v>
      </c>
      <c r="B43" s="48" t="s">
        <v>819</v>
      </c>
    </row>
    <row r="44" spans="1:2" x14ac:dyDescent="0.2">
      <c r="A44" s="47" t="s">
        <v>820</v>
      </c>
      <c r="B44" s="46">
        <v>118150</v>
      </c>
    </row>
    <row r="45" spans="1:2" x14ac:dyDescent="0.2">
      <c r="A45" s="47" t="s">
        <v>821</v>
      </c>
      <c r="B45" s="48" t="s">
        <v>822</v>
      </c>
    </row>
    <row r="46" spans="1:2" x14ac:dyDescent="0.2">
      <c r="A46" s="47" t="s">
        <v>823</v>
      </c>
      <c r="B46" s="46">
        <v>178150</v>
      </c>
    </row>
    <row r="47" spans="1:2" x14ac:dyDescent="0.2">
      <c r="A47" s="47" t="s">
        <v>4768</v>
      </c>
      <c r="B47" s="46" t="s">
        <v>4769</v>
      </c>
    </row>
    <row r="48" spans="1:2" x14ac:dyDescent="0.2">
      <c r="A48" s="47" t="s">
        <v>824</v>
      </c>
      <c r="B48" s="46">
        <v>148150</v>
      </c>
    </row>
    <row r="49" spans="1:2" x14ac:dyDescent="0.2">
      <c r="A49" s="47" t="s">
        <v>825</v>
      </c>
      <c r="B49" s="46">
        <v>178155</v>
      </c>
    </row>
    <row r="50" spans="1:2" x14ac:dyDescent="0.2">
      <c r="A50" s="47" t="s">
        <v>826</v>
      </c>
      <c r="B50" s="48" t="s">
        <v>827</v>
      </c>
    </row>
    <row r="51" spans="1:2" x14ac:dyDescent="0.2">
      <c r="A51" s="47" t="s">
        <v>828</v>
      </c>
      <c r="B51" s="46">
        <v>158111</v>
      </c>
    </row>
    <row r="52" spans="1:2" x14ac:dyDescent="0.2">
      <c r="A52" s="47" t="s">
        <v>4770</v>
      </c>
      <c r="B52" s="46" t="s">
        <v>4771</v>
      </c>
    </row>
    <row r="53" spans="1:2" x14ac:dyDescent="0.2">
      <c r="A53" s="47" t="s">
        <v>829</v>
      </c>
      <c r="B53" s="48" t="s">
        <v>830</v>
      </c>
    </row>
    <row r="54" spans="1:2" x14ac:dyDescent="0.2">
      <c r="A54" s="116" t="s">
        <v>831</v>
      </c>
      <c r="B54" s="46"/>
    </row>
    <row r="55" spans="1:2" x14ac:dyDescent="0.2">
      <c r="A55" s="47" t="s">
        <v>832</v>
      </c>
      <c r="B55" s="46" t="s">
        <v>833</v>
      </c>
    </row>
    <row r="56" spans="1:2" x14ac:dyDescent="0.2">
      <c r="A56" s="47" t="s">
        <v>834</v>
      </c>
      <c r="B56" s="46">
        <v>178110</v>
      </c>
    </row>
    <row r="57" spans="1:2" x14ac:dyDescent="0.2">
      <c r="A57" s="47" t="s">
        <v>835</v>
      </c>
      <c r="B57" s="46">
        <v>178120</v>
      </c>
    </row>
    <row r="58" spans="1:2" x14ac:dyDescent="0.2">
      <c r="A58" s="47" t="s">
        <v>836</v>
      </c>
      <c r="B58" s="46">
        <v>178160</v>
      </c>
    </row>
    <row r="59" spans="1:2" x14ac:dyDescent="0.2">
      <c r="A59" s="47" t="s">
        <v>837</v>
      </c>
      <c r="B59" s="46">
        <v>178165</v>
      </c>
    </row>
    <row r="60" spans="1:2" x14ac:dyDescent="0.2">
      <c r="A60" s="47" t="s">
        <v>838</v>
      </c>
      <c r="B60" s="46">
        <v>168150</v>
      </c>
    </row>
    <row r="61" spans="1:2" x14ac:dyDescent="0.2">
      <c r="A61" s="47" t="s">
        <v>839</v>
      </c>
      <c r="B61" s="46">
        <v>178152</v>
      </c>
    </row>
    <row r="62" spans="1:2" x14ac:dyDescent="0.2">
      <c r="A62" s="47" t="s">
        <v>840</v>
      </c>
      <c r="B62" s="46" t="s">
        <v>841</v>
      </c>
    </row>
    <row r="63" spans="1:2" x14ac:dyDescent="0.2">
      <c r="A63" s="47" t="s">
        <v>842</v>
      </c>
      <c r="B63" s="48" t="s">
        <v>843</v>
      </c>
    </row>
    <row r="64" spans="1:2" x14ac:dyDescent="0.2">
      <c r="A64" s="47" t="s">
        <v>844</v>
      </c>
      <c r="B64" s="48" t="s">
        <v>845</v>
      </c>
    </row>
    <row r="65" spans="1:2" x14ac:dyDescent="0.2">
      <c r="A65" s="47" t="s">
        <v>1585</v>
      </c>
      <c r="B65" s="48" t="s">
        <v>1586</v>
      </c>
    </row>
    <row r="66" spans="1:2" x14ac:dyDescent="0.2">
      <c r="A66" s="47" t="s">
        <v>846</v>
      </c>
      <c r="B66" s="48" t="s">
        <v>847</v>
      </c>
    </row>
    <row r="67" spans="1:2" x14ac:dyDescent="0.2">
      <c r="A67" s="116" t="s">
        <v>848</v>
      </c>
      <c r="B67" s="46"/>
    </row>
    <row r="68" spans="1:2" x14ac:dyDescent="0.2">
      <c r="A68" s="47" t="s">
        <v>849</v>
      </c>
      <c r="B68" s="48" t="s">
        <v>850</v>
      </c>
    </row>
    <row r="69" spans="1:2" x14ac:dyDescent="0.2">
      <c r="A69" s="47" t="s">
        <v>851</v>
      </c>
      <c r="B69" s="48" t="s">
        <v>852</v>
      </c>
    </row>
    <row r="70" spans="1:2" x14ac:dyDescent="0.2">
      <c r="A70" s="47" t="s">
        <v>853</v>
      </c>
      <c r="B70" s="48" t="s">
        <v>854</v>
      </c>
    </row>
    <row r="71" spans="1:2" x14ac:dyDescent="0.2">
      <c r="A71" s="47" t="s">
        <v>855</v>
      </c>
      <c r="B71" s="46">
        <v>178175</v>
      </c>
    </row>
    <row r="72" spans="1:2" x14ac:dyDescent="0.2">
      <c r="A72" s="47" t="s">
        <v>4772</v>
      </c>
      <c r="B72" s="46" t="s">
        <v>4773</v>
      </c>
    </row>
    <row r="73" spans="1:2" x14ac:dyDescent="0.2">
      <c r="A73" s="47" t="s">
        <v>856</v>
      </c>
      <c r="B73" s="48" t="s">
        <v>857</v>
      </c>
    </row>
    <row r="74" spans="1:2" x14ac:dyDescent="0.2">
      <c r="A74" s="47" t="s">
        <v>858</v>
      </c>
      <c r="B74" s="48" t="s">
        <v>859</v>
      </c>
    </row>
    <row r="75" spans="1:2" x14ac:dyDescent="0.2">
      <c r="A75" s="116" t="s">
        <v>860</v>
      </c>
      <c r="B75" s="48"/>
    </row>
    <row r="76" spans="1:2" x14ac:dyDescent="0.2">
      <c r="A76" s="47" t="s">
        <v>861</v>
      </c>
      <c r="B76" s="48" t="s">
        <v>862</v>
      </c>
    </row>
    <row r="77" spans="1:2" x14ac:dyDescent="0.2">
      <c r="A77" s="47" t="s">
        <v>863</v>
      </c>
      <c r="B77" s="46">
        <v>178162</v>
      </c>
    </row>
    <row r="78" spans="1:2" x14ac:dyDescent="0.2">
      <c r="A78" s="47" t="s">
        <v>864</v>
      </c>
      <c r="B78" s="46">
        <v>168165</v>
      </c>
    </row>
    <row r="79" spans="1:2" x14ac:dyDescent="0.2">
      <c r="A79" s="47" t="s">
        <v>865</v>
      </c>
      <c r="B79" s="46" t="s">
        <v>799</v>
      </c>
    </row>
    <row r="80" spans="1:2" x14ac:dyDescent="0.2">
      <c r="A80" s="47" t="s">
        <v>866</v>
      </c>
      <c r="B80" s="46">
        <v>108153</v>
      </c>
    </row>
    <row r="81" spans="1:2" x14ac:dyDescent="0.2">
      <c r="A81" s="47" t="s">
        <v>867</v>
      </c>
      <c r="B81" s="46" t="s">
        <v>868</v>
      </c>
    </row>
    <row r="82" spans="1:2" x14ac:dyDescent="0.2">
      <c r="A82" s="47" t="s">
        <v>869</v>
      </c>
      <c r="B82" s="46">
        <v>178163</v>
      </c>
    </row>
    <row r="83" spans="1:2" x14ac:dyDescent="0.2">
      <c r="A83" s="47" t="s">
        <v>870</v>
      </c>
      <c r="B83" s="48" t="s">
        <v>871</v>
      </c>
    </row>
    <row r="84" spans="1:2" x14ac:dyDescent="0.2">
      <c r="A84" s="47" t="s">
        <v>872</v>
      </c>
      <c r="B84" s="46">
        <v>148160</v>
      </c>
    </row>
    <row r="85" spans="1:2" x14ac:dyDescent="0.2">
      <c r="A85" s="47" t="s">
        <v>873</v>
      </c>
      <c r="B85" s="46" t="s">
        <v>874</v>
      </c>
    </row>
    <row r="86" spans="1:2" x14ac:dyDescent="0.2">
      <c r="A86" s="116" t="s">
        <v>875</v>
      </c>
      <c r="B86" s="46"/>
    </row>
    <row r="87" spans="1:2" x14ac:dyDescent="0.2">
      <c r="A87" s="47" t="s">
        <v>876</v>
      </c>
      <c r="B87" s="48" t="s">
        <v>877</v>
      </c>
    </row>
    <row r="88" spans="1:2" x14ac:dyDescent="0.2">
      <c r="A88" s="47" t="s">
        <v>878</v>
      </c>
      <c r="B88" s="48" t="s">
        <v>879</v>
      </c>
    </row>
  </sheetData>
  <sheetProtection algorithmName="SHA-512" hashValue="TkRzwbk0SQQOD2kYBPr0GDsKsDVLv7Wi1T+nUBiFA8UdVJp9Y/Ft2afBXCg16JhJoMXvRTJoVku55M4VzaaGLg==" saltValue="BbkI1hKRkfQ+RA5LD2nJ5Q==" spinCount="100000" sheet="1" objects="1" scenarios="1" selectLockedCells="1" selectUnlockedCells="1"/>
  <pageMargins left="0.7" right="0.7" top="0.75" bottom="0.75" header="0.3" footer="0.3"/>
  <pageSetup orientation="portrait" r:id="rId1"/>
  <ignoredErrors>
    <ignoredError sqref="B1 B73:B76 B81 B83:B1048576 B64 B12:B14 B25:B26 B6:B10 B31:B34 B53:B54 B56:B59 B38:B46 B48:B51 B67:B7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M325"/>
  <sheetViews>
    <sheetView topLeftCell="A288" workbookViewId="0">
      <selection activeCell="D24" sqref="D24"/>
    </sheetView>
  </sheetViews>
  <sheetFormatPr defaultColWidth="9.140625" defaultRowHeight="15.75" x14ac:dyDescent="0.2"/>
  <cols>
    <col min="1" max="1" width="42.42578125" style="52" customWidth="1"/>
    <col min="2" max="2" width="10.7109375" style="110" customWidth="1"/>
    <col min="3" max="3" width="8.85546875" style="52" customWidth="1"/>
    <col min="4" max="4" width="42" style="60" customWidth="1"/>
    <col min="5" max="5" width="15.140625" style="56" customWidth="1"/>
    <col min="6" max="6" width="23.28515625" style="64" customWidth="1"/>
    <col min="7" max="16384" width="9.140625" style="49"/>
  </cols>
  <sheetData>
    <row r="1" spans="1:6" ht="17.45" customHeight="1" x14ac:dyDescent="0.2">
      <c r="A1" s="55" t="s">
        <v>4777</v>
      </c>
      <c r="B1" s="110" t="s">
        <v>880</v>
      </c>
      <c r="C1" s="53">
        <v>8268</v>
      </c>
      <c r="D1" s="54" t="s">
        <v>881</v>
      </c>
      <c r="E1" s="56" t="s">
        <v>882</v>
      </c>
      <c r="F1" s="52" t="s">
        <v>883</v>
      </c>
    </row>
    <row r="2" spans="1:6" ht="17.45" customHeight="1" x14ac:dyDescent="0.2">
      <c r="A2" s="55" t="s">
        <v>884</v>
      </c>
      <c r="B2" s="110" t="s">
        <v>885</v>
      </c>
      <c r="C2" s="53">
        <v>8268</v>
      </c>
      <c r="D2" s="54" t="s">
        <v>881</v>
      </c>
      <c r="E2" s="56" t="s">
        <v>886</v>
      </c>
      <c r="F2" s="52" t="s">
        <v>883</v>
      </c>
    </row>
    <row r="3" spans="1:6" ht="17.45" customHeight="1" x14ac:dyDescent="0.2">
      <c r="A3" s="55" t="s">
        <v>4778</v>
      </c>
      <c r="B3" s="110" t="s">
        <v>887</v>
      </c>
      <c r="C3" s="53">
        <v>8268</v>
      </c>
      <c r="D3" s="54" t="s">
        <v>881</v>
      </c>
      <c r="E3" s="56" t="s">
        <v>882</v>
      </c>
      <c r="F3" s="52" t="s">
        <v>888</v>
      </c>
    </row>
    <row r="4" spans="1:6" ht="17.45" customHeight="1" x14ac:dyDescent="0.2">
      <c r="A4" s="55" t="s">
        <v>889</v>
      </c>
      <c r="B4" s="110" t="s">
        <v>890</v>
      </c>
      <c r="C4" s="53">
        <v>8268</v>
      </c>
      <c r="D4" s="54" t="s">
        <v>881</v>
      </c>
      <c r="E4" s="56" t="s">
        <v>886</v>
      </c>
      <c r="F4" s="52" t="s">
        <v>888</v>
      </c>
    </row>
    <row r="5" spans="1:6" ht="17.45" customHeight="1" x14ac:dyDescent="0.2">
      <c r="A5" s="55" t="s">
        <v>4780</v>
      </c>
      <c r="B5" s="110" t="s">
        <v>892</v>
      </c>
      <c r="C5" s="53">
        <v>8268</v>
      </c>
      <c r="D5" s="54" t="s">
        <v>881</v>
      </c>
      <c r="E5" s="56" t="s">
        <v>882</v>
      </c>
      <c r="F5" s="52" t="s">
        <v>893</v>
      </c>
    </row>
    <row r="6" spans="1:6" ht="17.45" customHeight="1" x14ac:dyDescent="0.2">
      <c r="A6" s="55" t="s">
        <v>4779</v>
      </c>
      <c r="B6" s="110" t="s">
        <v>891</v>
      </c>
      <c r="C6" s="53">
        <v>8268</v>
      </c>
      <c r="D6" s="54" t="s">
        <v>881</v>
      </c>
      <c r="E6" s="56" t="s">
        <v>886</v>
      </c>
      <c r="F6" s="52" t="s">
        <v>888</v>
      </c>
    </row>
    <row r="7" spans="1:6" ht="17.45" customHeight="1" x14ac:dyDescent="0.2">
      <c r="A7" s="55" t="s">
        <v>4781</v>
      </c>
      <c r="B7" s="110">
        <v>118651</v>
      </c>
      <c r="C7" s="53">
        <v>8268</v>
      </c>
      <c r="D7" s="54" t="s">
        <v>881</v>
      </c>
      <c r="E7" s="56" t="s">
        <v>882</v>
      </c>
      <c r="F7" s="52" t="s">
        <v>894</v>
      </c>
    </row>
    <row r="8" spans="1:6" ht="17.45" customHeight="1" x14ac:dyDescent="0.2">
      <c r="A8" s="55" t="s">
        <v>895</v>
      </c>
      <c r="B8" s="110" t="s">
        <v>896</v>
      </c>
      <c r="C8" s="53">
        <v>8268</v>
      </c>
      <c r="D8" s="54" t="s">
        <v>881</v>
      </c>
      <c r="E8" s="56" t="s">
        <v>886</v>
      </c>
      <c r="F8" s="52" t="s">
        <v>894</v>
      </c>
    </row>
    <row r="9" spans="1:6" ht="17.45" customHeight="1" x14ac:dyDescent="0.2">
      <c r="A9" s="55" t="s">
        <v>897</v>
      </c>
      <c r="B9" s="110" t="s">
        <v>898</v>
      </c>
      <c r="C9" s="53">
        <v>8266</v>
      </c>
      <c r="D9" s="54" t="s">
        <v>899</v>
      </c>
      <c r="E9" s="56" t="s">
        <v>900</v>
      </c>
      <c r="F9" s="57" t="s">
        <v>901</v>
      </c>
    </row>
    <row r="10" spans="1:6" ht="17.45" customHeight="1" x14ac:dyDescent="0.2">
      <c r="A10" s="55" t="s">
        <v>902</v>
      </c>
      <c r="B10" s="110" t="s">
        <v>903</v>
      </c>
      <c r="C10" s="53">
        <v>8266</v>
      </c>
      <c r="D10" s="54" t="s">
        <v>904</v>
      </c>
      <c r="E10" s="56" t="s">
        <v>905</v>
      </c>
      <c r="F10" s="55" t="s">
        <v>4745</v>
      </c>
    </row>
    <row r="11" spans="1:6" ht="17.45" customHeight="1" x14ac:dyDescent="0.2">
      <c r="A11" s="55" t="s">
        <v>906</v>
      </c>
      <c r="B11" s="110" t="s">
        <v>907</v>
      </c>
      <c r="C11" s="53">
        <v>8266</v>
      </c>
      <c r="D11" s="54" t="s">
        <v>908</v>
      </c>
      <c r="E11" s="56" t="s">
        <v>900</v>
      </c>
      <c r="F11" s="57" t="s">
        <v>909</v>
      </c>
    </row>
    <row r="12" spans="1:6" ht="17.45" customHeight="1" x14ac:dyDescent="0.2">
      <c r="A12" s="55" t="s">
        <v>910</v>
      </c>
      <c r="B12" s="110" t="s">
        <v>911</v>
      </c>
      <c r="C12" s="53">
        <v>8266</v>
      </c>
      <c r="D12" s="54" t="s">
        <v>912</v>
      </c>
      <c r="E12" s="56" t="s">
        <v>905</v>
      </c>
      <c r="F12" s="57" t="s">
        <v>913</v>
      </c>
    </row>
    <row r="13" spans="1:6" ht="17.45" customHeight="1" x14ac:dyDescent="0.2">
      <c r="A13" s="55" t="s">
        <v>914</v>
      </c>
      <c r="B13" s="110">
        <v>188611</v>
      </c>
      <c r="C13" s="53">
        <v>8266</v>
      </c>
      <c r="D13" s="54" t="s">
        <v>908</v>
      </c>
      <c r="E13" s="56" t="s">
        <v>900</v>
      </c>
      <c r="F13" s="57" t="s">
        <v>915</v>
      </c>
    </row>
    <row r="14" spans="1:6" ht="17.45" customHeight="1" x14ac:dyDescent="0.2">
      <c r="A14" s="55" t="s">
        <v>916</v>
      </c>
      <c r="B14" s="110" t="s">
        <v>917</v>
      </c>
      <c r="C14" s="53">
        <v>8266</v>
      </c>
      <c r="D14" s="54" t="s">
        <v>908</v>
      </c>
      <c r="E14" s="56" t="s">
        <v>905</v>
      </c>
      <c r="F14" s="55" t="s">
        <v>4746</v>
      </c>
    </row>
    <row r="15" spans="1:6" ht="17.45" customHeight="1" x14ac:dyDescent="0.2">
      <c r="A15" s="55" t="s">
        <v>918</v>
      </c>
      <c r="B15" s="110" t="s">
        <v>919</v>
      </c>
      <c r="C15" s="53">
        <v>8266</v>
      </c>
      <c r="D15" s="54" t="s">
        <v>912</v>
      </c>
      <c r="E15" s="56" t="s">
        <v>905</v>
      </c>
      <c r="F15" s="57" t="s">
        <v>920</v>
      </c>
    </row>
    <row r="16" spans="1:6" ht="17.45" customHeight="1" x14ac:dyDescent="0.2">
      <c r="A16" s="55" t="s">
        <v>921</v>
      </c>
      <c r="B16" s="110">
        <v>188612</v>
      </c>
      <c r="C16" s="53">
        <v>8266</v>
      </c>
      <c r="D16" s="54" t="s">
        <v>912</v>
      </c>
      <c r="E16" s="56" t="s">
        <v>900</v>
      </c>
      <c r="F16" s="55" t="s">
        <v>922</v>
      </c>
    </row>
    <row r="17" spans="1:6" ht="17.45" customHeight="1" x14ac:dyDescent="0.2">
      <c r="A17" s="55" t="s">
        <v>923</v>
      </c>
      <c r="B17" s="110" t="s">
        <v>924</v>
      </c>
      <c r="C17" s="53">
        <v>8266</v>
      </c>
      <c r="D17" s="54" t="s">
        <v>912</v>
      </c>
      <c r="E17" s="56" t="s">
        <v>905</v>
      </c>
      <c r="F17" s="57" t="s">
        <v>925</v>
      </c>
    </row>
    <row r="18" spans="1:6" ht="17.45" customHeight="1" x14ac:dyDescent="0.2">
      <c r="A18" s="55" t="s">
        <v>926</v>
      </c>
      <c r="B18" s="110" t="s">
        <v>927</v>
      </c>
      <c r="C18" s="53">
        <v>8266</v>
      </c>
      <c r="D18" s="54" t="s">
        <v>912</v>
      </c>
      <c r="E18" s="56" t="s">
        <v>905</v>
      </c>
      <c r="F18" s="57" t="s">
        <v>928</v>
      </c>
    </row>
    <row r="19" spans="1:6" ht="17.45" customHeight="1" x14ac:dyDescent="0.2">
      <c r="A19" s="55" t="s">
        <v>4749</v>
      </c>
      <c r="B19" s="110">
        <v>198615</v>
      </c>
      <c r="C19" s="53">
        <v>8266</v>
      </c>
      <c r="D19" s="54" t="s">
        <v>912</v>
      </c>
      <c r="E19" s="56" t="s">
        <v>905</v>
      </c>
      <c r="F19" s="55" t="s">
        <v>925</v>
      </c>
    </row>
    <row r="20" spans="1:6" ht="17.45" customHeight="1" x14ac:dyDescent="0.2">
      <c r="A20" s="55" t="s">
        <v>929</v>
      </c>
      <c r="B20" s="110">
        <v>188600</v>
      </c>
      <c r="C20" s="53" t="s">
        <v>930</v>
      </c>
      <c r="D20" s="54" t="s">
        <v>4717</v>
      </c>
      <c r="E20" s="56" t="s">
        <v>254</v>
      </c>
      <c r="F20" s="57" t="s">
        <v>4714</v>
      </c>
    </row>
    <row r="21" spans="1:6" ht="17.45" customHeight="1" x14ac:dyDescent="0.2">
      <c r="A21" s="55" t="s">
        <v>932</v>
      </c>
      <c r="B21" s="110">
        <v>218600</v>
      </c>
      <c r="C21" s="53">
        <v>8266</v>
      </c>
      <c r="D21" s="54" t="s">
        <v>933</v>
      </c>
      <c r="E21" s="56" t="s">
        <v>254</v>
      </c>
      <c r="F21" s="52" t="s">
        <v>934</v>
      </c>
    </row>
    <row r="22" spans="1:6" ht="17.45" customHeight="1" x14ac:dyDescent="0.2">
      <c r="A22" s="55" t="s">
        <v>935</v>
      </c>
      <c r="B22" s="110" t="s">
        <v>936</v>
      </c>
      <c r="C22" s="53">
        <v>8278</v>
      </c>
      <c r="D22" s="54" t="s">
        <v>937</v>
      </c>
      <c r="E22" s="56" t="s">
        <v>254</v>
      </c>
      <c r="F22" s="57" t="s">
        <v>938</v>
      </c>
    </row>
    <row r="23" spans="1:6" ht="17.45" customHeight="1" x14ac:dyDescent="0.2">
      <c r="A23" s="55" t="s">
        <v>939</v>
      </c>
      <c r="B23" s="110" t="s">
        <v>940</v>
      </c>
      <c r="C23" s="53">
        <v>8278</v>
      </c>
      <c r="D23" s="54" t="s">
        <v>937</v>
      </c>
      <c r="E23" s="56" t="s">
        <v>254</v>
      </c>
      <c r="F23" s="57" t="s">
        <v>941</v>
      </c>
    </row>
    <row r="24" spans="1:6" ht="17.45" customHeight="1" x14ac:dyDescent="0.2">
      <c r="A24" s="55" t="s">
        <v>942</v>
      </c>
      <c r="B24" s="110">
        <v>208605</v>
      </c>
      <c r="C24" s="53" t="s">
        <v>943</v>
      </c>
      <c r="D24" s="54" t="s">
        <v>944</v>
      </c>
      <c r="E24" s="56" t="s">
        <v>254</v>
      </c>
      <c r="F24" s="57" t="s">
        <v>945</v>
      </c>
    </row>
    <row r="25" spans="1:6" ht="17.45" customHeight="1" x14ac:dyDescent="0.2">
      <c r="A25" s="55" t="s">
        <v>946</v>
      </c>
      <c r="B25" s="110" t="s">
        <v>947</v>
      </c>
      <c r="C25" s="53">
        <v>8278</v>
      </c>
      <c r="D25" s="54" t="s">
        <v>948</v>
      </c>
      <c r="E25" s="56" t="s">
        <v>949</v>
      </c>
      <c r="F25" s="57" t="s">
        <v>950</v>
      </c>
    </row>
    <row r="26" spans="1:6" ht="17.45" customHeight="1" x14ac:dyDescent="0.2">
      <c r="A26" s="55" t="s">
        <v>951</v>
      </c>
      <c r="B26" s="110" t="s">
        <v>952</v>
      </c>
      <c r="C26" s="53">
        <v>8278</v>
      </c>
      <c r="D26" s="54" t="s">
        <v>937</v>
      </c>
      <c r="E26" s="56" t="s">
        <v>900</v>
      </c>
      <c r="F26" s="55" t="s">
        <v>4718</v>
      </c>
    </row>
    <row r="27" spans="1:6" ht="17.45" customHeight="1" x14ac:dyDescent="0.2">
      <c r="A27" s="55" t="s">
        <v>953</v>
      </c>
      <c r="B27" s="110">
        <v>208667</v>
      </c>
      <c r="C27" s="53">
        <v>8278</v>
      </c>
      <c r="D27" s="54" t="s">
        <v>937</v>
      </c>
      <c r="E27" s="56" t="s">
        <v>905</v>
      </c>
      <c r="F27" s="55" t="s">
        <v>954</v>
      </c>
    </row>
    <row r="28" spans="1:6" ht="17.45" customHeight="1" x14ac:dyDescent="0.2">
      <c r="A28" s="55" t="s">
        <v>4719</v>
      </c>
      <c r="B28" s="110" t="s">
        <v>955</v>
      </c>
      <c r="C28" s="53">
        <v>8278</v>
      </c>
      <c r="D28" s="54" t="s">
        <v>937</v>
      </c>
      <c r="E28" s="56" t="s">
        <v>900</v>
      </c>
      <c r="F28" s="57" t="s">
        <v>956</v>
      </c>
    </row>
    <row r="29" spans="1:6" ht="17.45" customHeight="1" x14ac:dyDescent="0.2">
      <c r="A29" s="55" t="s">
        <v>4720</v>
      </c>
      <c r="B29" s="110">
        <v>238602</v>
      </c>
      <c r="C29" s="53">
        <v>8278</v>
      </c>
      <c r="D29" s="54" t="s">
        <v>937</v>
      </c>
      <c r="E29" s="56" t="s">
        <v>900</v>
      </c>
      <c r="F29" s="57" t="s">
        <v>1285</v>
      </c>
    </row>
    <row r="30" spans="1:6" ht="17.45" customHeight="1" x14ac:dyDescent="0.2">
      <c r="A30" s="55" t="s">
        <v>4737</v>
      </c>
      <c r="B30" s="110">
        <v>228612</v>
      </c>
      <c r="C30" s="53">
        <v>8278</v>
      </c>
      <c r="D30" s="54" t="s">
        <v>937</v>
      </c>
      <c r="E30" s="56" t="s">
        <v>905</v>
      </c>
      <c r="F30" s="57" t="s">
        <v>1003</v>
      </c>
    </row>
    <row r="31" spans="1:6" ht="17.45" customHeight="1" x14ac:dyDescent="0.2">
      <c r="A31" s="55" t="s">
        <v>4738</v>
      </c>
      <c r="B31" s="110">
        <v>158669</v>
      </c>
      <c r="C31" s="53">
        <v>8278</v>
      </c>
      <c r="D31" s="54" t="s">
        <v>937</v>
      </c>
      <c r="E31" s="56" t="s">
        <v>900</v>
      </c>
      <c r="F31" s="55" t="s">
        <v>925</v>
      </c>
    </row>
    <row r="32" spans="1:6" ht="17.45" customHeight="1" x14ac:dyDescent="0.2">
      <c r="A32" s="55" t="s">
        <v>4739</v>
      </c>
      <c r="B32" s="110">
        <v>198613</v>
      </c>
      <c r="C32" s="53">
        <v>8278</v>
      </c>
      <c r="D32" s="54" t="s">
        <v>937</v>
      </c>
      <c r="E32" s="56" t="s">
        <v>905</v>
      </c>
      <c r="F32" s="55" t="s">
        <v>4740</v>
      </c>
    </row>
    <row r="33" spans="1:6" ht="17.45" customHeight="1" x14ac:dyDescent="0.2">
      <c r="A33" s="55" t="s">
        <v>957</v>
      </c>
      <c r="B33" s="110" t="s">
        <v>958</v>
      </c>
      <c r="C33" s="53">
        <v>8278</v>
      </c>
      <c r="D33" s="54" t="s">
        <v>959</v>
      </c>
      <c r="E33" s="56" t="s">
        <v>900</v>
      </c>
      <c r="F33" s="55" t="s">
        <v>925</v>
      </c>
    </row>
    <row r="34" spans="1:6" ht="17.45" customHeight="1" x14ac:dyDescent="0.2">
      <c r="A34" s="55" t="s">
        <v>960</v>
      </c>
      <c r="B34" s="110">
        <v>208671</v>
      </c>
      <c r="C34" s="53">
        <v>8278</v>
      </c>
      <c r="D34" s="54" t="s">
        <v>959</v>
      </c>
      <c r="E34" s="56" t="s">
        <v>905</v>
      </c>
      <c r="F34" s="55" t="s">
        <v>961</v>
      </c>
    </row>
    <row r="35" spans="1:6" ht="17.45" customHeight="1" x14ac:dyDescent="0.2">
      <c r="A35" s="55" t="s">
        <v>973</v>
      </c>
      <c r="B35" s="110">
        <v>228601</v>
      </c>
      <c r="C35" s="53">
        <v>8278</v>
      </c>
      <c r="D35" s="54" t="s">
        <v>972</v>
      </c>
      <c r="E35" s="56" t="s">
        <v>974</v>
      </c>
      <c r="F35" s="57" t="s">
        <v>975</v>
      </c>
    </row>
    <row r="36" spans="1:6" ht="17.45" customHeight="1" x14ac:dyDescent="0.2">
      <c r="A36" s="55" t="s">
        <v>962</v>
      </c>
      <c r="B36" s="110" t="s">
        <v>963</v>
      </c>
      <c r="C36" s="53">
        <v>8278</v>
      </c>
      <c r="D36" s="54" t="s">
        <v>959</v>
      </c>
      <c r="E36" s="56" t="s">
        <v>900</v>
      </c>
      <c r="F36" s="57" t="s">
        <v>964</v>
      </c>
    </row>
    <row r="37" spans="1:6" ht="17.45" customHeight="1" x14ac:dyDescent="0.2">
      <c r="A37" s="55" t="s">
        <v>965</v>
      </c>
      <c r="B37" s="110" t="s">
        <v>966</v>
      </c>
      <c r="C37" s="53">
        <v>8278</v>
      </c>
      <c r="D37" s="54" t="s">
        <v>948</v>
      </c>
      <c r="E37" s="56" t="s">
        <v>905</v>
      </c>
      <c r="F37" s="57" t="s">
        <v>967</v>
      </c>
    </row>
    <row r="38" spans="1:6" ht="17.45" customHeight="1" x14ac:dyDescent="0.2">
      <c r="A38" s="55" t="s">
        <v>968</v>
      </c>
      <c r="B38" s="110" t="s">
        <v>969</v>
      </c>
      <c r="C38" s="53">
        <v>8278</v>
      </c>
      <c r="D38" s="54" t="s">
        <v>937</v>
      </c>
      <c r="E38" s="56" t="s">
        <v>900</v>
      </c>
      <c r="F38" s="57" t="s">
        <v>950</v>
      </c>
    </row>
    <row r="39" spans="1:6" ht="17.45" customHeight="1" x14ac:dyDescent="0.2">
      <c r="A39" s="55" t="s">
        <v>970</v>
      </c>
      <c r="B39" s="110" t="s">
        <v>971</v>
      </c>
      <c r="C39" s="53">
        <v>8278</v>
      </c>
      <c r="D39" s="54" t="s">
        <v>972</v>
      </c>
      <c r="E39" s="56" t="s">
        <v>905</v>
      </c>
      <c r="F39" s="57" t="s">
        <v>967</v>
      </c>
    </row>
    <row r="40" spans="1:6" ht="17.45" customHeight="1" x14ac:dyDescent="0.2">
      <c r="A40" s="55" t="s">
        <v>976</v>
      </c>
      <c r="B40" s="110">
        <v>228600</v>
      </c>
      <c r="C40" s="53">
        <v>8278</v>
      </c>
      <c r="D40" s="54" t="s">
        <v>972</v>
      </c>
      <c r="E40" s="56" t="s">
        <v>905</v>
      </c>
      <c r="F40" s="57" t="s">
        <v>977</v>
      </c>
    </row>
    <row r="41" spans="1:6" ht="17.45" customHeight="1" x14ac:dyDescent="0.2">
      <c r="A41" s="55" t="s">
        <v>978</v>
      </c>
      <c r="B41" s="110">
        <v>148622</v>
      </c>
      <c r="C41" s="53">
        <v>8278</v>
      </c>
      <c r="D41" s="54" t="s">
        <v>972</v>
      </c>
      <c r="E41" s="56" t="s">
        <v>900</v>
      </c>
      <c r="F41" s="57" t="s">
        <v>4747</v>
      </c>
    </row>
    <row r="42" spans="1:6" ht="17.45" customHeight="1" x14ac:dyDescent="0.2">
      <c r="A42" s="55" t="s">
        <v>979</v>
      </c>
      <c r="B42" s="110">
        <v>148624</v>
      </c>
      <c r="C42" s="53">
        <v>8278</v>
      </c>
      <c r="D42" s="54" t="s">
        <v>972</v>
      </c>
      <c r="E42" s="56" t="s">
        <v>905</v>
      </c>
      <c r="F42" s="57" t="s">
        <v>4748</v>
      </c>
    </row>
    <row r="43" spans="1:6" ht="17.45" customHeight="1" x14ac:dyDescent="0.2">
      <c r="A43" s="55" t="s">
        <v>1588</v>
      </c>
      <c r="B43" s="110">
        <v>158671</v>
      </c>
      <c r="C43" s="53">
        <v>8278</v>
      </c>
      <c r="D43" s="54" t="s">
        <v>972</v>
      </c>
      <c r="E43" s="56" t="s">
        <v>1072</v>
      </c>
      <c r="F43" s="55" t="s">
        <v>1587</v>
      </c>
    </row>
    <row r="44" spans="1:6" ht="17.45" customHeight="1" x14ac:dyDescent="0.2">
      <c r="A44" s="55" t="s">
        <v>4741</v>
      </c>
      <c r="B44" s="110">
        <v>203603</v>
      </c>
      <c r="C44" s="53">
        <v>8278</v>
      </c>
      <c r="D44" s="54" t="s">
        <v>959</v>
      </c>
      <c r="E44" s="56" t="s">
        <v>905</v>
      </c>
      <c r="F44" s="55" t="s">
        <v>4742</v>
      </c>
    </row>
    <row r="45" spans="1:6" ht="17.45" customHeight="1" x14ac:dyDescent="0.2">
      <c r="A45" s="55" t="s">
        <v>980</v>
      </c>
      <c r="B45" s="110">
        <v>208606</v>
      </c>
      <c r="C45" s="53">
        <v>8278</v>
      </c>
      <c r="D45" s="54" t="s">
        <v>959</v>
      </c>
      <c r="E45" s="56" t="s">
        <v>900</v>
      </c>
      <c r="F45" s="57" t="s">
        <v>981</v>
      </c>
    </row>
    <row r="46" spans="1:6" ht="17.45" customHeight="1" x14ac:dyDescent="0.2">
      <c r="A46" s="55" t="s">
        <v>4690</v>
      </c>
      <c r="B46" s="110">
        <v>228611</v>
      </c>
      <c r="C46" s="53" t="s">
        <v>943</v>
      </c>
      <c r="D46" s="54" t="s">
        <v>944</v>
      </c>
      <c r="E46" s="56" t="s">
        <v>900</v>
      </c>
      <c r="F46" s="57" t="s">
        <v>4689</v>
      </c>
    </row>
    <row r="47" spans="1:6" ht="17.45" customHeight="1" x14ac:dyDescent="0.2">
      <c r="A47" s="55" t="s">
        <v>4691</v>
      </c>
      <c r="B47" s="110">
        <v>228613</v>
      </c>
      <c r="C47" s="53" t="s">
        <v>943</v>
      </c>
      <c r="D47" s="54" t="s">
        <v>944</v>
      </c>
      <c r="E47" s="56" t="s">
        <v>905</v>
      </c>
      <c r="F47" s="55" t="s">
        <v>961</v>
      </c>
    </row>
    <row r="48" spans="1:6" ht="17.45" customHeight="1" x14ac:dyDescent="0.2">
      <c r="A48" s="55" t="s">
        <v>982</v>
      </c>
      <c r="B48" s="110" t="s">
        <v>983</v>
      </c>
      <c r="C48" s="53">
        <v>8278</v>
      </c>
      <c r="D48" s="54" t="s">
        <v>972</v>
      </c>
      <c r="E48" s="56" t="s">
        <v>882</v>
      </c>
      <c r="F48" s="57" t="s">
        <v>984</v>
      </c>
    </row>
    <row r="49" spans="1:6" ht="17.45" customHeight="1" x14ac:dyDescent="0.2">
      <c r="A49" s="55" t="s">
        <v>985</v>
      </c>
      <c r="B49" s="110" t="s">
        <v>986</v>
      </c>
      <c r="C49" s="53">
        <v>8278</v>
      </c>
      <c r="D49" s="54" t="s">
        <v>948</v>
      </c>
      <c r="E49" s="56" t="s">
        <v>882</v>
      </c>
      <c r="F49" s="57" t="s">
        <v>987</v>
      </c>
    </row>
    <row r="50" spans="1:6" ht="17.45" customHeight="1" x14ac:dyDescent="0.2">
      <c r="A50" s="55" t="s">
        <v>988</v>
      </c>
      <c r="B50" s="110" t="s">
        <v>989</v>
      </c>
      <c r="C50" s="53">
        <v>8266</v>
      </c>
      <c r="D50" s="54" t="s">
        <v>908</v>
      </c>
      <c r="E50" s="56" t="s">
        <v>900</v>
      </c>
      <c r="F50" s="57" t="s">
        <v>964</v>
      </c>
    </row>
    <row r="51" spans="1:6" ht="17.45" customHeight="1" x14ac:dyDescent="0.2">
      <c r="A51" s="55" t="s">
        <v>990</v>
      </c>
      <c r="B51" s="110">
        <v>178617</v>
      </c>
      <c r="C51" s="53">
        <v>8266</v>
      </c>
      <c r="D51" s="54" t="s">
        <v>933</v>
      </c>
      <c r="E51" s="56" t="s">
        <v>905</v>
      </c>
      <c r="F51" s="57" t="s">
        <v>991</v>
      </c>
    </row>
    <row r="52" spans="1:6" ht="17.45" customHeight="1" x14ac:dyDescent="0.2">
      <c r="A52" s="57" t="s">
        <v>992</v>
      </c>
      <c r="B52" s="110" t="s">
        <v>993</v>
      </c>
      <c r="C52" s="53">
        <v>8279</v>
      </c>
      <c r="D52" s="59" t="s">
        <v>994</v>
      </c>
      <c r="E52" s="56" t="s">
        <v>254</v>
      </c>
      <c r="F52" s="53" t="s">
        <v>995</v>
      </c>
    </row>
    <row r="53" spans="1:6" ht="17.45" customHeight="1" x14ac:dyDescent="0.2">
      <c r="A53" s="57" t="s">
        <v>996</v>
      </c>
      <c r="B53" s="110" t="s">
        <v>997</v>
      </c>
      <c r="C53" s="53">
        <v>8279</v>
      </c>
      <c r="D53" s="59" t="s">
        <v>994</v>
      </c>
      <c r="E53" s="56" t="s">
        <v>254</v>
      </c>
      <c r="F53" s="53" t="s">
        <v>995</v>
      </c>
    </row>
    <row r="54" spans="1:6" ht="17.45" customHeight="1" x14ac:dyDescent="0.2">
      <c r="A54" s="57" t="s">
        <v>998</v>
      </c>
      <c r="B54" s="110">
        <v>158610</v>
      </c>
      <c r="C54" s="53">
        <v>8279</v>
      </c>
      <c r="D54" s="59" t="s">
        <v>994</v>
      </c>
      <c r="E54" s="56" t="s">
        <v>254</v>
      </c>
      <c r="F54" s="53" t="s">
        <v>934</v>
      </c>
    </row>
    <row r="55" spans="1:6" ht="17.45" customHeight="1" x14ac:dyDescent="0.2">
      <c r="A55" s="57" t="s">
        <v>1000</v>
      </c>
      <c r="B55" s="110">
        <v>198616</v>
      </c>
      <c r="C55" s="53" t="s">
        <v>1001</v>
      </c>
      <c r="D55" s="59" t="s">
        <v>1002</v>
      </c>
      <c r="E55" s="56" t="s">
        <v>900</v>
      </c>
      <c r="F55" s="53" t="s">
        <v>1003</v>
      </c>
    </row>
    <row r="56" spans="1:6" ht="17.45" customHeight="1" x14ac:dyDescent="0.2">
      <c r="A56" s="57" t="s">
        <v>1004</v>
      </c>
      <c r="B56" s="110">
        <v>198619</v>
      </c>
      <c r="C56" s="53" t="s">
        <v>1001</v>
      </c>
      <c r="D56" s="59" t="s">
        <v>1002</v>
      </c>
      <c r="E56" s="56" t="s">
        <v>900</v>
      </c>
      <c r="F56" s="53" t="s">
        <v>1005</v>
      </c>
    </row>
    <row r="57" spans="1:6" ht="17.45" customHeight="1" x14ac:dyDescent="0.2">
      <c r="A57" s="57" t="s">
        <v>1006</v>
      </c>
      <c r="B57" s="110">
        <v>188201</v>
      </c>
      <c r="C57" s="53" t="s">
        <v>1001</v>
      </c>
      <c r="D57" s="59" t="s">
        <v>1002</v>
      </c>
      <c r="E57" s="56" t="s">
        <v>905</v>
      </c>
      <c r="F57" s="53" t="s">
        <v>1007</v>
      </c>
    </row>
    <row r="58" spans="1:6" ht="17.45" customHeight="1" x14ac:dyDescent="0.2">
      <c r="A58" s="55" t="s">
        <v>1008</v>
      </c>
      <c r="B58" s="110" t="s">
        <v>1009</v>
      </c>
      <c r="C58" s="53">
        <v>8266</v>
      </c>
      <c r="D58" s="54" t="s">
        <v>908</v>
      </c>
      <c r="E58" s="56" t="s">
        <v>882</v>
      </c>
      <c r="F58" s="52" t="s">
        <v>1010</v>
      </c>
    </row>
    <row r="59" spans="1:6" ht="17.45" customHeight="1" x14ac:dyDescent="0.2">
      <c r="A59" s="55" t="s">
        <v>1011</v>
      </c>
      <c r="B59" s="110" t="s">
        <v>1012</v>
      </c>
      <c r="C59" s="53">
        <v>8266</v>
      </c>
      <c r="D59" s="54" t="s">
        <v>933</v>
      </c>
      <c r="E59" s="56" t="s">
        <v>254</v>
      </c>
      <c r="F59" s="52" t="s">
        <v>934</v>
      </c>
    </row>
    <row r="60" spans="1:6" ht="17.45" customHeight="1" x14ac:dyDescent="0.2">
      <c r="A60" s="55" t="s">
        <v>4775</v>
      </c>
      <c r="B60" s="110">
        <v>248650</v>
      </c>
      <c r="C60" s="53" t="s">
        <v>4776</v>
      </c>
      <c r="D60" s="54" t="s">
        <v>1023</v>
      </c>
      <c r="E60" s="56" t="s">
        <v>1072</v>
      </c>
      <c r="F60" s="62" t="s">
        <v>1302</v>
      </c>
    </row>
    <row r="61" spans="1:6" ht="17.45" customHeight="1" x14ac:dyDescent="0.2">
      <c r="A61" s="55" t="s">
        <v>4774</v>
      </c>
      <c r="B61" s="110">
        <v>248651</v>
      </c>
      <c r="C61" s="53" t="s">
        <v>4776</v>
      </c>
      <c r="D61" s="54" t="s">
        <v>1023</v>
      </c>
      <c r="E61" s="56" t="s">
        <v>949</v>
      </c>
      <c r="F61" s="62" t="s">
        <v>1302</v>
      </c>
    </row>
    <row r="62" spans="1:6" ht="17.45" customHeight="1" x14ac:dyDescent="0.2">
      <c r="A62" s="55" t="s">
        <v>1013</v>
      </c>
      <c r="B62" s="110">
        <v>208601</v>
      </c>
      <c r="C62" s="53">
        <v>8266</v>
      </c>
      <c r="D62" s="54" t="s">
        <v>933</v>
      </c>
      <c r="E62" s="56" t="s">
        <v>254</v>
      </c>
      <c r="F62" s="52" t="s">
        <v>1014</v>
      </c>
    </row>
    <row r="63" spans="1:6" ht="17.45" customHeight="1" x14ac:dyDescent="0.2">
      <c r="A63" s="55" t="s">
        <v>1015</v>
      </c>
      <c r="B63" s="110" t="s">
        <v>1016</v>
      </c>
      <c r="C63" s="53">
        <v>8266</v>
      </c>
      <c r="D63" s="54" t="s">
        <v>933</v>
      </c>
      <c r="E63" s="56" t="s">
        <v>254</v>
      </c>
      <c r="F63" s="52" t="s">
        <v>1017</v>
      </c>
    </row>
    <row r="64" spans="1:6" ht="17.45" customHeight="1" x14ac:dyDescent="0.2">
      <c r="A64" s="55" t="s">
        <v>1025</v>
      </c>
      <c r="B64" s="110">
        <v>218603</v>
      </c>
      <c r="C64" s="53" t="s">
        <v>1022</v>
      </c>
      <c r="D64" s="54" t="s">
        <v>1023</v>
      </c>
      <c r="E64" s="56" t="s">
        <v>900</v>
      </c>
      <c r="F64" s="55" t="s">
        <v>1026</v>
      </c>
    </row>
    <row r="65" spans="1:6" ht="17.45" customHeight="1" x14ac:dyDescent="0.2">
      <c r="A65" s="55" t="s">
        <v>4735</v>
      </c>
      <c r="B65" s="110">
        <v>238601</v>
      </c>
      <c r="C65" s="53" t="s">
        <v>1022</v>
      </c>
      <c r="D65" s="54" t="s">
        <v>1023</v>
      </c>
      <c r="E65" s="56" t="s">
        <v>882</v>
      </c>
      <c r="F65" s="55" t="s">
        <v>1027</v>
      </c>
    </row>
    <row r="66" spans="1:6" ht="17.45" customHeight="1" x14ac:dyDescent="0.2">
      <c r="A66" s="55" t="s">
        <v>1018</v>
      </c>
      <c r="B66" s="110" t="s">
        <v>1019</v>
      </c>
      <c r="C66" s="53">
        <v>8266</v>
      </c>
      <c r="D66" s="54" t="s">
        <v>933</v>
      </c>
      <c r="E66" s="56" t="s">
        <v>882</v>
      </c>
      <c r="F66" s="55" t="s">
        <v>1020</v>
      </c>
    </row>
    <row r="67" spans="1:6" ht="17.45" customHeight="1" x14ac:dyDescent="0.2">
      <c r="A67" s="55" t="s">
        <v>1028</v>
      </c>
      <c r="B67" s="110">
        <v>188602</v>
      </c>
      <c r="C67" s="53" t="s">
        <v>930</v>
      </c>
      <c r="D67" s="54" t="s">
        <v>931</v>
      </c>
      <c r="E67" s="56" t="s">
        <v>949</v>
      </c>
      <c r="F67" s="55" t="s">
        <v>1029</v>
      </c>
    </row>
    <row r="68" spans="1:6" ht="17.45" customHeight="1" x14ac:dyDescent="0.2">
      <c r="A68" s="55" t="s">
        <v>1021</v>
      </c>
      <c r="B68" s="110">
        <v>218602</v>
      </c>
      <c r="C68" s="53" t="s">
        <v>1022</v>
      </c>
      <c r="D68" s="54" t="s">
        <v>1023</v>
      </c>
      <c r="E68" s="56" t="s">
        <v>254</v>
      </c>
      <c r="F68" s="55" t="s">
        <v>1024</v>
      </c>
    </row>
    <row r="69" spans="1:6" ht="17.45" customHeight="1" x14ac:dyDescent="0.2">
      <c r="A69" s="55" t="s">
        <v>4721</v>
      </c>
      <c r="B69" s="110">
        <v>208669</v>
      </c>
      <c r="C69" s="53" t="s">
        <v>1030</v>
      </c>
      <c r="D69" s="54" t="s">
        <v>1031</v>
      </c>
      <c r="E69" s="56" t="s">
        <v>905</v>
      </c>
      <c r="F69" s="55" t="s">
        <v>1213</v>
      </c>
    </row>
    <row r="70" spans="1:6" ht="17.45" customHeight="1" x14ac:dyDescent="0.2">
      <c r="A70" s="55" t="s">
        <v>4757</v>
      </c>
      <c r="B70" s="110">
        <v>248605</v>
      </c>
      <c r="C70" s="53" t="s">
        <v>1030</v>
      </c>
      <c r="D70" s="54" t="s">
        <v>1031</v>
      </c>
      <c r="E70" s="56" t="s">
        <v>900</v>
      </c>
      <c r="F70" s="55" t="s">
        <v>4756</v>
      </c>
    </row>
    <row r="71" spans="1:6" ht="17.45" customHeight="1" x14ac:dyDescent="0.2">
      <c r="A71" s="55" t="s">
        <v>4758</v>
      </c>
      <c r="B71" s="110">
        <v>228607</v>
      </c>
      <c r="C71" s="53" t="s">
        <v>1030</v>
      </c>
      <c r="D71" s="54" t="s">
        <v>1031</v>
      </c>
      <c r="E71" s="56" t="s">
        <v>905</v>
      </c>
      <c r="F71" s="55" t="s">
        <v>1032</v>
      </c>
    </row>
    <row r="72" spans="1:6" ht="17.45" customHeight="1" x14ac:dyDescent="0.2">
      <c r="A72" s="55" t="s">
        <v>4722</v>
      </c>
      <c r="B72" s="110">
        <v>208604</v>
      </c>
      <c r="C72" s="53" t="s">
        <v>1030</v>
      </c>
      <c r="D72" s="54" t="s">
        <v>1031</v>
      </c>
      <c r="E72" s="56" t="s">
        <v>4723</v>
      </c>
      <c r="F72" s="55" t="s">
        <v>1352</v>
      </c>
    </row>
    <row r="73" spans="1:6" ht="17.45" customHeight="1" x14ac:dyDescent="0.2">
      <c r="A73" s="55" t="s">
        <v>199</v>
      </c>
      <c r="C73" s="53"/>
      <c r="D73" s="54" t="s">
        <v>1038</v>
      </c>
      <c r="E73" s="56" t="s">
        <v>3170</v>
      </c>
      <c r="F73" s="56" t="s">
        <v>1039</v>
      </c>
    </row>
    <row r="74" spans="1:6" ht="17.45" customHeight="1" x14ac:dyDescent="0.2">
      <c r="A74" s="55" t="s">
        <v>202</v>
      </c>
      <c r="C74" s="53"/>
      <c r="D74" s="54" t="s">
        <v>1038</v>
      </c>
      <c r="E74" s="56" t="s">
        <v>3170</v>
      </c>
      <c r="F74" s="56" t="s">
        <v>1040</v>
      </c>
    </row>
    <row r="75" spans="1:6" ht="17.45" customHeight="1" x14ac:dyDescent="0.2">
      <c r="A75" s="55" t="s">
        <v>4731</v>
      </c>
      <c r="B75" s="110">
        <v>248600</v>
      </c>
      <c r="C75" s="53">
        <v>8279</v>
      </c>
      <c r="D75" s="54" t="s">
        <v>1036</v>
      </c>
      <c r="E75" s="56" t="s">
        <v>900</v>
      </c>
      <c r="F75" s="55" t="s">
        <v>4730</v>
      </c>
    </row>
    <row r="76" spans="1:6" ht="17.45" customHeight="1" x14ac:dyDescent="0.2">
      <c r="A76" s="55" t="s">
        <v>1034</v>
      </c>
      <c r="B76" s="110" t="s">
        <v>1035</v>
      </c>
      <c r="C76" s="53">
        <v>8279</v>
      </c>
      <c r="D76" s="54" t="s">
        <v>1036</v>
      </c>
      <c r="E76" s="56" t="s">
        <v>905</v>
      </c>
      <c r="F76" s="57" t="s">
        <v>1037</v>
      </c>
    </row>
    <row r="77" spans="1:6" ht="17.45" customHeight="1" x14ac:dyDescent="0.2">
      <c r="A77" s="55" t="s">
        <v>1041</v>
      </c>
      <c r="B77" s="171" t="s">
        <v>1042</v>
      </c>
      <c r="C77" s="53">
        <v>8268</v>
      </c>
      <c r="D77" s="54" t="s">
        <v>1043</v>
      </c>
      <c r="E77" s="56" t="s">
        <v>905</v>
      </c>
      <c r="F77" s="57" t="s">
        <v>1044</v>
      </c>
    </row>
    <row r="78" spans="1:6" ht="17.45" customHeight="1" x14ac:dyDescent="0.2">
      <c r="A78" s="55" t="s">
        <v>1045</v>
      </c>
      <c r="B78" s="110" t="s">
        <v>1046</v>
      </c>
      <c r="C78" s="53">
        <v>8268</v>
      </c>
      <c r="D78" s="54" t="s">
        <v>1047</v>
      </c>
      <c r="E78" s="56" t="s">
        <v>900</v>
      </c>
      <c r="F78" s="57" t="s">
        <v>1048</v>
      </c>
    </row>
    <row r="79" spans="1:6" ht="17.45" customHeight="1" x14ac:dyDescent="0.2">
      <c r="A79" s="55" t="s">
        <v>1049</v>
      </c>
      <c r="B79" s="110" t="s">
        <v>1050</v>
      </c>
      <c r="C79" s="53">
        <v>8268</v>
      </c>
      <c r="D79" s="54" t="s">
        <v>1051</v>
      </c>
      <c r="E79" s="56" t="s">
        <v>254</v>
      </c>
      <c r="F79" s="57" t="s">
        <v>1052</v>
      </c>
    </row>
    <row r="80" spans="1:6" ht="17.45" customHeight="1" x14ac:dyDescent="0.2">
      <c r="A80" s="55" t="s">
        <v>1053</v>
      </c>
      <c r="B80" s="110" t="s">
        <v>1054</v>
      </c>
      <c r="C80" s="53">
        <v>8268</v>
      </c>
      <c r="D80" s="54" t="s">
        <v>1051</v>
      </c>
      <c r="E80" s="56" t="s">
        <v>254</v>
      </c>
      <c r="F80" s="57" t="s">
        <v>1055</v>
      </c>
    </row>
    <row r="81" spans="1:6" ht="17.45" customHeight="1" x14ac:dyDescent="0.2">
      <c r="A81" s="55" t="s">
        <v>1056</v>
      </c>
      <c r="B81" s="110" t="s">
        <v>1057</v>
      </c>
      <c r="C81" s="53">
        <v>8268</v>
      </c>
      <c r="D81" s="54" t="s">
        <v>1058</v>
      </c>
      <c r="E81" s="56" t="s">
        <v>254</v>
      </c>
      <c r="F81" s="57" t="s">
        <v>1059</v>
      </c>
    </row>
    <row r="82" spans="1:6" ht="17.45" customHeight="1" x14ac:dyDescent="0.2">
      <c r="A82" s="55" t="s">
        <v>1060</v>
      </c>
      <c r="B82" s="110" t="s">
        <v>1061</v>
      </c>
      <c r="C82" s="53">
        <v>8268</v>
      </c>
      <c r="D82" s="54" t="s">
        <v>1058</v>
      </c>
      <c r="E82" s="56" t="s">
        <v>254</v>
      </c>
      <c r="F82" s="57" t="s">
        <v>1059</v>
      </c>
    </row>
    <row r="83" spans="1:6" ht="17.45" customHeight="1" x14ac:dyDescent="0.2">
      <c r="A83" s="55" t="s">
        <v>1062</v>
      </c>
      <c r="B83" s="110" t="s">
        <v>1063</v>
      </c>
      <c r="C83" s="53">
        <v>8268</v>
      </c>
      <c r="D83" s="54" t="s">
        <v>1064</v>
      </c>
      <c r="E83" s="56" t="s">
        <v>882</v>
      </c>
      <c r="F83" s="52" t="s">
        <v>893</v>
      </c>
    </row>
    <row r="84" spans="1:6" ht="17.45" customHeight="1" x14ac:dyDescent="0.2">
      <c r="A84" s="55" t="s">
        <v>1065</v>
      </c>
      <c r="B84" s="110" t="s">
        <v>1066</v>
      </c>
      <c r="C84" s="53">
        <v>8268</v>
      </c>
      <c r="D84" s="54" t="s">
        <v>1043</v>
      </c>
      <c r="E84" s="56" t="s">
        <v>900</v>
      </c>
      <c r="F84" s="57" t="s">
        <v>1067</v>
      </c>
    </row>
    <row r="85" spans="1:6" ht="17.45" customHeight="1" x14ac:dyDescent="0.2">
      <c r="A85" s="55" t="s">
        <v>1068</v>
      </c>
      <c r="B85" s="110">
        <v>28691</v>
      </c>
      <c r="C85" s="53">
        <v>8268</v>
      </c>
      <c r="D85" s="54" t="s">
        <v>1043</v>
      </c>
      <c r="E85" s="56" t="s">
        <v>905</v>
      </c>
      <c r="F85" s="57" t="s">
        <v>1069</v>
      </c>
    </row>
    <row r="86" spans="1:6" ht="17.45" customHeight="1" x14ac:dyDescent="0.2">
      <c r="A86" s="55" t="s">
        <v>1070</v>
      </c>
      <c r="B86" s="110" t="s">
        <v>1071</v>
      </c>
      <c r="C86" s="53">
        <v>8268</v>
      </c>
      <c r="D86" s="59" t="s">
        <v>1058</v>
      </c>
      <c r="E86" s="56" t="s">
        <v>1072</v>
      </c>
      <c r="F86" s="57" t="s">
        <v>1073</v>
      </c>
    </row>
    <row r="87" spans="1:6" ht="17.45" customHeight="1" x14ac:dyDescent="0.2">
      <c r="A87" s="55" t="s">
        <v>1074</v>
      </c>
      <c r="B87" s="110" t="s">
        <v>1075</v>
      </c>
      <c r="C87" s="53">
        <v>8268</v>
      </c>
      <c r="D87" s="54" t="s">
        <v>1076</v>
      </c>
      <c r="E87" s="56" t="s">
        <v>949</v>
      </c>
      <c r="F87" s="57" t="s">
        <v>1073</v>
      </c>
    </row>
    <row r="88" spans="1:6" ht="17.45" customHeight="1" x14ac:dyDescent="0.2">
      <c r="A88" s="55" t="s">
        <v>1077</v>
      </c>
      <c r="B88" s="110">
        <v>188610</v>
      </c>
      <c r="C88" s="53">
        <v>8268</v>
      </c>
      <c r="D88" s="54" t="s">
        <v>1078</v>
      </c>
      <c r="E88" s="56" t="s">
        <v>900</v>
      </c>
      <c r="F88" s="57" t="s">
        <v>1079</v>
      </c>
    </row>
    <row r="89" spans="1:6" ht="17.45" customHeight="1" x14ac:dyDescent="0.2">
      <c r="A89" s="55" t="s">
        <v>1080</v>
      </c>
      <c r="B89" s="110">
        <v>188608</v>
      </c>
      <c r="C89" s="53">
        <v>8268</v>
      </c>
      <c r="D89" s="54" t="s">
        <v>1078</v>
      </c>
      <c r="E89" s="56" t="s">
        <v>949</v>
      </c>
      <c r="F89" s="57" t="s">
        <v>1081</v>
      </c>
    </row>
    <row r="90" spans="1:6" ht="17.45" customHeight="1" x14ac:dyDescent="0.2">
      <c r="A90" s="55" t="s">
        <v>1082</v>
      </c>
      <c r="B90" s="110" t="s">
        <v>1083</v>
      </c>
      <c r="C90" s="53">
        <v>8268</v>
      </c>
      <c r="D90" s="54" t="s">
        <v>1084</v>
      </c>
      <c r="E90" s="56" t="s">
        <v>1072</v>
      </c>
      <c r="F90" s="57" t="s">
        <v>1085</v>
      </c>
    </row>
    <row r="91" spans="1:6" ht="17.45" customHeight="1" x14ac:dyDescent="0.2">
      <c r="A91" s="55" t="s">
        <v>1086</v>
      </c>
      <c r="B91" s="110" t="s">
        <v>1087</v>
      </c>
      <c r="C91" s="53">
        <v>8268</v>
      </c>
      <c r="D91" s="54" t="s">
        <v>1078</v>
      </c>
      <c r="E91" s="56" t="s">
        <v>949</v>
      </c>
      <c r="F91" s="57" t="s">
        <v>1085</v>
      </c>
    </row>
    <row r="92" spans="1:6" ht="17.45" customHeight="1" x14ac:dyDescent="0.2">
      <c r="A92" s="55" t="s">
        <v>1088</v>
      </c>
      <c r="B92" s="110" t="s">
        <v>1089</v>
      </c>
      <c r="C92" s="53">
        <v>8268</v>
      </c>
      <c r="D92" s="54" t="s">
        <v>1047</v>
      </c>
      <c r="E92" s="56" t="s">
        <v>900</v>
      </c>
      <c r="F92" s="57" t="s">
        <v>1073</v>
      </c>
    </row>
    <row r="93" spans="1:6" ht="17.45" customHeight="1" x14ac:dyDescent="0.2">
      <c r="A93" s="55" t="s">
        <v>1090</v>
      </c>
      <c r="B93" s="110" t="s">
        <v>1091</v>
      </c>
      <c r="C93" s="53">
        <v>8268</v>
      </c>
      <c r="D93" s="59" t="s">
        <v>1047</v>
      </c>
      <c r="E93" s="56" t="s">
        <v>1072</v>
      </c>
      <c r="F93" s="57" t="s">
        <v>1092</v>
      </c>
    </row>
    <row r="94" spans="1:6" ht="17.45" customHeight="1" x14ac:dyDescent="0.2">
      <c r="A94" s="55" t="s">
        <v>1093</v>
      </c>
      <c r="B94" s="110" t="s">
        <v>1094</v>
      </c>
      <c r="C94" s="53">
        <v>8268</v>
      </c>
      <c r="D94" s="54" t="s">
        <v>1043</v>
      </c>
      <c r="E94" s="56" t="s">
        <v>949</v>
      </c>
      <c r="F94" s="57" t="s">
        <v>1092</v>
      </c>
    </row>
    <row r="95" spans="1:6" ht="17.45" customHeight="1" x14ac:dyDescent="0.2">
      <c r="A95" s="55" t="s">
        <v>1099</v>
      </c>
      <c r="B95" s="110" t="s">
        <v>1100</v>
      </c>
      <c r="C95" s="53">
        <v>8268</v>
      </c>
      <c r="D95" s="54" t="s">
        <v>1047</v>
      </c>
      <c r="E95" s="56" t="s">
        <v>900</v>
      </c>
      <c r="F95" s="57" t="s">
        <v>1073</v>
      </c>
    </row>
    <row r="96" spans="1:6" ht="17.45" customHeight="1" x14ac:dyDescent="0.2">
      <c r="A96" s="55" t="s">
        <v>1101</v>
      </c>
      <c r="B96" s="110" t="s">
        <v>1102</v>
      </c>
      <c r="C96" s="53">
        <v>8268</v>
      </c>
      <c r="D96" s="59" t="s">
        <v>1043</v>
      </c>
      <c r="E96" s="56" t="s">
        <v>1072</v>
      </c>
      <c r="F96" s="57" t="s">
        <v>1092</v>
      </c>
    </row>
    <row r="97" spans="1:6" ht="17.45" customHeight="1" x14ac:dyDescent="0.2">
      <c r="A97" s="55" t="s">
        <v>1103</v>
      </c>
      <c r="B97" s="110" t="s">
        <v>1104</v>
      </c>
      <c r="C97" s="53">
        <v>8268</v>
      </c>
      <c r="D97" s="54" t="s">
        <v>1105</v>
      </c>
      <c r="E97" s="56" t="s">
        <v>949</v>
      </c>
      <c r="F97" s="57" t="s">
        <v>1092</v>
      </c>
    </row>
    <row r="98" spans="1:6" ht="17.45" customHeight="1" x14ac:dyDescent="0.2">
      <c r="A98" s="55" t="s">
        <v>1095</v>
      </c>
      <c r="B98" s="110">
        <v>228604</v>
      </c>
      <c r="C98" s="53">
        <v>8268</v>
      </c>
      <c r="D98" s="54" t="s">
        <v>1047</v>
      </c>
      <c r="E98" s="56" t="s">
        <v>900</v>
      </c>
      <c r="F98" s="57" t="s">
        <v>1096</v>
      </c>
    </row>
    <row r="99" spans="1:6" ht="17.45" customHeight="1" x14ac:dyDescent="0.2">
      <c r="A99" s="55" t="s">
        <v>1097</v>
      </c>
      <c r="B99" s="110">
        <v>228606</v>
      </c>
      <c r="C99" s="53">
        <v>8268</v>
      </c>
      <c r="D99" s="54" t="s">
        <v>1047</v>
      </c>
      <c r="E99" s="56" t="s">
        <v>905</v>
      </c>
      <c r="F99" s="57" t="s">
        <v>1098</v>
      </c>
    </row>
    <row r="100" spans="1:6" ht="17.45" customHeight="1" x14ac:dyDescent="0.2">
      <c r="A100" s="55" t="s">
        <v>1590</v>
      </c>
      <c r="B100" s="110">
        <v>238603</v>
      </c>
      <c r="C100" s="53">
        <v>8268</v>
      </c>
      <c r="D100" s="54" t="s">
        <v>1105</v>
      </c>
      <c r="E100" s="56" t="s">
        <v>900</v>
      </c>
      <c r="F100" s="57" t="s">
        <v>1591</v>
      </c>
    </row>
    <row r="101" spans="1:6" ht="17.45" customHeight="1" x14ac:dyDescent="0.2">
      <c r="A101" s="55" t="s">
        <v>1593</v>
      </c>
      <c r="B101" s="110">
        <v>238604</v>
      </c>
      <c r="C101" s="53">
        <v>8268</v>
      </c>
      <c r="D101" s="54" t="s">
        <v>1105</v>
      </c>
      <c r="E101" s="56" t="s">
        <v>905</v>
      </c>
      <c r="F101" s="55" t="s">
        <v>1592</v>
      </c>
    </row>
    <row r="102" spans="1:6" ht="17.45" customHeight="1" x14ac:dyDescent="0.2">
      <c r="A102" s="55" t="s">
        <v>1106</v>
      </c>
      <c r="B102" s="110" t="s">
        <v>1107</v>
      </c>
      <c r="C102" s="53">
        <v>8272</v>
      </c>
      <c r="D102" s="54" t="s">
        <v>1108</v>
      </c>
      <c r="E102" s="56" t="s">
        <v>900</v>
      </c>
      <c r="F102" s="57" t="s">
        <v>1109</v>
      </c>
    </row>
    <row r="103" spans="1:6" ht="17.45" customHeight="1" x14ac:dyDescent="0.2">
      <c r="A103" s="55" t="s">
        <v>1110</v>
      </c>
      <c r="B103" s="110" t="s">
        <v>1111</v>
      </c>
      <c r="C103" s="53">
        <v>8272</v>
      </c>
      <c r="D103" s="54" t="s">
        <v>1112</v>
      </c>
      <c r="E103" s="56" t="s">
        <v>900</v>
      </c>
      <c r="F103" s="57" t="s">
        <v>1113</v>
      </c>
    </row>
    <row r="104" spans="1:6" ht="17.45" customHeight="1" x14ac:dyDescent="0.2">
      <c r="A104" s="52" t="s">
        <v>1114</v>
      </c>
      <c r="B104" s="110" t="s">
        <v>1115</v>
      </c>
      <c r="C104" s="57">
        <v>8279</v>
      </c>
      <c r="D104" s="60" t="s">
        <v>1116</v>
      </c>
      <c r="E104" s="56" t="s">
        <v>882</v>
      </c>
      <c r="F104" s="64" t="s">
        <v>888</v>
      </c>
    </row>
    <row r="105" spans="1:6" ht="17.45" customHeight="1" x14ac:dyDescent="0.2">
      <c r="A105" s="55" t="s">
        <v>1117</v>
      </c>
      <c r="B105" s="110" t="s">
        <v>1118</v>
      </c>
      <c r="C105" s="53">
        <v>8272</v>
      </c>
      <c r="D105" s="54" t="s">
        <v>1112</v>
      </c>
      <c r="E105" s="56" t="s">
        <v>900</v>
      </c>
      <c r="F105" s="57" t="s">
        <v>1119</v>
      </c>
    </row>
    <row r="106" spans="1:6" ht="17.45" customHeight="1" x14ac:dyDescent="0.2">
      <c r="A106" s="55" t="s">
        <v>1120</v>
      </c>
      <c r="B106" s="110" t="s">
        <v>1121</v>
      </c>
      <c r="C106" s="53">
        <v>8272</v>
      </c>
      <c r="D106" s="54" t="s">
        <v>1122</v>
      </c>
      <c r="E106" s="56" t="s">
        <v>949</v>
      </c>
      <c r="F106" s="57" t="s">
        <v>1123</v>
      </c>
    </row>
    <row r="107" spans="1:6" ht="17.45" customHeight="1" x14ac:dyDescent="0.2">
      <c r="A107" s="55" t="s">
        <v>1124</v>
      </c>
      <c r="B107" s="110" t="s">
        <v>1125</v>
      </c>
      <c r="C107" s="53">
        <v>8272</v>
      </c>
      <c r="D107" s="54" t="s">
        <v>1126</v>
      </c>
      <c r="E107" s="56" t="s">
        <v>949</v>
      </c>
      <c r="F107" s="57" t="s">
        <v>909</v>
      </c>
    </row>
    <row r="108" spans="1:6" ht="17.45" customHeight="1" x14ac:dyDescent="0.2">
      <c r="A108" s="55" t="s">
        <v>1127</v>
      </c>
      <c r="B108" s="171" t="s">
        <v>1128</v>
      </c>
      <c r="C108" s="53">
        <v>8272</v>
      </c>
      <c r="D108" s="54" t="s">
        <v>1126</v>
      </c>
      <c r="E108" s="56" t="s">
        <v>900</v>
      </c>
      <c r="F108" s="57" t="s">
        <v>1119</v>
      </c>
    </row>
    <row r="109" spans="1:6" ht="17.45" customHeight="1" x14ac:dyDescent="0.2">
      <c r="A109" s="55" t="s">
        <v>1129</v>
      </c>
      <c r="B109" s="171">
        <v>28297</v>
      </c>
      <c r="C109" s="53">
        <v>8272</v>
      </c>
      <c r="D109" s="54" t="s">
        <v>1126</v>
      </c>
      <c r="E109" s="56" t="s">
        <v>949</v>
      </c>
      <c r="F109" s="57" t="s">
        <v>1119</v>
      </c>
    </row>
    <row r="110" spans="1:6" ht="17.45" customHeight="1" x14ac:dyDescent="0.2">
      <c r="A110" s="55" t="s">
        <v>4732</v>
      </c>
      <c r="B110" s="110">
        <v>238606</v>
      </c>
      <c r="C110" s="53">
        <v>8272</v>
      </c>
      <c r="D110" s="54" t="s">
        <v>1126</v>
      </c>
      <c r="E110" s="56" t="s">
        <v>900</v>
      </c>
      <c r="F110" s="57" t="s">
        <v>1327</v>
      </c>
    </row>
    <row r="111" spans="1:6" ht="17.45" customHeight="1" x14ac:dyDescent="0.2">
      <c r="A111" s="150" t="s">
        <v>1130</v>
      </c>
      <c r="B111" s="171" t="s">
        <v>1131</v>
      </c>
      <c r="C111" s="53">
        <v>8272</v>
      </c>
      <c r="D111" s="54" t="s">
        <v>1126</v>
      </c>
      <c r="E111" s="56" t="s">
        <v>882</v>
      </c>
      <c r="F111" s="57" t="s">
        <v>987</v>
      </c>
    </row>
    <row r="112" spans="1:6" ht="17.45" customHeight="1" x14ac:dyDescent="0.2">
      <c r="A112" s="55" t="s">
        <v>1132</v>
      </c>
      <c r="B112" s="110" t="s">
        <v>1133</v>
      </c>
      <c r="C112" s="53">
        <v>8272</v>
      </c>
      <c r="D112" s="54" t="s">
        <v>1126</v>
      </c>
      <c r="E112" s="56" t="s">
        <v>886</v>
      </c>
      <c r="F112" s="57" t="s">
        <v>987</v>
      </c>
    </row>
    <row r="113" spans="1:6" ht="17.45" customHeight="1" x14ac:dyDescent="0.2">
      <c r="A113" s="55" t="s">
        <v>4759</v>
      </c>
      <c r="B113" s="110">
        <v>248606</v>
      </c>
      <c r="C113" s="53" t="s">
        <v>1030</v>
      </c>
      <c r="D113" s="54" t="s">
        <v>1031</v>
      </c>
      <c r="E113" s="56" t="s">
        <v>1072</v>
      </c>
      <c r="F113" s="55" t="s">
        <v>1302</v>
      </c>
    </row>
    <row r="114" spans="1:6" ht="17.45" customHeight="1" x14ac:dyDescent="0.2">
      <c r="A114" s="55" t="s">
        <v>4760</v>
      </c>
      <c r="B114" s="110">
        <v>248607</v>
      </c>
      <c r="C114" s="53" t="s">
        <v>1030</v>
      </c>
      <c r="D114" s="54" t="s">
        <v>1031</v>
      </c>
      <c r="E114" s="56" t="s">
        <v>949</v>
      </c>
      <c r="F114" s="55" t="s">
        <v>1302</v>
      </c>
    </row>
    <row r="115" spans="1:6" ht="17.45" customHeight="1" x14ac:dyDescent="0.2">
      <c r="A115" s="63" t="s">
        <v>4725</v>
      </c>
      <c r="B115" s="110">
        <v>198608</v>
      </c>
      <c r="C115" s="61" t="s">
        <v>1030</v>
      </c>
      <c r="D115" s="63" t="s">
        <v>1031</v>
      </c>
      <c r="E115" s="56" t="s">
        <v>900</v>
      </c>
      <c r="F115" s="64" t="s">
        <v>1396</v>
      </c>
    </row>
    <row r="116" spans="1:6" ht="17.45" customHeight="1" x14ac:dyDescent="0.2">
      <c r="A116" s="52" t="s">
        <v>4726</v>
      </c>
      <c r="B116" s="110">
        <v>208668</v>
      </c>
      <c r="C116" s="57" t="s">
        <v>1030</v>
      </c>
      <c r="D116" s="60" t="s">
        <v>1031</v>
      </c>
      <c r="E116" s="56" t="s">
        <v>900</v>
      </c>
      <c r="F116" s="64" t="s">
        <v>1327</v>
      </c>
    </row>
    <row r="117" spans="1:6" ht="17.45" customHeight="1" x14ac:dyDescent="0.2">
      <c r="A117" s="52" t="s">
        <v>4724</v>
      </c>
      <c r="B117" s="110">
        <v>198609</v>
      </c>
      <c r="C117" s="57" t="s">
        <v>1030</v>
      </c>
      <c r="D117" s="60" t="s">
        <v>1031</v>
      </c>
      <c r="E117" s="56" t="s">
        <v>900</v>
      </c>
      <c r="F117" s="64" t="s">
        <v>1005</v>
      </c>
    </row>
    <row r="118" spans="1:6" ht="17.45" customHeight="1" x14ac:dyDescent="0.2">
      <c r="A118" s="52" t="s">
        <v>4736</v>
      </c>
      <c r="B118" s="110">
        <v>208672</v>
      </c>
      <c r="C118" s="57" t="s">
        <v>1030</v>
      </c>
      <c r="D118" s="60" t="s">
        <v>1031</v>
      </c>
      <c r="E118" s="56" t="s">
        <v>949</v>
      </c>
      <c r="F118" s="64" t="s">
        <v>1352</v>
      </c>
    </row>
    <row r="119" spans="1:6" ht="17.45" customHeight="1" x14ac:dyDescent="0.2">
      <c r="A119" s="55" t="s">
        <v>1251</v>
      </c>
      <c r="B119" s="110">
        <v>228602</v>
      </c>
      <c r="C119" s="53">
        <v>8265</v>
      </c>
      <c r="D119" s="54" t="s">
        <v>1136</v>
      </c>
      <c r="E119" s="56" t="s">
        <v>900</v>
      </c>
      <c r="F119" s="57" t="s">
        <v>1252</v>
      </c>
    </row>
    <row r="120" spans="1:6" ht="17.45" customHeight="1" x14ac:dyDescent="0.2">
      <c r="A120" s="55" t="s">
        <v>1134</v>
      </c>
      <c r="B120" s="110" t="s">
        <v>1135</v>
      </c>
      <c r="C120" s="53">
        <v>8265</v>
      </c>
      <c r="D120" s="54" t="s">
        <v>1136</v>
      </c>
      <c r="E120" s="56" t="s">
        <v>254</v>
      </c>
      <c r="F120" s="57" t="s">
        <v>1137</v>
      </c>
    </row>
    <row r="121" spans="1:6" ht="17.45" customHeight="1" x14ac:dyDescent="0.2">
      <c r="A121" s="55" t="s">
        <v>1138</v>
      </c>
      <c r="B121" s="110" t="s">
        <v>1139</v>
      </c>
      <c r="C121" s="53">
        <v>8265</v>
      </c>
      <c r="D121" s="54" t="s">
        <v>1136</v>
      </c>
      <c r="E121" s="56" t="s">
        <v>254</v>
      </c>
      <c r="F121" s="57" t="s">
        <v>1140</v>
      </c>
    </row>
    <row r="122" spans="1:6" ht="17.45" customHeight="1" x14ac:dyDescent="0.2">
      <c r="A122" s="55" t="s">
        <v>1141</v>
      </c>
      <c r="B122" s="110" t="s">
        <v>1142</v>
      </c>
      <c r="C122" s="53">
        <v>8265</v>
      </c>
      <c r="D122" s="54" t="s">
        <v>1136</v>
      </c>
      <c r="E122" s="56" t="s">
        <v>254</v>
      </c>
      <c r="F122" s="57" t="s">
        <v>1143</v>
      </c>
    </row>
    <row r="123" spans="1:6" ht="17.45" customHeight="1" x14ac:dyDescent="0.2">
      <c r="A123" s="55" t="s">
        <v>1144</v>
      </c>
      <c r="B123" s="110" t="s">
        <v>1145</v>
      </c>
      <c r="C123" s="53">
        <v>8265</v>
      </c>
      <c r="D123" s="54" t="s">
        <v>1136</v>
      </c>
      <c r="E123" s="56" t="s">
        <v>254</v>
      </c>
      <c r="F123" s="57" t="s">
        <v>1140</v>
      </c>
    </row>
    <row r="124" spans="1:6" ht="17.45" customHeight="1" x14ac:dyDescent="0.2">
      <c r="A124" s="55" t="s">
        <v>1146</v>
      </c>
      <c r="B124" s="110" t="s">
        <v>1147</v>
      </c>
      <c r="C124" s="53">
        <v>8265</v>
      </c>
      <c r="D124" s="54" t="s">
        <v>1136</v>
      </c>
      <c r="E124" s="56" t="s">
        <v>254</v>
      </c>
      <c r="F124" s="57" t="s">
        <v>1137</v>
      </c>
    </row>
    <row r="125" spans="1:6" ht="17.45" customHeight="1" x14ac:dyDescent="0.2">
      <c r="A125" s="55" t="s">
        <v>4713</v>
      </c>
      <c r="B125" s="110">
        <v>248604</v>
      </c>
      <c r="C125" s="53">
        <v>8265</v>
      </c>
      <c r="D125" s="54" t="s">
        <v>1614</v>
      </c>
      <c r="E125" s="56" t="s">
        <v>900</v>
      </c>
      <c r="F125" s="57" t="s">
        <v>1352</v>
      </c>
    </row>
    <row r="126" spans="1:6" ht="17.45" customHeight="1" x14ac:dyDescent="0.2">
      <c r="A126" s="57" t="s">
        <v>1148</v>
      </c>
      <c r="B126" s="110" t="s">
        <v>1149</v>
      </c>
      <c r="C126" s="53">
        <v>8265</v>
      </c>
      <c r="D126" s="54" t="s">
        <v>1136</v>
      </c>
      <c r="E126" s="56" t="s">
        <v>900</v>
      </c>
      <c r="F126" s="57" t="s">
        <v>1150</v>
      </c>
    </row>
    <row r="127" spans="1:6" ht="17.45" customHeight="1" x14ac:dyDescent="0.2">
      <c r="A127" s="55" t="s">
        <v>1151</v>
      </c>
      <c r="B127" s="110" t="s">
        <v>1152</v>
      </c>
      <c r="C127" s="53">
        <v>8265</v>
      </c>
      <c r="D127" s="54" t="s">
        <v>1136</v>
      </c>
      <c r="E127" s="56" t="s">
        <v>905</v>
      </c>
      <c r="F127" s="57" t="s">
        <v>1067</v>
      </c>
    </row>
    <row r="128" spans="1:6" ht="17.45" customHeight="1" x14ac:dyDescent="0.2">
      <c r="A128" s="61" t="s">
        <v>1153</v>
      </c>
      <c r="B128" s="110" t="s">
        <v>1154</v>
      </c>
      <c r="C128" s="53">
        <v>8265</v>
      </c>
      <c r="D128" s="54" t="s">
        <v>1136</v>
      </c>
      <c r="E128" s="56" t="s">
        <v>900</v>
      </c>
      <c r="F128" s="57" t="s">
        <v>1155</v>
      </c>
    </row>
    <row r="129" spans="1:13" ht="17.45" customHeight="1" x14ac:dyDescent="0.2">
      <c r="A129" s="55" t="s">
        <v>1156</v>
      </c>
      <c r="B129" s="110" t="s">
        <v>1157</v>
      </c>
      <c r="C129" s="53">
        <v>8265</v>
      </c>
      <c r="D129" s="54" t="s">
        <v>1136</v>
      </c>
      <c r="E129" s="56" t="s">
        <v>905</v>
      </c>
      <c r="F129" s="57" t="s">
        <v>1158</v>
      </c>
    </row>
    <row r="130" spans="1:13" ht="17.45" customHeight="1" x14ac:dyDescent="0.2">
      <c r="A130" s="55" t="s">
        <v>1159</v>
      </c>
      <c r="B130" s="110" t="s">
        <v>1160</v>
      </c>
      <c r="C130" s="53">
        <v>8265</v>
      </c>
      <c r="D130" s="54" t="s">
        <v>1136</v>
      </c>
      <c r="E130" s="56" t="s">
        <v>905</v>
      </c>
      <c r="F130" s="57" t="s">
        <v>1073</v>
      </c>
    </row>
    <row r="131" spans="1:13" ht="17.45" customHeight="1" x14ac:dyDescent="0.2">
      <c r="A131" s="55" t="s">
        <v>1161</v>
      </c>
      <c r="B131" s="110" t="s">
        <v>1162</v>
      </c>
      <c r="C131" s="53">
        <v>8265</v>
      </c>
      <c r="D131" s="54" t="s">
        <v>1136</v>
      </c>
      <c r="E131" s="56" t="s">
        <v>900</v>
      </c>
      <c r="F131" s="57" t="s">
        <v>1163</v>
      </c>
    </row>
    <row r="132" spans="1:13" ht="17.45" customHeight="1" x14ac:dyDescent="0.2">
      <c r="A132" s="55" t="s">
        <v>1164</v>
      </c>
      <c r="B132" s="110" t="s">
        <v>1165</v>
      </c>
      <c r="C132" s="53">
        <v>8265</v>
      </c>
      <c r="D132" s="54" t="s">
        <v>1136</v>
      </c>
      <c r="E132" s="56" t="s">
        <v>905</v>
      </c>
      <c r="F132" s="57" t="s">
        <v>1166</v>
      </c>
    </row>
    <row r="133" spans="1:13" ht="17.45" customHeight="1" x14ac:dyDescent="0.2">
      <c r="A133" s="55" t="s">
        <v>1167</v>
      </c>
      <c r="B133" s="110" t="s">
        <v>1168</v>
      </c>
      <c r="C133" s="53">
        <v>8265</v>
      </c>
      <c r="D133" s="54" t="s">
        <v>1136</v>
      </c>
      <c r="E133" s="56" t="s">
        <v>900</v>
      </c>
      <c r="F133" s="57" t="s">
        <v>1169</v>
      </c>
    </row>
    <row r="134" spans="1:13" ht="17.45" customHeight="1" x14ac:dyDescent="0.2">
      <c r="A134" s="55" t="s">
        <v>1170</v>
      </c>
      <c r="B134" s="110" t="s">
        <v>1171</v>
      </c>
      <c r="C134" s="53">
        <v>8265</v>
      </c>
      <c r="D134" s="54" t="s">
        <v>1136</v>
      </c>
      <c r="E134" s="56" t="s">
        <v>905</v>
      </c>
      <c r="F134" s="57" t="s">
        <v>1172</v>
      </c>
      <c r="H134" s="128"/>
    </row>
    <row r="135" spans="1:13" ht="17.45" customHeight="1" x14ac:dyDescent="0.2">
      <c r="A135" s="55" t="s">
        <v>1173</v>
      </c>
      <c r="B135" s="110" t="s">
        <v>1174</v>
      </c>
      <c r="C135" s="53">
        <v>8265</v>
      </c>
      <c r="D135" s="54" t="s">
        <v>1136</v>
      </c>
      <c r="E135" s="56" t="s">
        <v>905</v>
      </c>
      <c r="F135" s="57" t="s">
        <v>1175</v>
      </c>
      <c r="H135" s="55"/>
      <c r="I135" s="110"/>
      <c r="J135" s="53"/>
      <c r="K135" s="54"/>
      <c r="L135" s="56"/>
      <c r="M135" s="57"/>
    </row>
    <row r="136" spans="1:13" ht="17.45" customHeight="1" x14ac:dyDescent="0.2">
      <c r="A136" s="55" t="s">
        <v>1176</v>
      </c>
      <c r="B136" s="110" t="s">
        <v>1177</v>
      </c>
      <c r="C136" s="53">
        <v>8265</v>
      </c>
      <c r="D136" s="54" t="s">
        <v>1136</v>
      </c>
      <c r="E136" s="56" t="s">
        <v>905</v>
      </c>
      <c r="F136" s="57" t="s">
        <v>1178</v>
      </c>
      <c r="H136" s="55"/>
      <c r="I136" s="110"/>
      <c r="J136" s="53"/>
      <c r="K136" s="54"/>
      <c r="L136" s="56"/>
      <c r="M136" s="57"/>
    </row>
    <row r="137" spans="1:13" ht="17.45" customHeight="1" x14ac:dyDescent="0.2">
      <c r="A137" s="55" t="s">
        <v>1179</v>
      </c>
      <c r="B137" s="110">
        <v>228610</v>
      </c>
      <c r="C137" s="53">
        <v>8265</v>
      </c>
      <c r="D137" s="54" t="s">
        <v>1136</v>
      </c>
      <c r="E137" s="56" t="s">
        <v>900</v>
      </c>
      <c r="F137" s="55" t="s">
        <v>4727</v>
      </c>
    </row>
    <row r="138" spans="1:13" ht="17.45" customHeight="1" x14ac:dyDescent="0.2">
      <c r="A138" s="55" t="s">
        <v>1181</v>
      </c>
      <c r="B138" s="110" t="s">
        <v>1182</v>
      </c>
      <c r="C138" s="53">
        <v>8265</v>
      </c>
      <c r="D138" s="54" t="s">
        <v>1136</v>
      </c>
      <c r="E138" s="56" t="s">
        <v>905</v>
      </c>
      <c r="F138" s="55" t="s">
        <v>1183</v>
      </c>
    </row>
    <row r="139" spans="1:13" ht="17.45" customHeight="1" x14ac:dyDescent="0.2">
      <c r="A139" s="55" t="s">
        <v>1184</v>
      </c>
      <c r="B139" s="110">
        <v>228606</v>
      </c>
      <c r="C139" s="53">
        <v>8265</v>
      </c>
      <c r="D139" s="54" t="s">
        <v>1136</v>
      </c>
      <c r="E139" s="56" t="s">
        <v>900</v>
      </c>
      <c r="F139" s="55" t="s">
        <v>1150</v>
      </c>
    </row>
    <row r="140" spans="1:13" ht="17.45" customHeight="1" x14ac:dyDescent="0.2">
      <c r="A140" s="55" t="s">
        <v>1185</v>
      </c>
      <c r="B140" s="110">
        <v>228607</v>
      </c>
      <c r="C140" s="53">
        <v>8265</v>
      </c>
      <c r="D140" s="54" t="s">
        <v>1136</v>
      </c>
      <c r="E140" s="56" t="s">
        <v>905</v>
      </c>
      <c r="F140" s="55" t="s">
        <v>1186</v>
      </c>
      <c r="H140" s="111"/>
    </row>
    <row r="141" spans="1:13" ht="17.45" customHeight="1" x14ac:dyDescent="0.2">
      <c r="A141" s="55" t="s">
        <v>4728</v>
      </c>
      <c r="B141" s="110">
        <v>248602</v>
      </c>
      <c r="C141" s="53">
        <v>8265</v>
      </c>
      <c r="D141" s="54" t="s">
        <v>1136</v>
      </c>
      <c r="E141" s="56" t="s">
        <v>900</v>
      </c>
      <c r="F141" s="55" t="s">
        <v>1005</v>
      </c>
      <c r="H141" s="111"/>
    </row>
    <row r="142" spans="1:13" ht="17.45" customHeight="1" x14ac:dyDescent="0.2">
      <c r="A142" s="55" t="s">
        <v>4750</v>
      </c>
      <c r="B142" s="110">
        <v>248603</v>
      </c>
      <c r="C142" s="53">
        <v>8265</v>
      </c>
      <c r="D142" s="54" t="s">
        <v>1136</v>
      </c>
      <c r="E142" s="56" t="s">
        <v>905</v>
      </c>
      <c r="F142" s="55" t="s">
        <v>4751</v>
      </c>
      <c r="H142" s="52"/>
      <c r="I142" s="110"/>
      <c r="J142" s="52"/>
      <c r="K142" s="60"/>
      <c r="L142" s="56"/>
      <c r="M142" s="64"/>
    </row>
    <row r="143" spans="1:13" ht="17.45" customHeight="1" x14ac:dyDescent="0.2">
      <c r="A143" s="55" t="s">
        <v>1187</v>
      </c>
      <c r="B143" s="110" t="s">
        <v>1188</v>
      </c>
      <c r="C143" s="53">
        <v>8265</v>
      </c>
      <c r="D143" s="54" t="s">
        <v>1136</v>
      </c>
      <c r="E143" s="56" t="s">
        <v>882</v>
      </c>
      <c r="F143" s="57" t="s">
        <v>1189</v>
      </c>
      <c r="H143" s="52"/>
      <c r="I143" s="110"/>
      <c r="J143" s="52"/>
      <c r="K143" s="60"/>
      <c r="L143" s="56"/>
      <c r="M143" s="64"/>
    </row>
    <row r="144" spans="1:13" ht="17.45" customHeight="1" x14ac:dyDescent="0.2">
      <c r="A144" s="55" t="s">
        <v>1190</v>
      </c>
      <c r="B144" s="110" t="s">
        <v>1191</v>
      </c>
      <c r="C144" s="53">
        <v>8265</v>
      </c>
      <c r="D144" s="54" t="s">
        <v>1136</v>
      </c>
      <c r="E144" s="56" t="s">
        <v>900</v>
      </c>
      <c r="F144" s="57" t="s">
        <v>1192</v>
      </c>
      <c r="H144" s="52"/>
      <c r="I144" s="110"/>
      <c r="J144" s="52"/>
      <c r="K144" s="60"/>
      <c r="L144" s="56"/>
      <c r="M144" s="64"/>
    </row>
    <row r="145" spans="1:13" ht="17.45" customHeight="1" x14ac:dyDescent="0.2">
      <c r="A145" s="55" t="s">
        <v>1193</v>
      </c>
      <c r="B145" s="110" t="s">
        <v>1194</v>
      </c>
      <c r="C145" s="53">
        <v>8265</v>
      </c>
      <c r="D145" s="54" t="s">
        <v>1136</v>
      </c>
      <c r="E145" s="56" t="s">
        <v>882</v>
      </c>
      <c r="F145" s="57" t="s">
        <v>1192</v>
      </c>
      <c r="H145" s="52"/>
      <c r="I145" s="110"/>
      <c r="J145" s="52"/>
      <c r="K145" s="60"/>
      <c r="L145" s="56"/>
      <c r="M145" s="64"/>
    </row>
    <row r="146" spans="1:13" ht="17.45" customHeight="1" x14ac:dyDescent="0.2">
      <c r="A146" s="55" t="s">
        <v>1195</v>
      </c>
      <c r="B146" s="110" t="s">
        <v>1196</v>
      </c>
      <c r="C146" s="53">
        <v>8265</v>
      </c>
      <c r="D146" s="54" t="s">
        <v>1136</v>
      </c>
      <c r="E146" s="56" t="s">
        <v>886</v>
      </c>
      <c r="F146" s="57" t="s">
        <v>1192</v>
      </c>
      <c r="H146" s="52"/>
      <c r="I146" s="110"/>
      <c r="J146" s="52"/>
      <c r="K146" s="60"/>
      <c r="L146" s="56"/>
      <c r="M146" s="64"/>
    </row>
    <row r="147" spans="1:13" ht="17.45" customHeight="1" x14ac:dyDescent="0.2">
      <c r="A147" s="55" t="s">
        <v>1197</v>
      </c>
      <c r="B147" s="110" t="s">
        <v>1198</v>
      </c>
      <c r="C147" s="53">
        <v>8265</v>
      </c>
      <c r="D147" s="54" t="s">
        <v>1136</v>
      </c>
      <c r="E147" s="56" t="s">
        <v>900</v>
      </c>
      <c r="F147" s="57" t="s">
        <v>1119</v>
      </c>
      <c r="H147" s="52"/>
      <c r="I147" s="110"/>
      <c r="J147" s="52"/>
      <c r="K147" s="60"/>
      <c r="L147" s="56"/>
      <c r="M147" s="64"/>
    </row>
    <row r="148" spans="1:13" ht="17.45" customHeight="1" x14ac:dyDescent="0.2">
      <c r="A148" s="55" t="s">
        <v>1199</v>
      </c>
      <c r="B148" s="110" t="s">
        <v>1200</v>
      </c>
      <c r="C148" s="53">
        <v>8265</v>
      </c>
      <c r="D148" s="54" t="s">
        <v>1136</v>
      </c>
      <c r="E148" s="56" t="s">
        <v>905</v>
      </c>
      <c r="F148" s="55" t="s">
        <v>913</v>
      </c>
      <c r="H148" s="52"/>
      <c r="I148" s="110"/>
      <c r="J148" s="52"/>
      <c r="K148" s="60"/>
      <c r="L148" s="56"/>
      <c r="M148" s="64"/>
    </row>
    <row r="149" spans="1:13" ht="17.45" customHeight="1" x14ac:dyDescent="0.2">
      <c r="A149" s="55" t="s">
        <v>1202</v>
      </c>
      <c r="B149" s="110" t="s">
        <v>1203</v>
      </c>
      <c r="C149" s="53">
        <v>8265</v>
      </c>
      <c r="D149" s="54" t="s">
        <v>1136</v>
      </c>
      <c r="E149" s="56" t="s">
        <v>900</v>
      </c>
      <c r="F149" s="57" t="s">
        <v>1119</v>
      </c>
    </row>
    <row r="150" spans="1:13" ht="17.45" customHeight="1" x14ac:dyDescent="0.2">
      <c r="A150" s="55" t="s">
        <v>1204</v>
      </c>
      <c r="B150" s="110" t="s">
        <v>1205</v>
      </c>
      <c r="C150" s="53">
        <v>8265</v>
      </c>
      <c r="D150" s="54" t="s">
        <v>1136</v>
      </c>
      <c r="E150" s="56" t="s">
        <v>905</v>
      </c>
      <c r="F150" s="57" t="s">
        <v>1201</v>
      </c>
    </row>
    <row r="151" spans="1:13" ht="17.45" customHeight="1" x14ac:dyDescent="0.2">
      <c r="A151" s="55" t="s">
        <v>1206</v>
      </c>
      <c r="B151" s="110" t="s">
        <v>1207</v>
      </c>
      <c r="C151" s="53">
        <v>8265</v>
      </c>
      <c r="D151" s="54" t="s">
        <v>1136</v>
      </c>
      <c r="E151" s="56" t="s">
        <v>900</v>
      </c>
      <c r="F151" s="57" t="s">
        <v>925</v>
      </c>
    </row>
    <row r="152" spans="1:13" ht="17.45" customHeight="1" x14ac:dyDescent="0.2">
      <c r="A152" s="55" t="s">
        <v>1208</v>
      </c>
      <c r="B152" s="110" t="s">
        <v>1209</v>
      </c>
      <c r="C152" s="53">
        <v>8265</v>
      </c>
      <c r="D152" s="54" t="s">
        <v>1136</v>
      </c>
      <c r="E152" s="56" t="s">
        <v>905</v>
      </c>
      <c r="F152" s="57" t="s">
        <v>1210</v>
      </c>
    </row>
    <row r="153" spans="1:13" ht="17.45" customHeight="1" x14ac:dyDescent="0.2">
      <c r="A153" s="55" t="s">
        <v>1211</v>
      </c>
      <c r="B153" s="110" t="s">
        <v>1212</v>
      </c>
      <c r="C153" s="53">
        <v>8265</v>
      </c>
      <c r="D153" s="54" t="s">
        <v>1136</v>
      </c>
      <c r="E153" s="56" t="s">
        <v>900</v>
      </c>
      <c r="F153" s="57" t="s">
        <v>1213</v>
      </c>
    </row>
    <row r="154" spans="1:13" ht="17.45" customHeight="1" x14ac:dyDescent="0.2">
      <c r="A154" s="55" t="s">
        <v>1214</v>
      </c>
      <c r="B154" s="110" t="s">
        <v>1215</v>
      </c>
      <c r="C154" s="53">
        <v>8265</v>
      </c>
      <c r="D154" s="54" t="s">
        <v>1136</v>
      </c>
      <c r="E154" s="56" t="s">
        <v>900</v>
      </c>
      <c r="F154" s="57" t="s">
        <v>1216</v>
      </c>
    </row>
    <row r="155" spans="1:13" ht="17.45" customHeight="1" x14ac:dyDescent="0.2">
      <c r="A155" s="55" t="s">
        <v>1217</v>
      </c>
      <c r="B155" s="110" t="s">
        <v>1218</v>
      </c>
      <c r="C155" s="53">
        <v>8265</v>
      </c>
      <c r="D155" s="54" t="s">
        <v>1136</v>
      </c>
      <c r="E155" s="56" t="s">
        <v>905</v>
      </c>
      <c r="F155" s="57" t="s">
        <v>991</v>
      </c>
    </row>
    <row r="156" spans="1:13" ht="17.45" customHeight="1" x14ac:dyDescent="0.2">
      <c r="A156" s="52" t="s">
        <v>1219</v>
      </c>
      <c r="B156" s="110" t="s">
        <v>1220</v>
      </c>
      <c r="C156" s="62">
        <v>8265</v>
      </c>
      <c r="D156" s="54" t="s">
        <v>1136</v>
      </c>
      <c r="E156" s="56" t="s">
        <v>900</v>
      </c>
      <c r="F156" s="55" t="s">
        <v>1180</v>
      </c>
    </row>
    <row r="157" spans="1:13" ht="17.45" customHeight="1" x14ac:dyDescent="0.2">
      <c r="A157" s="55" t="s">
        <v>1223</v>
      </c>
      <c r="B157" s="110" t="s">
        <v>1224</v>
      </c>
      <c r="C157" s="53">
        <v>8265</v>
      </c>
      <c r="D157" s="54" t="s">
        <v>1136</v>
      </c>
      <c r="E157" s="56" t="s">
        <v>1072</v>
      </c>
      <c r="F157" s="57" t="s">
        <v>1169</v>
      </c>
    </row>
    <row r="158" spans="1:13" ht="17.45" customHeight="1" x14ac:dyDescent="0.2">
      <c r="A158" s="55" t="s">
        <v>1221</v>
      </c>
      <c r="B158" s="110" t="s">
        <v>1222</v>
      </c>
      <c r="C158" s="53">
        <v>8265</v>
      </c>
      <c r="D158" s="54" t="s">
        <v>1136</v>
      </c>
      <c r="E158" s="56" t="s">
        <v>949</v>
      </c>
      <c r="F158" s="57" t="s">
        <v>1073</v>
      </c>
    </row>
    <row r="159" spans="1:13" ht="17.45" customHeight="1" x14ac:dyDescent="0.2">
      <c r="A159" s="55" t="s">
        <v>1225</v>
      </c>
      <c r="B159" s="110" t="s">
        <v>1226</v>
      </c>
      <c r="C159" s="53">
        <v>8265</v>
      </c>
      <c r="D159" s="54" t="s">
        <v>1136</v>
      </c>
      <c r="E159" s="56" t="s">
        <v>900</v>
      </c>
      <c r="F159" s="57" t="s">
        <v>1227</v>
      </c>
    </row>
    <row r="160" spans="1:13" ht="17.45" customHeight="1" x14ac:dyDescent="0.2">
      <c r="A160" s="55" t="s">
        <v>1228</v>
      </c>
      <c r="B160" s="110" t="s">
        <v>1229</v>
      </c>
      <c r="C160" s="53">
        <v>8265</v>
      </c>
      <c r="D160" s="54" t="s">
        <v>1136</v>
      </c>
      <c r="E160" s="56" t="s">
        <v>1072</v>
      </c>
      <c r="F160" s="57" t="s">
        <v>1230</v>
      </c>
    </row>
    <row r="161" spans="1:6" ht="17.45" customHeight="1" x14ac:dyDescent="0.2">
      <c r="A161" s="55" t="s">
        <v>1231</v>
      </c>
      <c r="B161" s="110" t="s">
        <v>1232</v>
      </c>
      <c r="C161" s="53">
        <v>8265</v>
      </c>
      <c r="D161" s="54" t="s">
        <v>1136</v>
      </c>
      <c r="E161" s="56" t="s">
        <v>949</v>
      </c>
      <c r="F161" s="57" t="s">
        <v>1230</v>
      </c>
    </row>
    <row r="162" spans="1:6" ht="17.45" customHeight="1" x14ac:dyDescent="0.2">
      <c r="A162" s="55" t="s">
        <v>1233</v>
      </c>
      <c r="B162" s="110" t="s">
        <v>1234</v>
      </c>
      <c r="C162" s="53">
        <v>8265</v>
      </c>
      <c r="D162" s="54" t="s">
        <v>1136</v>
      </c>
      <c r="E162" s="56" t="s">
        <v>900</v>
      </c>
      <c r="F162" s="57" t="s">
        <v>1119</v>
      </c>
    </row>
    <row r="163" spans="1:6" ht="17.45" customHeight="1" x14ac:dyDescent="0.2">
      <c r="A163" s="55" t="s">
        <v>1235</v>
      </c>
      <c r="B163" s="110" t="s">
        <v>1236</v>
      </c>
      <c r="C163" s="53">
        <v>8265</v>
      </c>
      <c r="D163" s="54" t="s">
        <v>1136</v>
      </c>
      <c r="E163" s="56" t="s">
        <v>949</v>
      </c>
      <c r="F163" s="57" t="s">
        <v>1237</v>
      </c>
    </row>
    <row r="164" spans="1:6" ht="17.45" customHeight="1" x14ac:dyDescent="0.2">
      <c r="A164" s="55" t="s">
        <v>1238</v>
      </c>
      <c r="B164" s="110" t="s">
        <v>1239</v>
      </c>
      <c r="C164" s="53">
        <v>8265</v>
      </c>
      <c r="D164" s="54" t="s">
        <v>1136</v>
      </c>
      <c r="E164" s="56" t="s">
        <v>1072</v>
      </c>
      <c r="F164" s="57" t="s">
        <v>1230</v>
      </c>
    </row>
    <row r="165" spans="1:6" ht="17.45" customHeight="1" x14ac:dyDescent="0.2">
      <c r="A165" s="55" t="s">
        <v>1240</v>
      </c>
      <c r="B165" s="110" t="s">
        <v>1241</v>
      </c>
      <c r="C165" s="55" t="s">
        <v>1242</v>
      </c>
      <c r="D165" s="54" t="s">
        <v>1136</v>
      </c>
      <c r="E165" s="56" t="s">
        <v>900</v>
      </c>
      <c r="F165" s="57" t="s">
        <v>1243</v>
      </c>
    </row>
    <row r="166" spans="1:6" ht="17.45" customHeight="1" x14ac:dyDescent="0.2">
      <c r="A166" s="55" t="s">
        <v>1244</v>
      </c>
      <c r="B166" s="110" t="s">
        <v>1245</v>
      </c>
      <c r="C166" s="53">
        <v>8265</v>
      </c>
      <c r="D166" s="54" t="s">
        <v>1136</v>
      </c>
      <c r="E166" s="56" t="s">
        <v>1072</v>
      </c>
      <c r="F166" s="57" t="s">
        <v>1092</v>
      </c>
    </row>
    <row r="167" spans="1:6" ht="17.45" customHeight="1" x14ac:dyDescent="0.2">
      <c r="A167" s="55" t="s">
        <v>1246</v>
      </c>
      <c r="B167" s="110" t="s">
        <v>1247</v>
      </c>
      <c r="C167" s="53">
        <v>8265</v>
      </c>
      <c r="D167" s="54" t="s">
        <v>1136</v>
      </c>
      <c r="E167" s="56" t="s">
        <v>949</v>
      </c>
      <c r="F167" s="57" t="s">
        <v>1092</v>
      </c>
    </row>
    <row r="168" spans="1:6" ht="17.45" customHeight="1" x14ac:dyDescent="0.2">
      <c r="A168" s="55" t="s">
        <v>1248</v>
      </c>
      <c r="B168" s="110" t="s">
        <v>1249</v>
      </c>
      <c r="C168" s="53">
        <v>8265</v>
      </c>
      <c r="D168" s="54" t="s">
        <v>1136</v>
      </c>
      <c r="E168" s="56" t="s">
        <v>905</v>
      </c>
      <c r="F168" s="57" t="s">
        <v>1250</v>
      </c>
    </row>
    <row r="169" spans="1:6" ht="17.45" customHeight="1" x14ac:dyDescent="0.2">
      <c r="A169" s="55" t="s">
        <v>1253</v>
      </c>
      <c r="B169" s="110" t="s">
        <v>1254</v>
      </c>
      <c r="C169" s="53">
        <v>8265</v>
      </c>
      <c r="D169" s="54" t="s">
        <v>1136</v>
      </c>
      <c r="E169" s="56" t="s">
        <v>882</v>
      </c>
      <c r="F169" s="57" t="s">
        <v>1255</v>
      </c>
    </row>
    <row r="170" spans="1:6" ht="17.45" customHeight="1" x14ac:dyDescent="0.2">
      <c r="A170" s="55" t="s">
        <v>1256</v>
      </c>
      <c r="B170" s="110" t="s">
        <v>1257</v>
      </c>
      <c r="C170" s="53">
        <v>8265</v>
      </c>
      <c r="D170" s="54" t="s">
        <v>1136</v>
      </c>
      <c r="E170" s="56" t="s">
        <v>1072</v>
      </c>
      <c r="F170" s="57" t="s">
        <v>1169</v>
      </c>
    </row>
    <row r="171" spans="1:6" ht="17.45" customHeight="1" x14ac:dyDescent="0.2">
      <c r="A171" s="52" t="s">
        <v>1258</v>
      </c>
      <c r="B171" s="110" t="s">
        <v>1259</v>
      </c>
      <c r="C171" s="57">
        <v>8265</v>
      </c>
      <c r="D171" s="54" t="s">
        <v>1136</v>
      </c>
      <c r="E171" s="56" t="s">
        <v>949</v>
      </c>
      <c r="F171" s="64" t="s">
        <v>1260</v>
      </c>
    </row>
    <row r="172" spans="1:6" ht="17.45" customHeight="1" x14ac:dyDescent="0.2">
      <c r="A172" s="62" t="s">
        <v>1261</v>
      </c>
      <c r="B172" s="171" t="s">
        <v>1262</v>
      </c>
      <c r="C172" s="57">
        <v>8265</v>
      </c>
      <c r="D172" s="54" t="s">
        <v>1136</v>
      </c>
      <c r="E172" s="56" t="s">
        <v>1072</v>
      </c>
      <c r="F172" s="64" t="s">
        <v>4733</v>
      </c>
    </row>
    <row r="173" spans="1:6" ht="17.45" customHeight="1" x14ac:dyDescent="0.2">
      <c r="A173" s="62" t="s">
        <v>1263</v>
      </c>
      <c r="B173" s="171" t="s">
        <v>1264</v>
      </c>
      <c r="C173" s="57">
        <v>8265</v>
      </c>
      <c r="D173" s="54" t="s">
        <v>1136</v>
      </c>
      <c r="E173" s="56" t="s">
        <v>949</v>
      </c>
      <c r="F173" s="64" t="s">
        <v>4733</v>
      </c>
    </row>
    <row r="174" spans="1:6" ht="17.45" customHeight="1" x14ac:dyDescent="0.2">
      <c r="A174" s="55" t="s">
        <v>1265</v>
      </c>
      <c r="B174" s="110" t="s">
        <v>1266</v>
      </c>
      <c r="C174" s="53">
        <v>8265</v>
      </c>
      <c r="D174" s="54" t="s">
        <v>1136</v>
      </c>
      <c r="E174" s="56" t="s">
        <v>882</v>
      </c>
      <c r="F174" s="57" t="s">
        <v>1267</v>
      </c>
    </row>
    <row r="175" spans="1:6" ht="17.45" customHeight="1" x14ac:dyDescent="0.2">
      <c r="A175" s="55" t="s">
        <v>1268</v>
      </c>
      <c r="B175" s="110" t="s">
        <v>1269</v>
      </c>
      <c r="C175" s="53">
        <v>8265</v>
      </c>
      <c r="D175" s="54" t="s">
        <v>1136</v>
      </c>
      <c r="E175" s="56" t="s">
        <v>886</v>
      </c>
      <c r="F175" s="57" t="s">
        <v>1267</v>
      </c>
    </row>
    <row r="176" spans="1:6" ht="17.45" customHeight="1" x14ac:dyDescent="0.2">
      <c r="A176" s="55" t="s">
        <v>1270</v>
      </c>
      <c r="B176" s="110" t="s">
        <v>1271</v>
      </c>
      <c r="C176" s="53">
        <v>8265</v>
      </c>
      <c r="D176" s="54" t="s">
        <v>1136</v>
      </c>
      <c r="E176" s="56" t="s">
        <v>1072</v>
      </c>
      <c r="F176" s="57" t="s">
        <v>1272</v>
      </c>
    </row>
    <row r="177" spans="1:6" ht="17.45" customHeight="1" x14ac:dyDescent="0.2">
      <c r="A177" s="55" t="s">
        <v>1273</v>
      </c>
      <c r="B177" s="110" t="s">
        <v>1274</v>
      </c>
      <c r="C177" s="53">
        <v>8265</v>
      </c>
      <c r="D177" s="54" t="s">
        <v>1136</v>
      </c>
      <c r="E177" s="56" t="s">
        <v>949</v>
      </c>
      <c r="F177" s="57" t="s">
        <v>1272</v>
      </c>
    </row>
    <row r="178" spans="1:6" ht="17.45" customHeight="1" x14ac:dyDescent="0.2">
      <c r="A178" s="55" t="s">
        <v>1275</v>
      </c>
      <c r="B178" s="110">
        <v>198617</v>
      </c>
      <c r="C178" s="53">
        <v>8265</v>
      </c>
      <c r="D178" s="54" t="s">
        <v>1136</v>
      </c>
      <c r="E178" s="56" t="s">
        <v>1072</v>
      </c>
      <c r="F178" s="57" t="s">
        <v>1081</v>
      </c>
    </row>
    <row r="179" spans="1:6" ht="17.45" customHeight="1" x14ac:dyDescent="0.2">
      <c r="A179" s="55" t="s">
        <v>1276</v>
      </c>
      <c r="B179" s="110">
        <v>198618</v>
      </c>
      <c r="C179" s="53">
        <v>8265</v>
      </c>
      <c r="D179" s="54" t="s">
        <v>1136</v>
      </c>
      <c r="E179" s="56" t="s">
        <v>949</v>
      </c>
      <c r="F179" s="57" t="s">
        <v>1081</v>
      </c>
    </row>
    <row r="180" spans="1:6" ht="17.45" customHeight="1" x14ac:dyDescent="0.2">
      <c r="A180" s="55" t="s">
        <v>1277</v>
      </c>
      <c r="B180" s="110" t="s">
        <v>1278</v>
      </c>
      <c r="C180" s="53">
        <v>8266</v>
      </c>
      <c r="D180" s="54" t="s">
        <v>899</v>
      </c>
      <c r="E180" s="56" t="s">
        <v>900</v>
      </c>
      <c r="F180" s="57" t="s">
        <v>1279</v>
      </c>
    </row>
    <row r="181" spans="1:6" ht="17.45" customHeight="1" x14ac:dyDescent="0.2">
      <c r="A181" s="55" t="s">
        <v>1280</v>
      </c>
      <c r="B181" s="110" t="s">
        <v>1281</v>
      </c>
      <c r="C181" s="53">
        <v>8266</v>
      </c>
      <c r="D181" s="54" t="s">
        <v>1282</v>
      </c>
      <c r="E181" s="56" t="s">
        <v>905</v>
      </c>
      <c r="F181" s="57" t="s">
        <v>1283</v>
      </c>
    </row>
    <row r="182" spans="1:6" ht="17.45" customHeight="1" x14ac:dyDescent="0.2">
      <c r="A182" s="55" t="s">
        <v>1284</v>
      </c>
      <c r="B182" s="110">
        <v>98612</v>
      </c>
      <c r="C182" s="53">
        <v>8266</v>
      </c>
      <c r="D182" s="54" t="s">
        <v>904</v>
      </c>
      <c r="E182" s="56" t="s">
        <v>900</v>
      </c>
      <c r="F182" s="57" t="s">
        <v>1285</v>
      </c>
    </row>
    <row r="183" spans="1:6" ht="17.45" customHeight="1" x14ac:dyDescent="0.2">
      <c r="A183" s="55" t="s">
        <v>1286</v>
      </c>
      <c r="B183" s="110" t="s">
        <v>1287</v>
      </c>
      <c r="C183" s="53">
        <v>8266</v>
      </c>
      <c r="D183" s="54" t="s">
        <v>908</v>
      </c>
      <c r="E183" s="56" t="s">
        <v>905</v>
      </c>
      <c r="F183" s="57" t="s">
        <v>913</v>
      </c>
    </row>
    <row r="184" spans="1:6" ht="17.45" customHeight="1" x14ac:dyDescent="0.2">
      <c r="A184" s="55" t="s">
        <v>1288</v>
      </c>
      <c r="B184" s="110">
        <v>218608</v>
      </c>
      <c r="C184" s="53">
        <v>8266</v>
      </c>
      <c r="D184" s="54" t="s">
        <v>908</v>
      </c>
      <c r="E184" s="56" t="s">
        <v>900</v>
      </c>
      <c r="F184" s="57" t="s">
        <v>1285</v>
      </c>
    </row>
    <row r="185" spans="1:6" ht="17.45" customHeight="1" x14ac:dyDescent="0.2">
      <c r="A185" s="55" t="s">
        <v>1289</v>
      </c>
      <c r="B185" s="110">
        <v>218609</v>
      </c>
      <c r="C185" s="53">
        <v>8266</v>
      </c>
      <c r="D185" s="54" t="s">
        <v>908</v>
      </c>
      <c r="E185" s="56" t="s">
        <v>905</v>
      </c>
      <c r="F185" s="55" t="s">
        <v>1033</v>
      </c>
    </row>
    <row r="186" spans="1:6" ht="17.45" customHeight="1" x14ac:dyDescent="0.2">
      <c r="A186" s="55" t="s">
        <v>1290</v>
      </c>
      <c r="B186" s="110">
        <v>188603</v>
      </c>
      <c r="C186" s="53" t="s">
        <v>930</v>
      </c>
      <c r="D186" s="54" t="s">
        <v>931</v>
      </c>
      <c r="E186" s="56" t="s">
        <v>886</v>
      </c>
      <c r="F186" s="57" t="s">
        <v>1291</v>
      </c>
    </row>
    <row r="187" spans="1:6" ht="17.45" customHeight="1" x14ac:dyDescent="0.2">
      <c r="A187" s="55" t="s">
        <v>1292</v>
      </c>
      <c r="B187" s="110">
        <v>198612</v>
      </c>
      <c r="C187" s="53" t="s">
        <v>1293</v>
      </c>
      <c r="D187" s="54" t="s">
        <v>1294</v>
      </c>
      <c r="E187" s="56" t="s">
        <v>886</v>
      </c>
      <c r="F187" s="57" t="s">
        <v>888</v>
      </c>
    </row>
    <row r="188" spans="1:6" ht="17.45" customHeight="1" x14ac:dyDescent="0.2">
      <c r="A188" s="55" t="s">
        <v>1295</v>
      </c>
      <c r="B188" s="110" t="s">
        <v>1296</v>
      </c>
      <c r="C188" s="53">
        <v>8279</v>
      </c>
      <c r="D188" s="54" t="s">
        <v>1297</v>
      </c>
      <c r="E188" s="56" t="s">
        <v>886</v>
      </c>
      <c r="F188" s="57" t="s">
        <v>888</v>
      </c>
    </row>
    <row r="189" spans="1:6" ht="17.45" customHeight="1" x14ac:dyDescent="0.2">
      <c r="A189" s="55" t="s">
        <v>1298</v>
      </c>
      <c r="B189" s="110">
        <v>198611</v>
      </c>
      <c r="C189" s="53">
        <v>8279</v>
      </c>
      <c r="D189" s="54" t="s">
        <v>1297</v>
      </c>
      <c r="E189" s="56" t="s">
        <v>886</v>
      </c>
      <c r="F189" s="57" t="s">
        <v>888</v>
      </c>
    </row>
    <row r="190" spans="1:6" ht="17.45" customHeight="1" x14ac:dyDescent="0.2">
      <c r="A190" s="55" t="s">
        <v>1299</v>
      </c>
      <c r="B190" s="110" t="s">
        <v>1300</v>
      </c>
      <c r="C190" s="53">
        <v>8278</v>
      </c>
      <c r="D190" s="54" t="s">
        <v>1301</v>
      </c>
      <c r="E190" s="56" t="s">
        <v>1072</v>
      </c>
      <c r="F190" s="52" t="s">
        <v>1302</v>
      </c>
    </row>
    <row r="191" spans="1:6" ht="17.45" customHeight="1" x14ac:dyDescent="0.2">
      <c r="A191" s="55" t="s">
        <v>1303</v>
      </c>
      <c r="B191" s="110" t="s">
        <v>1304</v>
      </c>
      <c r="C191" s="53">
        <v>8279</v>
      </c>
      <c r="D191" s="54" t="s">
        <v>1305</v>
      </c>
      <c r="E191" s="56" t="s">
        <v>949</v>
      </c>
      <c r="F191" s="57" t="s">
        <v>1306</v>
      </c>
    </row>
    <row r="192" spans="1:6" ht="17.45" customHeight="1" x14ac:dyDescent="0.2">
      <c r="A192" s="55" t="s">
        <v>1307</v>
      </c>
      <c r="B192" s="110" t="s">
        <v>1308</v>
      </c>
      <c r="C192" s="53">
        <v>8279</v>
      </c>
      <c r="D192" s="54" t="s">
        <v>1305</v>
      </c>
      <c r="E192" s="56" t="s">
        <v>900</v>
      </c>
      <c r="F192" s="57" t="s">
        <v>1309</v>
      </c>
    </row>
    <row r="193" spans="1:6" ht="17.45" customHeight="1" x14ac:dyDescent="0.2">
      <c r="A193" s="55" t="s">
        <v>1310</v>
      </c>
      <c r="B193" s="110" t="s">
        <v>1311</v>
      </c>
      <c r="C193" s="53">
        <v>8279</v>
      </c>
      <c r="D193" s="54" t="s">
        <v>1305</v>
      </c>
      <c r="E193" s="56" t="s">
        <v>949</v>
      </c>
      <c r="F193" s="57" t="s">
        <v>1201</v>
      </c>
    </row>
    <row r="194" spans="1:6" ht="17.45" customHeight="1" x14ac:dyDescent="0.2">
      <c r="A194" s="55" t="s">
        <v>1312</v>
      </c>
      <c r="B194" s="110" t="s">
        <v>1313</v>
      </c>
      <c r="C194" s="53">
        <v>8279</v>
      </c>
      <c r="D194" s="54" t="s">
        <v>1305</v>
      </c>
      <c r="E194" s="56" t="s">
        <v>900</v>
      </c>
      <c r="F194" s="57" t="s">
        <v>1314</v>
      </c>
    </row>
    <row r="195" spans="1:6" ht="17.45" customHeight="1" x14ac:dyDescent="0.2">
      <c r="A195" s="55" t="s">
        <v>1315</v>
      </c>
      <c r="B195" s="110" t="s">
        <v>1316</v>
      </c>
      <c r="C195" s="53">
        <v>8279</v>
      </c>
      <c r="D195" s="54" t="s">
        <v>1305</v>
      </c>
      <c r="E195" s="56" t="s">
        <v>949</v>
      </c>
      <c r="F195" s="57" t="s">
        <v>1317</v>
      </c>
    </row>
    <row r="196" spans="1:6" ht="17.45" customHeight="1" x14ac:dyDescent="0.2">
      <c r="A196" s="55" t="s">
        <v>1318</v>
      </c>
      <c r="B196" s="110" t="s">
        <v>1319</v>
      </c>
      <c r="C196" s="53">
        <v>8279</v>
      </c>
      <c r="D196" s="54" t="s">
        <v>1305</v>
      </c>
      <c r="E196" s="56" t="s">
        <v>900</v>
      </c>
      <c r="F196" s="57" t="s">
        <v>1320</v>
      </c>
    </row>
    <row r="197" spans="1:6" ht="17.45" customHeight="1" x14ac:dyDescent="0.2">
      <c r="A197" s="55" t="s">
        <v>1321</v>
      </c>
      <c r="B197" s="110" t="s">
        <v>1322</v>
      </c>
      <c r="C197" s="53">
        <v>8279</v>
      </c>
      <c r="D197" s="54" t="s">
        <v>1305</v>
      </c>
      <c r="E197" s="56" t="s">
        <v>900</v>
      </c>
      <c r="F197" s="52" t="s">
        <v>1175</v>
      </c>
    </row>
    <row r="198" spans="1:6" ht="17.45" customHeight="1" x14ac:dyDescent="0.2">
      <c r="A198" s="55" t="s">
        <v>1323</v>
      </c>
      <c r="B198" s="110" t="s">
        <v>1324</v>
      </c>
      <c r="C198" s="53">
        <v>8279</v>
      </c>
      <c r="D198" s="54" t="s">
        <v>1305</v>
      </c>
      <c r="E198" s="56" t="s">
        <v>905</v>
      </c>
      <c r="F198" s="57" t="s">
        <v>1325</v>
      </c>
    </row>
    <row r="199" spans="1:6" ht="17.45" customHeight="1" x14ac:dyDescent="0.2">
      <c r="A199" s="55" t="s">
        <v>1326</v>
      </c>
      <c r="B199" s="110">
        <v>198610</v>
      </c>
      <c r="C199" s="53" t="s">
        <v>1293</v>
      </c>
      <c r="D199" s="54" t="s">
        <v>1305</v>
      </c>
      <c r="E199" s="56" t="s">
        <v>900</v>
      </c>
      <c r="F199" s="57" t="s">
        <v>1327</v>
      </c>
    </row>
    <row r="200" spans="1:6" ht="17.45" customHeight="1" x14ac:dyDescent="0.2">
      <c r="A200" s="55" t="s">
        <v>1328</v>
      </c>
      <c r="B200" s="110">
        <v>198614</v>
      </c>
      <c r="C200" s="53" t="s">
        <v>1293</v>
      </c>
      <c r="D200" s="54" t="s">
        <v>1305</v>
      </c>
      <c r="E200" s="56" t="s">
        <v>974</v>
      </c>
      <c r="F200" s="57" t="s">
        <v>1329</v>
      </c>
    </row>
    <row r="201" spans="1:6" ht="17.45" customHeight="1" x14ac:dyDescent="0.2">
      <c r="A201" s="55" t="s">
        <v>1330</v>
      </c>
      <c r="B201" s="110" t="s">
        <v>1331</v>
      </c>
      <c r="C201" s="53">
        <v>8279</v>
      </c>
      <c r="D201" s="54" t="s">
        <v>1305</v>
      </c>
      <c r="E201" s="56" t="s">
        <v>900</v>
      </c>
      <c r="F201" s="57" t="s">
        <v>1332</v>
      </c>
    </row>
    <row r="202" spans="1:6" ht="17.45" customHeight="1" x14ac:dyDescent="0.2">
      <c r="A202" s="55" t="s">
        <v>1333</v>
      </c>
      <c r="B202" s="110">
        <v>228660</v>
      </c>
      <c r="C202" s="53" t="s">
        <v>4729</v>
      </c>
      <c r="D202" s="54" t="s">
        <v>1334</v>
      </c>
      <c r="E202" s="56" t="s">
        <v>882</v>
      </c>
      <c r="F202" s="57" t="s">
        <v>888</v>
      </c>
    </row>
    <row r="203" spans="1:6" ht="17.45" customHeight="1" x14ac:dyDescent="0.2">
      <c r="A203" s="57" t="s">
        <v>1335</v>
      </c>
      <c r="B203" s="110" t="s">
        <v>1336</v>
      </c>
      <c r="C203" s="53">
        <v>9514</v>
      </c>
      <c r="D203" s="59" t="s">
        <v>1337</v>
      </c>
      <c r="E203" s="56" t="s">
        <v>1072</v>
      </c>
      <c r="F203" s="57" t="s">
        <v>1079</v>
      </c>
    </row>
    <row r="204" spans="1:6" ht="17.45" customHeight="1" x14ac:dyDescent="0.2">
      <c r="A204" s="55" t="s">
        <v>1338</v>
      </c>
      <c r="B204" s="110" t="s">
        <v>1339</v>
      </c>
      <c r="C204" s="53">
        <v>9514</v>
      </c>
      <c r="D204" s="54" t="s">
        <v>1340</v>
      </c>
      <c r="E204" s="56" t="s">
        <v>949</v>
      </c>
      <c r="F204" s="57" t="s">
        <v>1079</v>
      </c>
    </row>
    <row r="205" spans="1:6" ht="17.45" customHeight="1" x14ac:dyDescent="0.2">
      <c r="A205" s="57" t="s">
        <v>1341</v>
      </c>
      <c r="B205" s="110" t="s">
        <v>1342</v>
      </c>
      <c r="C205" s="53">
        <v>9514</v>
      </c>
      <c r="D205" s="59" t="s">
        <v>1343</v>
      </c>
      <c r="E205" s="56" t="s">
        <v>1072</v>
      </c>
      <c r="F205" s="57" t="s">
        <v>1169</v>
      </c>
    </row>
    <row r="206" spans="1:6" ht="17.45" customHeight="1" x14ac:dyDescent="0.2">
      <c r="A206" s="55" t="s">
        <v>1344</v>
      </c>
      <c r="B206" s="110" t="s">
        <v>1345</v>
      </c>
      <c r="C206" s="53">
        <v>9514</v>
      </c>
      <c r="D206" s="54" t="s">
        <v>1346</v>
      </c>
      <c r="E206" s="56" t="s">
        <v>949</v>
      </c>
      <c r="F206" s="57" t="s">
        <v>1169</v>
      </c>
    </row>
    <row r="207" spans="1:6" ht="17.45" customHeight="1" x14ac:dyDescent="0.2">
      <c r="A207" s="55" t="s">
        <v>1347</v>
      </c>
      <c r="B207" s="110" t="s">
        <v>1348</v>
      </c>
      <c r="C207" s="53">
        <v>9514</v>
      </c>
      <c r="D207" s="54" t="s">
        <v>1343</v>
      </c>
      <c r="E207" s="56" t="s">
        <v>900</v>
      </c>
      <c r="F207" s="57" t="s">
        <v>1349</v>
      </c>
    </row>
    <row r="208" spans="1:6" ht="17.45" customHeight="1" x14ac:dyDescent="0.2">
      <c r="A208" s="55" t="s">
        <v>1350</v>
      </c>
      <c r="B208" s="110" t="s">
        <v>1351</v>
      </c>
      <c r="C208" s="53">
        <v>9514</v>
      </c>
      <c r="D208" s="54" t="s">
        <v>1346</v>
      </c>
      <c r="E208" s="56" t="s">
        <v>900</v>
      </c>
      <c r="F208" s="57" t="s">
        <v>1352</v>
      </c>
    </row>
    <row r="209" spans="1:6" ht="17.45" customHeight="1" x14ac:dyDescent="0.2">
      <c r="A209" s="57" t="s">
        <v>1353</v>
      </c>
      <c r="B209" s="110" t="s">
        <v>1354</v>
      </c>
      <c r="C209" s="53">
        <v>9514</v>
      </c>
      <c r="D209" s="59" t="s">
        <v>1343</v>
      </c>
      <c r="E209" s="56" t="s">
        <v>1072</v>
      </c>
      <c r="F209" s="57" t="s">
        <v>1355</v>
      </c>
    </row>
    <row r="210" spans="1:6" ht="17.45" customHeight="1" x14ac:dyDescent="0.2">
      <c r="A210" s="55" t="s">
        <v>1356</v>
      </c>
      <c r="B210" s="110" t="s">
        <v>1357</v>
      </c>
      <c r="C210" s="53">
        <v>9514</v>
      </c>
      <c r="D210" s="54" t="s">
        <v>1337</v>
      </c>
      <c r="E210" s="56" t="s">
        <v>949</v>
      </c>
      <c r="F210" s="57" t="s">
        <v>1355</v>
      </c>
    </row>
    <row r="211" spans="1:6" ht="17.45" customHeight="1" x14ac:dyDescent="0.2">
      <c r="A211" s="55" t="s">
        <v>1358</v>
      </c>
      <c r="B211" s="110" t="s">
        <v>1359</v>
      </c>
      <c r="C211" s="53">
        <v>9514</v>
      </c>
      <c r="D211" s="54" t="s">
        <v>1346</v>
      </c>
      <c r="E211" s="56" t="s">
        <v>949</v>
      </c>
      <c r="F211" s="57" t="s">
        <v>1123</v>
      </c>
    </row>
    <row r="212" spans="1:6" ht="17.45" customHeight="1" x14ac:dyDescent="0.2">
      <c r="A212" s="55" t="s">
        <v>1360</v>
      </c>
      <c r="B212" s="110">
        <v>188606</v>
      </c>
      <c r="C212" s="53">
        <v>9514</v>
      </c>
      <c r="D212" s="54" t="s">
        <v>1346</v>
      </c>
      <c r="E212" s="56" t="s">
        <v>900</v>
      </c>
      <c r="F212" s="57" t="s">
        <v>1352</v>
      </c>
    </row>
    <row r="213" spans="1:6" ht="17.45" customHeight="1" x14ac:dyDescent="0.2">
      <c r="A213" s="55" t="s">
        <v>1361</v>
      </c>
      <c r="B213" s="110">
        <v>188607</v>
      </c>
      <c r="C213" s="53">
        <v>9514</v>
      </c>
      <c r="D213" s="54" t="s">
        <v>1346</v>
      </c>
      <c r="E213" s="56" t="s">
        <v>949</v>
      </c>
      <c r="F213" s="57" t="s">
        <v>1362</v>
      </c>
    </row>
    <row r="214" spans="1:6" ht="17.45" customHeight="1" x14ac:dyDescent="0.2">
      <c r="A214" s="55" t="s">
        <v>1363</v>
      </c>
      <c r="B214" s="171" t="s">
        <v>1364</v>
      </c>
      <c r="C214" s="53">
        <v>8268</v>
      </c>
      <c r="D214" s="54" t="s">
        <v>1047</v>
      </c>
      <c r="E214" s="56" t="s">
        <v>905</v>
      </c>
      <c r="F214" s="57" t="s">
        <v>1092</v>
      </c>
    </row>
    <row r="215" spans="1:6" ht="17.45" customHeight="1" x14ac:dyDescent="0.2">
      <c r="A215" s="55" t="s">
        <v>1365</v>
      </c>
      <c r="B215" s="110" t="s">
        <v>1366</v>
      </c>
      <c r="C215" s="53">
        <v>8268</v>
      </c>
      <c r="D215" s="54" t="s">
        <v>1076</v>
      </c>
      <c r="E215" s="56" t="s">
        <v>905</v>
      </c>
      <c r="F215" s="57" t="s">
        <v>1367</v>
      </c>
    </row>
    <row r="216" spans="1:6" ht="17.45" customHeight="1" x14ac:dyDescent="0.2">
      <c r="A216" s="55" t="s">
        <v>1368</v>
      </c>
      <c r="B216" s="110" t="s">
        <v>1369</v>
      </c>
      <c r="C216" s="53">
        <v>8268</v>
      </c>
      <c r="D216" s="54" t="s">
        <v>1047</v>
      </c>
      <c r="E216" s="56" t="s">
        <v>905</v>
      </c>
      <c r="F216" s="57" t="s">
        <v>1166</v>
      </c>
    </row>
    <row r="217" spans="1:6" ht="17.45" customHeight="1" x14ac:dyDescent="0.2">
      <c r="A217" s="55" t="s">
        <v>1370</v>
      </c>
      <c r="B217" s="110">
        <v>218606</v>
      </c>
      <c r="C217" s="53">
        <v>8268</v>
      </c>
      <c r="D217" s="54" t="s">
        <v>1047</v>
      </c>
      <c r="E217" s="56" t="s">
        <v>900</v>
      </c>
      <c r="F217" s="55" t="s">
        <v>1180</v>
      </c>
    </row>
    <row r="218" spans="1:6" ht="17.45" customHeight="1" x14ac:dyDescent="0.2">
      <c r="A218" s="55" t="s">
        <v>1371</v>
      </c>
      <c r="B218" s="110">
        <v>218607</v>
      </c>
      <c r="C218" s="53">
        <v>8268</v>
      </c>
      <c r="D218" s="54" t="s">
        <v>1047</v>
      </c>
      <c r="E218" s="56" t="s">
        <v>905</v>
      </c>
      <c r="F218" s="55" t="s">
        <v>1372</v>
      </c>
    </row>
    <row r="219" spans="1:6" ht="17.45" customHeight="1" x14ac:dyDescent="0.2">
      <c r="A219" s="55" t="s">
        <v>1373</v>
      </c>
      <c r="B219" s="110" t="s">
        <v>1374</v>
      </c>
      <c r="C219" s="53">
        <v>8268</v>
      </c>
      <c r="D219" s="54" t="s">
        <v>1058</v>
      </c>
      <c r="E219" s="56" t="s">
        <v>900</v>
      </c>
      <c r="F219" s="57" t="s">
        <v>909</v>
      </c>
    </row>
    <row r="220" spans="1:6" ht="17.45" customHeight="1" x14ac:dyDescent="0.2">
      <c r="A220" s="55" t="s">
        <v>1375</v>
      </c>
      <c r="B220" s="110" t="s">
        <v>1376</v>
      </c>
      <c r="C220" s="53">
        <v>8268</v>
      </c>
      <c r="D220" s="54" t="s">
        <v>1058</v>
      </c>
      <c r="E220" s="56" t="s">
        <v>905</v>
      </c>
      <c r="F220" s="57" t="s">
        <v>1172</v>
      </c>
    </row>
    <row r="221" spans="1:6" ht="17.45" customHeight="1" x14ac:dyDescent="0.2">
      <c r="A221" s="55" t="s">
        <v>1377</v>
      </c>
      <c r="B221" s="110" t="s">
        <v>1378</v>
      </c>
      <c r="C221" s="53">
        <v>8268</v>
      </c>
      <c r="D221" s="54" t="s">
        <v>1043</v>
      </c>
      <c r="E221" s="56" t="s">
        <v>905</v>
      </c>
      <c r="F221" s="57" t="s">
        <v>1109</v>
      </c>
    </row>
    <row r="222" spans="1:6" ht="17.45" customHeight="1" x14ac:dyDescent="0.2">
      <c r="A222" s="55" t="s">
        <v>1379</v>
      </c>
      <c r="B222" s="110" t="s">
        <v>1380</v>
      </c>
      <c r="C222" s="53">
        <v>8266</v>
      </c>
      <c r="D222" s="54" t="s">
        <v>933</v>
      </c>
      <c r="E222" s="56" t="s">
        <v>882</v>
      </c>
      <c r="F222" s="55" t="s">
        <v>1381</v>
      </c>
    </row>
    <row r="223" spans="1:6" ht="17.45" customHeight="1" x14ac:dyDescent="0.2">
      <c r="A223" s="55" t="s">
        <v>1382</v>
      </c>
      <c r="B223" s="110">
        <v>228608</v>
      </c>
      <c r="C223" s="57" t="s">
        <v>1030</v>
      </c>
      <c r="D223" s="60" t="s">
        <v>1031</v>
      </c>
      <c r="E223" s="56" t="s">
        <v>882</v>
      </c>
      <c r="F223" s="55" t="s">
        <v>1383</v>
      </c>
    </row>
    <row r="224" spans="1:6" ht="17.45" customHeight="1" x14ac:dyDescent="0.2">
      <c r="A224" s="55" t="s">
        <v>1384</v>
      </c>
      <c r="B224" s="110">
        <v>198605</v>
      </c>
      <c r="C224" s="53" t="s">
        <v>1030</v>
      </c>
      <c r="D224" s="54" t="s">
        <v>1031</v>
      </c>
      <c r="E224" s="56" t="s">
        <v>254</v>
      </c>
      <c r="F224" s="52" t="s">
        <v>1385</v>
      </c>
    </row>
    <row r="225" spans="1:6" ht="17.45" customHeight="1" x14ac:dyDescent="0.2">
      <c r="A225" s="55" t="s">
        <v>1386</v>
      </c>
      <c r="B225" s="110">
        <v>198606</v>
      </c>
      <c r="C225" s="53" t="s">
        <v>1030</v>
      </c>
      <c r="D225" s="54" t="s">
        <v>1031</v>
      </c>
      <c r="E225" s="56" t="s">
        <v>254</v>
      </c>
      <c r="F225" s="52" t="s">
        <v>934</v>
      </c>
    </row>
    <row r="226" spans="1:6" ht="17.45" customHeight="1" x14ac:dyDescent="0.2">
      <c r="A226" s="55" t="s">
        <v>1387</v>
      </c>
      <c r="B226" s="110">
        <v>208673</v>
      </c>
      <c r="C226" s="53">
        <v>8280</v>
      </c>
      <c r="D226" s="54" t="s">
        <v>1031</v>
      </c>
      <c r="E226" s="56" t="s">
        <v>905</v>
      </c>
      <c r="F226" s="55" t="s">
        <v>1213</v>
      </c>
    </row>
    <row r="227" spans="1:6" ht="17.45" customHeight="1" x14ac:dyDescent="0.2">
      <c r="A227" s="55" t="s">
        <v>1388</v>
      </c>
      <c r="B227" s="110">
        <v>208666</v>
      </c>
      <c r="C227" s="57" t="s">
        <v>1030</v>
      </c>
      <c r="D227" s="54" t="s">
        <v>1031</v>
      </c>
      <c r="E227" s="56" t="s">
        <v>882</v>
      </c>
      <c r="F227" s="64" t="s">
        <v>1389</v>
      </c>
    </row>
    <row r="228" spans="1:6" s="58" customFormat="1" ht="17.45" customHeight="1" x14ac:dyDescent="0.2">
      <c r="A228" s="55" t="s">
        <v>1390</v>
      </c>
      <c r="B228" s="110" t="s">
        <v>1391</v>
      </c>
      <c r="C228" s="53">
        <v>8279</v>
      </c>
      <c r="D228" s="54" t="s">
        <v>1392</v>
      </c>
      <c r="E228" s="56" t="s">
        <v>1072</v>
      </c>
      <c r="F228" s="55" t="s">
        <v>4734</v>
      </c>
    </row>
    <row r="229" spans="1:6" s="58" customFormat="1" ht="17.45" customHeight="1" x14ac:dyDescent="0.2">
      <c r="A229" s="52" t="s">
        <v>1393</v>
      </c>
      <c r="B229" s="110" t="s">
        <v>1394</v>
      </c>
      <c r="C229" s="57">
        <v>8272</v>
      </c>
      <c r="D229" s="60" t="s">
        <v>1112</v>
      </c>
      <c r="E229" s="56" t="s">
        <v>254</v>
      </c>
      <c r="F229" s="52" t="s">
        <v>1395</v>
      </c>
    </row>
    <row r="230" spans="1:6" s="58" customFormat="1" ht="17.45" customHeight="1" x14ac:dyDescent="0.2">
      <c r="A230" s="63" t="s">
        <v>1397</v>
      </c>
      <c r="B230" s="110">
        <v>218601</v>
      </c>
      <c r="C230" s="61" t="s">
        <v>1001</v>
      </c>
      <c r="D230" s="63" t="s">
        <v>1398</v>
      </c>
      <c r="E230" s="56" t="s">
        <v>1072</v>
      </c>
      <c r="F230" s="64" t="s">
        <v>1285</v>
      </c>
    </row>
    <row r="231" spans="1:6" s="58" customFormat="1" ht="17.45" customHeight="1" x14ac:dyDescent="0.2">
      <c r="A231" s="55" t="s">
        <v>1399</v>
      </c>
      <c r="B231" s="110" t="s">
        <v>1400</v>
      </c>
      <c r="C231" s="53">
        <v>8266</v>
      </c>
      <c r="D231" s="54" t="s">
        <v>908</v>
      </c>
      <c r="E231" s="56" t="s">
        <v>949</v>
      </c>
      <c r="F231" s="55" t="s">
        <v>1201</v>
      </c>
    </row>
    <row r="232" spans="1:6" s="58" customFormat="1" ht="17.45" customHeight="1" x14ac:dyDescent="0.2">
      <c r="A232" s="55" t="s">
        <v>1401</v>
      </c>
      <c r="B232" s="110" t="s">
        <v>1402</v>
      </c>
      <c r="C232" s="53">
        <v>8272</v>
      </c>
      <c r="D232" s="54" t="s">
        <v>1108</v>
      </c>
      <c r="E232" s="56" t="s">
        <v>254</v>
      </c>
      <c r="F232" s="53" t="s">
        <v>999</v>
      </c>
    </row>
    <row r="233" spans="1:6" s="58" customFormat="1" ht="17.45" customHeight="1" x14ac:dyDescent="0.2">
      <c r="A233" s="55" t="s">
        <v>1403</v>
      </c>
      <c r="B233" s="110" t="s">
        <v>1404</v>
      </c>
      <c r="C233" s="53">
        <v>8272</v>
      </c>
      <c r="D233" s="54" t="s">
        <v>1405</v>
      </c>
      <c r="E233" s="56" t="s">
        <v>949</v>
      </c>
      <c r="F233" s="57" t="s">
        <v>1302</v>
      </c>
    </row>
    <row r="234" spans="1:6" s="58" customFormat="1" ht="17.45" customHeight="1" x14ac:dyDescent="0.2">
      <c r="A234" s="55" t="s">
        <v>194</v>
      </c>
      <c r="B234" s="110" t="s">
        <v>1406</v>
      </c>
      <c r="C234" s="53">
        <v>9514</v>
      </c>
      <c r="D234" s="54" t="s">
        <v>1343</v>
      </c>
      <c r="E234" s="56" t="s">
        <v>254</v>
      </c>
      <c r="F234" s="53" t="s">
        <v>1407</v>
      </c>
    </row>
    <row r="235" spans="1:6" s="58" customFormat="1" ht="17.45" customHeight="1" x14ac:dyDescent="0.2">
      <c r="A235" s="57" t="s">
        <v>1408</v>
      </c>
      <c r="B235" s="110" t="s">
        <v>1409</v>
      </c>
      <c r="C235" s="53">
        <v>9514</v>
      </c>
      <c r="D235" s="59" t="s">
        <v>1343</v>
      </c>
      <c r="E235" s="56" t="s">
        <v>254</v>
      </c>
      <c r="F235" s="57" t="s">
        <v>1410</v>
      </c>
    </row>
    <row r="236" spans="1:6" s="58" customFormat="1" ht="17.45" customHeight="1" x14ac:dyDescent="0.2">
      <c r="A236" s="57" t="s">
        <v>1411</v>
      </c>
      <c r="B236" s="110" t="s">
        <v>1412</v>
      </c>
      <c r="C236" s="53">
        <v>9514</v>
      </c>
      <c r="D236" s="59" t="s">
        <v>1337</v>
      </c>
      <c r="E236" s="56" t="s">
        <v>254</v>
      </c>
      <c r="F236" s="57" t="s">
        <v>1410</v>
      </c>
    </row>
    <row r="237" spans="1:6" s="58" customFormat="1" ht="17.45" customHeight="1" x14ac:dyDescent="0.2">
      <c r="A237" s="57" t="s">
        <v>1414</v>
      </c>
      <c r="B237" s="110" t="s">
        <v>1415</v>
      </c>
      <c r="C237" s="53">
        <v>9514</v>
      </c>
      <c r="D237" s="59" t="s">
        <v>1343</v>
      </c>
      <c r="E237" s="56" t="s">
        <v>254</v>
      </c>
      <c r="F237" s="57" t="s">
        <v>1416</v>
      </c>
    </row>
    <row r="238" spans="1:6" s="58" customFormat="1" ht="17.45" customHeight="1" x14ac:dyDescent="0.2">
      <c r="A238" s="55" t="s">
        <v>1419</v>
      </c>
      <c r="B238" s="110">
        <v>218203</v>
      </c>
      <c r="C238" s="53">
        <v>9514</v>
      </c>
      <c r="D238" s="54" t="s">
        <v>1337</v>
      </c>
      <c r="E238" s="56" t="s">
        <v>886</v>
      </c>
      <c r="F238" s="57" t="s">
        <v>1418</v>
      </c>
    </row>
    <row r="239" spans="1:6" s="58" customFormat="1" ht="17.45" customHeight="1" x14ac:dyDescent="0.2">
      <c r="A239" s="55" t="s">
        <v>1417</v>
      </c>
      <c r="B239" s="110">
        <v>218202</v>
      </c>
      <c r="C239" s="53">
        <v>9514</v>
      </c>
      <c r="D239" s="54" t="s">
        <v>1337</v>
      </c>
      <c r="E239" s="56" t="s">
        <v>882</v>
      </c>
      <c r="F239" s="57" t="s">
        <v>1418</v>
      </c>
    </row>
    <row r="240" spans="1:6" s="58" customFormat="1" ht="17.45" customHeight="1" x14ac:dyDescent="0.2">
      <c r="A240" s="57" t="s">
        <v>1420</v>
      </c>
      <c r="B240" s="110">
        <v>138622</v>
      </c>
      <c r="C240" s="53">
        <v>9514</v>
      </c>
      <c r="D240" s="59" t="s">
        <v>1343</v>
      </c>
      <c r="E240" s="56" t="s">
        <v>882</v>
      </c>
      <c r="F240" s="57" t="s">
        <v>1421</v>
      </c>
    </row>
    <row r="241" spans="1:6" s="58" customFormat="1" ht="17.45" customHeight="1" x14ac:dyDescent="0.2">
      <c r="A241" s="55" t="s">
        <v>1422</v>
      </c>
      <c r="B241" s="110" t="s">
        <v>1423</v>
      </c>
      <c r="C241" s="53">
        <v>9514</v>
      </c>
      <c r="D241" s="54" t="s">
        <v>1346</v>
      </c>
      <c r="E241" s="56" t="s">
        <v>900</v>
      </c>
      <c r="F241" s="57" t="s">
        <v>1169</v>
      </c>
    </row>
    <row r="242" spans="1:6" s="58" customFormat="1" ht="17.45" customHeight="1" x14ac:dyDescent="0.2">
      <c r="A242" s="55" t="s">
        <v>1424</v>
      </c>
      <c r="B242" s="110" t="s">
        <v>1425</v>
      </c>
      <c r="C242" s="53">
        <v>9514</v>
      </c>
      <c r="D242" s="54" t="s">
        <v>1426</v>
      </c>
      <c r="E242" s="56" t="s">
        <v>905</v>
      </c>
      <c r="F242" s="57" t="s">
        <v>1175</v>
      </c>
    </row>
    <row r="243" spans="1:6" s="58" customFormat="1" ht="17.45" customHeight="1" x14ac:dyDescent="0.2">
      <c r="A243" s="55" t="s">
        <v>1427</v>
      </c>
      <c r="B243" s="110" t="s">
        <v>1428</v>
      </c>
      <c r="C243" s="53">
        <v>9514</v>
      </c>
      <c r="D243" s="54" t="s">
        <v>1346</v>
      </c>
      <c r="E243" s="56" t="s">
        <v>900</v>
      </c>
      <c r="F243" s="57" t="s">
        <v>1407</v>
      </c>
    </row>
    <row r="244" spans="1:6" s="58" customFormat="1" ht="17.45" customHeight="1" x14ac:dyDescent="0.2">
      <c r="A244" s="55" t="s">
        <v>1429</v>
      </c>
      <c r="B244" s="110" t="s">
        <v>1430</v>
      </c>
      <c r="C244" s="53">
        <v>9514</v>
      </c>
      <c r="D244" s="54" t="s">
        <v>1337</v>
      </c>
      <c r="E244" s="56" t="s">
        <v>905</v>
      </c>
      <c r="F244" s="57" t="s">
        <v>909</v>
      </c>
    </row>
    <row r="245" spans="1:6" s="58" customFormat="1" ht="17.45" customHeight="1" x14ac:dyDescent="0.2">
      <c r="A245" s="55" t="s">
        <v>1431</v>
      </c>
      <c r="B245" s="110" t="s">
        <v>1432</v>
      </c>
      <c r="C245" s="53">
        <v>9514</v>
      </c>
      <c r="D245" s="54" t="s">
        <v>1346</v>
      </c>
      <c r="E245" s="56" t="s">
        <v>905</v>
      </c>
      <c r="F245" s="57" t="s">
        <v>1166</v>
      </c>
    </row>
    <row r="246" spans="1:6" s="58" customFormat="1" ht="17.45" customHeight="1" x14ac:dyDescent="0.2">
      <c r="A246" s="55" t="s">
        <v>4704</v>
      </c>
      <c r="B246" s="110" t="s">
        <v>1433</v>
      </c>
      <c r="C246" s="53">
        <v>9514</v>
      </c>
      <c r="D246" s="54" t="s">
        <v>1346</v>
      </c>
      <c r="E246" s="56" t="s">
        <v>905</v>
      </c>
      <c r="F246" s="57" t="s">
        <v>1166</v>
      </c>
    </row>
    <row r="247" spans="1:6" s="58" customFormat="1" ht="17.45" customHeight="1" x14ac:dyDescent="0.2">
      <c r="A247" s="55" t="s">
        <v>4705</v>
      </c>
      <c r="B247" s="110" t="s">
        <v>1434</v>
      </c>
      <c r="C247" s="53">
        <v>9514</v>
      </c>
      <c r="D247" s="54" t="s">
        <v>1337</v>
      </c>
      <c r="E247" s="56" t="s">
        <v>905</v>
      </c>
      <c r="F247" s="57" t="s">
        <v>1166</v>
      </c>
    </row>
    <row r="248" spans="1:6" s="58" customFormat="1" ht="17.45" customHeight="1" x14ac:dyDescent="0.2">
      <c r="A248" s="55" t="s">
        <v>4706</v>
      </c>
      <c r="B248" s="110">
        <v>188605</v>
      </c>
      <c r="C248" s="53" t="s">
        <v>1435</v>
      </c>
      <c r="D248" s="54" t="s">
        <v>1337</v>
      </c>
      <c r="E248" s="56" t="s">
        <v>900</v>
      </c>
      <c r="F248" s="57" t="s">
        <v>1285</v>
      </c>
    </row>
    <row r="249" spans="1:6" s="58" customFormat="1" ht="17.45" customHeight="1" x14ac:dyDescent="0.2">
      <c r="A249" s="55" t="s">
        <v>4707</v>
      </c>
      <c r="B249" s="110">
        <v>248601</v>
      </c>
      <c r="C249" s="53" t="s">
        <v>1435</v>
      </c>
      <c r="D249" s="54" t="s">
        <v>1337</v>
      </c>
      <c r="E249" s="56" t="s">
        <v>905</v>
      </c>
      <c r="F249" s="57" t="s">
        <v>4712</v>
      </c>
    </row>
    <row r="250" spans="1:6" s="58" customFormat="1" ht="17.45" customHeight="1" x14ac:dyDescent="0.2">
      <c r="A250" s="52" t="s">
        <v>4708</v>
      </c>
      <c r="B250" s="110" t="s">
        <v>1436</v>
      </c>
      <c r="C250" s="57">
        <v>9514</v>
      </c>
      <c r="D250" s="60" t="s">
        <v>1343</v>
      </c>
      <c r="E250" s="56" t="s">
        <v>882</v>
      </c>
      <c r="F250" s="64" t="s">
        <v>1437</v>
      </c>
    </row>
    <row r="251" spans="1:6" s="58" customFormat="1" ht="17.45" customHeight="1" x14ac:dyDescent="0.2">
      <c r="A251" s="57" t="s">
        <v>1413</v>
      </c>
      <c r="B251" s="110">
        <v>228609</v>
      </c>
      <c r="C251" s="53">
        <v>9514</v>
      </c>
      <c r="D251" s="59" t="s">
        <v>1337</v>
      </c>
      <c r="E251" s="56" t="s">
        <v>254</v>
      </c>
      <c r="F251" s="57" t="s">
        <v>1410</v>
      </c>
    </row>
    <row r="252" spans="1:6" ht="17.45" customHeight="1" x14ac:dyDescent="0.2">
      <c r="A252" s="55" t="s">
        <v>1438</v>
      </c>
      <c r="B252" s="110" t="s">
        <v>1439</v>
      </c>
      <c r="C252" s="53">
        <v>9514</v>
      </c>
      <c r="D252" s="54" t="s">
        <v>1346</v>
      </c>
      <c r="E252" s="56" t="s">
        <v>900</v>
      </c>
      <c r="F252" s="57" t="s">
        <v>909</v>
      </c>
    </row>
    <row r="253" spans="1:6" ht="17.45" customHeight="1" x14ac:dyDescent="0.2">
      <c r="A253" s="55" t="s">
        <v>1440</v>
      </c>
      <c r="B253" s="110">
        <v>178660</v>
      </c>
      <c r="C253" s="53">
        <v>9514</v>
      </c>
      <c r="D253" s="54" t="s">
        <v>1346</v>
      </c>
      <c r="E253" s="56" t="s">
        <v>905</v>
      </c>
      <c r="F253" s="57" t="s">
        <v>1158</v>
      </c>
    </row>
    <row r="254" spans="1:6" ht="17.45" customHeight="1" x14ac:dyDescent="0.2">
      <c r="A254" s="55" t="s">
        <v>4709</v>
      </c>
      <c r="B254" s="110" t="s">
        <v>1441</v>
      </c>
      <c r="C254" s="53">
        <v>9514</v>
      </c>
      <c r="D254" s="54" t="s">
        <v>1442</v>
      </c>
      <c r="E254" s="56" t="s">
        <v>905</v>
      </c>
      <c r="F254" s="57" t="s">
        <v>1443</v>
      </c>
    </row>
    <row r="255" spans="1:6" ht="17.45" customHeight="1" x14ac:dyDescent="0.2">
      <c r="A255" s="55" t="s">
        <v>1444</v>
      </c>
      <c r="B255" s="110" t="s">
        <v>1445</v>
      </c>
      <c r="C255" s="53">
        <v>9514</v>
      </c>
      <c r="D255" s="54" t="s">
        <v>1343</v>
      </c>
      <c r="E255" s="56" t="s">
        <v>900</v>
      </c>
      <c r="F255" s="57" t="s">
        <v>1446</v>
      </c>
    </row>
    <row r="256" spans="1:6" ht="17.45" customHeight="1" x14ac:dyDescent="0.2">
      <c r="A256" s="55" t="s">
        <v>1447</v>
      </c>
      <c r="B256" s="110" t="s">
        <v>1448</v>
      </c>
      <c r="C256" s="53">
        <v>9514</v>
      </c>
      <c r="D256" s="54" t="s">
        <v>1337</v>
      </c>
      <c r="E256" s="56" t="s">
        <v>905</v>
      </c>
      <c r="F256" s="57" t="s">
        <v>1449</v>
      </c>
    </row>
    <row r="257" spans="1:6" ht="17.45" customHeight="1" x14ac:dyDescent="0.2">
      <c r="A257" s="55" t="s">
        <v>1450</v>
      </c>
      <c r="B257" s="110" t="s">
        <v>1451</v>
      </c>
      <c r="C257" s="53">
        <v>9514</v>
      </c>
      <c r="D257" s="54" t="s">
        <v>1343</v>
      </c>
      <c r="E257" s="56" t="s">
        <v>900</v>
      </c>
      <c r="F257" s="57" t="s">
        <v>1452</v>
      </c>
    </row>
    <row r="258" spans="1:6" ht="17.45" customHeight="1" x14ac:dyDescent="0.2">
      <c r="A258" s="55" t="s">
        <v>1453</v>
      </c>
      <c r="B258" s="110" t="s">
        <v>1454</v>
      </c>
      <c r="C258" s="53">
        <v>9514</v>
      </c>
      <c r="D258" s="54" t="s">
        <v>1346</v>
      </c>
      <c r="E258" s="56" t="s">
        <v>905</v>
      </c>
      <c r="F258" s="57" t="s">
        <v>1201</v>
      </c>
    </row>
    <row r="259" spans="1:6" ht="21.75" customHeight="1" x14ac:dyDescent="0.2">
      <c r="A259" s="55" t="s">
        <v>1455</v>
      </c>
      <c r="B259" s="110" t="s">
        <v>1456</v>
      </c>
      <c r="C259" s="53">
        <v>9514</v>
      </c>
      <c r="D259" s="54" t="s">
        <v>1426</v>
      </c>
      <c r="E259" s="56" t="s">
        <v>900</v>
      </c>
      <c r="F259" s="57" t="s">
        <v>1166</v>
      </c>
    </row>
    <row r="260" spans="1:6" x14ac:dyDescent="0.2">
      <c r="A260" s="55" t="s">
        <v>1457</v>
      </c>
      <c r="B260" s="110">
        <v>158665</v>
      </c>
      <c r="C260" s="53" t="s">
        <v>1435</v>
      </c>
      <c r="D260" s="54" t="s">
        <v>1426</v>
      </c>
      <c r="E260" s="56" t="s">
        <v>974</v>
      </c>
      <c r="F260" s="64" t="s">
        <v>1329</v>
      </c>
    </row>
    <row r="261" spans="1:6" x14ac:dyDescent="0.2">
      <c r="A261" s="55" t="s">
        <v>4710</v>
      </c>
      <c r="B261" s="110" t="s">
        <v>1458</v>
      </c>
      <c r="C261" s="53">
        <v>9514</v>
      </c>
      <c r="D261" s="54" t="s">
        <v>1337</v>
      </c>
      <c r="E261" s="56" t="s">
        <v>900</v>
      </c>
      <c r="F261" s="57" t="s">
        <v>1109</v>
      </c>
    </row>
    <row r="262" spans="1:6" x14ac:dyDescent="0.2">
      <c r="A262" s="52" t="s">
        <v>4711</v>
      </c>
      <c r="B262" s="110" t="s">
        <v>1459</v>
      </c>
      <c r="C262" s="57">
        <v>9514</v>
      </c>
      <c r="D262" s="60" t="s">
        <v>1337</v>
      </c>
      <c r="E262" s="56" t="s">
        <v>882</v>
      </c>
      <c r="F262" s="64" t="s">
        <v>1460</v>
      </c>
    </row>
    <row r="263" spans="1:6" x14ac:dyDescent="0.2">
      <c r="A263" s="55" t="s">
        <v>1461</v>
      </c>
      <c r="B263" s="110" t="s">
        <v>1462</v>
      </c>
      <c r="C263" s="53">
        <v>9514</v>
      </c>
      <c r="D263" s="54" t="s">
        <v>1337</v>
      </c>
      <c r="E263" s="56" t="s">
        <v>886</v>
      </c>
      <c r="F263" s="57" t="s">
        <v>1255</v>
      </c>
    </row>
    <row r="264" spans="1:6" x14ac:dyDescent="0.2">
      <c r="A264" s="57" t="s">
        <v>1463</v>
      </c>
      <c r="B264" s="110" t="s">
        <v>1464</v>
      </c>
      <c r="C264" s="53">
        <v>9514</v>
      </c>
      <c r="D264" s="59" t="s">
        <v>1337</v>
      </c>
      <c r="E264" s="56" t="s">
        <v>1072</v>
      </c>
      <c r="F264" s="57" t="s">
        <v>1465</v>
      </c>
    </row>
    <row r="265" spans="1:6" ht="17.25" customHeight="1" x14ac:dyDescent="0.2">
      <c r="A265" s="55" t="s">
        <v>1466</v>
      </c>
      <c r="B265" s="110" t="s">
        <v>1467</v>
      </c>
      <c r="C265" s="57">
        <v>9514</v>
      </c>
      <c r="D265" s="60" t="s">
        <v>1426</v>
      </c>
      <c r="E265" s="56" t="s">
        <v>949</v>
      </c>
      <c r="F265" s="64" t="s">
        <v>1468</v>
      </c>
    </row>
    <row r="266" spans="1:6" ht="17.25" customHeight="1" x14ac:dyDescent="0.2">
      <c r="A266" s="55" t="s">
        <v>1469</v>
      </c>
      <c r="B266" s="110">
        <v>188601</v>
      </c>
      <c r="C266" s="53" t="s">
        <v>930</v>
      </c>
      <c r="D266" s="54" t="s">
        <v>4715</v>
      </c>
      <c r="E266" s="56" t="s">
        <v>254</v>
      </c>
      <c r="F266" s="57" t="s">
        <v>4716</v>
      </c>
    </row>
    <row r="267" spans="1:6" ht="17.45" customHeight="1" x14ac:dyDescent="0.2">
      <c r="A267" s="55" t="s">
        <v>1470</v>
      </c>
      <c r="B267" s="110">
        <v>188604</v>
      </c>
      <c r="C267" s="53" t="s">
        <v>930</v>
      </c>
      <c r="D267" s="54" t="s">
        <v>931</v>
      </c>
      <c r="E267" s="56" t="s">
        <v>905</v>
      </c>
      <c r="F267" s="57" t="s">
        <v>1471</v>
      </c>
    </row>
    <row r="268" spans="1:6" ht="17.45" customHeight="1" x14ac:dyDescent="0.2">
      <c r="A268" s="55" t="s">
        <v>4743</v>
      </c>
      <c r="B268" s="110">
        <v>228603</v>
      </c>
      <c r="C268" s="53" t="s">
        <v>930</v>
      </c>
      <c r="D268" s="54" t="s">
        <v>931</v>
      </c>
      <c r="E268" s="56" t="s">
        <v>905</v>
      </c>
      <c r="F268" s="57" t="s">
        <v>4744</v>
      </c>
    </row>
    <row r="269" spans="1:6" ht="17.45" customHeight="1" x14ac:dyDescent="0.2">
      <c r="A269" s="55" t="s">
        <v>1483</v>
      </c>
      <c r="B269" s="110">
        <v>218605</v>
      </c>
      <c r="C269" s="53" t="s">
        <v>1022</v>
      </c>
      <c r="D269" s="54" t="s">
        <v>1023</v>
      </c>
      <c r="E269" s="56" t="s">
        <v>905</v>
      </c>
      <c r="F269" s="55" t="s">
        <v>1484</v>
      </c>
    </row>
    <row r="270" spans="1:6" x14ac:dyDescent="0.2">
      <c r="A270" s="55" t="s">
        <v>1472</v>
      </c>
      <c r="B270" s="110" t="s">
        <v>1473</v>
      </c>
      <c r="C270" s="53">
        <v>8272</v>
      </c>
      <c r="D270" s="54" t="s">
        <v>1122</v>
      </c>
      <c r="E270" s="56" t="s">
        <v>900</v>
      </c>
      <c r="F270" s="57" t="s">
        <v>1479</v>
      </c>
    </row>
    <row r="271" spans="1:6" ht="31.5" x14ac:dyDescent="0.2">
      <c r="A271" s="55" t="s">
        <v>1474</v>
      </c>
      <c r="B271" s="110" t="s">
        <v>1475</v>
      </c>
      <c r="C271" s="53">
        <v>8272</v>
      </c>
      <c r="D271" s="54" t="s">
        <v>1476</v>
      </c>
      <c r="E271" s="56" t="s">
        <v>905</v>
      </c>
      <c r="F271" s="55" t="s">
        <v>4752</v>
      </c>
    </row>
    <row r="272" spans="1:6" x14ac:dyDescent="0.2">
      <c r="A272" s="55" t="s">
        <v>1477</v>
      </c>
      <c r="B272" s="110" t="s">
        <v>1478</v>
      </c>
      <c r="C272" s="53">
        <v>8272</v>
      </c>
      <c r="D272" s="54" t="s">
        <v>1112</v>
      </c>
      <c r="E272" s="56" t="s">
        <v>900</v>
      </c>
      <c r="F272" s="57" t="s">
        <v>1479</v>
      </c>
    </row>
    <row r="273" spans="1:6" ht="31.5" x14ac:dyDescent="0.2">
      <c r="A273" s="55" t="s">
        <v>1480</v>
      </c>
      <c r="B273" s="110" t="s">
        <v>1481</v>
      </c>
      <c r="C273" s="53">
        <v>8272</v>
      </c>
      <c r="D273" s="54" t="s">
        <v>1112</v>
      </c>
      <c r="E273" s="56" t="s">
        <v>905</v>
      </c>
      <c r="F273" s="55" t="s">
        <v>1482</v>
      </c>
    </row>
    <row r="274" spans="1:6" x14ac:dyDescent="0.2">
      <c r="A274" s="55" t="s">
        <v>1485</v>
      </c>
      <c r="B274" s="110" t="s">
        <v>1486</v>
      </c>
      <c r="C274" s="53">
        <v>8266</v>
      </c>
      <c r="D274" s="54" t="s">
        <v>933</v>
      </c>
      <c r="E274" s="56" t="s">
        <v>254</v>
      </c>
      <c r="F274" s="52" t="s">
        <v>1487</v>
      </c>
    </row>
    <row r="275" spans="1:6" x14ac:dyDescent="0.2">
      <c r="A275" s="55" t="s">
        <v>1488</v>
      </c>
      <c r="B275" s="110" t="s">
        <v>1489</v>
      </c>
      <c r="C275" s="53">
        <v>8279</v>
      </c>
      <c r="D275" s="54" t="s">
        <v>994</v>
      </c>
      <c r="E275" s="56" t="s">
        <v>905</v>
      </c>
      <c r="F275" s="57" t="s">
        <v>1201</v>
      </c>
    </row>
    <row r="276" spans="1:6" x14ac:dyDescent="0.2">
      <c r="A276" s="55" t="s">
        <v>1490</v>
      </c>
      <c r="B276" s="110" t="s">
        <v>1491</v>
      </c>
      <c r="C276" s="53">
        <v>8279</v>
      </c>
      <c r="D276" s="54" t="s">
        <v>994</v>
      </c>
      <c r="E276" s="56" t="s">
        <v>905</v>
      </c>
      <c r="F276" s="57" t="s">
        <v>1492</v>
      </c>
    </row>
    <row r="277" spans="1:6" x14ac:dyDescent="0.2">
      <c r="A277" s="55" t="s">
        <v>1493</v>
      </c>
      <c r="B277" s="110" t="s">
        <v>1494</v>
      </c>
      <c r="C277" s="53">
        <v>8279</v>
      </c>
      <c r="D277" s="54" t="s">
        <v>994</v>
      </c>
      <c r="E277" s="56" t="s">
        <v>905</v>
      </c>
      <c r="F277" s="57" t="s">
        <v>928</v>
      </c>
    </row>
    <row r="278" spans="1:6" x14ac:dyDescent="0.2">
      <c r="A278" s="55" t="s">
        <v>1495</v>
      </c>
      <c r="B278" s="110" t="s">
        <v>1496</v>
      </c>
      <c r="C278" s="53">
        <v>8266</v>
      </c>
      <c r="D278" s="54" t="s">
        <v>908</v>
      </c>
      <c r="E278" s="56" t="s">
        <v>900</v>
      </c>
      <c r="F278" s="57" t="s">
        <v>1352</v>
      </c>
    </row>
    <row r="279" spans="1:6" x14ac:dyDescent="0.2">
      <c r="A279" s="55" t="s">
        <v>1497</v>
      </c>
      <c r="B279" s="110" t="s">
        <v>1498</v>
      </c>
      <c r="C279" s="53">
        <v>8266</v>
      </c>
      <c r="D279" s="54" t="s">
        <v>933</v>
      </c>
      <c r="E279" s="56" t="s">
        <v>949</v>
      </c>
      <c r="F279" s="57" t="s">
        <v>1092</v>
      </c>
    </row>
    <row r="280" spans="1:6" x14ac:dyDescent="0.2">
      <c r="A280" s="55" t="s">
        <v>1499</v>
      </c>
      <c r="B280" s="110" t="s">
        <v>1500</v>
      </c>
      <c r="C280" s="53">
        <v>8266</v>
      </c>
      <c r="D280" s="54" t="s">
        <v>933</v>
      </c>
      <c r="E280" s="56" t="s">
        <v>900</v>
      </c>
      <c r="F280" s="57" t="s">
        <v>1163</v>
      </c>
    </row>
    <row r="281" spans="1:6" x14ac:dyDescent="0.2">
      <c r="A281" s="55" t="s">
        <v>1501</v>
      </c>
      <c r="B281" s="110" t="s">
        <v>1502</v>
      </c>
      <c r="C281" s="53">
        <v>8266</v>
      </c>
      <c r="D281" s="54" t="s">
        <v>912</v>
      </c>
      <c r="E281" s="56" t="s">
        <v>949</v>
      </c>
      <c r="F281" s="57" t="s">
        <v>1113</v>
      </c>
    </row>
    <row r="282" spans="1:6" x14ac:dyDescent="0.2">
      <c r="A282" s="55" t="s">
        <v>1503</v>
      </c>
      <c r="B282" s="110" t="s">
        <v>1504</v>
      </c>
      <c r="C282" s="53">
        <v>8266</v>
      </c>
      <c r="D282" s="54" t="s">
        <v>908</v>
      </c>
      <c r="E282" s="56" t="s">
        <v>900</v>
      </c>
      <c r="F282" s="57" t="s">
        <v>1079</v>
      </c>
    </row>
    <row r="283" spans="1:6" x14ac:dyDescent="0.2">
      <c r="A283" s="55" t="s">
        <v>1505</v>
      </c>
      <c r="B283" s="110" t="s">
        <v>1506</v>
      </c>
      <c r="C283" s="53">
        <v>8266</v>
      </c>
      <c r="D283" s="54" t="s">
        <v>912</v>
      </c>
      <c r="E283" s="56" t="s">
        <v>949</v>
      </c>
      <c r="F283" s="57" t="s">
        <v>1507</v>
      </c>
    </row>
    <row r="284" spans="1:6" x14ac:dyDescent="0.2">
      <c r="A284" s="57" t="s">
        <v>1508</v>
      </c>
      <c r="B284" s="110" t="s">
        <v>1509</v>
      </c>
      <c r="C284" s="53">
        <v>8266</v>
      </c>
      <c r="D284" s="59" t="s">
        <v>899</v>
      </c>
      <c r="E284" s="56" t="s">
        <v>1072</v>
      </c>
      <c r="F284" s="57" t="s">
        <v>1465</v>
      </c>
    </row>
    <row r="285" spans="1:6" x14ac:dyDescent="0.2">
      <c r="A285" s="55" t="s">
        <v>1510</v>
      </c>
      <c r="B285" s="110" t="s">
        <v>1511</v>
      </c>
      <c r="C285" s="53">
        <v>8266</v>
      </c>
      <c r="D285" s="54" t="s">
        <v>904</v>
      </c>
      <c r="E285" s="56" t="s">
        <v>949</v>
      </c>
      <c r="F285" s="57" t="s">
        <v>1005</v>
      </c>
    </row>
    <row r="286" spans="1:6" x14ac:dyDescent="0.2">
      <c r="A286" s="55"/>
      <c r="C286" s="53"/>
      <c r="D286" s="54"/>
      <c r="F286" s="57"/>
    </row>
    <row r="287" spans="1:6" x14ac:dyDescent="0.2">
      <c r="A287" s="128" t="s">
        <v>1603</v>
      </c>
      <c r="C287" s="53"/>
      <c r="D287" s="54"/>
      <c r="F287" s="57"/>
    </row>
    <row r="288" spans="1:6" x14ac:dyDescent="0.2">
      <c r="A288" s="55" t="s">
        <v>1615</v>
      </c>
      <c r="B288" s="110" t="s">
        <v>1610</v>
      </c>
      <c r="C288" s="53" t="s">
        <v>1001</v>
      </c>
      <c r="D288" s="54" t="s">
        <v>904</v>
      </c>
      <c r="F288" s="57"/>
    </row>
    <row r="289" spans="1:6" x14ac:dyDescent="0.2">
      <c r="A289" s="55" t="s">
        <v>1604</v>
      </c>
      <c r="B289" s="110" t="s">
        <v>1610</v>
      </c>
      <c r="C289" s="53" t="s">
        <v>1538</v>
      </c>
      <c r="D289" s="54" t="s">
        <v>1047</v>
      </c>
      <c r="F289" s="57"/>
    </row>
    <row r="290" spans="1:6" x14ac:dyDescent="0.2">
      <c r="A290" s="55" t="s">
        <v>1605</v>
      </c>
      <c r="B290" s="110" t="s">
        <v>1610</v>
      </c>
      <c r="C290" s="53" t="s">
        <v>1613</v>
      </c>
      <c r="D290" s="54" t="s">
        <v>931</v>
      </c>
      <c r="F290" s="57"/>
    </row>
    <row r="291" spans="1:6" x14ac:dyDescent="0.2">
      <c r="A291" s="55" t="s">
        <v>1606</v>
      </c>
      <c r="B291" s="110" t="s">
        <v>1610</v>
      </c>
      <c r="C291" s="53" t="s">
        <v>1534</v>
      </c>
      <c r="D291" s="54" t="s">
        <v>1614</v>
      </c>
      <c r="F291" s="57"/>
    </row>
    <row r="292" spans="1:6" x14ac:dyDescent="0.2">
      <c r="A292" s="55" t="s">
        <v>1607</v>
      </c>
      <c r="B292" s="110" t="s">
        <v>1610</v>
      </c>
      <c r="C292" s="53" t="s">
        <v>1534</v>
      </c>
      <c r="D292" s="54" t="s">
        <v>1614</v>
      </c>
      <c r="F292" s="57"/>
    </row>
    <row r="293" spans="1:6" x14ac:dyDescent="0.2">
      <c r="A293" s="55" t="s">
        <v>1608</v>
      </c>
      <c r="B293" s="110" t="s">
        <v>1610</v>
      </c>
      <c r="C293" s="53" t="s">
        <v>1435</v>
      </c>
      <c r="D293" s="54" t="s">
        <v>1442</v>
      </c>
      <c r="F293" s="57"/>
    </row>
    <row r="294" spans="1:6" x14ac:dyDescent="0.2">
      <c r="A294" s="55" t="s">
        <v>1609</v>
      </c>
      <c r="B294" s="110" t="s">
        <v>1610</v>
      </c>
      <c r="C294" s="53" t="s">
        <v>1612</v>
      </c>
      <c r="D294" s="54" t="s">
        <v>1611</v>
      </c>
      <c r="F294" s="57"/>
    </row>
    <row r="295" spans="1:6" x14ac:dyDescent="0.2">
      <c r="A295" s="55"/>
      <c r="C295" s="53"/>
      <c r="D295" s="54"/>
      <c r="F295" s="57"/>
    </row>
    <row r="296" spans="1:6" x14ac:dyDescent="0.2">
      <c r="A296" s="128" t="s">
        <v>1512</v>
      </c>
      <c r="C296" s="53"/>
      <c r="D296" s="54"/>
      <c r="F296" s="57"/>
    </row>
    <row r="297" spans="1:6" x14ac:dyDescent="0.2">
      <c r="A297" s="55" t="s">
        <v>1513</v>
      </c>
      <c r="B297" s="110">
        <v>28621</v>
      </c>
      <c r="C297" s="53" t="s">
        <v>1514</v>
      </c>
      <c r="D297" s="54" t="s">
        <v>1515</v>
      </c>
      <c r="E297" s="56" t="s">
        <v>1516</v>
      </c>
      <c r="F297" s="57"/>
    </row>
    <row r="298" spans="1:6" x14ac:dyDescent="0.2">
      <c r="A298" s="55" t="s">
        <v>1517</v>
      </c>
      <c r="B298" s="110">
        <v>28620</v>
      </c>
      <c r="C298" s="53" t="s">
        <v>1518</v>
      </c>
      <c r="D298" s="54" t="s">
        <v>1519</v>
      </c>
      <c r="E298" s="56" t="s">
        <v>1516</v>
      </c>
      <c r="F298" s="57"/>
    </row>
    <row r="299" spans="1:6" ht="12.75" x14ac:dyDescent="0.2">
      <c r="A299" s="49"/>
      <c r="B299" s="49"/>
      <c r="C299" s="49"/>
      <c r="D299" s="49"/>
      <c r="E299" s="49"/>
      <c r="F299" s="49"/>
    </row>
    <row r="300" spans="1:6" ht="12.75" x14ac:dyDescent="0.2">
      <c r="A300" s="175" t="s">
        <v>1520</v>
      </c>
      <c r="B300" s="49"/>
      <c r="C300" s="49"/>
      <c r="D300" s="49"/>
      <c r="E300" s="49"/>
      <c r="F300" s="49"/>
    </row>
    <row r="301" spans="1:6" x14ac:dyDescent="0.2">
      <c r="A301" s="52" t="s">
        <v>1521</v>
      </c>
      <c r="B301" s="110">
        <v>188101</v>
      </c>
      <c r="C301" s="52" t="s">
        <v>1522</v>
      </c>
      <c r="D301" s="60" t="s">
        <v>1523</v>
      </c>
      <c r="E301" s="56" t="s">
        <v>1524</v>
      </c>
      <c r="F301" s="64" t="s">
        <v>1525</v>
      </c>
    </row>
    <row r="302" spans="1:6" x14ac:dyDescent="0.2">
      <c r="A302" s="52" t="s">
        <v>1526</v>
      </c>
      <c r="B302" s="110">
        <v>188100</v>
      </c>
      <c r="C302" s="52" t="s">
        <v>1522</v>
      </c>
      <c r="D302" s="60" t="s">
        <v>1523</v>
      </c>
      <c r="E302" s="56" t="s">
        <v>1524</v>
      </c>
      <c r="F302" s="64" t="s">
        <v>1527</v>
      </c>
    </row>
    <row r="303" spans="1:6" x14ac:dyDescent="0.2">
      <c r="A303" s="52" t="s">
        <v>1528</v>
      </c>
      <c r="B303" s="110">
        <v>188104</v>
      </c>
      <c r="C303" s="52" t="s">
        <v>1529</v>
      </c>
      <c r="D303" s="60" t="s">
        <v>1530</v>
      </c>
      <c r="E303" s="56" t="s">
        <v>1524</v>
      </c>
      <c r="F303" s="64" t="s">
        <v>1531</v>
      </c>
    </row>
    <row r="304" spans="1:6" x14ac:dyDescent="0.2">
      <c r="A304" s="52" t="s">
        <v>1532</v>
      </c>
      <c r="B304" s="110">
        <v>188105</v>
      </c>
      <c r="C304" s="52" t="s">
        <v>1001</v>
      </c>
      <c r="D304" s="60" t="s">
        <v>1616</v>
      </c>
      <c r="E304" s="56" t="s">
        <v>1524</v>
      </c>
      <c r="F304" s="64" t="s">
        <v>1527</v>
      </c>
    </row>
    <row r="305" spans="1:11" x14ac:dyDescent="0.2">
      <c r="A305" s="52" t="s">
        <v>1533</v>
      </c>
      <c r="B305" s="110">
        <v>188108</v>
      </c>
      <c r="C305" s="52" t="s">
        <v>1534</v>
      </c>
      <c r="D305" s="54" t="s">
        <v>1519</v>
      </c>
      <c r="E305" s="56" t="s">
        <v>1524</v>
      </c>
      <c r="F305" s="64" t="s">
        <v>1525</v>
      </c>
    </row>
    <row r="306" spans="1:11" x14ac:dyDescent="0.2">
      <c r="A306" s="52" t="s">
        <v>1535</v>
      </c>
      <c r="B306" s="110">
        <v>188102</v>
      </c>
      <c r="C306" s="52" t="s">
        <v>1534</v>
      </c>
      <c r="D306" s="54" t="s">
        <v>1519</v>
      </c>
      <c r="E306" s="56" t="s">
        <v>1524</v>
      </c>
      <c r="F306" s="64" t="s">
        <v>1527</v>
      </c>
      <c r="H306"/>
      <c r="I306"/>
      <c r="J306"/>
      <c r="K306"/>
    </row>
    <row r="307" spans="1:11" x14ac:dyDescent="0.2">
      <c r="A307" s="52" t="s">
        <v>1536</v>
      </c>
      <c r="B307" s="110">
        <v>208101</v>
      </c>
      <c r="C307" s="52" t="s">
        <v>1435</v>
      </c>
      <c r="D307" s="60" t="s">
        <v>1442</v>
      </c>
      <c r="E307" s="56" t="s">
        <v>1524</v>
      </c>
      <c r="F307" s="64" t="s">
        <v>1531</v>
      </c>
      <c r="G307"/>
      <c r="H307"/>
      <c r="I307" s="112"/>
      <c r="J307"/>
      <c r="K307"/>
    </row>
    <row r="308" spans="1:11" x14ac:dyDescent="0.2">
      <c r="A308" s="52" t="s">
        <v>1537</v>
      </c>
      <c r="B308" s="110">
        <v>188103</v>
      </c>
      <c r="C308" s="52" t="s">
        <v>1538</v>
      </c>
      <c r="D308" s="60" t="s">
        <v>881</v>
      </c>
      <c r="E308" s="56" t="s">
        <v>1524</v>
      </c>
      <c r="F308" s="64" t="s">
        <v>1525</v>
      </c>
      <c r="G308"/>
      <c r="H308"/>
      <c r="I308" s="112"/>
      <c r="J308"/>
      <c r="K308"/>
    </row>
    <row r="309" spans="1:11" ht="13.5" x14ac:dyDescent="0.2">
      <c r="A309" s="49"/>
      <c r="B309"/>
      <c r="C309"/>
      <c r="D309"/>
      <c r="E309"/>
      <c r="F309" s="49"/>
      <c r="G309" s="112"/>
      <c r="H309"/>
      <c r="I309"/>
      <c r="J309"/>
      <c r="K309"/>
    </row>
    <row r="310" spans="1:11" ht="13.5" x14ac:dyDescent="0.2">
      <c r="A310" s="49"/>
      <c r="B310"/>
      <c r="C310"/>
      <c r="D310"/>
      <c r="E310"/>
      <c r="F310" s="49"/>
      <c r="G310" s="112"/>
      <c r="H310"/>
      <c r="I310"/>
      <c r="J310"/>
      <c r="K310"/>
    </row>
    <row r="311" spans="1:11" ht="13.5" x14ac:dyDescent="0.2">
      <c r="A311" s="49"/>
      <c r="B311" s="112"/>
      <c r="C311"/>
      <c r="D311"/>
      <c r="E311"/>
      <c r="F311" s="49"/>
      <c r="G311" s="114"/>
      <c r="H311" s="114"/>
      <c r="I311"/>
      <c r="J311"/>
      <c r="K311"/>
    </row>
    <row r="312" spans="1:11" ht="13.5" x14ac:dyDescent="0.2">
      <c r="A312" s="49"/>
      <c r="B312"/>
      <c r="C312"/>
      <c r="D312" s="113"/>
      <c r="E312" s="113"/>
      <c r="F312" s="49"/>
      <c r="G312"/>
      <c r="H312"/>
      <c r="I312" s="112"/>
      <c r="J312"/>
      <c r="K312"/>
    </row>
    <row r="313" spans="1:11" ht="13.5" x14ac:dyDescent="0.2">
      <c r="A313" s="49"/>
      <c r="B313" s="112"/>
      <c r="C313" s="112"/>
      <c r="D313"/>
      <c r="E313"/>
      <c r="F313" s="49"/>
      <c r="G313"/>
      <c r="H313"/>
      <c r="I313" s="112"/>
      <c r="J313"/>
      <c r="K313"/>
    </row>
    <row r="314" spans="1:11" ht="13.5" x14ac:dyDescent="0.2">
      <c r="A314" s="49"/>
      <c r="B314" s="112"/>
      <c r="C314"/>
      <c r="D314"/>
      <c r="E314"/>
      <c r="F314" s="49"/>
      <c r="G314" s="112"/>
      <c r="H314"/>
      <c r="I314"/>
      <c r="J314"/>
      <c r="K314"/>
    </row>
    <row r="315" spans="1:11" ht="13.5" x14ac:dyDescent="0.2">
      <c r="A315" s="49"/>
      <c r="B315"/>
      <c r="C315"/>
      <c r="D315"/>
      <c r="E315"/>
      <c r="F315" s="49"/>
      <c r="G315" s="112"/>
      <c r="H315"/>
      <c r="I315"/>
      <c r="J315"/>
      <c r="K315"/>
    </row>
    <row r="316" spans="1:11" ht="13.5" x14ac:dyDescent="0.2">
      <c r="A316" s="49"/>
      <c r="B316"/>
      <c r="C316"/>
      <c r="D316"/>
      <c r="E316"/>
      <c r="F316" s="49"/>
      <c r="G316" s="112"/>
      <c r="H316" s="112"/>
      <c r="I316"/>
      <c r="J316"/>
      <c r="K316"/>
    </row>
    <row r="317" spans="1:11" ht="13.5" x14ac:dyDescent="0.2">
      <c r="A317" s="49"/>
      <c r="B317"/>
      <c r="C317"/>
      <c r="D317"/>
      <c r="E317"/>
      <c r="F317" s="49"/>
      <c r="G317"/>
      <c r="H317"/>
      <c r="I317" s="112"/>
      <c r="J317"/>
      <c r="K317"/>
    </row>
    <row r="318" spans="1:11" ht="13.5" x14ac:dyDescent="0.2">
      <c r="A318" s="49"/>
      <c r="B318" s="49"/>
      <c r="C318" s="49"/>
      <c r="D318" s="49"/>
      <c r="E318" s="49"/>
      <c r="F318" s="49"/>
      <c r="G318" s="115"/>
      <c r="H318"/>
      <c r="I318"/>
      <c r="J318"/>
      <c r="K318"/>
    </row>
    <row r="319" spans="1:11" x14ac:dyDescent="0.2">
      <c r="G319" s="115"/>
      <c r="H319"/>
      <c r="I319"/>
      <c r="J319"/>
      <c r="K319"/>
    </row>
    <row r="320" spans="1:11" x14ac:dyDescent="0.2">
      <c r="G320" s="115"/>
      <c r="H320"/>
      <c r="I320"/>
      <c r="J320"/>
      <c r="K320"/>
    </row>
    <row r="321" spans="7:11" x14ac:dyDescent="0.2">
      <c r="G321" s="112"/>
      <c r="H321"/>
      <c r="I321"/>
      <c r="J321"/>
      <c r="K321"/>
    </row>
    <row r="322" spans="7:11" x14ac:dyDescent="0.2">
      <c r="G322" s="112"/>
      <c r="H322" s="112"/>
      <c r="I322"/>
      <c r="J322"/>
      <c r="K322"/>
    </row>
    <row r="323" spans="7:11" x14ac:dyDescent="0.2">
      <c r="G323" s="112"/>
      <c r="H323"/>
      <c r="I323"/>
      <c r="J323"/>
      <c r="K323"/>
    </row>
    <row r="324" spans="7:11" x14ac:dyDescent="0.2">
      <c r="G324"/>
      <c r="H324" s="112"/>
      <c r="I324"/>
      <c r="J324"/>
      <c r="K324"/>
    </row>
    <row r="325" spans="7:11" x14ac:dyDescent="0.2">
      <c r="G325" s="112"/>
      <c r="H325"/>
      <c r="I325"/>
      <c r="J325"/>
      <c r="K325"/>
    </row>
  </sheetData>
  <sheetProtection selectLockedCells="1" selectUnlockedCells="1"/>
  <sortState xmlns:xlrd2="http://schemas.microsoft.com/office/spreadsheetml/2017/richdata2" ref="A1:F285">
    <sortCondition ref="A1:A285"/>
  </sortState>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G25"/>
  <sheetViews>
    <sheetView workbookViewId="0">
      <selection activeCell="M17" sqref="M17:P17"/>
    </sheetView>
  </sheetViews>
  <sheetFormatPr defaultRowHeight="12.75" x14ac:dyDescent="0.2"/>
  <cols>
    <col min="1" max="17" width="3.140625" customWidth="1"/>
    <col min="18" max="18" width="5.28515625" customWidth="1"/>
    <col min="19" max="19" width="3.140625" customWidth="1"/>
    <col min="20" max="20" width="6.140625" customWidth="1"/>
    <col min="21" max="22" width="3.140625" customWidth="1"/>
    <col min="23" max="23" width="10.42578125" customWidth="1"/>
    <col min="24" max="36" width="3.140625" customWidth="1"/>
  </cols>
  <sheetData>
    <row r="1" spans="1:33" ht="20.25" x14ac:dyDescent="0.3">
      <c r="A1" s="485" t="s">
        <v>1539</v>
      </c>
      <c r="B1" s="485"/>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row>
    <row r="2" spans="1:33" ht="12.75" customHeight="1" x14ac:dyDescent="0.2">
      <c r="A2" s="188"/>
      <c r="B2" s="14"/>
      <c r="C2" s="14"/>
      <c r="D2" s="14"/>
      <c r="E2" s="14"/>
      <c r="F2" s="14"/>
      <c r="G2" s="14"/>
      <c r="H2" s="14"/>
      <c r="I2" s="14"/>
      <c r="J2" s="14"/>
      <c r="K2" s="14"/>
      <c r="L2" s="14"/>
      <c r="M2" s="14"/>
      <c r="N2" s="14"/>
      <c r="O2" s="14"/>
      <c r="P2" s="14"/>
      <c r="Q2" s="14"/>
      <c r="R2" s="14"/>
      <c r="S2" s="14"/>
      <c r="T2" s="14"/>
      <c r="U2" s="14"/>
      <c r="V2" s="14"/>
      <c r="W2" s="14"/>
    </row>
    <row r="3" spans="1:33" x14ac:dyDescent="0.2">
      <c r="A3" t="s">
        <v>1540</v>
      </c>
      <c r="H3" s="487">
        <f>CMDS!G2</f>
        <v>0</v>
      </c>
      <c r="I3" s="319"/>
      <c r="J3" s="319"/>
      <c r="K3" s="319"/>
      <c r="L3" s="319"/>
      <c r="M3" s="319"/>
      <c r="N3" s="319"/>
      <c r="O3" s="319"/>
      <c r="P3" s="319"/>
    </row>
    <row r="4" spans="1:33" x14ac:dyDescent="0.2">
      <c r="A4" t="s">
        <v>1541</v>
      </c>
      <c r="G4" s="487">
        <f>CMDS!G5</f>
        <v>0</v>
      </c>
      <c r="H4" s="319"/>
      <c r="I4" s="319"/>
      <c r="J4" s="319"/>
      <c r="K4" s="319"/>
      <c r="L4" s="319"/>
      <c r="M4" s="319"/>
      <c r="N4" s="319"/>
    </row>
    <row r="5" spans="1:33" x14ac:dyDescent="0.2">
      <c r="A5" t="s">
        <v>1542</v>
      </c>
      <c r="F5" s="319">
        <f>CMDS!V6</f>
        <v>0</v>
      </c>
      <c r="G5" s="319"/>
      <c r="H5" s="319"/>
      <c r="I5" s="319"/>
      <c r="J5" s="319"/>
      <c r="K5" s="319"/>
      <c r="L5" s="319"/>
      <c r="M5" s="319"/>
    </row>
    <row r="7" spans="1:33" x14ac:dyDescent="0.2">
      <c r="A7" t="s">
        <v>1543</v>
      </c>
      <c r="G7" s="1009">
        <f>CMDS!E30</f>
        <v>0</v>
      </c>
      <c r="H7" s="319"/>
      <c r="I7" s="319"/>
    </row>
    <row r="8" spans="1:33" x14ac:dyDescent="0.2">
      <c r="A8" t="s">
        <v>1544</v>
      </c>
      <c r="G8" s="377">
        <f>CMDS!E31+CMDS!E32+CMDS!E33</f>
        <v>0</v>
      </c>
      <c r="H8" s="299"/>
      <c r="I8" s="299"/>
    </row>
    <row r="9" spans="1:33" x14ac:dyDescent="0.2">
      <c r="G9" s="1"/>
      <c r="H9" s="1"/>
      <c r="I9" s="1"/>
    </row>
    <row r="10" spans="1:33" x14ac:dyDescent="0.2">
      <c r="A10" s="4" t="s">
        <v>1545</v>
      </c>
    </row>
    <row r="11" spans="1:33" x14ac:dyDescent="0.2">
      <c r="A11" t="s">
        <v>1546</v>
      </c>
    </row>
    <row r="12" spans="1:33" x14ac:dyDescent="0.2">
      <c r="A12" t="s">
        <v>1547</v>
      </c>
    </row>
    <row r="14" spans="1:33" x14ac:dyDescent="0.2">
      <c r="A14" s="312" t="s">
        <v>1548</v>
      </c>
      <c r="B14" s="313"/>
      <c r="C14" s="313"/>
      <c r="D14" s="313"/>
      <c r="E14" s="313"/>
      <c r="F14" s="324"/>
      <c r="G14" s="312" t="s">
        <v>1549</v>
      </c>
      <c r="H14" s="313"/>
      <c r="I14" s="324"/>
      <c r="J14" s="312" t="s">
        <v>1550</v>
      </c>
      <c r="K14" s="313"/>
      <c r="L14" s="324"/>
      <c r="M14" s="312" t="s">
        <v>10</v>
      </c>
      <c r="N14" s="313"/>
      <c r="O14" s="313"/>
      <c r="P14" s="324"/>
      <c r="Q14" s="477" t="s">
        <v>61</v>
      </c>
      <c r="R14" s="324"/>
      <c r="S14" s="312" t="s">
        <v>61</v>
      </c>
      <c r="T14" s="324"/>
      <c r="U14" s="1011" t="s">
        <v>1551</v>
      </c>
      <c r="V14" s="768"/>
      <c r="W14" s="806"/>
      <c r="X14" s="312" t="s">
        <v>1552</v>
      </c>
      <c r="Y14" s="313"/>
      <c r="Z14" s="313"/>
      <c r="AA14" s="313"/>
      <c r="AB14" s="313"/>
      <c r="AC14" s="313"/>
      <c r="AD14" s="313"/>
      <c r="AE14" s="313"/>
      <c r="AF14" s="313"/>
      <c r="AG14" s="324"/>
    </row>
    <row r="15" spans="1:33" x14ac:dyDescent="0.2">
      <c r="A15" s="15"/>
      <c r="B15" s="189"/>
      <c r="C15" s="189"/>
      <c r="D15" s="189"/>
      <c r="E15" s="189"/>
      <c r="F15" s="189"/>
      <c r="G15" s="318" t="s">
        <v>1553</v>
      </c>
      <c r="H15" s="319"/>
      <c r="I15" s="391"/>
      <c r="J15" s="318" t="s">
        <v>1554</v>
      </c>
      <c r="K15" s="319"/>
      <c r="L15" s="391"/>
      <c r="M15" s="318" t="s">
        <v>1555</v>
      </c>
      <c r="N15" s="319"/>
      <c r="O15" s="319"/>
      <c r="P15" s="391"/>
      <c r="Q15" s="318" t="s">
        <v>1556</v>
      </c>
      <c r="R15" s="391"/>
      <c r="S15" s="1008" t="s">
        <v>1557</v>
      </c>
      <c r="T15" s="391"/>
      <c r="U15" s="1012" t="s">
        <v>1558</v>
      </c>
      <c r="V15" s="545"/>
      <c r="W15" s="546"/>
      <c r="X15" s="15"/>
      <c r="Y15" s="189"/>
      <c r="Z15" s="189"/>
      <c r="AA15" s="189"/>
      <c r="AB15" s="189"/>
      <c r="AC15" s="189"/>
      <c r="AD15" s="189"/>
      <c r="AE15" s="189"/>
      <c r="AF15" s="189"/>
      <c r="AG15" s="16"/>
    </row>
    <row r="16" spans="1:33" ht="25.5" customHeight="1" x14ac:dyDescent="0.2">
      <c r="A16" s="1010">
        <f>CMDS!V3</f>
        <v>0</v>
      </c>
      <c r="B16" s="996"/>
      <c r="C16" s="996"/>
      <c r="D16" s="996"/>
      <c r="E16" s="996"/>
      <c r="F16" s="996"/>
      <c r="G16" s="997">
        <f>CMDS!Z48</f>
        <v>0</v>
      </c>
      <c r="H16" s="997"/>
      <c r="I16" s="997"/>
      <c r="J16" s="296">
        <f>CMDS!V2</f>
        <v>0</v>
      </c>
      <c r="K16" s="296"/>
      <c r="L16" s="296"/>
      <c r="M16" s="296">
        <f>CMDS!G6</f>
        <v>0</v>
      </c>
      <c r="N16" s="296"/>
      <c r="O16" s="296"/>
      <c r="P16" s="296"/>
      <c r="Q16" s="363" t="str">
        <f>CMDS!AA38</f>
        <v/>
      </c>
      <c r="R16" s="365"/>
      <c r="S16" s="420" t="str">
        <f>CMDS!AA39</f>
        <v>ERROR!</v>
      </c>
      <c r="T16" s="422"/>
      <c r="U16" s="1005">
        <f>CMDS!Z49</f>
        <v>0</v>
      </c>
      <c r="V16" s="1006"/>
      <c r="W16" s="1007"/>
      <c r="X16" s="1013"/>
      <c r="Y16" s="1000"/>
      <c r="Z16" s="1000"/>
      <c r="AA16" s="1000"/>
      <c r="AB16" s="1000"/>
      <c r="AC16" s="1000"/>
      <c r="AD16" s="1000"/>
      <c r="AE16" s="1000"/>
      <c r="AF16" s="1000"/>
      <c r="AG16" s="1001"/>
    </row>
    <row r="17" spans="1:33" ht="25.5" customHeight="1" x14ac:dyDescent="0.2">
      <c r="A17" s="996"/>
      <c r="B17" s="996"/>
      <c r="C17" s="996"/>
      <c r="D17" s="996"/>
      <c r="E17" s="996"/>
      <c r="F17" s="996"/>
      <c r="G17" s="997"/>
      <c r="H17" s="997"/>
      <c r="I17" s="997"/>
      <c r="J17" s="296"/>
      <c r="K17" s="296"/>
      <c r="L17" s="296"/>
      <c r="M17" s="296"/>
      <c r="N17" s="296"/>
      <c r="O17" s="296"/>
      <c r="P17" s="296"/>
      <c r="Q17" s="363"/>
      <c r="R17" s="365"/>
      <c r="S17" s="420"/>
      <c r="T17" s="422"/>
      <c r="U17" s="1002"/>
      <c r="V17" s="1003"/>
      <c r="W17" s="1004"/>
      <c r="X17" s="999"/>
      <c r="Y17" s="1000"/>
      <c r="Z17" s="1000"/>
      <c r="AA17" s="1000"/>
      <c r="AB17" s="1000"/>
      <c r="AC17" s="1000"/>
      <c r="AD17" s="1000"/>
      <c r="AE17" s="1000"/>
      <c r="AF17" s="1000"/>
      <c r="AG17" s="1001"/>
    </row>
    <row r="18" spans="1:33" ht="25.5" customHeight="1" x14ac:dyDescent="0.2">
      <c r="A18" s="996"/>
      <c r="B18" s="996"/>
      <c r="C18" s="996"/>
      <c r="D18" s="996"/>
      <c r="E18" s="996"/>
      <c r="F18" s="996"/>
      <c r="G18" s="997"/>
      <c r="H18" s="997"/>
      <c r="I18" s="997"/>
      <c r="J18" s="296"/>
      <c r="K18" s="296"/>
      <c r="L18" s="296"/>
      <c r="M18" s="296"/>
      <c r="N18" s="296"/>
      <c r="O18" s="296"/>
      <c r="P18" s="296"/>
      <c r="Q18" s="363"/>
      <c r="R18" s="365"/>
      <c r="S18" s="420"/>
      <c r="T18" s="422"/>
      <c r="U18" s="1002"/>
      <c r="V18" s="1003"/>
      <c r="W18" s="1004"/>
      <c r="X18" s="999"/>
      <c r="Y18" s="1000"/>
      <c r="Z18" s="1000"/>
      <c r="AA18" s="1000"/>
      <c r="AB18" s="1000"/>
      <c r="AC18" s="1000"/>
      <c r="AD18" s="1000"/>
      <c r="AE18" s="1000"/>
      <c r="AF18" s="1000"/>
      <c r="AG18" s="1001"/>
    </row>
    <row r="19" spans="1:33" ht="25.5" customHeight="1" x14ac:dyDescent="0.2">
      <c r="A19" s="996"/>
      <c r="B19" s="996"/>
      <c r="C19" s="996"/>
      <c r="D19" s="996"/>
      <c r="E19" s="996"/>
      <c r="F19" s="996"/>
      <c r="G19" s="997"/>
      <c r="H19" s="997"/>
      <c r="I19" s="997"/>
      <c r="J19" s="296"/>
      <c r="K19" s="296"/>
      <c r="L19" s="296"/>
      <c r="M19" s="296"/>
      <c r="N19" s="296"/>
      <c r="O19" s="296"/>
      <c r="P19" s="296"/>
      <c r="Q19" s="363"/>
      <c r="R19" s="365"/>
      <c r="S19" s="420"/>
      <c r="T19" s="422"/>
      <c r="U19" s="1002"/>
      <c r="V19" s="1003"/>
      <c r="W19" s="1004"/>
      <c r="X19" s="999"/>
      <c r="Y19" s="1000"/>
      <c r="Z19" s="1000"/>
      <c r="AA19" s="1000"/>
      <c r="AB19" s="1000"/>
      <c r="AC19" s="1000"/>
      <c r="AD19" s="1000"/>
      <c r="AE19" s="1000"/>
      <c r="AF19" s="1000"/>
      <c r="AG19" s="1001"/>
    </row>
    <row r="20" spans="1:33" ht="25.5" customHeight="1" x14ac:dyDescent="0.2">
      <c r="A20" s="996"/>
      <c r="B20" s="996"/>
      <c r="C20" s="996"/>
      <c r="D20" s="996"/>
      <c r="E20" s="996"/>
      <c r="F20" s="996"/>
      <c r="G20" s="997"/>
      <c r="H20" s="997"/>
      <c r="I20" s="997"/>
      <c r="J20" s="296"/>
      <c r="K20" s="296"/>
      <c r="L20" s="296"/>
      <c r="M20" s="296"/>
      <c r="N20" s="296"/>
      <c r="O20" s="296"/>
      <c r="P20" s="296"/>
      <c r="Q20" s="363"/>
      <c r="R20" s="365"/>
      <c r="S20" s="420"/>
      <c r="T20" s="422"/>
      <c r="U20" s="1002"/>
      <c r="V20" s="1003"/>
      <c r="W20" s="1004"/>
      <c r="X20" s="999"/>
      <c r="Y20" s="1000"/>
      <c r="Z20" s="1000"/>
      <c r="AA20" s="1000"/>
      <c r="AB20" s="1000"/>
      <c r="AC20" s="1000"/>
      <c r="AD20" s="1000"/>
      <c r="AE20" s="1000"/>
      <c r="AF20" s="1000"/>
      <c r="AG20" s="1001"/>
    </row>
    <row r="21" spans="1:33" ht="25.5" customHeight="1" x14ac:dyDescent="0.2">
      <c r="A21" s="996"/>
      <c r="B21" s="996"/>
      <c r="C21" s="996"/>
      <c r="D21" s="996"/>
      <c r="E21" s="996"/>
      <c r="F21" s="996"/>
      <c r="G21" s="997"/>
      <c r="H21" s="997"/>
      <c r="I21" s="997"/>
      <c r="J21" s="296"/>
      <c r="K21" s="296"/>
      <c r="L21" s="296"/>
      <c r="M21" s="296"/>
      <c r="N21" s="296"/>
      <c r="O21" s="296"/>
      <c r="P21" s="296"/>
      <c r="Q21" s="995"/>
      <c r="R21" s="995"/>
      <c r="S21" s="998"/>
      <c r="T21" s="998"/>
      <c r="U21" s="997"/>
      <c r="V21" s="997"/>
      <c r="W21" s="997"/>
      <c r="X21" s="996"/>
      <c r="Y21" s="996"/>
      <c r="Z21" s="996"/>
      <c r="AA21" s="996"/>
      <c r="AB21" s="996"/>
      <c r="AC21" s="996"/>
      <c r="AD21" s="996"/>
      <c r="AE21" s="996"/>
      <c r="AF21" s="996"/>
      <c r="AG21" s="996"/>
    </row>
    <row r="22" spans="1:33" ht="25.5" customHeight="1" x14ac:dyDescent="0.2">
      <c r="A22" s="996"/>
      <c r="B22" s="996"/>
      <c r="C22" s="996"/>
      <c r="D22" s="996"/>
      <c r="E22" s="996"/>
      <c r="F22" s="996"/>
      <c r="G22" s="997"/>
      <c r="H22" s="997"/>
      <c r="I22" s="997"/>
      <c r="J22" s="296"/>
      <c r="K22" s="296"/>
      <c r="L22" s="296"/>
      <c r="M22" s="296"/>
      <c r="N22" s="296"/>
      <c r="O22" s="296"/>
      <c r="P22" s="296"/>
      <c r="Q22" s="995"/>
      <c r="R22" s="995"/>
      <c r="S22" s="998"/>
      <c r="T22" s="998"/>
      <c r="U22" s="997"/>
      <c r="V22" s="997"/>
      <c r="W22" s="997"/>
      <c r="X22" s="996"/>
      <c r="Y22" s="996"/>
      <c r="Z22" s="996"/>
      <c r="AA22" s="996"/>
      <c r="AB22" s="996"/>
      <c r="AC22" s="996"/>
      <c r="AD22" s="996"/>
      <c r="AE22" s="996"/>
      <c r="AF22" s="996"/>
      <c r="AG22" s="996"/>
    </row>
    <row r="23" spans="1:33" ht="25.5" customHeight="1" x14ac:dyDescent="0.2">
      <c r="A23" s="996"/>
      <c r="B23" s="996"/>
      <c r="C23" s="996"/>
      <c r="D23" s="996"/>
      <c r="E23" s="996"/>
      <c r="F23" s="996"/>
      <c r="G23" s="997"/>
      <c r="H23" s="997"/>
      <c r="I23" s="997"/>
      <c r="J23" s="296"/>
      <c r="K23" s="296"/>
      <c r="L23" s="296"/>
      <c r="M23" s="296"/>
      <c r="N23" s="296"/>
      <c r="O23" s="296"/>
      <c r="P23" s="296"/>
      <c r="Q23" s="995"/>
      <c r="R23" s="995"/>
      <c r="S23" s="998"/>
      <c r="T23" s="998"/>
      <c r="U23" s="997"/>
      <c r="V23" s="997"/>
      <c r="W23" s="997"/>
      <c r="X23" s="996"/>
      <c r="Y23" s="996"/>
      <c r="Z23" s="996"/>
      <c r="AA23" s="996"/>
      <c r="AB23" s="996"/>
      <c r="AC23" s="996"/>
      <c r="AD23" s="996"/>
      <c r="AE23" s="996"/>
      <c r="AF23" s="996"/>
      <c r="AG23" s="996"/>
    </row>
    <row r="24" spans="1:33" ht="25.5" customHeight="1" x14ac:dyDescent="0.2">
      <c r="A24" s="996"/>
      <c r="B24" s="996"/>
      <c r="C24" s="996"/>
      <c r="D24" s="996"/>
      <c r="E24" s="996"/>
      <c r="F24" s="996"/>
      <c r="G24" s="997"/>
      <c r="H24" s="997"/>
      <c r="I24" s="997"/>
      <c r="J24" s="296"/>
      <c r="K24" s="296"/>
      <c r="L24" s="296"/>
      <c r="M24" s="296"/>
      <c r="N24" s="296"/>
      <c r="O24" s="296"/>
      <c r="P24" s="296"/>
      <c r="Q24" s="995"/>
      <c r="R24" s="995"/>
      <c r="S24" s="998"/>
      <c r="T24" s="998"/>
      <c r="U24" s="997"/>
      <c r="V24" s="997"/>
      <c r="W24" s="997"/>
      <c r="X24" s="996"/>
      <c r="Y24" s="996"/>
      <c r="Z24" s="996"/>
      <c r="AA24" s="996"/>
      <c r="AB24" s="996"/>
      <c r="AC24" s="996"/>
      <c r="AD24" s="996"/>
      <c r="AE24" s="996"/>
      <c r="AF24" s="996"/>
      <c r="AG24" s="996"/>
    </row>
    <row r="25" spans="1:33" ht="25.5" customHeight="1" x14ac:dyDescent="0.2">
      <c r="A25" s="996"/>
      <c r="B25" s="996"/>
      <c r="C25" s="996"/>
      <c r="D25" s="996"/>
      <c r="E25" s="996"/>
      <c r="F25" s="996"/>
      <c r="G25" s="997"/>
      <c r="H25" s="997"/>
      <c r="I25" s="997"/>
      <c r="J25" s="296"/>
      <c r="K25" s="296"/>
      <c r="L25" s="296"/>
      <c r="M25" s="296"/>
      <c r="N25" s="296"/>
      <c r="O25" s="296"/>
      <c r="P25" s="296"/>
      <c r="Q25" s="995"/>
      <c r="R25" s="995"/>
      <c r="S25" s="998"/>
      <c r="T25" s="998"/>
      <c r="U25" s="997"/>
      <c r="V25" s="997"/>
      <c r="W25" s="997"/>
      <c r="X25" s="996"/>
      <c r="Y25" s="996"/>
      <c r="Z25" s="996"/>
      <c r="AA25" s="996"/>
      <c r="AB25" s="996"/>
      <c r="AC25" s="996"/>
      <c r="AD25" s="996"/>
      <c r="AE25" s="996"/>
      <c r="AF25" s="996"/>
      <c r="AG25" s="996"/>
    </row>
  </sheetData>
  <sheetProtection algorithmName="SHA-512" hashValue="ypEy5HteBHcx6PVP6/QROEgba53DIazxotiTmo+fsCsLUA99FI7q7idibyf72SXhxpnLr2zwQ8wnjOHCYcYUYQ==" saltValue="wSyflcEhJICD0zTxXHvM9Q==" spinCount="100000" sheet="1"/>
  <mergeCells count="100">
    <mergeCell ref="X14:AG14"/>
    <mergeCell ref="M14:P14"/>
    <mergeCell ref="M15:P15"/>
    <mergeCell ref="Q21:R21"/>
    <mergeCell ref="Q22:R22"/>
    <mergeCell ref="Q17:R17"/>
    <mergeCell ref="S17:T17"/>
    <mergeCell ref="U14:W14"/>
    <mergeCell ref="U15:W15"/>
    <mergeCell ref="Q14:R14"/>
    <mergeCell ref="S16:T16"/>
    <mergeCell ref="X17:AG17"/>
    <mergeCell ref="X18:AG18"/>
    <mergeCell ref="U17:W17"/>
    <mergeCell ref="U18:W18"/>
    <mergeCell ref="X16:AG16"/>
    <mergeCell ref="G16:I16"/>
    <mergeCell ref="J16:L16"/>
    <mergeCell ref="M16:P16"/>
    <mergeCell ref="A17:F17"/>
    <mergeCell ref="G17:I17"/>
    <mergeCell ref="J17:L17"/>
    <mergeCell ref="A16:F16"/>
    <mergeCell ref="M17:P17"/>
    <mergeCell ref="A1:AG1"/>
    <mergeCell ref="G7:I7"/>
    <mergeCell ref="G8:I8"/>
    <mergeCell ref="H3:P3"/>
    <mergeCell ref="G4:N4"/>
    <mergeCell ref="F5:M5"/>
    <mergeCell ref="A14:F14"/>
    <mergeCell ref="J14:L14"/>
    <mergeCell ref="G14:I14"/>
    <mergeCell ref="S14:T14"/>
    <mergeCell ref="S15:T15"/>
    <mergeCell ref="G15:I15"/>
    <mergeCell ref="Q15:R15"/>
    <mergeCell ref="J15:L15"/>
    <mergeCell ref="U16:W16"/>
    <mergeCell ref="Q18:R18"/>
    <mergeCell ref="M18:P18"/>
    <mergeCell ref="J23:L23"/>
    <mergeCell ref="S21:T21"/>
    <mergeCell ref="S18:T18"/>
    <mergeCell ref="M21:P21"/>
    <mergeCell ref="Q19:R19"/>
    <mergeCell ref="Q20:R20"/>
    <mergeCell ref="J21:L21"/>
    <mergeCell ref="Q16:R16"/>
    <mergeCell ref="G21:I21"/>
    <mergeCell ref="G22:I22"/>
    <mergeCell ref="X19:AG19"/>
    <mergeCell ref="U19:W19"/>
    <mergeCell ref="U20:W20"/>
    <mergeCell ref="J22:L22"/>
    <mergeCell ref="S19:T19"/>
    <mergeCell ref="S22:T22"/>
    <mergeCell ref="A18:F18"/>
    <mergeCell ref="G18:I18"/>
    <mergeCell ref="J18:L18"/>
    <mergeCell ref="S24:T24"/>
    <mergeCell ref="U21:W21"/>
    <mergeCell ref="S20:T20"/>
    <mergeCell ref="Q24:R24"/>
    <mergeCell ref="S23:T23"/>
    <mergeCell ref="A19:F19"/>
    <mergeCell ref="G19:I19"/>
    <mergeCell ref="J19:L19"/>
    <mergeCell ref="M19:P19"/>
    <mergeCell ref="Q23:R23"/>
    <mergeCell ref="A21:F21"/>
    <mergeCell ref="A22:F22"/>
    <mergeCell ref="A23:F23"/>
    <mergeCell ref="G25:I25"/>
    <mergeCell ref="A25:F25"/>
    <mergeCell ref="J25:L25"/>
    <mergeCell ref="M22:P22"/>
    <mergeCell ref="M23:P23"/>
    <mergeCell ref="J24:L24"/>
    <mergeCell ref="G23:I23"/>
    <mergeCell ref="G24:I24"/>
    <mergeCell ref="M24:P24"/>
    <mergeCell ref="M25:P25"/>
    <mergeCell ref="A24:F24"/>
    <mergeCell ref="Q25:R25"/>
    <mergeCell ref="X25:AG25"/>
    <mergeCell ref="A20:F20"/>
    <mergeCell ref="G20:I20"/>
    <mergeCell ref="J20:L20"/>
    <mergeCell ref="M20:P20"/>
    <mergeCell ref="U22:W22"/>
    <mergeCell ref="U23:W23"/>
    <mergeCell ref="U24:W24"/>
    <mergeCell ref="U25:W25"/>
    <mergeCell ref="S25:T25"/>
    <mergeCell ref="X22:AG22"/>
    <mergeCell ref="X23:AG23"/>
    <mergeCell ref="X20:AG20"/>
    <mergeCell ref="X21:AG21"/>
    <mergeCell ref="X24:AG24"/>
  </mergeCells>
  <phoneticPr fontId="9" type="noConversion"/>
  <pageMargins left="0.75" right="0.75" top="1" bottom="1" header="0.5" footer="0.5"/>
  <pageSetup scale="9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626C6-6D62-4B60-A171-40B1AB728ED9}">
  <sheetPr codeName="Sheet12"/>
  <dimension ref="A1:H990"/>
  <sheetViews>
    <sheetView workbookViewId="0">
      <pane ySplit="1" topLeftCell="A422" activePane="bottomLeft" state="frozen"/>
      <selection pane="bottomLeft" activeCell="A19" sqref="A19:XFD20"/>
    </sheetView>
  </sheetViews>
  <sheetFormatPr defaultRowHeight="12.75" x14ac:dyDescent="0.2"/>
  <cols>
    <col min="1" max="1" width="96" style="41" bestFit="1" customWidth="1"/>
    <col min="2" max="2" width="8.28515625" style="14" bestFit="1" customWidth="1"/>
    <col min="3" max="3" width="10.28515625" bestFit="1" customWidth="1"/>
    <col min="4" max="4" width="79" bestFit="1" customWidth="1"/>
    <col min="5" max="5" width="5.5703125" bestFit="1" customWidth="1"/>
    <col min="6" max="6" width="5.140625" bestFit="1" customWidth="1"/>
    <col min="7" max="7" width="39.7109375" bestFit="1" customWidth="1"/>
    <col min="8" max="8" width="15.7109375" customWidth="1"/>
  </cols>
  <sheetData>
    <row r="1" spans="1:8" ht="45" x14ac:dyDescent="0.2">
      <c r="A1" s="267" t="s">
        <v>3680</v>
      </c>
      <c r="B1" s="265" t="s">
        <v>3171</v>
      </c>
      <c r="C1" s="245" t="s">
        <v>3172</v>
      </c>
      <c r="D1" s="245" t="s">
        <v>175</v>
      </c>
      <c r="E1" s="245" t="s">
        <v>3173</v>
      </c>
      <c r="F1" s="245" t="s">
        <v>157</v>
      </c>
      <c r="G1" s="245" t="s">
        <v>3174</v>
      </c>
      <c r="H1" s="246" t="s">
        <v>3175</v>
      </c>
    </row>
    <row r="2" spans="1:8" ht="15" customHeight="1" x14ac:dyDescent="0.2">
      <c r="A2" s="41" t="s">
        <v>4303</v>
      </c>
      <c r="B2" s="266" t="s">
        <v>3436</v>
      </c>
      <c r="C2" s="247" t="s">
        <v>2587</v>
      </c>
      <c r="D2" s="247" t="s">
        <v>2586</v>
      </c>
      <c r="E2" s="247" t="s">
        <v>3196</v>
      </c>
      <c r="F2" s="247" t="s">
        <v>3178</v>
      </c>
      <c r="G2" s="247" t="s">
        <v>3179</v>
      </c>
      <c r="H2" s="247" t="s">
        <v>3180</v>
      </c>
    </row>
    <row r="3" spans="1:8" ht="15" customHeight="1" x14ac:dyDescent="0.2">
      <c r="A3" s="41" t="s">
        <v>4302</v>
      </c>
      <c r="B3" s="266" t="s">
        <v>3436</v>
      </c>
      <c r="C3" s="247" t="s">
        <v>2420</v>
      </c>
      <c r="D3" s="247" t="s">
        <v>2419</v>
      </c>
      <c r="E3" s="247" t="s">
        <v>3196</v>
      </c>
      <c r="F3" s="247" t="s">
        <v>3178</v>
      </c>
      <c r="G3" s="247" t="s">
        <v>3179</v>
      </c>
      <c r="H3" s="247" t="s">
        <v>3180</v>
      </c>
    </row>
    <row r="4" spans="1:8" ht="15" customHeight="1" x14ac:dyDescent="0.2">
      <c r="A4" s="41" t="s">
        <v>4304</v>
      </c>
      <c r="B4" s="266" t="s">
        <v>3436</v>
      </c>
      <c r="C4" s="247" t="s">
        <v>2588</v>
      </c>
      <c r="D4" s="247" t="s">
        <v>3437</v>
      </c>
      <c r="E4" s="247" t="s">
        <v>3196</v>
      </c>
      <c r="F4" s="247" t="s">
        <v>3178</v>
      </c>
      <c r="G4" s="247" t="s">
        <v>3179</v>
      </c>
      <c r="H4" s="247" t="s">
        <v>3180</v>
      </c>
    </row>
    <row r="5" spans="1:8" ht="15" customHeight="1" x14ac:dyDescent="0.2">
      <c r="A5" s="41" t="s">
        <v>4305</v>
      </c>
      <c r="B5" s="266" t="s">
        <v>3436</v>
      </c>
      <c r="C5" s="247" t="s">
        <v>2590</v>
      </c>
      <c r="D5" s="247" t="s">
        <v>2589</v>
      </c>
      <c r="E5" s="247" t="s">
        <v>3196</v>
      </c>
      <c r="F5" s="247" t="s">
        <v>3178</v>
      </c>
      <c r="G5" s="247" t="s">
        <v>3179</v>
      </c>
      <c r="H5" s="247" t="s">
        <v>3180</v>
      </c>
    </row>
    <row r="6" spans="1:8" ht="15" customHeight="1" x14ac:dyDescent="0.2">
      <c r="A6" s="41" t="s">
        <v>4562</v>
      </c>
      <c r="B6" s="266" t="s">
        <v>3637</v>
      </c>
      <c r="C6" s="247" t="s">
        <v>2085</v>
      </c>
      <c r="D6" s="247" t="s">
        <v>2084</v>
      </c>
      <c r="E6" s="247" t="s">
        <v>3208</v>
      </c>
      <c r="F6" s="247" t="s">
        <v>3178</v>
      </c>
      <c r="G6" s="247" t="s">
        <v>3179</v>
      </c>
      <c r="H6" s="247" t="s">
        <v>3180</v>
      </c>
    </row>
    <row r="7" spans="1:8" ht="15" customHeight="1" x14ac:dyDescent="0.2">
      <c r="A7" s="41" t="s">
        <v>4581</v>
      </c>
      <c r="B7" s="266" t="s">
        <v>3637</v>
      </c>
      <c r="C7" s="247" t="s">
        <v>3121</v>
      </c>
      <c r="D7" s="247" t="s">
        <v>3644</v>
      </c>
      <c r="E7" s="247" t="s">
        <v>3208</v>
      </c>
      <c r="F7" s="247" t="s">
        <v>3182</v>
      </c>
      <c r="G7" s="247" t="s">
        <v>3179</v>
      </c>
      <c r="H7" s="247" t="s">
        <v>3180</v>
      </c>
    </row>
    <row r="8" spans="1:8" ht="15" customHeight="1" x14ac:dyDescent="0.2">
      <c r="A8" s="41" t="s">
        <v>4564</v>
      </c>
      <c r="B8" s="266" t="s">
        <v>3637</v>
      </c>
      <c r="C8" s="247" t="s">
        <v>1763</v>
      </c>
      <c r="D8" s="247" t="s">
        <v>1762</v>
      </c>
      <c r="E8" s="247" t="s">
        <v>3208</v>
      </c>
      <c r="F8" s="247" t="s">
        <v>3178</v>
      </c>
      <c r="G8" s="247" t="s">
        <v>3179</v>
      </c>
      <c r="H8" s="247" t="s">
        <v>3180</v>
      </c>
    </row>
    <row r="9" spans="1:8" ht="15" customHeight="1" x14ac:dyDescent="0.2">
      <c r="A9" s="41" t="s">
        <v>4582</v>
      </c>
      <c r="B9" s="266" t="s">
        <v>3637</v>
      </c>
      <c r="C9" s="247" t="s">
        <v>2244</v>
      </c>
      <c r="D9" s="247" t="s">
        <v>3645</v>
      </c>
      <c r="E9" s="247" t="s">
        <v>3208</v>
      </c>
      <c r="F9" s="247" t="s">
        <v>3182</v>
      </c>
      <c r="G9" s="247" t="s">
        <v>3179</v>
      </c>
      <c r="H9" s="247" t="s">
        <v>3180</v>
      </c>
    </row>
    <row r="10" spans="1:8" ht="15" customHeight="1" x14ac:dyDescent="0.2">
      <c r="A10" s="41" t="s">
        <v>4563</v>
      </c>
      <c r="B10" s="266" t="s">
        <v>3637</v>
      </c>
      <c r="C10" s="247" t="s">
        <v>1813</v>
      </c>
      <c r="D10" s="247" t="s">
        <v>1812</v>
      </c>
      <c r="E10" s="247" t="s">
        <v>3208</v>
      </c>
      <c r="F10" s="247" t="s">
        <v>3178</v>
      </c>
      <c r="G10" s="247" t="s">
        <v>3179</v>
      </c>
      <c r="H10" s="247" t="s">
        <v>3180</v>
      </c>
    </row>
    <row r="11" spans="1:8" ht="15" customHeight="1" x14ac:dyDescent="0.2">
      <c r="A11" s="41" t="s">
        <v>4583</v>
      </c>
      <c r="B11" s="266" t="s">
        <v>3637</v>
      </c>
      <c r="C11" s="247" t="s">
        <v>3122</v>
      </c>
      <c r="D11" s="247" t="s">
        <v>3646</v>
      </c>
      <c r="E11" s="247" t="s">
        <v>3208</v>
      </c>
      <c r="F11" s="247" t="s">
        <v>3182</v>
      </c>
      <c r="G11" s="247" t="s">
        <v>3179</v>
      </c>
      <c r="H11" s="247" t="s">
        <v>3180</v>
      </c>
    </row>
    <row r="12" spans="1:8" ht="15" customHeight="1" x14ac:dyDescent="0.2">
      <c r="A12" s="41" t="s">
        <v>4568</v>
      </c>
      <c r="B12" s="266" t="s">
        <v>3637</v>
      </c>
      <c r="C12" s="247" t="s">
        <v>2243</v>
      </c>
      <c r="D12" s="247" t="s">
        <v>2242</v>
      </c>
      <c r="E12" s="247" t="s">
        <v>3208</v>
      </c>
      <c r="F12" s="247" t="s">
        <v>3178</v>
      </c>
      <c r="G12" s="247" t="s">
        <v>3179</v>
      </c>
      <c r="H12" s="247" t="s">
        <v>3180</v>
      </c>
    </row>
    <row r="13" spans="1:8" ht="15" customHeight="1" x14ac:dyDescent="0.2">
      <c r="A13" s="41" t="s">
        <v>4570</v>
      </c>
      <c r="B13" s="266" t="s">
        <v>3637</v>
      </c>
      <c r="C13" s="247" t="s">
        <v>1862</v>
      </c>
      <c r="D13" s="247" t="s">
        <v>1861</v>
      </c>
      <c r="E13" s="247" t="s">
        <v>3208</v>
      </c>
      <c r="F13" s="247" t="s">
        <v>3178</v>
      </c>
      <c r="G13" s="247" t="s">
        <v>3179</v>
      </c>
      <c r="H13" s="247" t="s">
        <v>3180</v>
      </c>
    </row>
    <row r="14" spans="1:8" ht="15" customHeight="1" x14ac:dyDescent="0.2">
      <c r="A14" s="41" t="s">
        <v>4569</v>
      </c>
      <c r="B14" s="266" t="s">
        <v>3637</v>
      </c>
      <c r="C14" s="247" t="s">
        <v>2055</v>
      </c>
      <c r="D14" s="247" t="s">
        <v>2054</v>
      </c>
      <c r="E14" s="247" t="s">
        <v>3208</v>
      </c>
      <c r="F14" s="247" t="s">
        <v>3178</v>
      </c>
      <c r="G14" s="247" t="s">
        <v>3179</v>
      </c>
      <c r="H14" s="247" t="s">
        <v>3180</v>
      </c>
    </row>
    <row r="15" spans="1:8" ht="15" customHeight="1" x14ac:dyDescent="0.2">
      <c r="A15" s="41" t="s">
        <v>4315</v>
      </c>
      <c r="B15" s="266" t="s">
        <v>3446</v>
      </c>
      <c r="C15" s="247" t="s">
        <v>1925</v>
      </c>
      <c r="D15" s="247" t="s">
        <v>1924</v>
      </c>
      <c r="E15" s="247" t="s">
        <v>3177</v>
      </c>
      <c r="F15" s="247" t="s">
        <v>3182</v>
      </c>
      <c r="G15" s="247" t="s">
        <v>3179</v>
      </c>
      <c r="H15" s="247" t="s">
        <v>3180</v>
      </c>
    </row>
    <row r="16" spans="1:8" ht="15" customHeight="1" x14ac:dyDescent="0.2">
      <c r="A16" s="41" t="s">
        <v>4314</v>
      </c>
      <c r="B16" s="266" t="s">
        <v>3446</v>
      </c>
      <c r="C16" s="247" t="s">
        <v>1650</v>
      </c>
      <c r="D16" s="247" t="s">
        <v>3447</v>
      </c>
      <c r="E16" s="247" t="s">
        <v>3448</v>
      </c>
      <c r="F16" s="247" t="s">
        <v>3178</v>
      </c>
      <c r="G16" s="247" t="s">
        <v>3449</v>
      </c>
      <c r="H16" s="247" t="s">
        <v>3180</v>
      </c>
    </row>
    <row r="17" spans="1:8" ht="15" customHeight="1" x14ac:dyDescent="0.2">
      <c r="A17" s="41" t="s">
        <v>4317</v>
      </c>
      <c r="B17" s="266" t="s">
        <v>3446</v>
      </c>
      <c r="C17" s="247" t="s">
        <v>1788</v>
      </c>
      <c r="D17" s="247" t="s">
        <v>1787</v>
      </c>
      <c r="E17" s="247" t="s">
        <v>3253</v>
      </c>
      <c r="F17" s="247" t="s">
        <v>3178</v>
      </c>
      <c r="G17" s="247" t="s">
        <v>3179</v>
      </c>
      <c r="H17" s="247" t="s">
        <v>3180</v>
      </c>
    </row>
    <row r="18" spans="1:8" ht="15" customHeight="1" x14ac:dyDescent="0.2">
      <c r="A18" s="41" t="s">
        <v>4313</v>
      </c>
      <c r="B18" s="266" t="s">
        <v>3446</v>
      </c>
      <c r="C18" s="247" t="s">
        <v>1670</v>
      </c>
      <c r="D18" s="247" t="s">
        <v>1669</v>
      </c>
      <c r="E18" s="247" t="s">
        <v>3177</v>
      </c>
      <c r="F18" s="247" t="s">
        <v>3178</v>
      </c>
      <c r="G18" s="247" t="s">
        <v>3179</v>
      </c>
      <c r="H18" s="247" t="s">
        <v>3180</v>
      </c>
    </row>
    <row r="19" spans="1:8" ht="15" customHeight="1" x14ac:dyDescent="0.2">
      <c r="A19" s="41" t="s">
        <v>4695</v>
      </c>
      <c r="B19" s="266">
        <v>722</v>
      </c>
      <c r="C19" s="247" t="s">
        <v>4696</v>
      </c>
      <c r="D19" s="247" t="s">
        <v>4697</v>
      </c>
      <c r="E19" s="247" t="s">
        <v>3253</v>
      </c>
      <c r="F19" s="247" t="s">
        <v>4698</v>
      </c>
      <c r="G19" s="247"/>
      <c r="H19" s="247" t="s">
        <v>3180</v>
      </c>
    </row>
    <row r="20" spans="1:8" ht="15" customHeight="1" x14ac:dyDescent="0.2">
      <c r="A20" s="41" t="s">
        <v>4699</v>
      </c>
      <c r="B20" s="266">
        <v>722</v>
      </c>
      <c r="C20" s="247" t="s">
        <v>4700</v>
      </c>
      <c r="D20" s="247" t="s">
        <v>4701</v>
      </c>
      <c r="E20" s="247" t="s">
        <v>3253</v>
      </c>
      <c r="F20" s="247" t="s">
        <v>3178</v>
      </c>
      <c r="G20" s="247"/>
      <c r="H20" s="247" t="s">
        <v>3180</v>
      </c>
    </row>
    <row r="21" spans="1:8" ht="15" customHeight="1" x14ac:dyDescent="0.2">
      <c r="A21" s="41" t="s">
        <v>4543</v>
      </c>
      <c r="B21" s="266" t="s">
        <v>3613</v>
      </c>
      <c r="C21" s="247" t="s">
        <v>2181</v>
      </c>
      <c r="D21" s="247" t="s">
        <v>3618</v>
      </c>
      <c r="E21" s="247" t="s">
        <v>3196</v>
      </c>
      <c r="F21" s="247" t="s">
        <v>3178</v>
      </c>
      <c r="G21" s="247" t="s">
        <v>3179</v>
      </c>
      <c r="H21" s="247" t="s">
        <v>3180</v>
      </c>
    </row>
    <row r="22" spans="1:8" ht="15" customHeight="1" x14ac:dyDescent="0.2">
      <c r="A22" s="41" t="s">
        <v>4541</v>
      </c>
      <c r="B22" s="266" t="s">
        <v>3613</v>
      </c>
      <c r="C22" s="247" t="s">
        <v>2331</v>
      </c>
      <c r="D22" s="247" t="s">
        <v>3616</v>
      </c>
      <c r="E22" s="247" t="s">
        <v>3196</v>
      </c>
      <c r="F22" s="247" t="s">
        <v>3178</v>
      </c>
      <c r="G22" s="247" t="s">
        <v>3179</v>
      </c>
      <c r="H22" s="247" t="s">
        <v>3180</v>
      </c>
    </row>
    <row r="23" spans="1:8" ht="15" customHeight="1" x14ac:dyDescent="0.2">
      <c r="A23" s="41" t="s">
        <v>4539</v>
      </c>
      <c r="B23" s="266" t="s">
        <v>3613</v>
      </c>
      <c r="C23" s="247" t="s">
        <v>1747</v>
      </c>
      <c r="D23" s="247" t="s">
        <v>3614</v>
      </c>
      <c r="E23" s="247" t="s">
        <v>3196</v>
      </c>
      <c r="F23" s="247" t="s">
        <v>3178</v>
      </c>
      <c r="G23" s="247" t="s">
        <v>3179</v>
      </c>
      <c r="H23" s="247" t="s">
        <v>3180</v>
      </c>
    </row>
    <row r="24" spans="1:8" ht="15" customHeight="1" x14ac:dyDescent="0.2">
      <c r="A24" s="41" t="s">
        <v>4542</v>
      </c>
      <c r="B24" s="266" t="s">
        <v>3613</v>
      </c>
      <c r="C24" s="247" t="s">
        <v>2051</v>
      </c>
      <c r="D24" s="247" t="s">
        <v>3617</v>
      </c>
      <c r="E24" s="247" t="s">
        <v>3196</v>
      </c>
      <c r="F24" s="247" t="s">
        <v>3178</v>
      </c>
      <c r="G24" s="247" t="s">
        <v>3179</v>
      </c>
      <c r="H24" s="247" t="s">
        <v>3180</v>
      </c>
    </row>
    <row r="25" spans="1:8" ht="15" customHeight="1" x14ac:dyDescent="0.2">
      <c r="A25" s="41" t="s">
        <v>4540</v>
      </c>
      <c r="B25" s="266" t="s">
        <v>3613</v>
      </c>
      <c r="C25" s="247" t="s">
        <v>2180</v>
      </c>
      <c r="D25" s="247" t="s">
        <v>3615</v>
      </c>
      <c r="E25" s="247" t="s">
        <v>3196</v>
      </c>
      <c r="F25" s="247" t="s">
        <v>3178</v>
      </c>
      <c r="G25" s="247" t="s">
        <v>3179</v>
      </c>
      <c r="H25" s="247" t="s">
        <v>3180</v>
      </c>
    </row>
    <row r="26" spans="1:8" ht="15" customHeight="1" x14ac:dyDescent="0.2">
      <c r="A26" s="41" t="s">
        <v>3881</v>
      </c>
      <c r="B26" s="266" t="s">
        <v>3258</v>
      </c>
      <c r="C26" s="247" t="s">
        <v>2497</v>
      </c>
      <c r="D26" s="247" t="s">
        <v>2496</v>
      </c>
      <c r="E26" s="247" t="s">
        <v>3196</v>
      </c>
      <c r="F26" s="247" t="s">
        <v>3199</v>
      </c>
      <c r="G26" s="247" t="s">
        <v>3259</v>
      </c>
      <c r="H26" s="247" t="s">
        <v>3180</v>
      </c>
    </row>
    <row r="27" spans="1:8" ht="15" customHeight="1" x14ac:dyDescent="0.2">
      <c r="A27" s="41" t="s">
        <v>3885</v>
      </c>
      <c r="B27" s="266" t="s">
        <v>3258</v>
      </c>
      <c r="C27" s="247" t="s">
        <v>2359</v>
      </c>
      <c r="D27" s="247" t="s">
        <v>3262</v>
      </c>
      <c r="E27" s="247" t="s">
        <v>3213</v>
      </c>
      <c r="F27" s="247" t="s">
        <v>3199</v>
      </c>
      <c r="G27" s="247" t="s">
        <v>3263</v>
      </c>
      <c r="H27" s="247" t="s">
        <v>3180</v>
      </c>
    </row>
    <row r="28" spans="1:8" ht="15" customHeight="1" x14ac:dyDescent="0.2">
      <c r="A28" s="41" t="s">
        <v>3882</v>
      </c>
      <c r="B28" s="266" t="s">
        <v>3258</v>
      </c>
      <c r="C28" s="247" t="s">
        <v>1752</v>
      </c>
      <c r="D28" s="247" t="s">
        <v>1751</v>
      </c>
      <c r="E28" s="247" t="s">
        <v>3196</v>
      </c>
      <c r="F28" s="247" t="s">
        <v>3199</v>
      </c>
      <c r="G28" s="247" t="s">
        <v>3259</v>
      </c>
      <c r="H28" s="247" t="s">
        <v>3180</v>
      </c>
    </row>
    <row r="29" spans="1:8" ht="15" customHeight="1" x14ac:dyDescent="0.2">
      <c r="A29" s="41" t="s">
        <v>3886</v>
      </c>
      <c r="B29" s="266" t="s">
        <v>3258</v>
      </c>
      <c r="C29" s="247" t="s">
        <v>1832</v>
      </c>
      <c r="D29" s="247" t="s">
        <v>3264</v>
      </c>
      <c r="E29" s="247" t="s">
        <v>3213</v>
      </c>
      <c r="F29" s="247" t="s">
        <v>3199</v>
      </c>
      <c r="G29" s="247" t="s">
        <v>3263</v>
      </c>
      <c r="H29" s="247" t="s">
        <v>3180</v>
      </c>
    </row>
    <row r="30" spans="1:8" ht="15" customHeight="1" x14ac:dyDescent="0.2">
      <c r="A30" s="41" t="s">
        <v>4561</v>
      </c>
      <c r="B30" s="266" t="s">
        <v>3637</v>
      </c>
      <c r="C30" s="247" t="s">
        <v>1938</v>
      </c>
      <c r="D30" s="247" t="s">
        <v>3638</v>
      </c>
      <c r="E30" s="247" t="s">
        <v>3208</v>
      </c>
      <c r="F30" s="247" t="s">
        <v>3178</v>
      </c>
      <c r="G30" s="247" t="s">
        <v>3179</v>
      </c>
      <c r="H30" s="247" t="s">
        <v>3180</v>
      </c>
    </row>
    <row r="31" spans="1:8" ht="15" customHeight="1" x14ac:dyDescent="0.2">
      <c r="A31" s="41" t="s">
        <v>4565</v>
      </c>
      <c r="B31" s="266" t="s">
        <v>3637</v>
      </c>
      <c r="C31" s="247" t="s">
        <v>2241</v>
      </c>
      <c r="D31" s="247" t="s">
        <v>2240</v>
      </c>
      <c r="E31" s="247" t="s">
        <v>3208</v>
      </c>
      <c r="F31" s="247" t="s">
        <v>3178</v>
      </c>
      <c r="G31" s="247" t="s">
        <v>3179</v>
      </c>
      <c r="H31" s="247" t="s">
        <v>3180</v>
      </c>
    </row>
    <row r="32" spans="1:8" ht="15" customHeight="1" x14ac:dyDescent="0.2">
      <c r="A32" s="41" t="s">
        <v>4567</v>
      </c>
      <c r="B32" s="266" t="s">
        <v>3637</v>
      </c>
      <c r="C32" s="247" t="s">
        <v>1726</v>
      </c>
      <c r="D32" s="247" t="s">
        <v>1725</v>
      </c>
      <c r="E32" s="247" t="s">
        <v>3208</v>
      </c>
      <c r="F32" s="247" t="s">
        <v>3178</v>
      </c>
      <c r="G32" s="247" t="s">
        <v>3179</v>
      </c>
      <c r="H32" s="247" t="s">
        <v>3180</v>
      </c>
    </row>
    <row r="33" spans="1:8" ht="15" customHeight="1" x14ac:dyDescent="0.2">
      <c r="A33" s="41" t="s">
        <v>4566</v>
      </c>
      <c r="B33" s="266" t="s">
        <v>3637</v>
      </c>
      <c r="C33" s="247" t="s">
        <v>1940</v>
      </c>
      <c r="D33" s="247" t="s">
        <v>1939</v>
      </c>
      <c r="E33" s="247" t="s">
        <v>3208</v>
      </c>
      <c r="F33" s="247" t="s">
        <v>3178</v>
      </c>
      <c r="G33" s="247" t="s">
        <v>3179</v>
      </c>
      <c r="H33" s="247" t="s">
        <v>3180</v>
      </c>
    </row>
    <row r="34" spans="1:8" ht="15" customHeight="1" x14ac:dyDescent="0.2">
      <c r="A34" s="41" t="s">
        <v>4574</v>
      </c>
      <c r="B34" s="266" t="s">
        <v>3637</v>
      </c>
      <c r="C34" s="247" t="s">
        <v>1856</v>
      </c>
      <c r="D34" s="247" t="s">
        <v>1855</v>
      </c>
      <c r="E34" s="247" t="s">
        <v>3208</v>
      </c>
      <c r="F34" s="247" t="s">
        <v>3178</v>
      </c>
      <c r="G34" s="247" t="s">
        <v>3179</v>
      </c>
      <c r="H34" s="247" t="s">
        <v>3180</v>
      </c>
    </row>
    <row r="35" spans="1:8" ht="15" customHeight="1" x14ac:dyDescent="0.2">
      <c r="A35" s="41" t="s">
        <v>3810</v>
      </c>
      <c r="B35" s="266" t="s">
        <v>3212</v>
      </c>
      <c r="C35" s="247" t="s">
        <v>2193</v>
      </c>
      <c r="D35" s="247" t="s">
        <v>1931</v>
      </c>
      <c r="E35" s="247" t="s">
        <v>3196</v>
      </c>
      <c r="F35" s="247" t="s">
        <v>3178</v>
      </c>
      <c r="G35" s="247" t="s">
        <v>3179</v>
      </c>
      <c r="H35" s="247" t="s">
        <v>3180</v>
      </c>
    </row>
    <row r="36" spans="1:8" ht="15" customHeight="1" x14ac:dyDescent="0.2">
      <c r="A36" s="41" t="s">
        <v>3817</v>
      </c>
      <c r="B36" s="266" t="s">
        <v>3212</v>
      </c>
      <c r="C36" s="247" t="s">
        <v>1932</v>
      </c>
      <c r="D36" s="247" t="s">
        <v>1931</v>
      </c>
      <c r="E36" s="247" t="s">
        <v>3177</v>
      </c>
      <c r="F36" s="247" t="s">
        <v>3178</v>
      </c>
      <c r="G36" s="247" t="s">
        <v>3179</v>
      </c>
      <c r="H36" s="247" t="s">
        <v>3180</v>
      </c>
    </row>
    <row r="37" spans="1:8" ht="15" customHeight="1" x14ac:dyDescent="0.2">
      <c r="A37" s="41" t="s">
        <v>3811</v>
      </c>
      <c r="B37" s="266" t="s">
        <v>3212</v>
      </c>
      <c r="C37" s="247" t="s">
        <v>1942</v>
      </c>
      <c r="D37" s="247" t="s">
        <v>1847</v>
      </c>
      <c r="E37" s="247" t="s">
        <v>3196</v>
      </c>
      <c r="F37" s="247" t="s">
        <v>3178</v>
      </c>
      <c r="G37" s="247" t="s">
        <v>3179</v>
      </c>
      <c r="H37" s="247" t="s">
        <v>3180</v>
      </c>
    </row>
    <row r="38" spans="1:8" ht="15" customHeight="1" x14ac:dyDescent="0.2">
      <c r="A38" s="41" t="s">
        <v>3818</v>
      </c>
      <c r="B38" s="266" t="s">
        <v>3212</v>
      </c>
      <c r="C38" s="247" t="s">
        <v>1848</v>
      </c>
      <c r="D38" s="247" t="s">
        <v>1847</v>
      </c>
      <c r="E38" s="247" t="s">
        <v>3177</v>
      </c>
      <c r="F38" s="247" t="s">
        <v>3178</v>
      </c>
      <c r="G38" s="247" t="s">
        <v>3179</v>
      </c>
      <c r="H38" s="247" t="s">
        <v>3180</v>
      </c>
    </row>
    <row r="39" spans="1:8" ht="15" customHeight="1" x14ac:dyDescent="0.2">
      <c r="A39" s="41" t="s">
        <v>3814</v>
      </c>
      <c r="B39" s="266" t="s">
        <v>3212</v>
      </c>
      <c r="C39" s="247" t="s">
        <v>2267</v>
      </c>
      <c r="D39" s="247" t="s">
        <v>2266</v>
      </c>
      <c r="E39" s="247" t="s">
        <v>3196</v>
      </c>
      <c r="F39" s="247" t="s">
        <v>3178</v>
      </c>
      <c r="G39" s="247" t="s">
        <v>3179</v>
      </c>
      <c r="H39" s="247" t="s">
        <v>3180</v>
      </c>
    </row>
    <row r="40" spans="1:8" ht="15" customHeight="1" x14ac:dyDescent="0.2">
      <c r="A40" s="41" t="s">
        <v>3812</v>
      </c>
      <c r="B40" s="266" t="s">
        <v>3212</v>
      </c>
      <c r="C40" s="247" t="s">
        <v>1904</v>
      </c>
      <c r="D40" s="247" t="s">
        <v>1796</v>
      </c>
      <c r="E40" s="247" t="s">
        <v>3196</v>
      </c>
      <c r="F40" s="247" t="s">
        <v>3178</v>
      </c>
      <c r="G40" s="247" t="s">
        <v>3179</v>
      </c>
      <c r="H40" s="247" t="s">
        <v>3180</v>
      </c>
    </row>
    <row r="41" spans="1:8" ht="15" customHeight="1" x14ac:dyDescent="0.2">
      <c r="A41" s="41" t="s">
        <v>3819</v>
      </c>
      <c r="B41" s="266" t="s">
        <v>3212</v>
      </c>
      <c r="C41" s="247" t="s">
        <v>1797</v>
      </c>
      <c r="D41" s="247" t="s">
        <v>1796</v>
      </c>
      <c r="E41" s="247" t="s">
        <v>3177</v>
      </c>
      <c r="F41" s="247" t="s">
        <v>3178</v>
      </c>
      <c r="G41" s="247" t="s">
        <v>3179</v>
      </c>
      <c r="H41" s="247" t="s">
        <v>3180</v>
      </c>
    </row>
    <row r="42" spans="1:8" ht="15" customHeight="1" x14ac:dyDescent="0.2">
      <c r="A42" s="41" t="s">
        <v>3815</v>
      </c>
      <c r="B42" s="266" t="s">
        <v>3212</v>
      </c>
      <c r="C42" s="247" t="s">
        <v>2013</v>
      </c>
      <c r="D42" s="247" t="s">
        <v>2012</v>
      </c>
      <c r="E42" s="247" t="s">
        <v>3196</v>
      </c>
      <c r="F42" s="247" t="s">
        <v>3178</v>
      </c>
      <c r="G42" s="247" t="s">
        <v>3179</v>
      </c>
      <c r="H42" s="247" t="s">
        <v>3180</v>
      </c>
    </row>
    <row r="43" spans="1:8" ht="15" customHeight="1" x14ac:dyDescent="0.2">
      <c r="A43" s="41" t="s">
        <v>3813</v>
      </c>
      <c r="B43" s="266" t="s">
        <v>3212</v>
      </c>
      <c r="C43" s="247" t="s">
        <v>1803</v>
      </c>
      <c r="D43" s="247" t="s">
        <v>1679</v>
      </c>
      <c r="E43" s="247" t="s">
        <v>3196</v>
      </c>
      <c r="F43" s="247" t="s">
        <v>3178</v>
      </c>
      <c r="G43" s="247" t="s">
        <v>3179</v>
      </c>
      <c r="H43" s="247" t="s">
        <v>3180</v>
      </c>
    </row>
    <row r="44" spans="1:8" ht="15" customHeight="1" x14ac:dyDescent="0.2">
      <c r="A44" s="41" t="s">
        <v>3820</v>
      </c>
      <c r="B44" s="266" t="s">
        <v>3212</v>
      </c>
      <c r="C44" s="247" t="s">
        <v>1680</v>
      </c>
      <c r="D44" s="247" t="s">
        <v>1679</v>
      </c>
      <c r="E44" s="247" t="s">
        <v>3177</v>
      </c>
      <c r="F44" s="247" t="s">
        <v>3178</v>
      </c>
      <c r="G44" s="247" t="s">
        <v>3179</v>
      </c>
      <c r="H44" s="247" t="s">
        <v>3180</v>
      </c>
    </row>
    <row r="45" spans="1:8" ht="15" customHeight="1" x14ac:dyDescent="0.2">
      <c r="A45" s="41" t="s">
        <v>3816</v>
      </c>
      <c r="B45" s="266" t="s">
        <v>3212</v>
      </c>
      <c r="C45" s="247" t="s">
        <v>1834</v>
      </c>
      <c r="D45" s="247" t="s">
        <v>1833</v>
      </c>
      <c r="E45" s="247" t="s">
        <v>3196</v>
      </c>
      <c r="F45" s="247" t="s">
        <v>3178</v>
      </c>
      <c r="G45" s="247" t="s">
        <v>3179</v>
      </c>
      <c r="H45" s="247" t="s">
        <v>3180</v>
      </c>
    </row>
    <row r="46" spans="1:8" ht="15" customHeight="1" x14ac:dyDescent="0.2">
      <c r="A46" s="41" t="s">
        <v>3918</v>
      </c>
      <c r="B46" s="266" t="s">
        <v>3289</v>
      </c>
      <c r="C46" s="247" t="s">
        <v>1778</v>
      </c>
      <c r="D46" s="247" t="s">
        <v>1777</v>
      </c>
      <c r="E46" s="247" t="s">
        <v>3188</v>
      </c>
      <c r="F46" s="247" t="s">
        <v>3182</v>
      </c>
      <c r="G46" s="247" t="s">
        <v>3179</v>
      </c>
      <c r="H46" s="247" t="s">
        <v>3185</v>
      </c>
    </row>
    <row r="47" spans="1:8" ht="15" customHeight="1" x14ac:dyDescent="0.2">
      <c r="A47" s="41" t="s">
        <v>4295</v>
      </c>
      <c r="B47" s="266" t="s">
        <v>3416</v>
      </c>
      <c r="C47" s="247" t="s">
        <v>2415</v>
      </c>
      <c r="D47" s="247" t="s">
        <v>3434</v>
      </c>
      <c r="E47" s="247" t="s">
        <v>3208</v>
      </c>
      <c r="F47" s="247" t="s">
        <v>3178</v>
      </c>
      <c r="G47" s="247" t="s">
        <v>3179</v>
      </c>
      <c r="H47" s="247" t="s">
        <v>3180</v>
      </c>
    </row>
    <row r="48" spans="1:8" ht="15" customHeight="1" x14ac:dyDescent="0.2">
      <c r="A48" s="41" t="s">
        <v>4272</v>
      </c>
      <c r="B48" s="266" t="s">
        <v>3416</v>
      </c>
      <c r="C48" s="247" t="s">
        <v>2577</v>
      </c>
      <c r="D48" s="247" t="s">
        <v>3428</v>
      </c>
      <c r="E48" s="247" t="s">
        <v>3208</v>
      </c>
      <c r="F48" s="247" t="s">
        <v>3178</v>
      </c>
      <c r="G48" s="247" t="s">
        <v>3179</v>
      </c>
      <c r="H48" s="247" t="s">
        <v>3180</v>
      </c>
    </row>
    <row r="49" spans="1:8" ht="15" customHeight="1" x14ac:dyDescent="0.2">
      <c r="A49" s="41" t="s">
        <v>4263</v>
      </c>
      <c r="B49" s="266" t="s">
        <v>3416</v>
      </c>
      <c r="C49" s="247" t="s">
        <v>2314</v>
      </c>
      <c r="D49" s="247" t="s">
        <v>3424</v>
      </c>
      <c r="E49" s="247" t="s">
        <v>3208</v>
      </c>
      <c r="F49" s="247" t="s">
        <v>3178</v>
      </c>
      <c r="G49" s="247" t="s">
        <v>3179</v>
      </c>
      <c r="H49" s="247" t="s">
        <v>3180</v>
      </c>
    </row>
    <row r="50" spans="1:8" ht="15" customHeight="1" x14ac:dyDescent="0.2">
      <c r="A50" s="41" t="s">
        <v>4284</v>
      </c>
      <c r="B50" s="266" t="s">
        <v>3416</v>
      </c>
      <c r="C50" s="247" t="s">
        <v>2234</v>
      </c>
      <c r="D50" s="247" t="s">
        <v>3431</v>
      </c>
      <c r="E50" s="247" t="s">
        <v>3208</v>
      </c>
      <c r="F50" s="247" t="s">
        <v>3178</v>
      </c>
      <c r="G50" s="247" t="s">
        <v>3179</v>
      </c>
      <c r="H50" s="247" t="s">
        <v>3180</v>
      </c>
    </row>
    <row r="51" spans="1:8" ht="15" customHeight="1" x14ac:dyDescent="0.2">
      <c r="A51" s="41" t="s">
        <v>4285</v>
      </c>
      <c r="B51" s="266" t="s">
        <v>3416</v>
      </c>
      <c r="C51" s="247" t="s">
        <v>2135</v>
      </c>
      <c r="D51" s="247" t="s">
        <v>3432</v>
      </c>
      <c r="E51" s="247" t="s">
        <v>3208</v>
      </c>
      <c r="F51" s="247" t="s">
        <v>3178</v>
      </c>
      <c r="G51" s="247" t="s">
        <v>3179</v>
      </c>
      <c r="H51" s="247" t="s">
        <v>3180</v>
      </c>
    </row>
    <row r="52" spans="1:8" ht="15" customHeight="1" x14ac:dyDescent="0.2">
      <c r="A52" s="41" t="s">
        <v>4280</v>
      </c>
      <c r="B52" s="266" t="s">
        <v>3416</v>
      </c>
      <c r="C52" s="247" t="s">
        <v>2744</v>
      </c>
      <c r="D52" s="247" t="s">
        <v>3430</v>
      </c>
      <c r="E52" s="247" t="s">
        <v>3208</v>
      </c>
      <c r="F52" s="247" t="s">
        <v>3178</v>
      </c>
      <c r="G52" s="247" t="s">
        <v>3179</v>
      </c>
      <c r="H52" s="247" t="s">
        <v>3180</v>
      </c>
    </row>
    <row r="53" spans="1:8" ht="15" customHeight="1" x14ac:dyDescent="0.2">
      <c r="A53" s="41" t="s">
        <v>4296</v>
      </c>
      <c r="B53" s="266" t="s">
        <v>3416</v>
      </c>
      <c r="C53" s="247" t="s">
        <v>2416</v>
      </c>
      <c r="D53" s="247" t="s">
        <v>3435</v>
      </c>
      <c r="E53" s="247" t="s">
        <v>3208</v>
      </c>
      <c r="F53" s="247" t="s">
        <v>3178</v>
      </c>
      <c r="G53" s="247" t="s">
        <v>3179</v>
      </c>
      <c r="H53" s="247" t="s">
        <v>3180</v>
      </c>
    </row>
    <row r="54" spans="1:8" ht="15" customHeight="1" x14ac:dyDescent="0.2">
      <c r="A54" s="41" t="s">
        <v>4273</v>
      </c>
      <c r="B54" s="266" t="s">
        <v>3416</v>
      </c>
      <c r="C54" s="247" t="s">
        <v>1897</v>
      </c>
      <c r="D54" s="247" t="s">
        <v>3429</v>
      </c>
      <c r="E54" s="247" t="s">
        <v>3208</v>
      </c>
      <c r="F54" s="247" t="s">
        <v>3178</v>
      </c>
      <c r="G54" s="247" t="s">
        <v>3179</v>
      </c>
      <c r="H54" s="247" t="s">
        <v>3180</v>
      </c>
    </row>
    <row r="55" spans="1:8" ht="15" customHeight="1" x14ac:dyDescent="0.2">
      <c r="A55" s="41" t="s">
        <v>4253</v>
      </c>
      <c r="B55" s="266" t="s">
        <v>3416</v>
      </c>
      <c r="C55" s="247" t="s">
        <v>1755</v>
      </c>
      <c r="D55" s="247" t="s">
        <v>3418</v>
      </c>
      <c r="E55" s="247" t="s">
        <v>3208</v>
      </c>
      <c r="F55" s="247" t="s">
        <v>3178</v>
      </c>
      <c r="G55" s="247" t="s">
        <v>3179</v>
      </c>
      <c r="H55" s="247" t="s">
        <v>3180</v>
      </c>
    </row>
    <row r="56" spans="1:8" ht="15" customHeight="1" x14ac:dyDescent="0.2">
      <c r="A56" s="41" t="s">
        <v>4254</v>
      </c>
      <c r="B56" s="266" t="s">
        <v>3416</v>
      </c>
      <c r="C56" s="247" t="s">
        <v>1722</v>
      </c>
      <c r="D56" s="247" t="s">
        <v>3419</v>
      </c>
      <c r="E56" s="247" t="s">
        <v>3208</v>
      </c>
      <c r="F56" s="247" t="s">
        <v>3178</v>
      </c>
      <c r="G56" s="247" t="s">
        <v>3179</v>
      </c>
      <c r="H56" s="247" t="s">
        <v>3180</v>
      </c>
    </row>
    <row r="57" spans="1:8" ht="15" customHeight="1" x14ac:dyDescent="0.2">
      <c r="A57" s="41" t="s">
        <v>4258</v>
      </c>
      <c r="B57" s="266" t="s">
        <v>3416</v>
      </c>
      <c r="C57" s="247" t="s">
        <v>1786</v>
      </c>
      <c r="D57" s="247" t="s">
        <v>3422</v>
      </c>
      <c r="E57" s="247" t="s">
        <v>3208</v>
      </c>
      <c r="F57" s="247" t="s">
        <v>3178</v>
      </c>
      <c r="G57" s="247" t="s">
        <v>3179</v>
      </c>
      <c r="H57" s="247" t="s">
        <v>3180</v>
      </c>
    </row>
    <row r="58" spans="1:8" ht="15" customHeight="1" x14ac:dyDescent="0.2">
      <c r="A58" s="41" t="s">
        <v>4252</v>
      </c>
      <c r="B58" s="266" t="s">
        <v>3416</v>
      </c>
      <c r="C58" s="247" t="s">
        <v>1754</v>
      </c>
      <c r="D58" s="247" t="s">
        <v>3417</v>
      </c>
      <c r="E58" s="247" t="s">
        <v>3208</v>
      </c>
      <c r="F58" s="247" t="s">
        <v>3178</v>
      </c>
      <c r="G58" s="247" t="s">
        <v>3179</v>
      </c>
      <c r="H58" s="247" t="s">
        <v>3180</v>
      </c>
    </row>
    <row r="59" spans="1:8" ht="15" customHeight="1" x14ac:dyDescent="0.2">
      <c r="A59" s="41" t="s">
        <v>4270</v>
      </c>
      <c r="B59" s="266" t="s">
        <v>3416</v>
      </c>
      <c r="C59" s="247" t="s">
        <v>1850</v>
      </c>
      <c r="D59" s="247" t="s">
        <v>3426</v>
      </c>
      <c r="E59" s="247" t="s">
        <v>3208</v>
      </c>
      <c r="F59" s="247" t="s">
        <v>3178</v>
      </c>
      <c r="G59" s="247" t="s">
        <v>3179</v>
      </c>
      <c r="H59" s="247" t="s">
        <v>3180</v>
      </c>
    </row>
    <row r="60" spans="1:8" ht="15" customHeight="1" x14ac:dyDescent="0.2">
      <c r="A60" s="41" t="s">
        <v>4255</v>
      </c>
      <c r="B60" s="266" t="s">
        <v>3416</v>
      </c>
      <c r="C60" s="247" t="s">
        <v>1811</v>
      </c>
      <c r="D60" s="247" t="s">
        <v>3420</v>
      </c>
      <c r="E60" s="247" t="s">
        <v>3208</v>
      </c>
      <c r="F60" s="247" t="s">
        <v>3178</v>
      </c>
      <c r="G60" s="247" t="s">
        <v>3179</v>
      </c>
      <c r="H60" s="247" t="s">
        <v>3180</v>
      </c>
    </row>
    <row r="61" spans="1:8" ht="15" customHeight="1" x14ac:dyDescent="0.2">
      <c r="A61" s="41" t="s">
        <v>4256</v>
      </c>
      <c r="B61" s="266" t="s">
        <v>3416</v>
      </c>
      <c r="C61" s="247" t="s">
        <v>1970</v>
      </c>
      <c r="D61" s="247" t="s">
        <v>3421</v>
      </c>
      <c r="E61" s="247" t="s">
        <v>3208</v>
      </c>
      <c r="F61" s="247" t="s">
        <v>3178</v>
      </c>
      <c r="G61" s="247" t="s">
        <v>3179</v>
      </c>
      <c r="H61" s="247" t="s">
        <v>3180</v>
      </c>
    </row>
    <row r="62" spans="1:8" ht="15" customHeight="1" x14ac:dyDescent="0.2">
      <c r="A62" s="41" t="s">
        <v>4267</v>
      </c>
      <c r="B62" s="266" t="s">
        <v>3416</v>
      </c>
      <c r="C62" s="247" t="s">
        <v>1894</v>
      </c>
      <c r="D62" s="247" t="s">
        <v>3425</v>
      </c>
      <c r="E62" s="247" t="s">
        <v>3208</v>
      </c>
      <c r="F62" s="247" t="s">
        <v>3178</v>
      </c>
      <c r="G62" s="247" t="s">
        <v>3179</v>
      </c>
      <c r="H62" s="247" t="s">
        <v>3180</v>
      </c>
    </row>
    <row r="63" spans="1:8" ht="15" customHeight="1" x14ac:dyDescent="0.2">
      <c r="A63" s="41" t="s">
        <v>4271</v>
      </c>
      <c r="B63" s="266" t="s">
        <v>3416</v>
      </c>
      <c r="C63" s="247" t="s">
        <v>2315</v>
      </c>
      <c r="D63" s="247" t="s">
        <v>3427</v>
      </c>
      <c r="E63" s="247" t="s">
        <v>3208</v>
      </c>
      <c r="F63" s="247" t="s">
        <v>3178</v>
      </c>
      <c r="G63" s="247" t="s">
        <v>3179</v>
      </c>
      <c r="H63" s="247" t="s">
        <v>3180</v>
      </c>
    </row>
    <row r="64" spans="1:8" ht="15" customHeight="1" x14ac:dyDescent="0.2">
      <c r="A64" s="41" t="s">
        <v>4260</v>
      </c>
      <c r="B64" s="266" t="s">
        <v>3416</v>
      </c>
      <c r="C64" s="247" t="s">
        <v>2035</v>
      </c>
      <c r="D64" s="247" t="s">
        <v>3423</v>
      </c>
      <c r="E64" s="247" t="s">
        <v>3208</v>
      </c>
      <c r="F64" s="247" t="s">
        <v>3178</v>
      </c>
      <c r="G64" s="247" t="s">
        <v>3179</v>
      </c>
      <c r="H64" s="247" t="s">
        <v>3180</v>
      </c>
    </row>
    <row r="65" spans="1:8" ht="15" customHeight="1" x14ac:dyDescent="0.2">
      <c r="A65" s="41" t="s">
        <v>4276</v>
      </c>
      <c r="B65" s="266" t="s">
        <v>3416</v>
      </c>
      <c r="C65" s="247" t="s">
        <v>1921</v>
      </c>
      <c r="D65" s="247" t="s">
        <v>1920</v>
      </c>
      <c r="E65" s="247" t="s">
        <v>3208</v>
      </c>
      <c r="F65" s="247" t="s">
        <v>3178</v>
      </c>
      <c r="G65" s="247" t="s">
        <v>3179</v>
      </c>
      <c r="H65" s="247" t="s">
        <v>3180</v>
      </c>
    </row>
    <row r="66" spans="1:8" ht="15" customHeight="1" x14ac:dyDescent="0.2">
      <c r="A66" s="41" t="s">
        <v>4265</v>
      </c>
      <c r="B66" s="266" t="s">
        <v>3416</v>
      </c>
      <c r="C66" s="247" t="s">
        <v>2081</v>
      </c>
      <c r="D66" s="247" t="s">
        <v>2080</v>
      </c>
      <c r="E66" s="247" t="s">
        <v>3208</v>
      </c>
      <c r="F66" s="247" t="s">
        <v>3178</v>
      </c>
      <c r="G66" s="247" t="s">
        <v>3179</v>
      </c>
      <c r="H66" s="247" t="s">
        <v>3180</v>
      </c>
    </row>
    <row r="67" spans="1:8" ht="15" customHeight="1" x14ac:dyDescent="0.2">
      <c r="A67" s="41" t="s">
        <v>4269</v>
      </c>
      <c r="B67" s="266" t="s">
        <v>3416</v>
      </c>
      <c r="C67" s="247" t="s">
        <v>1983</v>
      </c>
      <c r="D67" s="247" t="s">
        <v>1982</v>
      </c>
      <c r="E67" s="247" t="s">
        <v>3208</v>
      </c>
      <c r="F67" s="247" t="s">
        <v>3178</v>
      </c>
      <c r="G67" s="247" t="s">
        <v>3179</v>
      </c>
      <c r="H67" s="247" t="s">
        <v>3180</v>
      </c>
    </row>
    <row r="68" spans="1:8" ht="15" customHeight="1" x14ac:dyDescent="0.2">
      <c r="A68" s="41" t="s">
        <v>4251</v>
      </c>
      <c r="B68" s="266" t="s">
        <v>3416</v>
      </c>
      <c r="C68" s="247" t="s">
        <v>2034</v>
      </c>
      <c r="D68" s="247" t="s">
        <v>2033</v>
      </c>
      <c r="E68" s="247" t="s">
        <v>3208</v>
      </c>
      <c r="F68" s="247" t="s">
        <v>3178</v>
      </c>
      <c r="G68" s="247" t="s">
        <v>3179</v>
      </c>
      <c r="H68" s="247" t="s">
        <v>3180</v>
      </c>
    </row>
    <row r="69" spans="1:8" ht="15" customHeight="1" x14ac:dyDescent="0.2">
      <c r="A69" s="41" t="s">
        <v>4268</v>
      </c>
      <c r="B69" s="266" t="s">
        <v>3416</v>
      </c>
      <c r="C69" s="247" t="s">
        <v>1981</v>
      </c>
      <c r="D69" s="247" t="s">
        <v>1980</v>
      </c>
      <c r="E69" s="247" t="s">
        <v>3208</v>
      </c>
      <c r="F69" s="247" t="s">
        <v>3178</v>
      </c>
      <c r="G69" s="247" t="s">
        <v>3179</v>
      </c>
      <c r="H69" s="247" t="s">
        <v>3180</v>
      </c>
    </row>
    <row r="70" spans="1:8" ht="15" customHeight="1" x14ac:dyDescent="0.2">
      <c r="A70" s="41" t="s">
        <v>4261</v>
      </c>
      <c r="B70" s="266" t="s">
        <v>3416</v>
      </c>
      <c r="C70" s="247" t="s">
        <v>2231</v>
      </c>
      <c r="D70" s="247" t="s">
        <v>2230</v>
      </c>
      <c r="E70" s="247" t="s">
        <v>3208</v>
      </c>
      <c r="F70" s="247" t="s">
        <v>3178</v>
      </c>
      <c r="G70" s="247" t="s">
        <v>3179</v>
      </c>
      <c r="H70" s="247" t="s">
        <v>3180</v>
      </c>
    </row>
    <row r="71" spans="1:8" ht="15" customHeight="1" x14ac:dyDescent="0.2">
      <c r="A71" s="41" t="s">
        <v>4278</v>
      </c>
      <c r="B71" s="266" t="s">
        <v>3416</v>
      </c>
      <c r="C71" s="247" t="s">
        <v>2130</v>
      </c>
      <c r="D71" s="247" t="s">
        <v>2129</v>
      </c>
      <c r="E71" s="247" t="s">
        <v>3208</v>
      </c>
      <c r="F71" s="247" t="s">
        <v>3178</v>
      </c>
      <c r="G71" s="247" t="s">
        <v>3179</v>
      </c>
      <c r="H71" s="247" t="s">
        <v>3180</v>
      </c>
    </row>
    <row r="72" spans="1:8" ht="15" customHeight="1" x14ac:dyDescent="0.2">
      <c r="A72" s="41" t="s">
        <v>4279</v>
      </c>
      <c r="B72" s="266" t="s">
        <v>3416</v>
      </c>
      <c r="C72" s="247" t="s">
        <v>2743</v>
      </c>
      <c r="D72" s="247" t="s">
        <v>2742</v>
      </c>
      <c r="E72" s="247" t="s">
        <v>3208</v>
      </c>
      <c r="F72" s="247" t="s">
        <v>3178</v>
      </c>
      <c r="G72" s="247" t="s">
        <v>3179</v>
      </c>
      <c r="H72" s="247" t="s">
        <v>3180</v>
      </c>
    </row>
    <row r="73" spans="1:8" ht="15" customHeight="1" x14ac:dyDescent="0.2">
      <c r="A73" s="41" t="s">
        <v>4281</v>
      </c>
      <c r="B73" s="266" t="s">
        <v>3416</v>
      </c>
      <c r="C73" s="247" t="s">
        <v>2579</v>
      </c>
      <c r="D73" s="247" t="s">
        <v>2578</v>
      </c>
      <c r="E73" s="247" t="s">
        <v>3208</v>
      </c>
      <c r="F73" s="247" t="s">
        <v>3178</v>
      </c>
      <c r="G73" s="247" t="s">
        <v>3179</v>
      </c>
      <c r="H73" s="247" t="s">
        <v>3180</v>
      </c>
    </row>
    <row r="74" spans="1:8" ht="15" customHeight="1" x14ac:dyDescent="0.2">
      <c r="A74" s="41" t="s">
        <v>4282</v>
      </c>
      <c r="B74" s="266" t="s">
        <v>3416</v>
      </c>
      <c r="C74" s="247" t="s">
        <v>2132</v>
      </c>
      <c r="D74" s="247" t="s">
        <v>2131</v>
      </c>
      <c r="E74" s="247" t="s">
        <v>3208</v>
      </c>
      <c r="F74" s="247" t="s">
        <v>3178</v>
      </c>
      <c r="G74" s="247" t="s">
        <v>3179</v>
      </c>
      <c r="H74" s="247" t="s">
        <v>3180</v>
      </c>
    </row>
    <row r="75" spans="1:8" ht="15" customHeight="1" x14ac:dyDescent="0.2">
      <c r="A75" s="41" t="s">
        <v>4264</v>
      </c>
      <c r="B75" s="266" t="s">
        <v>3416</v>
      </c>
      <c r="C75" s="247" t="s">
        <v>2233</v>
      </c>
      <c r="D75" s="247" t="s">
        <v>2232</v>
      </c>
      <c r="E75" s="247" t="s">
        <v>3208</v>
      </c>
      <c r="F75" s="247" t="s">
        <v>3178</v>
      </c>
      <c r="G75" s="247" t="s">
        <v>3179</v>
      </c>
      <c r="H75" s="247" t="s">
        <v>3180</v>
      </c>
    </row>
    <row r="76" spans="1:8" ht="15" customHeight="1" x14ac:dyDescent="0.2">
      <c r="A76" s="41" t="s">
        <v>4292</v>
      </c>
      <c r="B76" s="266" t="s">
        <v>3416</v>
      </c>
      <c r="C76" s="247" t="s">
        <v>2412</v>
      </c>
      <c r="D76" s="247" t="s">
        <v>2411</v>
      </c>
      <c r="E76" s="247" t="s">
        <v>3208</v>
      </c>
      <c r="F76" s="247" t="s">
        <v>3178</v>
      </c>
      <c r="G76" s="247" t="s">
        <v>3179</v>
      </c>
      <c r="H76" s="247" t="s">
        <v>3180</v>
      </c>
    </row>
    <row r="77" spans="1:8" ht="15" customHeight="1" x14ac:dyDescent="0.2">
      <c r="A77" s="41" t="s">
        <v>4266</v>
      </c>
      <c r="B77" s="266" t="s">
        <v>3416</v>
      </c>
      <c r="C77" s="247" t="s">
        <v>1893</v>
      </c>
      <c r="D77" s="247" t="s">
        <v>1892</v>
      </c>
      <c r="E77" s="247" t="s">
        <v>3208</v>
      </c>
      <c r="F77" s="247" t="s">
        <v>3178</v>
      </c>
      <c r="G77" s="247" t="s">
        <v>3179</v>
      </c>
      <c r="H77" s="247" t="s">
        <v>3180</v>
      </c>
    </row>
    <row r="78" spans="1:8" ht="15" customHeight="1" x14ac:dyDescent="0.2">
      <c r="A78" s="41" t="s">
        <v>4298</v>
      </c>
      <c r="B78" s="266" t="s">
        <v>3416</v>
      </c>
      <c r="C78" s="247" t="s">
        <v>2585</v>
      </c>
      <c r="D78" s="247" t="s">
        <v>2584</v>
      </c>
      <c r="E78" s="247" t="s">
        <v>3208</v>
      </c>
      <c r="F78" s="247" t="s">
        <v>3178</v>
      </c>
      <c r="G78" s="247" t="s">
        <v>3179</v>
      </c>
      <c r="H78" s="247" t="s">
        <v>3180</v>
      </c>
    </row>
    <row r="79" spans="1:8" ht="15" customHeight="1" x14ac:dyDescent="0.2">
      <c r="A79" s="41" t="s">
        <v>4283</v>
      </c>
      <c r="B79" s="266" t="s">
        <v>3416</v>
      </c>
      <c r="C79" s="247" t="s">
        <v>2134</v>
      </c>
      <c r="D79" s="247" t="s">
        <v>2133</v>
      </c>
      <c r="E79" s="247" t="s">
        <v>3208</v>
      </c>
      <c r="F79" s="247" t="s">
        <v>3178</v>
      </c>
      <c r="G79" s="247" t="s">
        <v>3179</v>
      </c>
      <c r="H79" s="247" t="s">
        <v>3180</v>
      </c>
    </row>
    <row r="80" spans="1:8" ht="15" customHeight="1" x14ac:dyDescent="0.2">
      <c r="A80" s="41" t="s">
        <v>4293</v>
      </c>
      <c r="B80" s="266" t="s">
        <v>3416</v>
      </c>
      <c r="C80" s="247" t="s">
        <v>2414</v>
      </c>
      <c r="D80" s="247" t="s">
        <v>2413</v>
      </c>
      <c r="E80" s="247" t="s">
        <v>3208</v>
      </c>
      <c r="F80" s="247" t="s">
        <v>3178</v>
      </c>
      <c r="G80" s="247" t="s">
        <v>3179</v>
      </c>
      <c r="H80" s="247" t="s">
        <v>3180</v>
      </c>
    </row>
    <row r="81" spans="1:8" ht="15" customHeight="1" x14ac:dyDescent="0.2">
      <c r="A81" s="41" t="s">
        <v>4294</v>
      </c>
      <c r="B81" s="266" t="s">
        <v>3416</v>
      </c>
      <c r="C81" s="247" t="s">
        <v>2237</v>
      </c>
      <c r="D81" s="247" t="s">
        <v>3433</v>
      </c>
      <c r="E81" s="247" t="s">
        <v>3208</v>
      </c>
      <c r="F81" s="247" t="s">
        <v>3178</v>
      </c>
      <c r="G81" s="247" t="s">
        <v>3179</v>
      </c>
      <c r="H81" s="247" t="s">
        <v>3180</v>
      </c>
    </row>
    <row r="82" spans="1:8" ht="15" customHeight="1" x14ac:dyDescent="0.2">
      <c r="A82" s="41" t="s">
        <v>4290</v>
      </c>
      <c r="B82" s="266" t="s">
        <v>3416</v>
      </c>
      <c r="C82" s="247" t="s">
        <v>2236</v>
      </c>
      <c r="D82" s="247" t="s">
        <v>2235</v>
      </c>
      <c r="E82" s="247" t="s">
        <v>3208</v>
      </c>
      <c r="F82" s="247" t="s">
        <v>3178</v>
      </c>
      <c r="G82" s="247" t="s">
        <v>3179</v>
      </c>
      <c r="H82" s="247" t="s">
        <v>3180</v>
      </c>
    </row>
    <row r="83" spans="1:8" ht="15" customHeight="1" x14ac:dyDescent="0.2">
      <c r="A83" s="41" t="s">
        <v>4274</v>
      </c>
      <c r="B83" s="266" t="s">
        <v>3416</v>
      </c>
      <c r="C83" s="247" t="s">
        <v>2083</v>
      </c>
      <c r="D83" s="247" t="s">
        <v>2082</v>
      </c>
      <c r="E83" s="247" t="s">
        <v>3208</v>
      </c>
      <c r="F83" s="247" t="s">
        <v>3178</v>
      </c>
      <c r="G83" s="247" t="s">
        <v>3179</v>
      </c>
      <c r="H83" s="247" t="s">
        <v>3180</v>
      </c>
    </row>
    <row r="84" spans="1:8" ht="15" customHeight="1" x14ac:dyDescent="0.2">
      <c r="A84" s="41" t="s">
        <v>4297</v>
      </c>
      <c r="B84" s="266" t="s">
        <v>3416</v>
      </c>
      <c r="C84" s="247" t="s">
        <v>2583</v>
      </c>
      <c r="D84" s="247" t="s">
        <v>2582</v>
      </c>
      <c r="E84" s="247" t="s">
        <v>3208</v>
      </c>
      <c r="F84" s="247" t="s">
        <v>3178</v>
      </c>
      <c r="G84" s="247" t="s">
        <v>3179</v>
      </c>
      <c r="H84" s="247" t="s">
        <v>3180</v>
      </c>
    </row>
    <row r="85" spans="1:8" ht="15" customHeight="1" x14ac:dyDescent="0.2">
      <c r="A85" s="41" t="s">
        <v>4275</v>
      </c>
      <c r="B85" s="266" t="s">
        <v>3416</v>
      </c>
      <c r="C85" s="247" t="s">
        <v>2176</v>
      </c>
      <c r="D85" s="247" t="s">
        <v>2175</v>
      </c>
      <c r="E85" s="247" t="s">
        <v>3208</v>
      </c>
      <c r="F85" s="247" t="s">
        <v>3178</v>
      </c>
      <c r="G85" s="247" t="s">
        <v>3179</v>
      </c>
      <c r="H85" s="247" t="s">
        <v>3180</v>
      </c>
    </row>
    <row r="86" spans="1:8" ht="15" customHeight="1" x14ac:dyDescent="0.2">
      <c r="A86" s="41" t="s">
        <v>4257</v>
      </c>
      <c r="B86" s="266" t="s">
        <v>3416</v>
      </c>
      <c r="C86" s="247" t="s">
        <v>2229</v>
      </c>
      <c r="D86" s="247" t="s">
        <v>2228</v>
      </c>
      <c r="E86" s="247" t="s">
        <v>3208</v>
      </c>
      <c r="F86" s="247" t="s">
        <v>3178</v>
      </c>
      <c r="G86" s="247" t="s">
        <v>3179</v>
      </c>
      <c r="H86" s="247" t="s">
        <v>3180</v>
      </c>
    </row>
    <row r="87" spans="1:8" ht="15" customHeight="1" x14ac:dyDescent="0.2">
      <c r="A87" s="41" t="s">
        <v>4291</v>
      </c>
      <c r="B87" s="266" t="s">
        <v>3416</v>
      </c>
      <c r="C87" s="247" t="s">
        <v>2317</v>
      </c>
      <c r="D87" s="247" t="s">
        <v>2316</v>
      </c>
      <c r="E87" s="247" t="s">
        <v>3208</v>
      </c>
      <c r="F87" s="247" t="s">
        <v>3178</v>
      </c>
      <c r="G87" s="247" t="s">
        <v>3179</v>
      </c>
      <c r="H87" s="247" t="s">
        <v>3180</v>
      </c>
    </row>
    <row r="88" spans="1:8" ht="15" customHeight="1" x14ac:dyDescent="0.2">
      <c r="A88" s="41" t="s">
        <v>4289</v>
      </c>
      <c r="B88" s="266" t="s">
        <v>3416</v>
      </c>
      <c r="C88" s="247" t="s">
        <v>2050</v>
      </c>
      <c r="D88" s="247" t="s">
        <v>2049</v>
      </c>
      <c r="E88" s="247" t="s">
        <v>3208</v>
      </c>
      <c r="F88" s="247" t="s">
        <v>3178</v>
      </c>
      <c r="G88" s="247" t="s">
        <v>3179</v>
      </c>
      <c r="H88" s="247" t="s">
        <v>3180</v>
      </c>
    </row>
    <row r="89" spans="1:8" ht="15" customHeight="1" x14ac:dyDescent="0.2">
      <c r="A89" s="41" t="s">
        <v>4262</v>
      </c>
      <c r="B89" s="266" t="s">
        <v>3416</v>
      </c>
      <c r="C89" s="247" t="s">
        <v>2410</v>
      </c>
      <c r="D89" s="247" t="s">
        <v>2409</v>
      </c>
      <c r="E89" s="247" t="s">
        <v>3208</v>
      </c>
      <c r="F89" s="247" t="s">
        <v>3178</v>
      </c>
      <c r="G89" s="247" t="s">
        <v>3179</v>
      </c>
      <c r="H89" s="247" t="s">
        <v>3180</v>
      </c>
    </row>
    <row r="90" spans="1:8" ht="15" customHeight="1" x14ac:dyDescent="0.2">
      <c r="A90" s="41" t="s">
        <v>4287</v>
      </c>
      <c r="B90" s="266" t="s">
        <v>3416</v>
      </c>
      <c r="C90" s="247" t="s">
        <v>2137</v>
      </c>
      <c r="D90" s="247" t="s">
        <v>2136</v>
      </c>
      <c r="E90" s="247" t="s">
        <v>3208</v>
      </c>
      <c r="F90" s="247" t="s">
        <v>3178</v>
      </c>
      <c r="G90" s="247" t="s">
        <v>3179</v>
      </c>
      <c r="H90" s="247" t="s">
        <v>3180</v>
      </c>
    </row>
    <row r="91" spans="1:8" ht="15" customHeight="1" x14ac:dyDescent="0.2">
      <c r="A91" s="41" t="s">
        <v>4259</v>
      </c>
      <c r="B91" s="266" t="s">
        <v>3416</v>
      </c>
      <c r="C91" s="247" t="s">
        <v>1962</v>
      </c>
      <c r="D91" s="247" t="s">
        <v>1961</v>
      </c>
      <c r="E91" s="247" t="s">
        <v>3208</v>
      </c>
      <c r="F91" s="247" t="s">
        <v>3178</v>
      </c>
      <c r="G91" s="247" t="s">
        <v>3179</v>
      </c>
      <c r="H91" s="247" t="s">
        <v>3180</v>
      </c>
    </row>
    <row r="92" spans="1:8" ht="15" customHeight="1" x14ac:dyDescent="0.2">
      <c r="A92" s="41" t="s">
        <v>4286</v>
      </c>
      <c r="B92" s="266" t="s">
        <v>3416</v>
      </c>
      <c r="C92" s="247" t="s">
        <v>2581</v>
      </c>
      <c r="D92" s="247" t="s">
        <v>2580</v>
      </c>
      <c r="E92" s="247" t="s">
        <v>3208</v>
      </c>
      <c r="F92" s="247" t="s">
        <v>3178</v>
      </c>
      <c r="G92" s="247" t="s">
        <v>3179</v>
      </c>
      <c r="H92" s="247" t="s">
        <v>3180</v>
      </c>
    </row>
    <row r="93" spans="1:8" ht="15" customHeight="1" x14ac:dyDescent="0.2">
      <c r="A93" s="41" t="s">
        <v>3784</v>
      </c>
      <c r="B93" s="266" t="s">
        <v>3209</v>
      </c>
      <c r="C93" s="247" t="s">
        <v>1687</v>
      </c>
      <c r="D93" s="247" t="s">
        <v>1686</v>
      </c>
      <c r="E93" s="247" t="s">
        <v>3196</v>
      </c>
      <c r="F93" s="247" t="s">
        <v>3178</v>
      </c>
      <c r="G93" s="247" t="s">
        <v>3179</v>
      </c>
      <c r="H93" s="247" t="s">
        <v>3180</v>
      </c>
    </row>
    <row r="94" spans="1:8" ht="15" customHeight="1" x14ac:dyDescent="0.2">
      <c r="A94" s="41" t="s">
        <v>3785</v>
      </c>
      <c r="B94" s="266" t="s">
        <v>3209</v>
      </c>
      <c r="C94" s="247" t="s">
        <v>1744</v>
      </c>
      <c r="D94" s="247" t="s">
        <v>1743</v>
      </c>
      <c r="E94" s="247" t="s">
        <v>3188</v>
      </c>
      <c r="F94" s="247" t="s">
        <v>3178</v>
      </c>
      <c r="G94" s="247" t="s">
        <v>3179</v>
      </c>
      <c r="H94" s="247" t="s">
        <v>3180</v>
      </c>
    </row>
    <row r="95" spans="1:8" ht="15" customHeight="1" x14ac:dyDescent="0.2">
      <c r="A95" s="41" t="s">
        <v>3952</v>
      </c>
      <c r="B95" s="266" t="s">
        <v>3294</v>
      </c>
      <c r="C95" s="247" t="s">
        <v>1636</v>
      </c>
      <c r="D95" s="247" t="s">
        <v>3304</v>
      </c>
      <c r="E95" s="247" t="s">
        <v>3208</v>
      </c>
      <c r="F95" s="247" t="s">
        <v>3178</v>
      </c>
      <c r="G95" s="247" t="s">
        <v>3179</v>
      </c>
      <c r="H95" s="247" t="s">
        <v>3180</v>
      </c>
    </row>
    <row r="96" spans="1:8" ht="15" customHeight="1" x14ac:dyDescent="0.2">
      <c r="A96" s="41" t="s">
        <v>3953</v>
      </c>
      <c r="B96" s="266" t="s">
        <v>3294</v>
      </c>
      <c r="C96" s="247" t="s">
        <v>1649</v>
      </c>
      <c r="D96" s="247" t="s">
        <v>3305</v>
      </c>
      <c r="E96" s="247" t="s">
        <v>3208</v>
      </c>
      <c r="F96" s="247" t="s">
        <v>3178</v>
      </c>
      <c r="G96" s="247" t="s">
        <v>3179</v>
      </c>
      <c r="H96" s="247" t="s">
        <v>3180</v>
      </c>
    </row>
    <row r="97" spans="1:8" ht="15" customHeight="1" x14ac:dyDescent="0.2">
      <c r="A97" s="41" t="s">
        <v>3924</v>
      </c>
      <c r="B97" s="266" t="s">
        <v>3294</v>
      </c>
      <c r="C97" s="247" t="s">
        <v>1704</v>
      </c>
      <c r="D97" s="247" t="s">
        <v>3295</v>
      </c>
      <c r="E97" s="247" t="s">
        <v>3208</v>
      </c>
      <c r="F97" s="247" t="s">
        <v>3178</v>
      </c>
      <c r="G97" s="247" t="s">
        <v>3179</v>
      </c>
      <c r="H97" s="247" t="s">
        <v>3180</v>
      </c>
    </row>
    <row r="98" spans="1:8" ht="15" customHeight="1" x14ac:dyDescent="0.2">
      <c r="A98" s="41" t="s">
        <v>3925</v>
      </c>
      <c r="B98" s="266" t="s">
        <v>3294</v>
      </c>
      <c r="C98" s="247" t="s">
        <v>1724</v>
      </c>
      <c r="D98" s="247" t="s">
        <v>3296</v>
      </c>
      <c r="E98" s="247" t="s">
        <v>3208</v>
      </c>
      <c r="F98" s="247" t="s">
        <v>3178</v>
      </c>
      <c r="G98" s="247" t="s">
        <v>3179</v>
      </c>
      <c r="H98" s="247" t="s">
        <v>3180</v>
      </c>
    </row>
    <row r="99" spans="1:8" ht="15" customHeight="1" x14ac:dyDescent="0.2">
      <c r="A99" s="41" t="s">
        <v>3955</v>
      </c>
      <c r="B99" s="266" t="s">
        <v>3294</v>
      </c>
      <c r="C99" s="247" t="s">
        <v>2107</v>
      </c>
      <c r="D99" s="247" t="s">
        <v>3307</v>
      </c>
      <c r="E99" s="247" t="s">
        <v>3208</v>
      </c>
      <c r="F99" s="247" t="s">
        <v>3178</v>
      </c>
      <c r="G99" s="247" t="s">
        <v>3179</v>
      </c>
      <c r="H99" s="247" t="s">
        <v>3180</v>
      </c>
    </row>
    <row r="100" spans="1:8" ht="15" customHeight="1" x14ac:dyDescent="0.2">
      <c r="A100" s="41" t="s">
        <v>3926</v>
      </c>
      <c r="B100" s="266" t="s">
        <v>3294</v>
      </c>
      <c r="C100" s="247" t="s">
        <v>1825</v>
      </c>
      <c r="D100" s="247" t="s">
        <v>3297</v>
      </c>
      <c r="E100" s="247" t="s">
        <v>3208</v>
      </c>
      <c r="F100" s="247" t="s">
        <v>3178</v>
      </c>
      <c r="G100" s="247" t="s">
        <v>3179</v>
      </c>
      <c r="H100" s="247" t="s">
        <v>3180</v>
      </c>
    </row>
    <row r="101" spans="1:8" ht="15" customHeight="1" x14ac:dyDescent="0.2">
      <c r="A101" s="41" t="s">
        <v>3954</v>
      </c>
      <c r="B101" s="266" t="s">
        <v>3294</v>
      </c>
      <c r="C101" s="247" t="s">
        <v>1878</v>
      </c>
      <c r="D101" s="247" t="s">
        <v>3306</v>
      </c>
      <c r="E101" s="247" t="s">
        <v>3208</v>
      </c>
      <c r="F101" s="247" t="s">
        <v>3182</v>
      </c>
      <c r="G101" s="247" t="s">
        <v>3179</v>
      </c>
      <c r="H101" s="247" t="s">
        <v>3180</v>
      </c>
    </row>
    <row r="102" spans="1:8" ht="15" customHeight="1" x14ac:dyDescent="0.2">
      <c r="A102" s="41" t="s">
        <v>4559</v>
      </c>
      <c r="B102" s="266" t="s">
        <v>3636</v>
      </c>
      <c r="C102" s="247" t="s">
        <v>2053</v>
      </c>
      <c r="D102" s="247" t="s">
        <v>2052</v>
      </c>
      <c r="E102" s="247" t="s">
        <v>3253</v>
      </c>
      <c r="F102" s="247" t="s">
        <v>3182</v>
      </c>
      <c r="G102" s="247" t="s">
        <v>3179</v>
      </c>
      <c r="H102" s="247" t="s">
        <v>3180</v>
      </c>
    </row>
    <row r="103" spans="1:8" ht="15" customHeight="1" x14ac:dyDescent="0.2">
      <c r="A103" s="41" t="s">
        <v>4538</v>
      </c>
      <c r="B103" s="266" t="s">
        <v>3613</v>
      </c>
      <c r="C103" s="247" t="s">
        <v>1714</v>
      </c>
      <c r="D103" s="247" t="s">
        <v>1713</v>
      </c>
      <c r="E103" s="247" t="s">
        <v>3253</v>
      </c>
      <c r="F103" s="247" t="s">
        <v>3178</v>
      </c>
      <c r="G103" s="247" t="s">
        <v>3179</v>
      </c>
      <c r="H103" s="247" t="s">
        <v>3180</v>
      </c>
    </row>
    <row r="104" spans="1:8" ht="15" customHeight="1" x14ac:dyDescent="0.2">
      <c r="A104" s="41" t="s">
        <v>4621</v>
      </c>
      <c r="B104" s="266" t="s">
        <v>3662</v>
      </c>
      <c r="C104" s="247" t="s">
        <v>1974</v>
      </c>
      <c r="D104" s="247" t="s">
        <v>1973</v>
      </c>
      <c r="E104" s="247" t="s">
        <v>3208</v>
      </c>
      <c r="F104" s="247" t="s">
        <v>3182</v>
      </c>
      <c r="G104" s="247" t="s">
        <v>3179</v>
      </c>
      <c r="H104" s="247" t="s">
        <v>3180</v>
      </c>
    </row>
    <row r="105" spans="1:8" ht="15" customHeight="1" x14ac:dyDescent="0.2">
      <c r="A105" s="41" t="s">
        <v>4618</v>
      </c>
      <c r="B105" s="266" t="s">
        <v>3662</v>
      </c>
      <c r="C105" s="247" t="s">
        <v>2333</v>
      </c>
      <c r="D105" s="247" t="s">
        <v>3665</v>
      </c>
      <c r="E105" s="247" t="s">
        <v>3208</v>
      </c>
      <c r="F105" s="247" t="s">
        <v>3182</v>
      </c>
      <c r="G105" s="247" t="s">
        <v>3179</v>
      </c>
      <c r="H105" s="247" t="s">
        <v>3180</v>
      </c>
    </row>
    <row r="106" spans="1:8" ht="15" customHeight="1" x14ac:dyDescent="0.2">
      <c r="A106" s="41" t="s">
        <v>3786</v>
      </c>
      <c r="B106" s="266" t="s">
        <v>3209</v>
      </c>
      <c r="C106" s="247" t="s">
        <v>1753</v>
      </c>
      <c r="D106" s="247" t="s">
        <v>3210</v>
      </c>
      <c r="E106" s="247" t="s">
        <v>3196</v>
      </c>
      <c r="F106" s="247" t="s">
        <v>3182</v>
      </c>
      <c r="G106" s="247" t="s">
        <v>3179</v>
      </c>
      <c r="H106" s="247" t="s">
        <v>3180</v>
      </c>
    </row>
    <row r="107" spans="1:8" ht="15" customHeight="1" x14ac:dyDescent="0.2">
      <c r="A107" s="41" t="s">
        <v>4301</v>
      </c>
      <c r="B107" s="266" t="s">
        <v>3436</v>
      </c>
      <c r="C107" s="247" t="s">
        <v>2418</v>
      </c>
      <c r="D107" s="247" t="s">
        <v>2417</v>
      </c>
      <c r="E107" s="247" t="s">
        <v>3177</v>
      </c>
      <c r="F107" s="247" t="s">
        <v>3182</v>
      </c>
      <c r="G107" s="247" t="s">
        <v>3179</v>
      </c>
      <c r="H107" s="247" t="s">
        <v>3180</v>
      </c>
    </row>
    <row r="108" spans="1:8" ht="15" customHeight="1" x14ac:dyDescent="0.2">
      <c r="A108" s="41" t="s">
        <v>3919</v>
      </c>
      <c r="B108" s="266" t="s">
        <v>3289</v>
      </c>
      <c r="C108" s="247" t="s">
        <v>1666</v>
      </c>
      <c r="D108" s="247" t="s">
        <v>3291</v>
      </c>
      <c r="E108" s="247" t="s">
        <v>3188</v>
      </c>
      <c r="F108" s="247" t="s">
        <v>3182</v>
      </c>
      <c r="G108" s="247" t="s">
        <v>3179</v>
      </c>
      <c r="H108" s="247" t="s">
        <v>3180</v>
      </c>
    </row>
    <row r="109" spans="1:8" ht="15" customHeight="1" x14ac:dyDescent="0.2">
      <c r="A109" s="41" t="s">
        <v>3912</v>
      </c>
      <c r="B109" s="266" t="s">
        <v>3289</v>
      </c>
      <c r="C109" s="247" t="s">
        <v>1760</v>
      </c>
      <c r="D109" s="247" t="s">
        <v>1759</v>
      </c>
      <c r="E109" s="247" t="s">
        <v>3188</v>
      </c>
      <c r="F109" s="247" t="s">
        <v>3182</v>
      </c>
      <c r="G109" s="247" t="s">
        <v>3179</v>
      </c>
      <c r="H109" s="247" t="s">
        <v>3180</v>
      </c>
    </row>
    <row r="110" spans="1:8" ht="15" customHeight="1" x14ac:dyDescent="0.2">
      <c r="A110" s="41" t="s">
        <v>3914</v>
      </c>
      <c r="B110" s="266" t="s">
        <v>3289</v>
      </c>
      <c r="C110" s="247" t="s">
        <v>1629</v>
      </c>
      <c r="D110" s="247" t="s">
        <v>1628</v>
      </c>
      <c r="E110" s="247" t="s">
        <v>3188</v>
      </c>
      <c r="F110" s="247" t="s">
        <v>3178</v>
      </c>
      <c r="G110" s="247" t="s">
        <v>3179</v>
      </c>
      <c r="H110" s="247" t="s">
        <v>3180</v>
      </c>
    </row>
    <row r="111" spans="1:8" ht="15" customHeight="1" x14ac:dyDescent="0.2">
      <c r="A111" s="41" t="s">
        <v>3913</v>
      </c>
      <c r="B111" s="266" t="s">
        <v>3289</v>
      </c>
      <c r="C111" s="247" t="s">
        <v>1891</v>
      </c>
      <c r="D111" s="247" t="s">
        <v>1890</v>
      </c>
      <c r="E111" s="247" t="s">
        <v>3188</v>
      </c>
      <c r="F111" s="247" t="s">
        <v>3178</v>
      </c>
      <c r="G111" s="247" t="s">
        <v>3179</v>
      </c>
      <c r="H111" s="247" t="s">
        <v>3180</v>
      </c>
    </row>
    <row r="112" spans="1:8" ht="15" customHeight="1" x14ac:dyDescent="0.2">
      <c r="A112" s="41" t="s">
        <v>3915</v>
      </c>
      <c r="B112" s="266" t="s">
        <v>3289</v>
      </c>
      <c r="C112" s="247" t="s">
        <v>2004</v>
      </c>
      <c r="D112" s="247" t="s">
        <v>2003</v>
      </c>
      <c r="E112" s="247" t="s">
        <v>3188</v>
      </c>
      <c r="F112" s="247" t="s">
        <v>3178</v>
      </c>
      <c r="G112" s="247" t="s">
        <v>3179</v>
      </c>
      <c r="H112" s="247" t="s">
        <v>3180</v>
      </c>
    </row>
    <row r="113" spans="1:8" ht="15" customHeight="1" x14ac:dyDescent="0.2">
      <c r="A113" s="41" t="s">
        <v>3916</v>
      </c>
      <c r="B113" s="266" t="s">
        <v>3289</v>
      </c>
      <c r="C113" s="247" t="s">
        <v>1642</v>
      </c>
      <c r="D113" s="247" t="s">
        <v>1641</v>
      </c>
      <c r="E113" s="247" t="s">
        <v>3188</v>
      </c>
      <c r="F113" s="247" t="s">
        <v>3178</v>
      </c>
      <c r="G113" s="247" t="s">
        <v>3179</v>
      </c>
      <c r="H113" s="247" t="s">
        <v>3180</v>
      </c>
    </row>
    <row r="114" spans="1:8" ht="15" customHeight="1" x14ac:dyDescent="0.2">
      <c r="A114" s="41" t="s">
        <v>3921</v>
      </c>
      <c r="B114" s="266" t="s">
        <v>3289</v>
      </c>
      <c r="C114" s="247" t="s">
        <v>1781</v>
      </c>
      <c r="D114" s="247" t="s">
        <v>1780</v>
      </c>
      <c r="E114" s="247" t="s">
        <v>3188</v>
      </c>
      <c r="F114" s="247" t="s">
        <v>3182</v>
      </c>
      <c r="G114" s="247" t="s">
        <v>3292</v>
      </c>
      <c r="H114" s="247" t="s">
        <v>3185</v>
      </c>
    </row>
    <row r="115" spans="1:8" ht="15" customHeight="1" x14ac:dyDescent="0.2">
      <c r="A115" s="41" t="s">
        <v>3911</v>
      </c>
      <c r="B115" s="266" t="s">
        <v>3289</v>
      </c>
      <c r="C115" s="247" t="s">
        <v>2016</v>
      </c>
      <c r="D115" s="247" t="s">
        <v>3290</v>
      </c>
      <c r="E115" s="247" t="s">
        <v>3188</v>
      </c>
      <c r="F115" s="247" t="s">
        <v>3178</v>
      </c>
      <c r="G115" s="247" t="s">
        <v>3179</v>
      </c>
      <c r="H115" s="247" t="s">
        <v>3180</v>
      </c>
    </row>
    <row r="116" spans="1:8" ht="15" customHeight="1" x14ac:dyDescent="0.2">
      <c r="A116" s="41" t="s">
        <v>3920</v>
      </c>
      <c r="B116" s="266" t="s">
        <v>3289</v>
      </c>
      <c r="C116" s="247" t="s">
        <v>1638</v>
      </c>
      <c r="D116" s="247" t="s">
        <v>1637</v>
      </c>
      <c r="E116" s="247" t="s">
        <v>3188</v>
      </c>
      <c r="F116" s="247" t="s">
        <v>3178</v>
      </c>
      <c r="G116" s="247" t="s">
        <v>3179</v>
      </c>
      <c r="H116" s="247" t="s">
        <v>3180</v>
      </c>
    </row>
    <row r="117" spans="1:8" ht="15" customHeight="1" x14ac:dyDescent="0.2">
      <c r="A117" s="41" t="s">
        <v>3922</v>
      </c>
      <c r="B117" s="266" t="s">
        <v>3293</v>
      </c>
      <c r="C117" s="247" t="s">
        <v>1618</v>
      </c>
      <c r="D117" s="247" t="s">
        <v>1617</v>
      </c>
      <c r="E117" s="247" t="s">
        <v>3188</v>
      </c>
      <c r="F117" s="247" t="s">
        <v>3178</v>
      </c>
      <c r="G117" s="247" t="s">
        <v>3179</v>
      </c>
      <c r="H117" s="247" t="s">
        <v>3180</v>
      </c>
    </row>
    <row r="118" spans="1:8" ht="15" customHeight="1" x14ac:dyDescent="0.2">
      <c r="A118" s="41" t="s">
        <v>3923</v>
      </c>
      <c r="B118" s="266" t="s">
        <v>3293</v>
      </c>
      <c r="C118" s="247" t="s">
        <v>2018</v>
      </c>
      <c r="D118" s="247" t="s">
        <v>2017</v>
      </c>
      <c r="E118" s="247" t="s">
        <v>3188</v>
      </c>
      <c r="F118" s="247" t="s">
        <v>3182</v>
      </c>
      <c r="G118" s="247" t="s">
        <v>3179</v>
      </c>
      <c r="H118" s="247" t="s">
        <v>3180</v>
      </c>
    </row>
    <row r="119" spans="1:8" ht="15" customHeight="1" x14ac:dyDescent="0.2">
      <c r="A119" s="41" t="s">
        <v>3917</v>
      </c>
      <c r="B119" s="266" t="s">
        <v>3289</v>
      </c>
      <c r="C119" s="247" t="s">
        <v>1776</v>
      </c>
      <c r="D119" s="247" t="s">
        <v>1775</v>
      </c>
      <c r="E119" s="247" t="s">
        <v>3188</v>
      </c>
      <c r="F119" s="247" t="s">
        <v>3178</v>
      </c>
      <c r="G119" s="247" t="s">
        <v>3179</v>
      </c>
      <c r="H119" s="247" t="s">
        <v>3180</v>
      </c>
    </row>
    <row r="120" spans="1:8" ht="15" customHeight="1" x14ac:dyDescent="0.2">
      <c r="A120" s="41" t="s">
        <v>4612</v>
      </c>
      <c r="B120" s="266" t="s">
        <v>3647</v>
      </c>
      <c r="C120" s="247" t="s">
        <v>1948</v>
      </c>
      <c r="D120" s="247" t="s">
        <v>1947</v>
      </c>
      <c r="E120" s="247" t="s">
        <v>3208</v>
      </c>
      <c r="F120" s="247" t="s">
        <v>3178</v>
      </c>
      <c r="G120" s="247" t="s">
        <v>3179</v>
      </c>
      <c r="H120" s="247" t="s">
        <v>3180</v>
      </c>
    </row>
    <row r="121" spans="1:8" ht="15" customHeight="1" x14ac:dyDescent="0.2">
      <c r="A121" s="41" t="s">
        <v>4589</v>
      </c>
      <c r="B121" s="266" t="s">
        <v>3647</v>
      </c>
      <c r="C121" s="247" t="s">
        <v>2007</v>
      </c>
      <c r="D121" s="247" t="s">
        <v>3650</v>
      </c>
      <c r="E121" s="247" t="s">
        <v>3208</v>
      </c>
      <c r="F121" s="247" t="s">
        <v>3178</v>
      </c>
      <c r="G121" s="247" t="s">
        <v>3649</v>
      </c>
      <c r="H121" s="247" t="s">
        <v>3180</v>
      </c>
    </row>
    <row r="122" spans="1:8" ht="15" customHeight="1" x14ac:dyDescent="0.2">
      <c r="A122" s="41" t="s">
        <v>4609</v>
      </c>
      <c r="B122" s="266" t="s">
        <v>3647</v>
      </c>
      <c r="C122" s="247" t="s">
        <v>1816</v>
      </c>
      <c r="D122" s="247" t="s">
        <v>3660</v>
      </c>
      <c r="E122" s="247" t="s">
        <v>3208</v>
      </c>
      <c r="F122" s="247" t="s">
        <v>3178</v>
      </c>
      <c r="G122" s="247" t="s">
        <v>3179</v>
      </c>
      <c r="H122" s="247" t="s">
        <v>3180</v>
      </c>
    </row>
    <row r="123" spans="1:8" ht="15" customHeight="1" x14ac:dyDescent="0.2">
      <c r="A123" s="41" t="s">
        <v>4608</v>
      </c>
      <c r="B123" s="266" t="s">
        <v>3647</v>
      </c>
      <c r="C123" s="247" t="s">
        <v>1655</v>
      </c>
      <c r="D123" s="247" t="s">
        <v>3659</v>
      </c>
      <c r="E123" s="247" t="s">
        <v>3208</v>
      </c>
      <c r="F123" s="247" t="s">
        <v>3178</v>
      </c>
      <c r="G123" s="247" t="s">
        <v>3179</v>
      </c>
      <c r="H123" s="247" t="s">
        <v>3180</v>
      </c>
    </row>
    <row r="124" spans="1:8" ht="15" customHeight="1" x14ac:dyDescent="0.2">
      <c r="A124" s="41" t="s">
        <v>4585</v>
      </c>
      <c r="B124" s="266" t="s">
        <v>3647</v>
      </c>
      <c r="C124" s="247" t="s">
        <v>1926</v>
      </c>
      <c r="D124" s="247" t="s">
        <v>3648</v>
      </c>
      <c r="E124" s="247" t="s">
        <v>3208</v>
      </c>
      <c r="F124" s="247" t="s">
        <v>3178</v>
      </c>
      <c r="G124" s="247" t="s">
        <v>3649</v>
      </c>
      <c r="H124" s="247" t="s">
        <v>3180</v>
      </c>
    </row>
    <row r="125" spans="1:8" ht="15" customHeight="1" x14ac:dyDescent="0.2">
      <c r="A125" s="41" t="s">
        <v>4615</v>
      </c>
      <c r="B125" s="266" t="s">
        <v>3662</v>
      </c>
      <c r="C125" s="247" t="s">
        <v>1877</v>
      </c>
      <c r="D125" s="247" t="s">
        <v>1876</v>
      </c>
      <c r="E125" s="247" t="s">
        <v>3208</v>
      </c>
      <c r="F125" s="247" t="s">
        <v>3182</v>
      </c>
      <c r="G125" s="247" t="s">
        <v>3179</v>
      </c>
      <c r="H125" s="247" t="s">
        <v>3180</v>
      </c>
    </row>
    <row r="126" spans="1:8" ht="15" customHeight="1" x14ac:dyDescent="0.2">
      <c r="A126" s="41" t="s">
        <v>3823</v>
      </c>
      <c r="B126" s="266" t="s">
        <v>3212</v>
      </c>
      <c r="C126" s="247" t="s">
        <v>1693</v>
      </c>
      <c r="D126" s="247" t="s">
        <v>1692</v>
      </c>
      <c r="E126" s="247" t="s">
        <v>3196</v>
      </c>
      <c r="F126" s="247" t="s">
        <v>3178</v>
      </c>
      <c r="G126" s="247" t="s">
        <v>3179</v>
      </c>
      <c r="H126" s="247" t="s">
        <v>3180</v>
      </c>
    </row>
    <row r="127" spans="1:8" ht="15" customHeight="1" x14ac:dyDescent="0.2">
      <c r="A127" s="41" t="s">
        <v>3826</v>
      </c>
      <c r="B127" s="266" t="s">
        <v>3212</v>
      </c>
      <c r="C127" s="247" t="s">
        <v>1889</v>
      </c>
      <c r="D127" s="247" t="s">
        <v>1888</v>
      </c>
      <c r="E127" s="247" t="s">
        <v>3196</v>
      </c>
      <c r="F127" s="247" t="s">
        <v>3178</v>
      </c>
      <c r="G127" s="247" t="s">
        <v>3179</v>
      </c>
      <c r="H127" s="247" t="s">
        <v>3180</v>
      </c>
    </row>
    <row r="128" spans="1:8" ht="15" customHeight="1" x14ac:dyDescent="0.2">
      <c r="A128" s="41" t="s">
        <v>3803</v>
      </c>
      <c r="B128" s="266" t="s">
        <v>3212</v>
      </c>
      <c r="C128" s="247" t="s">
        <v>1646</v>
      </c>
      <c r="D128" s="247" t="s">
        <v>1645</v>
      </c>
      <c r="E128" s="247" t="s">
        <v>3196</v>
      </c>
      <c r="F128" s="247" t="s">
        <v>3178</v>
      </c>
      <c r="G128" s="247" t="s">
        <v>3179</v>
      </c>
      <c r="H128" s="247" t="s">
        <v>3180</v>
      </c>
    </row>
    <row r="129" spans="1:8" ht="15" customHeight="1" x14ac:dyDescent="0.2">
      <c r="A129" s="41" t="s">
        <v>3829</v>
      </c>
      <c r="B129" s="266" t="s">
        <v>3212</v>
      </c>
      <c r="C129" s="247" t="s">
        <v>1772</v>
      </c>
      <c r="D129" s="247" t="s">
        <v>1771</v>
      </c>
      <c r="E129" s="247" t="s">
        <v>3196</v>
      </c>
      <c r="F129" s="247" t="s">
        <v>3178</v>
      </c>
      <c r="G129" s="247" t="s">
        <v>3179</v>
      </c>
      <c r="H129" s="247" t="s">
        <v>3180</v>
      </c>
    </row>
    <row r="130" spans="1:8" ht="15" customHeight="1" x14ac:dyDescent="0.2">
      <c r="A130" s="41" t="s">
        <v>3807</v>
      </c>
      <c r="B130" s="266" t="s">
        <v>3212</v>
      </c>
      <c r="C130" s="247" t="s">
        <v>1652</v>
      </c>
      <c r="D130" s="247" t="s">
        <v>1651</v>
      </c>
      <c r="E130" s="247" t="s">
        <v>3196</v>
      </c>
      <c r="F130" s="247" t="s">
        <v>3182</v>
      </c>
      <c r="G130" s="247" t="s">
        <v>3179</v>
      </c>
      <c r="H130" s="247" t="s">
        <v>3180</v>
      </c>
    </row>
    <row r="131" spans="1:8" ht="15" customHeight="1" x14ac:dyDescent="0.2">
      <c r="A131" s="41" t="s">
        <v>3831</v>
      </c>
      <c r="B131" s="266" t="s">
        <v>3212</v>
      </c>
      <c r="C131" s="247" t="s">
        <v>1695</v>
      </c>
      <c r="D131" s="247" t="s">
        <v>1694</v>
      </c>
      <c r="E131" s="247" t="s">
        <v>3196</v>
      </c>
      <c r="F131" s="247" t="s">
        <v>3178</v>
      </c>
      <c r="G131" s="247" t="s">
        <v>3179</v>
      </c>
      <c r="H131" s="247" t="s">
        <v>3180</v>
      </c>
    </row>
    <row r="132" spans="1:8" ht="15" customHeight="1" x14ac:dyDescent="0.2">
      <c r="A132" s="41" t="s">
        <v>3821</v>
      </c>
      <c r="B132" s="266" t="s">
        <v>3212</v>
      </c>
      <c r="C132" s="247" t="s">
        <v>1740</v>
      </c>
      <c r="D132" s="247" t="s">
        <v>1739</v>
      </c>
      <c r="E132" s="247" t="s">
        <v>3196</v>
      </c>
      <c r="F132" s="247" t="s">
        <v>3182</v>
      </c>
      <c r="G132" s="247" t="s">
        <v>3179</v>
      </c>
      <c r="H132" s="247" t="s">
        <v>3180</v>
      </c>
    </row>
    <row r="133" spans="1:8" ht="15" customHeight="1" x14ac:dyDescent="0.2">
      <c r="A133" s="41" t="s">
        <v>3830</v>
      </c>
      <c r="B133" s="266" t="s">
        <v>3212</v>
      </c>
      <c r="C133" s="247" t="s">
        <v>1806</v>
      </c>
      <c r="D133" s="247" t="s">
        <v>3220</v>
      </c>
      <c r="E133" s="247" t="s">
        <v>3208</v>
      </c>
      <c r="F133" s="247" t="s">
        <v>3182</v>
      </c>
      <c r="G133" s="247" t="s">
        <v>3179</v>
      </c>
      <c r="H133" s="247" t="s">
        <v>3180</v>
      </c>
    </row>
    <row r="134" spans="1:8" ht="15" customHeight="1" x14ac:dyDescent="0.2">
      <c r="A134" s="41" t="s">
        <v>3804</v>
      </c>
      <c r="B134" s="266" t="s">
        <v>3212</v>
      </c>
      <c r="C134" s="247" t="s">
        <v>1949</v>
      </c>
      <c r="D134" s="247" t="s">
        <v>3215</v>
      </c>
      <c r="E134" s="247" t="s">
        <v>3196</v>
      </c>
      <c r="F134" s="247" t="s">
        <v>3178</v>
      </c>
      <c r="G134" s="247" t="s">
        <v>3179</v>
      </c>
      <c r="H134" s="247" t="s">
        <v>3180</v>
      </c>
    </row>
    <row r="135" spans="1:8" ht="15" customHeight="1" x14ac:dyDescent="0.2">
      <c r="A135" s="41" t="s">
        <v>3805</v>
      </c>
      <c r="B135" s="266" t="s">
        <v>3212</v>
      </c>
      <c r="C135" s="247" t="s">
        <v>1701</v>
      </c>
      <c r="D135" s="247" t="s">
        <v>3216</v>
      </c>
      <c r="E135" s="247" t="s">
        <v>3196</v>
      </c>
      <c r="F135" s="247" t="s">
        <v>3178</v>
      </c>
      <c r="G135" s="247" t="s">
        <v>3179</v>
      </c>
      <c r="H135" s="247" t="s">
        <v>3180</v>
      </c>
    </row>
    <row r="136" spans="1:8" ht="15" customHeight="1" x14ac:dyDescent="0.2">
      <c r="A136" s="41" t="s">
        <v>3808</v>
      </c>
      <c r="B136" s="266" t="s">
        <v>3212</v>
      </c>
      <c r="C136" s="247" t="s">
        <v>1702</v>
      </c>
      <c r="D136" s="247" t="s">
        <v>3218</v>
      </c>
      <c r="E136" s="247" t="s">
        <v>3196</v>
      </c>
      <c r="F136" s="247" t="s">
        <v>3178</v>
      </c>
      <c r="G136" s="247" t="s">
        <v>3179</v>
      </c>
      <c r="H136" s="247" t="s">
        <v>3180</v>
      </c>
    </row>
    <row r="137" spans="1:8" ht="15" customHeight="1" x14ac:dyDescent="0.2">
      <c r="A137" s="41" t="s">
        <v>3806</v>
      </c>
      <c r="B137" s="266" t="s">
        <v>3212</v>
      </c>
      <c r="C137" s="247" t="s">
        <v>1766</v>
      </c>
      <c r="D137" s="247" t="s">
        <v>3217</v>
      </c>
      <c r="E137" s="247" t="s">
        <v>3196</v>
      </c>
      <c r="F137" s="247" t="s">
        <v>3178</v>
      </c>
      <c r="G137" s="247" t="s">
        <v>3179</v>
      </c>
      <c r="H137" s="247" t="s">
        <v>3180</v>
      </c>
    </row>
    <row r="138" spans="1:8" ht="15" customHeight="1" x14ac:dyDescent="0.2">
      <c r="A138" s="41" t="s">
        <v>3809</v>
      </c>
      <c r="B138" s="266" t="s">
        <v>3212</v>
      </c>
      <c r="C138" s="247" t="s">
        <v>1854</v>
      </c>
      <c r="D138" s="247" t="s">
        <v>3219</v>
      </c>
      <c r="E138" s="247" t="s">
        <v>3196</v>
      </c>
      <c r="F138" s="247" t="s">
        <v>3178</v>
      </c>
      <c r="G138" s="247" t="s">
        <v>3179</v>
      </c>
      <c r="H138" s="247" t="s">
        <v>3180</v>
      </c>
    </row>
    <row r="139" spans="1:8" ht="15" customHeight="1" x14ac:dyDescent="0.2">
      <c r="A139" s="41" t="s">
        <v>3790</v>
      </c>
      <c r="B139" s="266" t="s">
        <v>3211</v>
      </c>
      <c r="C139" s="247" t="s">
        <v>1627</v>
      </c>
      <c r="D139" s="247" t="s">
        <v>1626</v>
      </c>
      <c r="E139" s="247" t="s">
        <v>3177</v>
      </c>
      <c r="F139" s="247" t="s">
        <v>3178</v>
      </c>
      <c r="G139" s="247" t="s">
        <v>3179</v>
      </c>
      <c r="H139" s="247" t="s">
        <v>3180</v>
      </c>
    </row>
    <row r="140" spans="1:8" ht="15" customHeight="1" x14ac:dyDescent="0.2">
      <c r="A140" s="41" t="s">
        <v>3800</v>
      </c>
      <c r="B140" s="266" t="s">
        <v>3212</v>
      </c>
      <c r="C140" s="247" t="s">
        <v>1631</v>
      </c>
      <c r="D140" s="247" t="s">
        <v>1630</v>
      </c>
      <c r="E140" s="247" t="s">
        <v>3196</v>
      </c>
      <c r="F140" s="247" t="s">
        <v>3178</v>
      </c>
      <c r="G140" s="247" t="s">
        <v>3179</v>
      </c>
      <c r="H140" s="247" t="s">
        <v>3180</v>
      </c>
    </row>
    <row r="141" spans="1:8" ht="15" customHeight="1" x14ac:dyDescent="0.2">
      <c r="A141" s="41" t="s">
        <v>3793</v>
      </c>
      <c r="B141" s="266" t="s">
        <v>3212</v>
      </c>
      <c r="C141" s="247" t="s">
        <v>1709</v>
      </c>
      <c r="D141" s="247" t="s">
        <v>1708</v>
      </c>
      <c r="E141" s="247" t="s">
        <v>3196</v>
      </c>
      <c r="F141" s="247" t="s">
        <v>3178</v>
      </c>
      <c r="G141" s="247" t="s">
        <v>3179</v>
      </c>
      <c r="H141" s="247" t="s">
        <v>3180</v>
      </c>
    </row>
    <row r="142" spans="1:8" ht="15" customHeight="1" x14ac:dyDescent="0.2">
      <c r="A142" s="41" t="s">
        <v>3824</v>
      </c>
      <c r="B142" s="266" t="s">
        <v>3212</v>
      </c>
      <c r="C142" s="247" t="s">
        <v>1934</v>
      </c>
      <c r="D142" s="247" t="s">
        <v>1933</v>
      </c>
      <c r="E142" s="247" t="s">
        <v>3196</v>
      </c>
      <c r="F142" s="247" t="s">
        <v>3178</v>
      </c>
      <c r="G142" s="247" t="s">
        <v>3179</v>
      </c>
      <c r="H142" s="247" t="s">
        <v>3180</v>
      </c>
    </row>
    <row r="143" spans="1:8" ht="15" customHeight="1" x14ac:dyDescent="0.2">
      <c r="A143" s="41" t="s">
        <v>3828</v>
      </c>
      <c r="B143" s="266" t="s">
        <v>3212</v>
      </c>
      <c r="C143" s="247" t="s">
        <v>2269</v>
      </c>
      <c r="D143" s="247" t="s">
        <v>2268</v>
      </c>
      <c r="E143" s="247" t="s">
        <v>3196</v>
      </c>
      <c r="F143" s="247" t="s">
        <v>3182</v>
      </c>
      <c r="G143" s="247" t="s">
        <v>3179</v>
      </c>
      <c r="H143" s="247" t="s">
        <v>3180</v>
      </c>
    </row>
    <row r="144" spans="1:8" ht="15" customHeight="1" x14ac:dyDescent="0.2">
      <c r="A144" s="41" t="s">
        <v>3802</v>
      </c>
      <c r="B144" s="266" t="s">
        <v>3212</v>
      </c>
      <c r="C144" s="247" t="s">
        <v>1689</v>
      </c>
      <c r="D144" s="247" t="s">
        <v>1688</v>
      </c>
      <c r="E144" s="247" t="s">
        <v>3196</v>
      </c>
      <c r="F144" s="247" t="s">
        <v>3178</v>
      </c>
      <c r="G144" s="247" t="s">
        <v>3179</v>
      </c>
      <c r="H144" s="247" t="s">
        <v>3180</v>
      </c>
    </row>
    <row r="145" spans="1:8" ht="15" customHeight="1" x14ac:dyDescent="0.2">
      <c r="A145" s="41" t="s">
        <v>3801</v>
      </c>
      <c r="B145" s="266" t="s">
        <v>3212</v>
      </c>
      <c r="C145" s="247" t="s">
        <v>1705</v>
      </c>
      <c r="D145" s="247" t="s">
        <v>3214</v>
      </c>
      <c r="E145" s="247" t="s">
        <v>3196</v>
      </c>
      <c r="F145" s="247" t="s">
        <v>3178</v>
      </c>
      <c r="G145" s="247" t="s">
        <v>3179</v>
      </c>
      <c r="H145" s="247" t="s">
        <v>3180</v>
      </c>
    </row>
    <row r="146" spans="1:8" ht="15" customHeight="1" x14ac:dyDescent="0.2">
      <c r="A146" s="41" t="s">
        <v>3797</v>
      </c>
      <c r="B146" s="266" t="s">
        <v>3212</v>
      </c>
      <c r="C146" s="247" t="s">
        <v>1712</v>
      </c>
      <c r="D146" s="247" t="s">
        <v>1711</v>
      </c>
      <c r="E146" s="247" t="s">
        <v>3196</v>
      </c>
      <c r="F146" s="247" t="s">
        <v>3178</v>
      </c>
      <c r="G146" s="247" t="s">
        <v>3179</v>
      </c>
      <c r="H146" s="247" t="s">
        <v>3180</v>
      </c>
    </row>
    <row r="147" spans="1:8" ht="15" customHeight="1" x14ac:dyDescent="0.2">
      <c r="A147" s="41" t="s">
        <v>3798</v>
      </c>
      <c r="B147" s="266" t="s">
        <v>3212</v>
      </c>
      <c r="C147" s="247" t="s">
        <v>1818</v>
      </c>
      <c r="D147" s="247" t="s">
        <v>1817</v>
      </c>
      <c r="E147" s="247" t="s">
        <v>3196</v>
      </c>
      <c r="F147" s="247" t="s">
        <v>3178</v>
      </c>
      <c r="G147" s="247" t="s">
        <v>3179</v>
      </c>
      <c r="H147" s="247" t="s">
        <v>3180</v>
      </c>
    </row>
    <row r="148" spans="1:8" ht="15" customHeight="1" x14ac:dyDescent="0.2">
      <c r="A148" s="41" t="s">
        <v>3796</v>
      </c>
      <c r="B148" s="266" t="s">
        <v>3212</v>
      </c>
      <c r="C148" s="247" t="s">
        <v>1683</v>
      </c>
      <c r="D148" s="247" t="s">
        <v>1682</v>
      </c>
      <c r="E148" s="247" t="s">
        <v>3196</v>
      </c>
      <c r="F148" s="247" t="s">
        <v>3178</v>
      </c>
      <c r="G148" s="247" t="s">
        <v>3179</v>
      </c>
      <c r="H148" s="247" t="s">
        <v>3180</v>
      </c>
    </row>
    <row r="149" spans="1:8" ht="15" customHeight="1" x14ac:dyDescent="0.2">
      <c r="A149" s="41" t="s">
        <v>3799</v>
      </c>
      <c r="B149" s="266" t="s">
        <v>3212</v>
      </c>
      <c r="C149" s="247" t="s">
        <v>1822</v>
      </c>
      <c r="D149" s="247" t="s">
        <v>1821</v>
      </c>
      <c r="E149" s="247" t="s">
        <v>3196</v>
      </c>
      <c r="F149" s="247" t="s">
        <v>3182</v>
      </c>
      <c r="G149" s="247" t="s">
        <v>3179</v>
      </c>
      <c r="H149" s="247" t="s">
        <v>3180</v>
      </c>
    </row>
    <row r="150" spans="1:8" ht="15" customHeight="1" x14ac:dyDescent="0.2">
      <c r="A150" s="41" t="s">
        <v>3794</v>
      </c>
      <c r="B150" s="266" t="s">
        <v>3212</v>
      </c>
      <c r="C150" s="247" t="s">
        <v>1820</v>
      </c>
      <c r="D150" s="247" t="s">
        <v>1819</v>
      </c>
      <c r="E150" s="247" t="s">
        <v>3177</v>
      </c>
      <c r="F150" s="247" t="s">
        <v>3182</v>
      </c>
      <c r="G150" s="247" t="s">
        <v>3179</v>
      </c>
      <c r="H150" s="247" t="s">
        <v>3180</v>
      </c>
    </row>
    <row r="151" spans="1:8" ht="15" customHeight="1" x14ac:dyDescent="0.2">
      <c r="A151" s="41" t="s">
        <v>3827</v>
      </c>
      <c r="B151" s="266" t="s">
        <v>3212</v>
      </c>
      <c r="C151" s="247" t="s">
        <v>1823</v>
      </c>
      <c r="D151" s="247" t="s">
        <v>1749</v>
      </c>
      <c r="E151" s="247" t="s">
        <v>3208</v>
      </c>
      <c r="F151" s="247" t="s">
        <v>3182</v>
      </c>
      <c r="G151" s="247" t="s">
        <v>3179</v>
      </c>
      <c r="H151" s="247" t="s">
        <v>3180</v>
      </c>
    </row>
    <row r="152" spans="1:8" ht="15" customHeight="1" x14ac:dyDescent="0.2">
      <c r="A152" s="41" t="s">
        <v>3822</v>
      </c>
      <c r="B152" s="266" t="s">
        <v>3212</v>
      </c>
      <c r="C152" s="247" t="s">
        <v>1750</v>
      </c>
      <c r="D152" s="247" t="s">
        <v>1749</v>
      </c>
      <c r="E152" s="247" t="s">
        <v>3196</v>
      </c>
      <c r="F152" s="247" t="s">
        <v>3182</v>
      </c>
      <c r="G152" s="247" t="s">
        <v>3179</v>
      </c>
      <c r="H152" s="247" t="s">
        <v>3180</v>
      </c>
    </row>
    <row r="153" spans="1:8" ht="15" customHeight="1" x14ac:dyDescent="0.2">
      <c r="A153" s="41" t="s">
        <v>3825</v>
      </c>
      <c r="B153" s="266" t="s">
        <v>3212</v>
      </c>
      <c r="C153" s="247" t="s">
        <v>1944</v>
      </c>
      <c r="D153" s="247" t="s">
        <v>1943</v>
      </c>
      <c r="E153" s="247" t="s">
        <v>3177</v>
      </c>
      <c r="F153" s="247" t="s">
        <v>3178</v>
      </c>
      <c r="G153" s="247" t="s">
        <v>3179</v>
      </c>
      <c r="H153" s="247" t="s">
        <v>3180</v>
      </c>
    </row>
    <row r="154" spans="1:8" ht="15" customHeight="1" x14ac:dyDescent="0.2">
      <c r="A154" s="41" t="s">
        <v>4595</v>
      </c>
      <c r="B154" s="266" t="s">
        <v>3647</v>
      </c>
      <c r="C154" s="247" t="s">
        <v>2441</v>
      </c>
      <c r="D154" s="247" t="s">
        <v>2440</v>
      </c>
      <c r="E154" s="247" t="s">
        <v>3208</v>
      </c>
      <c r="F154" s="247" t="s">
        <v>3182</v>
      </c>
      <c r="G154" s="247" t="s">
        <v>3179</v>
      </c>
      <c r="H154" s="247" t="s">
        <v>3180</v>
      </c>
    </row>
    <row r="155" spans="1:8" ht="15" customHeight="1" x14ac:dyDescent="0.2">
      <c r="A155" s="41" t="s">
        <v>4557</v>
      </c>
      <c r="B155" s="266" t="s">
        <v>3619</v>
      </c>
      <c r="C155" s="247" t="s">
        <v>3119</v>
      </c>
      <c r="D155" s="247" t="s">
        <v>3634</v>
      </c>
      <c r="E155" s="247" t="s">
        <v>3196</v>
      </c>
      <c r="F155" s="247" t="s">
        <v>3199</v>
      </c>
      <c r="G155" s="247" t="s">
        <v>3621</v>
      </c>
      <c r="H155" s="247" t="s">
        <v>3180</v>
      </c>
    </row>
    <row r="156" spans="1:8" ht="15" customHeight="1" x14ac:dyDescent="0.2">
      <c r="A156" s="41" t="s">
        <v>4558</v>
      </c>
      <c r="B156" s="266" t="s">
        <v>3619</v>
      </c>
      <c r="C156" s="247" t="s">
        <v>3120</v>
      </c>
      <c r="D156" s="247" t="s">
        <v>3635</v>
      </c>
      <c r="E156" s="247" t="s">
        <v>3196</v>
      </c>
      <c r="F156" s="247" t="s">
        <v>3199</v>
      </c>
      <c r="G156" s="247" t="s">
        <v>3621</v>
      </c>
      <c r="H156" s="247" t="s">
        <v>3180</v>
      </c>
    </row>
    <row r="157" spans="1:8" ht="15" customHeight="1" x14ac:dyDescent="0.2">
      <c r="A157" s="41" t="s">
        <v>4549</v>
      </c>
      <c r="B157" s="266" t="s">
        <v>3619</v>
      </c>
      <c r="C157" s="247" t="s">
        <v>3111</v>
      </c>
      <c r="D157" s="247" t="s">
        <v>3626</v>
      </c>
      <c r="E157" s="247" t="s">
        <v>3196</v>
      </c>
      <c r="F157" s="247" t="s">
        <v>3199</v>
      </c>
      <c r="G157" s="247" t="s">
        <v>3621</v>
      </c>
      <c r="H157" s="247" t="s">
        <v>3180</v>
      </c>
    </row>
    <row r="158" spans="1:8" ht="15" customHeight="1" x14ac:dyDescent="0.2">
      <c r="A158" s="41" t="s">
        <v>4556</v>
      </c>
      <c r="B158" s="266" t="s">
        <v>3619</v>
      </c>
      <c r="C158" s="247" t="s">
        <v>3118</v>
      </c>
      <c r="D158" s="247" t="s">
        <v>3633</v>
      </c>
      <c r="E158" s="247" t="s">
        <v>3196</v>
      </c>
      <c r="F158" s="247" t="s">
        <v>3199</v>
      </c>
      <c r="G158" s="247" t="s">
        <v>3621</v>
      </c>
      <c r="H158" s="247" t="s">
        <v>3180</v>
      </c>
    </row>
    <row r="159" spans="1:8" ht="15" customHeight="1" x14ac:dyDescent="0.2">
      <c r="A159" s="41" t="s">
        <v>4546</v>
      </c>
      <c r="B159" s="266" t="s">
        <v>3619</v>
      </c>
      <c r="C159" s="247" t="s">
        <v>3108</v>
      </c>
      <c r="D159" s="247" t="s">
        <v>3623</v>
      </c>
      <c r="E159" s="247" t="s">
        <v>3196</v>
      </c>
      <c r="F159" s="247" t="s">
        <v>3199</v>
      </c>
      <c r="G159" s="247" t="s">
        <v>3621</v>
      </c>
      <c r="H159" s="247" t="s">
        <v>3180</v>
      </c>
    </row>
    <row r="160" spans="1:8" ht="15" customHeight="1" x14ac:dyDescent="0.2">
      <c r="A160" s="41" t="s">
        <v>4550</v>
      </c>
      <c r="B160" s="266" t="s">
        <v>3619</v>
      </c>
      <c r="C160" s="247" t="s">
        <v>3112</v>
      </c>
      <c r="D160" s="247" t="s">
        <v>3627</v>
      </c>
      <c r="E160" s="247" t="s">
        <v>3196</v>
      </c>
      <c r="F160" s="247" t="s">
        <v>3199</v>
      </c>
      <c r="G160" s="247" t="s">
        <v>3621</v>
      </c>
      <c r="H160" s="247" t="s">
        <v>3180</v>
      </c>
    </row>
    <row r="161" spans="1:8" ht="15" customHeight="1" x14ac:dyDescent="0.2">
      <c r="A161" s="41" t="s">
        <v>4544</v>
      </c>
      <c r="B161" s="266" t="s">
        <v>3619</v>
      </c>
      <c r="C161" s="247" t="s">
        <v>3106</v>
      </c>
      <c r="D161" s="247" t="s">
        <v>3620</v>
      </c>
      <c r="E161" s="247" t="s">
        <v>3196</v>
      </c>
      <c r="F161" s="247" t="s">
        <v>3199</v>
      </c>
      <c r="G161" s="247" t="s">
        <v>3621</v>
      </c>
      <c r="H161" s="247" t="s">
        <v>3180</v>
      </c>
    </row>
    <row r="162" spans="1:8" ht="15" customHeight="1" x14ac:dyDescent="0.2">
      <c r="A162" s="41" t="s">
        <v>4554</v>
      </c>
      <c r="B162" s="266" t="s">
        <v>3619</v>
      </c>
      <c r="C162" s="247" t="s">
        <v>3116</v>
      </c>
      <c r="D162" s="247" t="s">
        <v>3631</v>
      </c>
      <c r="E162" s="247" t="s">
        <v>3196</v>
      </c>
      <c r="F162" s="247" t="s">
        <v>3199</v>
      </c>
      <c r="G162" s="247" t="s">
        <v>3621</v>
      </c>
      <c r="H162" s="247" t="s">
        <v>3180</v>
      </c>
    </row>
    <row r="163" spans="1:8" ht="15" customHeight="1" x14ac:dyDescent="0.2">
      <c r="A163" s="41" t="s">
        <v>4553</v>
      </c>
      <c r="B163" s="266" t="s">
        <v>3619</v>
      </c>
      <c r="C163" s="247" t="s">
        <v>3115</v>
      </c>
      <c r="D163" s="247" t="s">
        <v>3630</v>
      </c>
      <c r="E163" s="247" t="s">
        <v>3196</v>
      </c>
      <c r="F163" s="247" t="s">
        <v>3199</v>
      </c>
      <c r="G163" s="247" t="s">
        <v>3621</v>
      </c>
      <c r="H163" s="247" t="s">
        <v>3180</v>
      </c>
    </row>
    <row r="164" spans="1:8" ht="15" customHeight="1" x14ac:dyDescent="0.2">
      <c r="A164" s="41" t="s">
        <v>4551</v>
      </c>
      <c r="B164" s="266" t="s">
        <v>3619</v>
      </c>
      <c r="C164" s="247" t="s">
        <v>3113</v>
      </c>
      <c r="D164" s="247" t="s">
        <v>3628</v>
      </c>
      <c r="E164" s="247" t="s">
        <v>3196</v>
      </c>
      <c r="F164" s="247" t="s">
        <v>3199</v>
      </c>
      <c r="G164" s="247" t="s">
        <v>3621</v>
      </c>
      <c r="H164" s="247" t="s">
        <v>3180</v>
      </c>
    </row>
    <row r="165" spans="1:8" ht="15" customHeight="1" x14ac:dyDescent="0.2">
      <c r="A165" s="41" t="s">
        <v>4555</v>
      </c>
      <c r="B165" s="266" t="s">
        <v>3619</v>
      </c>
      <c r="C165" s="247" t="s">
        <v>3117</v>
      </c>
      <c r="D165" s="247" t="s">
        <v>3632</v>
      </c>
      <c r="E165" s="247" t="s">
        <v>3196</v>
      </c>
      <c r="F165" s="247" t="s">
        <v>3199</v>
      </c>
      <c r="G165" s="247" t="s">
        <v>3621</v>
      </c>
      <c r="H165" s="247" t="s">
        <v>3180</v>
      </c>
    </row>
    <row r="166" spans="1:8" ht="15" customHeight="1" x14ac:dyDescent="0.2">
      <c r="A166" s="41" t="s">
        <v>4552</v>
      </c>
      <c r="B166" s="266" t="s">
        <v>3619</v>
      </c>
      <c r="C166" s="247" t="s">
        <v>3114</v>
      </c>
      <c r="D166" s="247" t="s">
        <v>3629</v>
      </c>
      <c r="E166" s="247" t="s">
        <v>3196</v>
      </c>
      <c r="F166" s="247" t="s">
        <v>3199</v>
      </c>
      <c r="G166" s="247" t="s">
        <v>3621</v>
      </c>
      <c r="H166" s="247" t="s">
        <v>3180</v>
      </c>
    </row>
    <row r="167" spans="1:8" ht="15" customHeight="1" x14ac:dyDescent="0.2">
      <c r="A167" s="41" t="s">
        <v>4547</v>
      </c>
      <c r="B167" s="266" t="s">
        <v>3619</v>
      </c>
      <c r="C167" s="247" t="s">
        <v>3109</v>
      </c>
      <c r="D167" s="247" t="s">
        <v>3624</v>
      </c>
      <c r="E167" s="247" t="s">
        <v>3196</v>
      </c>
      <c r="F167" s="247" t="s">
        <v>3199</v>
      </c>
      <c r="G167" s="247" t="s">
        <v>3621</v>
      </c>
      <c r="H167" s="247" t="s">
        <v>3180</v>
      </c>
    </row>
    <row r="168" spans="1:8" ht="15" customHeight="1" x14ac:dyDescent="0.2">
      <c r="A168" s="41" t="s">
        <v>4548</v>
      </c>
      <c r="B168" s="266" t="s">
        <v>3619</v>
      </c>
      <c r="C168" s="247" t="s">
        <v>3110</v>
      </c>
      <c r="D168" s="247" t="s">
        <v>3625</v>
      </c>
      <c r="E168" s="247" t="s">
        <v>3196</v>
      </c>
      <c r="F168" s="247" t="s">
        <v>3199</v>
      </c>
      <c r="G168" s="247" t="s">
        <v>3621</v>
      </c>
      <c r="H168" s="247" t="s">
        <v>3180</v>
      </c>
    </row>
    <row r="169" spans="1:8" ht="15" customHeight="1" x14ac:dyDescent="0.2">
      <c r="A169" s="41" t="s">
        <v>4545</v>
      </c>
      <c r="B169" s="266" t="s">
        <v>3619</v>
      </c>
      <c r="C169" s="247" t="s">
        <v>3107</v>
      </c>
      <c r="D169" s="247" t="s">
        <v>3622</v>
      </c>
      <c r="E169" s="247" t="s">
        <v>3196</v>
      </c>
      <c r="F169" s="247" t="s">
        <v>3199</v>
      </c>
      <c r="G169" s="247" t="s">
        <v>3621</v>
      </c>
      <c r="H169" s="247" t="s">
        <v>3180</v>
      </c>
    </row>
    <row r="170" spans="1:8" ht="15" customHeight="1" x14ac:dyDescent="0.2">
      <c r="A170" s="41" t="s">
        <v>4613</v>
      </c>
      <c r="B170" s="266" t="s">
        <v>3662</v>
      </c>
      <c r="C170" s="247" t="s">
        <v>2653</v>
      </c>
      <c r="D170" s="247" t="s">
        <v>2652</v>
      </c>
      <c r="E170" s="247" t="s">
        <v>3208</v>
      </c>
      <c r="F170" s="247" t="s">
        <v>3182</v>
      </c>
      <c r="G170" s="247" t="s">
        <v>3179</v>
      </c>
      <c r="H170" s="247" t="s">
        <v>3180</v>
      </c>
    </row>
    <row r="171" spans="1:8" ht="15" customHeight="1" x14ac:dyDescent="0.2">
      <c r="A171" s="41" t="s">
        <v>4590</v>
      </c>
      <c r="B171" s="266" t="s">
        <v>3647</v>
      </c>
      <c r="C171" s="247" t="s">
        <v>1793</v>
      </c>
      <c r="D171" s="247" t="s">
        <v>1792</v>
      </c>
      <c r="E171" s="247" t="s">
        <v>3213</v>
      </c>
      <c r="F171" s="247" t="s">
        <v>3178</v>
      </c>
      <c r="G171" s="247" t="s">
        <v>3651</v>
      </c>
      <c r="H171" s="247" t="s">
        <v>3185</v>
      </c>
    </row>
    <row r="172" spans="1:8" ht="15" customHeight="1" x14ac:dyDescent="0.2">
      <c r="A172" s="41" t="s">
        <v>4611</v>
      </c>
      <c r="B172" s="266" t="s">
        <v>3647</v>
      </c>
      <c r="C172" s="247" t="s">
        <v>2444</v>
      </c>
      <c r="D172" s="247" t="s">
        <v>2443</v>
      </c>
      <c r="E172" s="247" t="s">
        <v>3208</v>
      </c>
      <c r="F172" s="247" t="s">
        <v>3182</v>
      </c>
      <c r="G172" s="247" t="s">
        <v>3179</v>
      </c>
      <c r="H172" s="247" t="s">
        <v>3180</v>
      </c>
    </row>
    <row r="173" spans="1:8" ht="15" customHeight="1" x14ac:dyDescent="0.2">
      <c r="A173" s="41" t="s">
        <v>3880</v>
      </c>
      <c r="B173" s="266" t="s">
        <v>3257</v>
      </c>
      <c r="C173" s="247" t="s">
        <v>2358</v>
      </c>
      <c r="D173" s="247" t="s">
        <v>2357</v>
      </c>
      <c r="E173" s="247" t="s">
        <v>3213</v>
      </c>
      <c r="F173" s="247" t="s">
        <v>3182</v>
      </c>
      <c r="G173" s="247" t="s">
        <v>3179</v>
      </c>
      <c r="H173" s="247" t="s">
        <v>3180</v>
      </c>
    </row>
    <row r="174" spans="1:8" ht="15" customHeight="1" x14ac:dyDescent="0.2">
      <c r="A174" s="41" t="s">
        <v>4663</v>
      </c>
      <c r="B174" s="266" t="s">
        <v>3679</v>
      </c>
      <c r="C174" s="247" t="s">
        <v>1801</v>
      </c>
      <c r="D174" s="247" t="s">
        <v>1800</v>
      </c>
      <c r="E174" s="247" t="s">
        <v>3208</v>
      </c>
      <c r="F174" s="247" t="s">
        <v>3182</v>
      </c>
      <c r="G174" s="247" t="s">
        <v>3179</v>
      </c>
      <c r="H174" s="247" t="s">
        <v>3185</v>
      </c>
    </row>
    <row r="175" spans="1:8" ht="15" customHeight="1" x14ac:dyDescent="0.2">
      <c r="A175" s="41" t="s">
        <v>4662</v>
      </c>
      <c r="B175" s="266" t="s">
        <v>3662</v>
      </c>
      <c r="C175" s="247" t="s">
        <v>2097</v>
      </c>
      <c r="D175" s="247" t="s">
        <v>3678</v>
      </c>
      <c r="E175" s="247" t="s">
        <v>3677</v>
      </c>
      <c r="F175" s="247" t="s">
        <v>3182</v>
      </c>
      <c r="G175" s="247" t="s">
        <v>3179</v>
      </c>
      <c r="H175" s="247" t="s">
        <v>3180</v>
      </c>
    </row>
    <row r="176" spans="1:8" ht="15" customHeight="1" x14ac:dyDescent="0.2">
      <c r="A176" s="41" t="s">
        <v>4661</v>
      </c>
      <c r="B176" s="266" t="s">
        <v>3662</v>
      </c>
      <c r="C176" s="247" t="s">
        <v>1885</v>
      </c>
      <c r="D176" s="247" t="s">
        <v>3676</v>
      </c>
      <c r="E176" s="247" t="s">
        <v>3677</v>
      </c>
      <c r="F176" s="247" t="s">
        <v>3182</v>
      </c>
      <c r="G176" s="247" t="s">
        <v>3179</v>
      </c>
      <c r="H176" s="247" t="s">
        <v>3180</v>
      </c>
    </row>
    <row r="177" spans="1:8" ht="15" customHeight="1" x14ac:dyDescent="0.2">
      <c r="A177" s="41" t="s">
        <v>3875</v>
      </c>
      <c r="B177" s="266" t="s">
        <v>3250</v>
      </c>
      <c r="C177" s="247" t="s">
        <v>2002</v>
      </c>
      <c r="D177" s="247" t="s">
        <v>2001</v>
      </c>
      <c r="E177" s="247" t="s">
        <v>3208</v>
      </c>
      <c r="F177" s="247" t="s">
        <v>3182</v>
      </c>
      <c r="G177" s="247" t="s">
        <v>3179</v>
      </c>
      <c r="H177" s="247" t="s">
        <v>3180</v>
      </c>
    </row>
    <row r="178" spans="1:8" ht="15" customHeight="1" x14ac:dyDescent="0.2">
      <c r="A178" s="41" t="s">
        <v>4575</v>
      </c>
      <c r="B178" s="266" t="s">
        <v>3637</v>
      </c>
      <c r="C178" s="247" t="s">
        <v>2436</v>
      </c>
      <c r="D178" s="247" t="s">
        <v>2435</v>
      </c>
      <c r="E178" s="247" t="s">
        <v>3213</v>
      </c>
      <c r="F178" s="247" t="s">
        <v>3182</v>
      </c>
      <c r="G178" s="247" t="s">
        <v>3179</v>
      </c>
      <c r="H178" s="247" t="s">
        <v>3180</v>
      </c>
    </row>
    <row r="179" spans="1:8" ht="15" customHeight="1" x14ac:dyDescent="0.2">
      <c r="A179" s="41" t="s">
        <v>3783</v>
      </c>
      <c r="B179" s="266" t="s">
        <v>3206</v>
      </c>
      <c r="C179" s="247" t="s">
        <v>1738</v>
      </c>
      <c r="D179" s="247" t="s">
        <v>3207</v>
      </c>
      <c r="E179" s="247" t="s">
        <v>3208</v>
      </c>
      <c r="F179" s="247" t="s">
        <v>3178</v>
      </c>
      <c r="G179" s="247" t="s">
        <v>3179</v>
      </c>
      <c r="H179" s="247" t="s">
        <v>3180</v>
      </c>
    </row>
    <row r="180" spans="1:8" ht="15" customHeight="1" x14ac:dyDescent="0.2">
      <c r="A180" s="41" t="s">
        <v>3832</v>
      </c>
      <c r="B180" s="266" t="s">
        <v>3221</v>
      </c>
      <c r="C180" s="247" t="s">
        <v>1758</v>
      </c>
      <c r="D180" s="247" t="s">
        <v>3222</v>
      </c>
      <c r="E180" s="247" t="s">
        <v>3196</v>
      </c>
      <c r="F180" s="247" t="s">
        <v>3178</v>
      </c>
      <c r="G180" s="247" t="s">
        <v>3179</v>
      </c>
      <c r="H180" s="247" t="s">
        <v>3180</v>
      </c>
    </row>
    <row r="181" spans="1:8" ht="15" customHeight="1" x14ac:dyDescent="0.2">
      <c r="A181" s="41" t="s">
        <v>3867</v>
      </c>
      <c r="B181" s="266" t="s">
        <v>3241</v>
      </c>
      <c r="C181" s="247" t="s">
        <v>2495</v>
      </c>
      <c r="D181" s="247" t="s">
        <v>2494</v>
      </c>
      <c r="E181" s="247" t="s">
        <v>3196</v>
      </c>
      <c r="F181" s="247" t="s">
        <v>3178</v>
      </c>
      <c r="G181" s="247" t="s">
        <v>3179</v>
      </c>
      <c r="H181" s="247" t="s">
        <v>3180</v>
      </c>
    </row>
    <row r="182" spans="1:8" ht="15" customHeight="1" x14ac:dyDescent="0.2">
      <c r="A182" s="41" t="s">
        <v>3864</v>
      </c>
      <c r="B182" s="266" t="s">
        <v>3241</v>
      </c>
      <c r="C182" s="247" t="s">
        <v>2272</v>
      </c>
      <c r="D182" s="247" t="s">
        <v>3242</v>
      </c>
      <c r="E182" s="247" t="s">
        <v>3196</v>
      </c>
      <c r="F182" s="247" t="s">
        <v>3178</v>
      </c>
      <c r="G182" s="247" t="s">
        <v>3179</v>
      </c>
      <c r="H182" s="247" t="s">
        <v>3180</v>
      </c>
    </row>
    <row r="183" spans="1:8" ht="15" customHeight="1" x14ac:dyDescent="0.2">
      <c r="A183" s="41" t="s">
        <v>3865</v>
      </c>
      <c r="B183" s="266" t="s">
        <v>3241</v>
      </c>
      <c r="C183" s="247" t="s">
        <v>2695</v>
      </c>
      <c r="D183" s="247" t="s">
        <v>3243</v>
      </c>
      <c r="E183" s="247" t="s">
        <v>3196</v>
      </c>
      <c r="F183" s="247" t="s">
        <v>3178</v>
      </c>
      <c r="G183" s="247" t="s">
        <v>3179</v>
      </c>
      <c r="H183" s="247" t="s">
        <v>3180</v>
      </c>
    </row>
    <row r="184" spans="1:8" ht="15" customHeight="1" x14ac:dyDescent="0.2">
      <c r="A184" s="41" t="s">
        <v>3866</v>
      </c>
      <c r="B184" s="266" t="s">
        <v>3241</v>
      </c>
      <c r="C184" s="247" t="s">
        <v>2356</v>
      </c>
      <c r="D184" s="247" t="s">
        <v>3244</v>
      </c>
      <c r="E184" s="247" t="s">
        <v>3196</v>
      </c>
      <c r="F184" s="247" t="s">
        <v>3178</v>
      </c>
      <c r="G184" s="247" t="s">
        <v>3179</v>
      </c>
      <c r="H184" s="247" t="s">
        <v>3180</v>
      </c>
    </row>
    <row r="185" spans="1:8" ht="15" customHeight="1" x14ac:dyDescent="0.2">
      <c r="A185" s="41" t="s">
        <v>4246</v>
      </c>
      <c r="B185" s="266" t="s">
        <v>3314</v>
      </c>
      <c r="C185" s="247" t="s">
        <v>1746</v>
      </c>
      <c r="D185" s="247" t="s">
        <v>1745</v>
      </c>
      <c r="E185" s="247" t="s">
        <v>3213</v>
      </c>
      <c r="F185" s="247" t="s">
        <v>3182</v>
      </c>
      <c r="G185" s="247" t="s">
        <v>3179</v>
      </c>
      <c r="H185" s="247" t="s">
        <v>3180</v>
      </c>
    </row>
    <row r="186" spans="1:8" ht="15" customHeight="1" x14ac:dyDescent="0.2">
      <c r="A186" s="41" t="s">
        <v>4614</v>
      </c>
      <c r="B186" s="266" t="s">
        <v>3662</v>
      </c>
      <c r="C186" s="247" t="s">
        <v>2010</v>
      </c>
      <c r="D186" s="247" t="s">
        <v>2009</v>
      </c>
      <c r="E186" s="247" t="s">
        <v>3208</v>
      </c>
      <c r="F186" s="247" t="s">
        <v>3178</v>
      </c>
      <c r="G186" s="247" t="s">
        <v>3179</v>
      </c>
      <c r="H186" s="247" t="s">
        <v>3180</v>
      </c>
    </row>
    <row r="187" spans="1:8" ht="15" customHeight="1" x14ac:dyDescent="0.2">
      <c r="A187" s="41" t="s">
        <v>4630</v>
      </c>
      <c r="B187" s="266" t="s">
        <v>3662</v>
      </c>
      <c r="C187" s="247" t="s">
        <v>2185</v>
      </c>
      <c r="D187" s="247" t="s">
        <v>2184</v>
      </c>
      <c r="E187" s="247" t="s">
        <v>3208</v>
      </c>
      <c r="F187" s="247" t="s">
        <v>3178</v>
      </c>
      <c r="G187" s="247" t="s">
        <v>3179</v>
      </c>
      <c r="H187" s="247" t="s">
        <v>3180</v>
      </c>
    </row>
    <row r="188" spans="1:8" ht="15" customHeight="1" x14ac:dyDescent="0.2">
      <c r="A188" s="41" t="s">
        <v>4631</v>
      </c>
      <c r="B188" s="266" t="s">
        <v>3662</v>
      </c>
      <c r="C188" s="247" t="s">
        <v>2450</v>
      </c>
      <c r="D188" s="247" t="s">
        <v>2449</v>
      </c>
      <c r="E188" s="247" t="s">
        <v>3208</v>
      </c>
      <c r="F188" s="247" t="s">
        <v>3178</v>
      </c>
      <c r="G188" s="247" t="s">
        <v>3179</v>
      </c>
      <c r="H188" s="247" t="s">
        <v>3180</v>
      </c>
    </row>
    <row r="189" spans="1:8" ht="15" customHeight="1" x14ac:dyDescent="0.2">
      <c r="A189" s="41" t="s">
        <v>4632</v>
      </c>
      <c r="B189" s="266" t="s">
        <v>3662</v>
      </c>
      <c r="C189" s="247" t="s">
        <v>2452</v>
      </c>
      <c r="D189" s="247" t="s">
        <v>2451</v>
      </c>
      <c r="E189" s="247" t="s">
        <v>3208</v>
      </c>
      <c r="F189" s="247" t="s">
        <v>3178</v>
      </c>
      <c r="G189" s="247" t="s">
        <v>3179</v>
      </c>
      <c r="H189" s="247" t="s">
        <v>3180</v>
      </c>
    </row>
    <row r="190" spans="1:8" ht="15" customHeight="1" x14ac:dyDescent="0.2">
      <c r="A190" s="41" t="s">
        <v>4646</v>
      </c>
      <c r="B190" s="266" t="s">
        <v>3662</v>
      </c>
      <c r="C190" s="247" t="s">
        <v>2671</v>
      </c>
      <c r="D190" s="247" t="s">
        <v>2670</v>
      </c>
      <c r="E190" s="247" t="s">
        <v>3208</v>
      </c>
      <c r="F190" s="247" t="s">
        <v>3178</v>
      </c>
      <c r="G190" s="247" t="s">
        <v>3179</v>
      </c>
      <c r="H190" s="247" t="s">
        <v>3180</v>
      </c>
    </row>
    <row r="191" spans="1:8" ht="15" customHeight="1" x14ac:dyDescent="0.2">
      <c r="A191" s="41" t="s">
        <v>4647</v>
      </c>
      <c r="B191" s="266" t="s">
        <v>3662</v>
      </c>
      <c r="C191" s="247" t="s">
        <v>2089</v>
      </c>
      <c r="D191" s="247" t="s">
        <v>2088</v>
      </c>
      <c r="E191" s="247" t="s">
        <v>3208</v>
      </c>
      <c r="F191" s="247" t="s">
        <v>3178</v>
      </c>
      <c r="G191" s="247" t="s">
        <v>3179</v>
      </c>
      <c r="H191" s="247" t="s">
        <v>3180</v>
      </c>
    </row>
    <row r="192" spans="1:8" ht="15" customHeight="1" x14ac:dyDescent="0.2">
      <c r="A192" s="41" t="s">
        <v>4648</v>
      </c>
      <c r="B192" s="266" t="s">
        <v>3662</v>
      </c>
      <c r="C192" s="247" t="s">
        <v>2091</v>
      </c>
      <c r="D192" s="247" t="s">
        <v>2090</v>
      </c>
      <c r="E192" s="247" t="s">
        <v>3208</v>
      </c>
      <c r="F192" s="247" t="s">
        <v>3178</v>
      </c>
      <c r="G192" s="247" t="s">
        <v>3179</v>
      </c>
      <c r="H192" s="247" t="s">
        <v>3180</v>
      </c>
    </row>
    <row r="193" spans="1:8" ht="15" customHeight="1" x14ac:dyDescent="0.2">
      <c r="A193" s="41" t="s">
        <v>4649</v>
      </c>
      <c r="B193" s="266" t="s">
        <v>3662</v>
      </c>
      <c r="C193" s="247" t="s">
        <v>2093</v>
      </c>
      <c r="D193" s="247" t="s">
        <v>2092</v>
      </c>
      <c r="E193" s="247" t="s">
        <v>3208</v>
      </c>
      <c r="F193" s="247" t="s">
        <v>3178</v>
      </c>
      <c r="G193" s="247" t="s">
        <v>3179</v>
      </c>
      <c r="H193" s="247" t="s">
        <v>3180</v>
      </c>
    </row>
    <row r="194" spans="1:8" ht="15" customHeight="1" x14ac:dyDescent="0.2">
      <c r="A194" s="41" t="s">
        <v>4650</v>
      </c>
      <c r="B194" s="266" t="s">
        <v>3662</v>
      </c>
      <c r="C194" s="247" t="s">
        <v>2251</v>
      </c>
      <c r="D194" s="247" t="s">
        <v>2250</v>
      </c>
      <c r="E194" s="247" t="s">
        <v>3208</v>
      </c>
      <c r="F194" s="247" t="s">
        <v>3178</v>
      </c>
      <c r="G194" s="247" t="s">
        <v>3179</v>
      </c>
      <c r="H194" s="247" t="s">
        <v>3180</v>
      </c>
    </row>
    <row r="195" spans="1:8" ht="15" customHeight="1" x14ac:dyDescent="0.2">
      <c r="A195" s="41" t="s">
        <v>4651</v>
      </c>
      <c r="B195" s="266" t="s">
        <v>3662</v>
      </c>
      <c r="C195" s="247" t="s">
        <v>2253</v>
      </c>
      <c r="D195" s="247" t="s">
        <v>2252</v>
      </c>
      <c r="E195" s="247" t="s">
        <v>3208</v>
      </c>
      <c r="F195" s="247" t="s">
        <v>3178</v>
      </c>
      <c r="G195" s="247" t="s">
        <v>3179</v>
      </c>
      <c r="H195" s="247" t="s">
        <v>3180</v>
      </c>
    </row>
    <row r="196" spans="1:8" ht="15" customHeight="1" x14ac:dyDescent="0.2">
      <c r="A196" s="41" t="s">
        <v>4652</v>
      </c>
      <c r="B196" s="266" t="s">
        <v>3662</v>
      </c>
      <c r="C196" s="247" t="s">
        <v>2141</v>
      </c>
      <c r="D196" s="247" t="s">
        <v>2140</v>
      </c>
      <c r="E196" s="247" t="s">
        <v>3208</v>
      </c>
      <c r="F196" s="247" t="s">
        <v>3178</v>
      </c>
      <c r="G196" s="247" t="s">
        <v>3179</v>
      </c>
      <c r="H196" s="247" t="s">
        <v>3180</v>
      </c>
    </row>
    <row r="197" spans="1:8" ht="15" customHeight="1" x14ac:dyDescent="0.2">
      <c r="A197" s="41" t="s">
        <v>4653</v>
      </c>
      <c r="B197" s="266" t="s">
        <v>3662</v>
      </c>
      <c r="C197" s="247" t="s">
        <v>2095</v>
      </c>
      <c r="D197" s="247" t="s">
        <v>2094</v>
      </c>
      <c r="E197" s="247" t="s">
        <v>3208</v>
      </c>
      <c r="F197" s="247" t="s">
        <v>3178</v>
      </c>
      <c r="G197" s="247" t="s">
        <v>3179</v>
      </c>
      <c r="H197" s="247" t="s">
        <v>3180</v>
      </c>
    </row>
    <row r="198" spans="1:8" ht="15" customHeight="1" x14ac:dyDescent="0.2">
      <c r="A198" s="41" t="s">
        <v>4654</v>
      </c>
      <c r="B198" s="266" t="s">
        <v>3662</v>
      </c>
      <c r="C198" s="247" t="s">
        <v>2673</v>
      </c>
      <c r="D198" s="247" t="s">
        <v>2672</v>
      </c>
      <c r="E198" s="247" t="s">
        <v>3208</v>
      </c>
      <c r="F198" s="247" t="s">
        <v>3178</v>
      </c>
      <c r="G198" s="247" t="s">
        <v>3179</v>
      </c>
      <c r="H198" s="247" t="s">
        <v>3180</v>
      </c>
    </row>
    <row r="199" spans="1:8" ht="15" customHeight="1" x14ac:dyDescent="0.2">
      <c r="A199" s="41" t="s">
        <v>4633</v>
      </c>
      <c r="B199" s="266" t="s">
        <v>3662</v>
      </c>
      <c r="C199" s="247" t="s">
        <v>3132</v>
      </c>
      <c r="D199" s="247" t="s">
        <v>3131</v>
      </c>
      <c r="E199" s="247" t="s">
        <v>3208</v>
      </c>
      <c r="F199" s="247" t="s">
        <v>3178</v>
      </c>
      <c r="G199" s="247" t="s">
        <v>3179</v>
      </c>
      <c r="H199" s="247" t="s">
        <v>3180</v>
      </c>
    </row>
    <row r="200" spans="1:8" ht="15" customHeight="1" x14ac:dyDescent="0.2">
      <c r="A200" s="41" t="s">
        <v>4634</v>
      </c>
      <c r="B200" s="266" t="s">
        <v>3662</v>
      </c>
      <c r="C200" s="247" t="s">
        <v>3134</v>
      </c>
      <c r="D200" s="247" t="s">
        <v>3133</v>
      </c>
      <c r="E200" s="247" t="s">
        <v>3208</v>
      </c>
      <c r="F200" s="247" t="s">
        <v>3178</v>
      </c>
      <c r="G200" s="247" t="s">
        <v>3179</v>
      </c>
      <c r="H200" s="247" t="s">
        <v>3180</v>
      </c>
    </row>
    <row r="201" spans="1:8" ht="15" customHeight="1" x14ac:dyDescent="0.2">
      <c r="A201" s="41" t="s">
        <v>4624</v>
      </c>
      <c r="B201" s="266" t="s">
        <v>3662</v>
      </c>
      <c r="C201" s="247" t="s">
        <v>2448</v>
      </c>
      <c r="D201" s="247" t="s">
        <v>2447</v>
      </c>
      <c r="E201" s="247" t="s">
        <v>3208</v>
      </c>
      <c r="F201" s="247" t="s">
        <v>3178</v>
      </c>
      <c r="G201" s="247" t="s">
        <v>3179</v>
      </c>
      <c r="H201" s="247" t="s">
        <v>3180</v>
      </c>
    </row>
    <row r="202" spans="1:8" ht="15" customHeight="1" x14ac:dyDescent="0.2">
      <c r="A202" s="41" t="s">
        <v>4635</v>
      </c>
      <c r="B202" s="266" t="s">
        <v>3662</v>
      </c>
      <c r="C202" s="247" t="s">
        <v>2659</v>
      </c>
      <c r="D202" s="247" t="s">
        <v>2658</v>
      </c>
      <c r="E202" s="247" t="s">
        <v>3208</v>
      </c>
      <c r="F202" s="247" t="s">
        <v>3178</v>
      </c>
      <c r="G202" s="247" t="s">
        <v>3179</v>
      </c>
      <c r="H202" s="247" t="s">
        <v>3180</v>
      </c>
    </row>
    <row r="203" spans="1:8" ht="15" customHeight="1" x14ac:dyDescent="0.2">
      <c r="A203" s="41" t="s">
        <v>4636</v>
      </c>
      <c r="B203" s="266" t="s">
        <v>3662</v>
      </c>
      <c r="C203" s="247" t="s">
        <v>3136</v>
      </c>
      <c r="D203" s="247" t="s">
        <v>3135</v>
      </c>
      <c r="E203" s="247" t="s">
        <v>3208</v>
      </c>
      <c r="F203" s="247" t="s">
        <v>3178</v>
      </c>
      <c r="G203" s="247" t="s">
        <v>3179</v>
      </c>
      <c r="H203" s="247" t="s">
        <v>3180</v>
      </c>
    </row>
    <row r="204" spans="1:8" ht="15" customHeight="1" x14ac:dyDescent="0.2">
      <c r="A204" s="41" t="s">
        <v>4637</v>
      </c>
      <c r="B204" s="266" t="s">
        <v>3662</v>
      </c>
      <c r="C204" s="247" t="s">
        <v>2661</v>
      </c>
      <c r="D204" s="247" t="s">
        <v>2660</v>
      </c>
      <c r="E204" s="247" t="s">
        <v>3208</v>
      </c>
      <c r="F204" s="247" t="s">
        <v>3178</v>
      </c>
      <c r="G204" s="247" t="s">
        <v>3179</v>
      </c>
      <c r="H204" s="247" t="s">
        <v>3180</v>
      </c>
    </row>
    <row r="205" spans="1:8" ht="15" customHeight="1" x14ac:dyDescent="0.2">
      <c r="A205" s="41" t="s">
        <v>4638</v>
      </c>
      <c r="B205" s="266" t="s">
        <v>3662</v>
      </c>
      <c r="C205" s="247" t="s">
        <v>2663</v>
      </c>
      <c r="D205" s="247" t="s">
        <v>2662</v>
      </c>
      <c r="E205" s="247" t="s">
        <v>3208</v>
      </c>
      <c r="F205" s="247" t="s">
        <v>3178</v>
      </c>
      <c r="G205" s="247" t="s">
        <v>3179</v>
      </c>
      <c r="H205" s="247" t="s">
        <v>3180</v>
      </c>
    </row>
    <row r="206" spans="1:8" ht="15" customHeight="1" x14ac:dyDescent="0.2">
      <c r="A206" s="41" t="s">
        <v>4639</v>
      </c>
      <c r="B206" s="266" t="s">
        <v>3662</v>
      </c>
      <c r="C206" s="247" t="s">
        <v>2665</v>
      </c>
      <c r="D206" s="247" t="s">
        <v>2664</v>
      </c>
      <c r="E206" s="247" t="s">
        <v>3208</v>
      </c>
      <c r="F206" s="247" t="s">
        <v>3178</v>
      </c>
      <c r="G206" s="247" t="s">
        <v>3179</v>
      </c>
      <c r="H206" s="247" t="s">
        <v>3180</v>
      </c>
    </row>
    <row r="207" spans="1:8" ht="15" customHeight="1" x14ac:dyDescent="0.2">
      <c r="A207" s="41" t="s">
        <v>4640</v>
      </c>
      <c r="B207" s="266" t="s">
        <v>3662</v>
      </c>
      <c r="C207" s="247" t="s">
        <v>2667</v>
      </c>
      <c r="D207" s="247" t="s">
        <v>2666</v>
      </c>
      <c r="E207" s="247" t="s">
        <v>3208</v>
      </c>
      <c r="F207" s="247" t="s">
        <v>3178</v>
      </c>
      <c r="G207" s="247" t="s">
        <v>3179</v>
      </c>
      <c r="H207" s="247" t="s">
        <v>3180</v>
      </c>
    </row>
    <row r="208" spans="1:8" ht="15" customHeight="1" x14ac:dyDescent="0.2">
      <c r="A208" s="41" t="s">
        <v>4625</v>
      </c>
      <c r="B208" s="266" t="s">
        <v>3662</v>
      </c>
      <c r="C208" s="247" t="s">
        <v>3124</v>
      </c>
      <c r="D208" s="247" t="s">
        <v>3123</v>
      </c>
      <c r="E208" s="247" t="s">
        <v>3208</v>
      </c>
      <c r="F208" s="247" t="s">
        <v>3178</v>
      </c>
      <c r="G208" s="247" t="s">
        <v>3179</v>
      </c>
      <c r="H208" s="247" t="s">
        <v>3180</v>
      </c>
    </row>
    <row r="209" spans="1:8" ht="15" customHeight="1" x14ac:dyDescent="0.2">
      <c r="A209" s="41" t="s">
        <v>4626</v>
      </c>
      <c r="B209" s="266" t="s">
        <v>3662</v>
      </c>
      <c r="C209" s="247" t="s">
        <v>3126</v>
      </c>
      <c r="D209" s="247" t="s">
        <v>3125</v>
      </c>
      <c r="E209" s="247" t="s">
        <v>3208</v>
      </c>
      <c r="F209" s="247" t="s">
        <v>3178</v>
      </c>
      <c r="G209" s="247" t="s">
        <v>3179</v>
      </c>
      <c r="H209" s="247" t="s">
        <v>3180</v>
      </c>
    </row>
    <row r="210" spans="1:8" ht="15" customHeight="1" x14ac:dyDescent="0.2">
      <c r="A210" s="41" t="s">
        <v>4627</v>
      </c>
      <c r="B210" s="266" t="s">
        <v>3662</v>
      </c>
      <c r="C210" s="247" t="s">
        <v>3128</v>
      </c>
      <c r="D210" s="247" t="s">
        <v>3127</v>
      </c>
      <c r="E210" s="247" t="s">
        <v>3208</v>
      </c>
      <c r="F210" s="247" t="s">
        <v>3178</v>
      </c>
      <c r="G210" s="247" t="s">
        <v>3179</v>
      </c>
      <c r="H210" s="247" t="s">
        <v>3180</v>
      </c>
    </row>
    <row r="211" spans="1:8" ht="15" customHeight="1" x14ac:dyDescent="0.2">
      <c r="A211" s="41" t="s">
        <v>4628</v>
      </c>
      <c r="B211" s="266" t="s">
        <v>3662</v>
      </c>
      <c r="C211" s="247" t="s">
        <v>3130</v>
      </c>
      <c r="D211" s="247" t="s">
        <v>3129</v>
      </c>
      <c r="E211" s="247" t="s">
        <v>3208</v>
      </c>
      <c r="F211" s="247" t="s">
        <v>3178</v>
      </c>
      <c r="G211" s="247" t="s">
        <v>3179</v>
      </c>
      <c r="H211" s="247" t="s">
        <v>3180</v>
      </c>
    </row>
    <row r="212" spans="1:8" ht="15" customHeight="1" x14ac:dyDescent="0.2">
      <c r="A212" s="41" t="s">
        <v>4629</v>
      </c>
      <c r="B212" s="266" t="s">
        <v>3662</v>
      </c>
      <c r="C212" s="247" t="s">
        <v>2657</v>
      </c>
      <c r="D212" s="247" t="s">
        <v>2656</v>
      </c>
      <c r="E212" s="247" t="s">
        <v>3208</v>
      </c>
      <c r="F212" s="247" t="s">
        <v>3178</v>
      </c>
      <c r="G212" s="247" t="s">
        <v>3179</v>
      </c>
      <c r="H212" s="247" t="s">
        <v>3180</v>
      </c>
    </row>
    <row r="213" spans="1:8" ht="15" customHeight="1" x14ac:dyDescent="0.2">
      <c r="A213" s="41" t="s">
        <v>4645</v>
      </c>
      <c r="B213" s="266" t="s">
        <v>3662</v>
      </c>
      <c r="C213" s="247" t="s">
        <v>2669</v>
      </c>
      <c r="D213" s="247" t="s">
        <v>2668</v>
      </c>
      <c r="E213" s="247" t="s">
        <v>3208</v>
      </c>
      <c r="F213" s="247" t="s">
        <v>3178</v>
      </c>
      <c r="G213" s="247" t="s">
        <v>3179</v>
      </c>
      <c r="H213" s="247" t="s">
        <v>3180</v>
      </c>
    </row>
    <row r="214" spans="1:8" ht="15" customHeight="1" x14ac:dyDescent="0.2">
      <c r="A214" s="41" t="s">
        <v>4310</v>
      </c>
      <c r="B214" s="266" t="s">
        <v>3443</v>
      </c>
      <c r="C214" s="247" t="s">
        <v>1720</v>
      </c>
      <c r="D214" s="247" t="s">
        <v>1719</v>
      </c>
      <c r="E214" s="247" t="s">
        <v>3208</v>
      </c>
      <c r="F214" s="247" t="s">
        <v>3178</v>
      </c>
      <c r="G214" s="247" t="s">
        <v>3179</v>
      </c>
      <c r="H214" s="247" t="s">
        <v>3180</v>
      </c>
    </row>
    <row r="215" spans="1:8" ht="15" customHeight="1" x14ac:dyDescent="0.2">
      <c r="A215" s="41" t="s">
        <v>4300</v>
      </c>
      <c r="B215" s="266" t="s">
        <v>3416</v>
      </c>
      <c r="C215" s="247" t="s">
        <v>1868</v>
      </c>
      <c r="D215" s="247" t="s">
        <v>1867</v>
      </c>
      <c r="E215" s="247" t="s">
        <v>3196</v>
      </c>
      <c r="F215" s="247" t="s">
        <v>3182</v>
      </c>
      <c r="G215" s="247" t="s">
        <v>3179</v>
      </c>
      <c r="H215" s="247" t="s">
        <v>3180</v>
      </c>
    </row>
    <row r="216" spans="1:8" ht="15" customHeight="1" x14ac:dyDescent="0.2">
      <c r="A216" s="41" t="s">
        <v>4597</v>
      </c>
      <c r="B216" s="266" t="s">
        <v>3647</v>
      </c>
      <c r="C216" s="247" t="s">
        <v>1815</v>
      </c>
      <c r="D216" s="247" t="s">
        <v>1814</v>
      </c>
      <c r="E216" s="247" t="s">
        <v>3208</v>
      </c>
      <c r="F216" s="247" t="s">
        <v>3182</v>
      </c>
      <c r="G216" s="247" t="s">
        <v>3179</v>
      </c>
      <c r="H216" s="247" t="s">
        <v>3180</v>
      </c>
    </row>
    <row r="217" spans="1:8" ht="15" customHeight="1" x14ac:dyDescent="0.2">
      <c r="A217" s="41" t="s">
        <v>4664</v>
      </c>
      <c r="B217" s="266" t="s">
        <v>3679</v>
      </c>
      <c r="C217" s="247" t="s">
        <v>1768</v>
      </c>
      <c r="D217" s="247" t="s">
        <v>1767</v>
      </c>
      <c r="E217" s="247" t="s">
        <v>3208</v>
      </c>
      <c r="F217" s="247" t="s">
        <v>3178</v>
      </c>
      <c r="G217" s="247" t="s">
        <v>3179</v>
      </c>
      <c r="H217" s="247" t="s">
        <v>3180</v>
      </c>
    </row>
    <row r="218" spans="1:8" ht="15" customHeight="1" x14ac:dyDescent="0.2">
      <c r="A218" s="41" t="s">
        <v>4584</v>
      </c>
      <c r="B218" s="266" t="s">
        <v>3637</v>
      </c>
      <c r="C218" s="247" t="s">
        <v>1728</v>
      </c>
      <c r="D218" s="247" t="s">
        <v>1727</v>
      </c>
      <c r="E218" s="247" t="s">
        <v>3208</v>
      </c>
      <c r="F218" s="247" t="s">
        <v>3182</v>
      </c>
      <c r="G218" s="247" t="s">
        <v>3319</v>
      </c>
      <c r="H218" s="247" t="s">
        <v>3185</v>
      </c>
    </row>
    <row r="219" spans="1:8" ht="15" customHeight="1" x14ac:dyDescent="0.2">
      <c r="A219" s="41" t="s">
        <v>3768</v>
      </c>
      <c r="B219" s="266" t="s">
        <v>3193</v>
      </c>
      <c r="C219" s="247" t="s">
        <v>2485</v>
      </c>
      <c r="D219" s="247" t="s">
        <v>3194</v>
      </c>
      <c r="E219" s="247" t="s">
        <v>3177</v>
      </c>
      <c r="F219" s="247" t="s">
        <v>3178</v>
      </c>
      <c r="G219" s="247" t="s">
        <v>3179</v>
      </c>
      <c r="H219" s="247" t="s">
        <v>3180</v>
      </c>
    </row>
    <row r="220" spans="1:8" ht="15" customHeight="1" x14ac:dyDescent="0.2">
      <c r="A220" s="41" t="s">
        <v>3775</v>
      </c>
      <c r="B220" s="266" t="s">
        <v>3193</v>
      </c>
      <c r="C220" s="247" t="s">
        <v>2690</v>
      </c>
      <c r="D220" s="247" t="s">
        <v>3200</v>
      </c>
      <c r="E220" s="247" t="s">
        <v>3177</v>
      </c>
      <c r="F220" s="247" t="s">
        <v>3199</v>
      </c>
      <c r="G220" s="247" t="s">
        <v>3179</v>
      </c>
      <c r="H220" s="247" t="s">
        <v>3180</v>
      </c>
    </row>
    <row r="221" spans="1:8" ht="15" customHeight="1" x14ac:dyDescent="0.2">
      <c r="A221" s="41" t="s">
        <v>3769</v>
      </c>
      <c r="B221" s="266" t="s">
        <v>3193</v>
      </c>
      <c r="C221" s="247" t="s">
        <v>1723</v>
      </c>
      <c r="D221" s="247" t="s">
        <v>3195</v>
      </c>
      <c r="E221" s="247" t="s">
        <v>3177</v>
      </c>
      <c r="F221" s="247" t="s">
        <v>3178</v>
      </c>
      <c r="G221" s="247" t="s">
        <v>3179</v>
      </c>
      <c r="H221" s="247" t="s">
        <v>3180</v>
      </c>
    </row>
    <row r="222" spans="1:8" ht="15" customHeight="1" x14ac:dyDescent="0.2">
      <c r="A222" s="41" t="s">
        <v>3774</v>
      </c>
      <c r="B222" s="266" t="s">
        <v>3193</v>
      </c>
      <c r="C222" s="247" t="s">
        <v>2265</v>
      </c>
      <c r="D222" s="247" t="s">
        <v>2264</v>
      </c>
      <c r="E222" s="247" t="s">
        <v>3177</v>
      </c>
      <c r="F222" s="247" t="s">
        <v>3199</v>
      </c>
      <c r="G222" s="247" t="s">
        <v>3179</v>
      </c>
      <c r="H222" s="247" t="s">
        <v>3180</v>
      </c>
    </row>
    <row r="223" spans="1:8" ht="15" customHeight="1" x14ac:dyDescent="0.2">
      <c r="A223" s="41" t="s">
        <v>3772</v>
      </c>
      <c r="B223" s="266" t="s">
        <v>3193</v>
      </c>
      <c r="C223" s="247" t="s">
        <v>2192</v>
      </c>
      <c r="D223" s="247" t="s">
        <v>3197</v>
      </c>
      <c r="E223" s="247" t="s">
        <v>3177</v>
      </c>
      <c r="F223" s="247" t="s">
        <v>3178</v>
      </c>
      <c r="G223" s="247" t="s">
        <v>3179</v>
      </c>
      <c r="H223" s="247" t="s">
        <v>3180</v>
      </c>
    </row>
    <row r="224" spans="1:8" ht="15" customHeight="1" x14ac:dyDescent="0.2">
      <c r="A224" s="41" t="s">
        <v>3773</v>
      </c>
      <c r="B224" s="266" t="s">
        <v>3193</v>
      </c>
      <c r="C224" s="247" t="s">
        <v>2039</v>
      </c>
      <c r="D224" s="247" t="s">
        <v>3198</v>
      </c>
      <c r="E224" s="247" t="s">
        <v>3177</v>
      </c>
      <c r="F224" s="247" t="s">
        <v>3178</v>
      </c>
      <c r="G224" s="247" t="s">
        <v>3179</v>
      </c>
      <c r="H224" s="247" t="s">
        <v>3180</v>
      </c>
    </row>
    <row r="225" spans="1:8" ht="15" customHeight="1" x14ac:dyDescent="0.2">
      <c r="A225" s="41" t="s">
        <v>4622</v>
      </c>
      <c r="B225" s="266" t="s">
        <v>3662</v>
      </c>
      <c r="C225" s="247" t="s">
        <v>1795</v>
      </c>
      <c r="D225" s="247" t="s">
        <v>1794</v>
      </c>
      <c r="E225" s="247" t="s">
        <v>3208</v>
      </c>
      <c r="F225" s="247" t="s">
        <v>3182</v>
      </c>
      <c r="G225" s="247" t="s">
        <v>3179</v>
      </c>
      <c r="H225" s="247" t="s">
        <v>3180</v>
      </c>
    </row>
    <row r="226" spans="1:8" ht="15" customHeight="1" x14ac:dyDescent="0.2">
      <c r="A226" s="41" t="s">
        <v>3711</v>
      </c>
      <c r="B226" s="266" t="s">
        <v>3176</v>
      </c>
      <c r="C226" s="247" t="s">
        <v>2466</v>
      </c>
      <c r="D226" s="247" t="s">
        <v>2465</v>
      </c>
      <c r="E226" s="247" t="s">
        <v>3177</v>
      </c>
      <c r="F226" s="247" t="s">
        <v>3182</v>
      </c>
      <c r="G226" s="247" t="s">
        <v>3179</v>
      </c>
      <c r="H226" s="247" t="s">
        <v>3180</v>
      </c>
    </row>
    <row r="227" spans="1:8" ht="15" customHeight="1" x14ac:dyDescent="0.2">
      <c r="A227" s="41" t="s">
        <v>4560</v>
      </c>
      <c r="B227" s="266" t="s">
        <v>3636</v>
      </c>
      <c r="C227" s="247" t="s">
        <v>1661</v>
      </c>
      <c r="D227" s="247" t="s">
        <v>1660</v>
      </c>
      <c r="E227" s="247" t="s">
        <v>3196</v>
      </c>
      <c r="F227" s="247" t="s">
        <v>3178</v>
      </c>
      <c r="G227" s="247" t="s">
        <v>3179</v>
      </c>
      <c r="H227" s="247" t="s">
        <v>3180</v>
      </c>
    </row>
    <row r="228" spans="1:8" ht="15" customHeight="1" x14ac:dyDescent="0.2">
      <c r="A228" s="41" t="s">
        <v>4619</v>
      </c>
      <c r="B228" s="266" t="s">
        <v>3662</v>
      </c>
      <c r="C228" s="247" t="s">
        <v>2183</v>
      </c>
      <c r="D228" s="247" t="s">
        <v>3666</v>
      </c>
      <c r="E228" s="247" t="s">
        <v>3208</v>
      </c>
      <c r="F228" s="247" t="s">
        <v>3182</v>
      </c>
      <c r="G228" s="247" t="s">
        <v>3179</v>
      </c>
      <c r="H228" s="247" t="s">
        <v>3180</v>
      </c>
    </row>
    <row r="229" spans="1:8" ht="15" customHeight="1" x14ac:dyDescent="0.2">
      <c r="A229" s="41" t="s">
        <v>4616</v>
      </c>
      <c r="B229" s="266" t="s">
        <v>3662</v>
      </c>
      <c r="C229" s="247" t="s">
        <v>2655</v>
      </c>
      <c r="D229" s="247" t="s">
        <v>2654</v>
      </c>
      <c r="E229" s="247" t="s">
        <v>3208</v>
      </c>
      <c r="F229" s="247" t="s">
        <v>3182</v>
      </c>
      <c r="G229" s="247" t="s">
        <v>3663</v>
      </c>
      <c r="H229" s="247" t="s">
        <v>3180</v>
      </c>
    </row>
    <row r="230" spans="1:8" ht="15" customHeight="1" x14ac:dyDescent="0.2">
      <c r="A230" s="41" t="s">
        <v>4623</v>
      </c>
      <c r="B230" s="266" t="s">
        <v>3662</v>
      </c>
      <c r="C230" s="247" t="s">
        <v>2446</v>
      </c>
      <c r="D230" s="247" t="s">
        <v>2445</v>
      </c>
      <c r="E230" s="247" t="s">
        <v>3208</v>
      </c>
      <c r="F230" s="247" t="s">
        <v>3182</v>
      </c>
      <c r="G230" s="247" t="s">
        <v>3663</v>
      </c>
      <c r="H230" s="247" t="s">
        <v>3180</v>
      </c>
    </row>
    <row r="231" spans="1:8" ht="15" customHeight="1" x14ac:dyDescent="0.2">
      <c r="A231" s="41" t="s">
        <v>4620</v>
      </c>
      <c r="B231" s="266" t="s">
        <v>3662</v>
      </c>
      <c r="C231" s="247" t="s">
        <v>1734</v>
      </c>
      <c r="D231" s="247" t="s">
        <v>1733</v>
      </c>
      <c r="E231" s="247" t="s">
        <v>3208</v>
      </c>
      <c r="F231" s="247" t="s">
        <v>3182</v>
      </c>
      <c r="G231" s="247" t="s">
        <v>3667</v>
      </c>
      <c r="H231" s="247" t="s">
        <v>3180</v>
      </c>
    </row>
    <row r="232" spans="1:8" ht="15" customHeight="1" x14ac:dyDescent="0.2">
      <c r="A232" s="41" t="s">
        <v>4643</v>
      </c>
      <c r="B232" s="266" t="s">
        <v>3662</v>
      </c>
      <c r="C232" s="247" t="s">
        <v>3137</v>
      </c>
      <c r="D232" s="247" t="s">
        <v>3670</v>
      </c>
      <c r="E232" s="247" t="s">
        <v>3208</v>
      </c>
      <c r="F232" s="247" t="s">
        <v>3178</v>
      </c>
      <c r="G232" s="247" t="s">
        <v>3179</v>
      </c>
      <c r="H232" s="247" t="s">
        <v>3180</v>
      </c>
    </row>
    <row r="233" spans="1:8" ht="15" customHeight="1" x14ac:dyDescent="0.2">
      <c r="A233" s="41" t="s">
        <v>4644</v>
      </c>
      <c r="B233" s="266" t="s">
        <v>3662</v>
      </c>
      <c r="C233" s="247" t="s">
        <v>2453</v>
      </c>
      <c r="D233" s="247" t="s">
        <v>3671</v>
      </c>
      <c r="E233" s="247" t="s">
        <v>3208</v>
      </c>
      <c r="F233" s="247" t="s">
        <v>3178</v>
      </c>
      <c r="G233" s="247" t="s">
        <v>3179</v>
      </c>
      <c r="H233" s="247" t="s">
        <v>3180</v>
      </c>
    </row>
    <row r="234" spans="1:8" ht="15" customHeight="1" x14ac:dyDescent="0.2">
      <c r="A234" s="41" t="s">
        <v>4617</v>
      </c>
      <c r="B234" s="266" t="s">
        <v>3662</v>
      </c>
      <c r="C234" s="247" t="s">
        <v>1941</v>
      </c>
      <c r="D234" s="247" t="s">
        <v>3664</v>
      </c>
      <c r="E234" s="247" t="s">
        <v>3208</v>
      </c>
      <c r="F234" s="247" t="s">
        <v>3178</v>
      </c>
      <c r="G234" s="247" t="s">
        <v>3179</v>
      </c>
      <c r="H234" s="247" t="s">
        <v>3180</v>
      </c>
    </row>
    <row r="235" spans="1:8" ht="15" customHeight="1" x14ac:dyDescent="0.2">
      <c r="A235" s="41" t="s">
        <v>4655</v>
      </c>
      <c r="B235" s="266" t="s">
        <v>3662</v>
      </c>
      <c r="C235" s="247" t="s">
        <v>2011</v>
      </c>
      <c r="D235" s="247" t="s">
        <v>3672</v>
      </c>
      <c r="E235" s="247" t="s">
        <v>3208</v>
      </c>
      <c r="F235" s="247" t="s">
        <v>3182</v>
      </c>
      <c r="G235" s="247" t="s">
        <v>3179</v>
      </c>
      <c r="H235" s="247" t="s">
        <v>3180</v>
      </c>
    </row>
    <row r="236" spans="1:8" ht="15" customHeight="1" x14ac:dyDescent="0.2">
      <c r="A236" s="41" t="s">
        <v>4641</v>
      </c>
      <c r="B236" s="266" t="s">
        <v>3662</v>
      </c>
      <c r="C236" s="247" t="s">
        <v>1863</v>
      </c>
      <c r="D236" s="247" t="s">
        <v>3668</v>
      </c>
      <c r="E236" s="247" t="s">
        <v>3208</v>
      </c>
      <c r="F236" s="247" t="s">
        <v>3178</v>
      </c>
      <c r="G236" s="247" t="s">
        <v>3179</v>
      </c>
      <c r="H236" s="247" t="s">
        <v>3180</v>
      </c>
    </row>
    <row r="237" spans="1:8" ht="15" customHeight="1" x14ac:dyDescent="0.2">
      <c r="A237" s="41" t="s">
        <v>4642</v>
      </c>
      <c r="B237" s="266" t="s">
        <v>3662</v>
      </c>
      <c r="C237" s="247" t="s">
        <v>2249</v>
      </c>
      <c r="D237" s="247" t="s">
        <v>3669</v>
      </c>
      <c r="E237" s="247" t="s">
        <v>3208</v>
      </c>
      <c r="F237" s="247" t="s">
        <v>3178</v>
      </c>
      <c r="G237" s="247" t="s">
        <v>3179</v>
      </c>
      <c r="H237" s="247" t="s">
        <v>3180</v>
      </c>
    </row>
    <row r="238" spans="1:8" ht="15" customHeight="1" x14ac:dyDescent="0.2">
      <c r="A238" s="41" t="s">
        <v>3964</v>
      </c>
      <c r="B238" s="266" t="s">
        <v>3312</v>
      </c>
      <c r="C238" s="247" t="s">
        <v>1844</v>
      </c>
      <c r="D238" s="247" t="s">
        <v>1843</v>
      </c>
      <c r="E238" s="247" t="s">
        <v>3208</v>
      </c>
      <c r="F238" s="247" t="s">
        <v>3182</v>
      </c>
      <c r="G238" s="247" t="s">
        <v>3179</v>
      </c>
      <c r="H238" s="247" t="s">
        <v>3180</v>
      </c>
    </row>
    <row r="239" spans="1:8" ht="15" customHeight="1" x14ac:dyDescent="0.2">
      <c r="A239" s="41" t="s">
        <v>3871</v>
      </c>
      <c r="B239" s="266" t="s">
        <v>3245</v>
      </c>
      <c r="C239" s="247" t="s">
        <v>1658</v>
      </c>
      <c r="D239" s="247" t="s">
        <v>1657</v>
      </c>
      <c r="E239" s="247" t="s">
        <v>3208</v>
      </c>
      <c r="F239" s="247" t="s">
        <v>3178</v>
      </c>
      <c r="G239" s="247" t="s">
        <v>3179</v>
      </c>
      <c r="H239" s="247" t="s">
        <v>3180</v>
      </c>
    </row>
    <row r="240" spans="1:8" ht="15" customHeight="1" x14ac:dyDescent="0.2">
      <c r="A240" s="41" t="s">
        <v>3868</v>
      </c>
      <c r="B240" s="266" t="s">
        <v>3245</v>
      </c>
      <c r="C240" s="247" t="s">
        <v>1721</v>
      </c>
      <c r="D240" s="247" t="s">
        <v>3246</v>
      </c>
      <c r="E240" s="247" t="s">
        <v>3208</v>
      </c>
      <c r="F240" s="247" t="s">
        <v>3178</v>
      </c>
      <c r="G240" s="247" t="s">
        <v>3179</v>
      </c>
      <c r="H240" s="247" t="s">
        <v>3180</v>
      </c>
    </row>
    <row r="241" spans="1:8" ht="15" customHeight="1" x14ac:dyDescent="0.2">
      <c r="A241" s="41" t="s">
        <v>3869</v>
      </c>
      <c r="B241" s="266" t="s">
        <v>3245</v>
      </c>
      <c r="C241" s="247" t="s">
        <v>1623</v>
      </c>
      <c r="D241" s="247" t="s">
        <v>3247</v>
      </c>
      <c r="E241" s="247" t="s">
        <v>3208</v>
      </c>
      <c r="F241" s="247" t="s">
        <v>3178</v>
      </c>
      <c r="G241" s="247" t="s">
        <v>3179</v>
      </c>
      <c r="H241" s="247" t="s">
        <v>3180</v>
      </c>
    </row>
    <row r="242" spans="1:8" ht="15" customHeight="1" x14ac:dyDescent="0.2">
      <c r="A242" s="41" t="s">
        <v>3870</v>
      </c>
      <c r="B242" s="266" t="s">
        <v>3245</v>
      </c>
      <c r="C242" s="247" t="s">
        <v>1653</v>
      </c>
      <c r="D242" s="247" t="s">
        <v>3248</v>
      </c>
      <c r="E242" s="247" t="s">
        <v>3208</v>
      </c>
      <c r="F242" s="247" t="s">
        <v>3178</v>
      </c>
      <c r="G242" s="247" t="s">
        <v>3179</v>
      </c>
      <c r="H242" s="247" t="s">
        <v>3180</v>
      </c>
    </row>
    <row r="243" spans="1:8" ht="15" customHeight="1" x14ac:dyDescent="0.2">
      <c r="A243" s="41" t="s">
        <v>4657</v>
      </c>
      <c r="B243" s="266" t="s">
        <v>3662</v>
      </c>
      <c r="C243" s="247" t="s">
        <v>1911</v>
      </c>
      <c r="D243" s="247" t="s">
        <v>3674</v>
      </c>
      <c r="E243" s="247" t="s">
        <v>3208</v>
      </c>
      <c r="F243" s="247" t="s">
        <v>3182</v>
      </c>
      <c r="G243" s="247" t="s">
        <v>3179</v>
      </c>
      <c r="H243" s="247" t="s">
        <v>3180</v>
      </c>
    </row>
    <row r="244" spans="1:8" ht="15" customHeight="1" x14ac:dyDescent="0.2">
      <c r="A244" s="41" t="s">
        <v>4658</v>
      </c>
      <c r="B244" s="266" t="s">
        <v>3662</v>
      </c>
      <c r="C244" s="247" t="s">
        <v>2059</v>
      </c>
      <c r="D244" s="247" t="s">
        <v>2058</v>
      </c>
      <c r="E244" s="247" t="s">
        <v>3208</v>
      </c>
      <c r="F244" s="247" t="s">
        <v>3182</v>
      </c>
      <c r="G244" s="247" t="s">
        <v>3179</v>
      </c>
      <c r="H244" s="247" t="s">
        <v>3180</v>
      </c>
    </row>
    <row r="245" spans="1:8" ht="15" customHeight="1" x14ac:dyDescent="0.2">
      <c r="A245" s="41" t="s">
        <v>4659</v>
      </c>
      <c r="B245" s="266" t="s">
        <v>3662</v>
      </c>
      <c r="C245" s="247" t="s">
        <v>2061</v>
      </c>
      <c r="D245" s="247" t="s">
        <v>2060</v>
      </c>
      <c r="E245" s="247" t="s">
        <v>3208</v>
      </c>
      <c r="F245" s="247" t="s">
        <v>3182</v>
      </c>
      <c r="G245" s="247" t="s">
        <v>3179</v>
      </c>
      <c r="H245" s="247" t="s">
        <v>3180</v>
      </c>
    </row>
    <row r="246" spans="1:8" ht="15" customHeight="1" x14ac:dyDescent="0.2">
      <c r="A246" s="41" t="s">
        <v>4656</v>
      </c>
      <c r="B246" s="266" t="s">
        <v>3662</v>
      </c>
      <c r="C246" s="247" t="s">
        <v>1995</v>
      </c>
      <c r="D246" s="247" t="s">
        <v>3673</v>
      </c>
      <c r="E246" s="247" t="s">
        <v>3208</v>
      </c>
      <c r="F246" s="247" t="s">
        <v>3182</v>
      </c>
      <c r="G246" s="247" t="s">
        <v>3179</v>
      </c>
      <c r="H246" s="247" t="s">
        <v>3180</v>
      </c>
    </row>
    <row r="247" spans="1:8" ht="15" customHeight="1" x14ac:dyDescent="0.2">
      <c r="A247" s="41" t="s">
        <v>4306</v>
      </c>
      <c r="B247" s="266" t="s">
        <v>3438</v>
      </c>
      <c r="C247" s="247" t="s">
        <v>1656</v>
      </c>
      <c r="D247" s="247" t="s">
        <v>3439</v>
      </c>
      <c r="E247" s="247" t="s">
        <v>3208</v>
      </c>
      <c r="F247" s="247" t="s">
        <v>3178</v>
      </c>
      <c r="G247" s="247" t="s">
        <v>3179</v>
      </c>
      <c r="H247" s="247" t="s">
        <v>3180</v>
      </c>
    </row>
    <row r="248" spans="1:8" ht="15" customHeight="1" x14ac:dyDescent="0.2">
      <c r="A248" s="41" t="s">
        <v>4307</v>
      </c>
      <c r="B248" s="266" t="s">
        <v>3438</v>
      </c>
      <c r="C248" s="247" t="s">
        <v>1672</v>
      </c>
      <c r="D248" s="247" t="s">
        <v>3440</v>
      </c>
      <c r="E248" s="247" t="s">
        <v>3208</v>
      </c>
      <c r="F248" s="247" t="s">
        <v>3178</v>
      </c>
      <c r="G248" s="247" t="s">
        <v>3179</v>
      </c>
      <c r="H248" s="247" t="s">
        <v>3180</v>
      </c>
    </row>
    <row r="249" spans="1:8" ht="15" customHeight="1" x14ac:dyDescent="0.2">
      <c r="A249" s="41" t="s">
        <v>4308</v>
      </c>
      <c r="B249" s="266" t="s">
        <v>3438</v>
      </c>
      <c r="C249" s="247" t="s">
        <v>1673</v>
      </c>
      <c r="D249" s="247" t="s">
        <v>3441</v>
      </c>
      <c r="E249" s="247" t="s">
        <v>3208</v>
      </c>
      <c r="F249" s="247" t="s">
        <v>3178</v>
      </c>
      <c r="G249" s="247" t="s">
        <v>3179</v>
      </c>
      <c r="H249" s="247" t="s">
        <v>3180</v>
      </c>
    </row>
    <row r="250" spans="1:8" ht="15" customHeight="1" x14ac:dyDescent="0.2">
      <c r="A250" s="41" t="s">
        <v>4579</v>
      </c>
      <c r="B250" s="266" t="s">
        <v>3637</v>
      </c>
      <c r="C250" s="247" t="s">
        <v>2647</v>
      </c>
      <c r="D250" s="247" t="s">
        <v>3642</v>
      </c>
      <c r="E250" s="247" t="s">
        <v>3208</v>
      </c>
      <c r="F250" s="247" t="s">
        <v>3178</v>
      </c>
      <c r="G250" s="247" t="s">
        <v>3179</v>
      </c>
      <c r="H250" s="247" t="s">
        <v>3180</v>
      </c>
    </row>
    <row r="251" spans="1:8" ht="15" customHeight="1" x14ac:dyDescent="0.2">
      <c r="A251" s="41" t="s">
        <v>4580</v>
      </c>
      <c r="B251" s="266" t="s">
        <v>3637</v>
      </c>
      <c r="C251" s="247" t="s">
        <v>2182</v>
      </c>
      <c r="D251" s="247" t="s">
        <v>3643</v>
      </c>
      <c r="E251" s="247" t="s">
        <v>3208</v>
      </c>
      <c r="F251" s="247" t="s">
        <v>3178</v>
      </c>
      <c r="G251" s="247" t="s">
        <v>3179</v>
      </c>
      <c r="H251" s="247" t="s">
        <v>3180</v>
      </c>
    </row>
    <row r="252" spans="1:8" ht="15" customHeight="1" x14ac:dyDescent="0.2">
      <c r="A252" s="41" t="s">
        <v>4316</v>
      </c>
      <c r="B252" s="266" t="s">
        <v>3446</v>
      </c>
      <c r="C252" s="247" t="s">
        <v>1663</v>
      </c>
      <c r="D252" s="247" t="s">
        <v>1662</v>
      </c>
      <c r="E252" s="247" t="s">
        <v>3253</v>
      </c>
      <c r="F252" s="247" t="s">
        <v>3178</v>
      </c>
      <c r="G252" s="247" t="s">
        <v>3179</v>
      </c>
      <c r="H252" s="247" t="s">
        <v>3180</v>
      </c>
    </row>
    <row r="253" spans="1:8" ht="15" customHeight="1" x14ac:dyDescent="0.2">
      <c r="A253" s="41" t="s">
        <v>3963</v>
      </c>
      <c r="B253" s="266" t="s">
        <v>3312</v>
      </c>
      <c r="C253" s="247" t="s">
        <v>1625</v>
      </c>
      <c r="D253" s="247" t="s">
        <v>1624</v>
      </c>
      <c r="E253" s="247" t="s">
        <v>3253</v>
      </c>
      <c r="F253" s="247" t="s">
        <v>3178</v>
      </c>
      <c r="G253" s="247" t="s">
        <v>3179</v>
      </c>
      <c r="H253" s="247" t="s">
        <v>3180</v>
      </c>
    </row>
    <row r="254" spans="1:8" ht="15" customHeight="1" x14ac:dyDescent="0.2">
      <c r="A254" s="41" t="s">
        <v>3833</v>
      </c>
      <c r="B254" s="266" t="s">
        <v>3221</v>
      </c>
      <c r="C254" s="247" t="s">
        <v>1718</v>
      </c>
      <c r="D254" s="247" t="s">
        <v>3223</v>
      </c>
      <c r="E254" s="247" t="s">
        <v>3196</v>
      </c>
      <c r="F254" s="247" t="s">
        <v>3178</v>
      </c>
      <c r="G254" s="247" t="s">
        <v>3179</v>
      </c>
      <c r="H254" s="247" t="s">
        <v>3180</v>
      </c>
    </row>
    <row r="255" spans="1:8" ht="15" customHeight="1" x14ac:dyDescent="0.2">
      <c r="A255" s="41" t="s">
        <v>3834</v>
      </c>
      <c r="B255" s="266" t="s">
        <v>3221</v>
      </c>
      <c r="C255" s="247" t="s">
        <v>1967</v>
      </c>
      <c r="D255" s="247" t="s">
        <v>3224</v>
      </c>
      <c r="E255" s="247" t="s">
        <v>3196</v>
      </c>
      <c r="F255" s="247" t="s">
        <v>3178</v>
      </c>
      <c r="G255" s="247" t="s">
        <v>3179</v>
      </c>
      <c r="H255" s="247" t="s">
        <v>3180</v>
      </c>
    </row>
    <row r="256" spans="1:8" ht="15" customHeight="1" x14ac:dyDescent="0.2">
      <c r="A256" s="41" t="s">
        <v>3835</v>
      </c>
      <c r="B256" s="266" t="s">
        <v>3221</v>
      </c>
      <c r="C256" s="247" t="s">
        <v>2072</v>
      </c>
      <c r="D256" s="247" t="s">
        <v>3225</v>
      </c>
      <c r="E256" s="247" t="s">
        <v>3196</v>
      </c>
      <c r="F256" s="247" t="s">
        <v>3178</v>
      </c>
      <c r="G256" s="247" t="s">
        <v>3179</v>
      </c>
      <c r="H256" s="247" t="s">
        <v>3180</v>
      </c>
    </row>
    <row r="257" spans="1:8" ht="15" customHeight="1" x14ac:dyDescent="0.2">
      <c r="A257" s="41" t="s">
        <v>3836</v>
      </c>
      <c r="B257" s="266" t="s">
        <v>3221</v>
      </c>
      <c r="C257" s="247" t="s">
        <v>2000</v>
      </c>
      <c r="D257" s="247" t="s">
        <v>3226</v>
      </c>
      <c r="E257" s="247" t="s">
        <v>3196</v>
      </c>
      <c r="F257" s="247" t="s">
        <v>3178</v>
      </c>
      <c r="G257" s="247" t="s">
        <v>3179</v>
      </c>
      <c r="H257" s="247" t="s">
        <v>3180</v>
      </c>
    </row>
    <row r="258" spans="1:8" ht="15" customHeight="1" x14ac:dyDescent="0.2">
      <c r="A258" s="41" t="s">
        <v>3837</v>
      </c>
      <c r="B258" s="266" t="s">
        <v>3221</v>
      </c>
      <c r="C258" s="247" t="s">
        <v>2486</v>
      </c>
      <c r="D258" s="247" t="s">
        <v>3227</v>
      </c>
      <c r="E258" s="247" t="s">
        <v>3196</v>
      </c>
      <c r="F258" s="247" t="s">
        <v>3178</v>
      </c>
      <c r="G258" s="247" t="s">
        <v>3179</v>
      </c>
      <c r="H258" s="247" t="s">
        <v>3180</v>
      </c>
    </row>
    <row r="259" spans="1:8" ht="15" customHeight="1" x14ac:dyDescent="0.2">
      <c r="A259" s="41" t="s">
        <v>3838</v>
      </c>
      <c r="B259" s="266" t="s">
        <v>3221</v>
      </c>
      <c r="C259" s="247" t="s">
        <v>2102</v>
      </c>
      <c r="D259" s="247" t="s">
        <v>3228</v>
      </c>
      <c r="E259" s="247" t="s">
        <v>3196</v>
      </c>
      <c r="F259" s="247" t="s">
        <v>3178</v>
      </c>
      <c r="G259" s="247" t="s">
        <v>3179</v>
      </c>
      <c r="H259" s="247" t="s">
        <v>3180</v>
      </c>
    </row>
    <row r="260" spans="1:8" ht="15" customHeight="1" x14ac:dyDescent="0.2">
      <c r="A260" s="41" t="s">
        <v>3839</v>
      </c>
      <c r="B260" s="266" t="s">
        <v>3221</v>
      </c>
      <c r="C260" s="247" t="s">
        <v>2487</v>
      </c>
      <c r="D260" s="247" t="s">
        <v>3229</v>
      </c>
      <c r="E260" s="247" t="s">
        <v>3196</v>
      </c>
      <c r="F260" s="247" t="s">
        <v>3178</v>
      </c>
      <c r="G260" s="247" t="s">
        <v>3179</v>
      </c>
      <c r="H260" s="247" t="s">
        <v>3180</v>
      </c>
    </row>
    <row r="261" spans="1:8" ht="15" customHeight="1" x14ac:dyDescent="0.2">
      <c r="A261" s="41" t="s">
        <v>3840</v>
      </c>
      <c r="B261" s="266" t="s">
        <v>3221</v>
      </c>
      <c r="C261" s="247" t="s">
        <v>1945</v>
      </c>
      <c r="D261" s="247" t="s">
        <v>3230</v>
      </c>
      <c r="E261" s="247" t="s">
        <v>3196</v>
      </c>
      <c r="F261" s="247" t="s">
        <v>3178</v>
      </c>
      <c r="G261" s="247" t="s">
        <v>3179</v>
      </c>
      <c r="H261" s="247" t="s">
        <v>3180</v>
      </c>
    </row>
    <row r="262" spans="1:8" ht="15" customHeight="1" x14ac:dyDescent="0.2">
      <c r="A262" s="41" t="s">
        <v>3846</v>
      </c>
      <c r="B262" s="266" t="s">
        <v>3221</v>
      </c>
      <c r="C262" s="247" t="s">
        <v>2073</v>
      </c>
      <c r="D262" s="247" t="s">
        <v>3236</v>
      </c>
      <c r="E262" s="247" t="s">
        <v>3196</v>
      </c>
      <c r="F262" s="247" t="s">
        <v>3178</v>
      </c>
      <c r="G262" s="247" t="s">
        <v>3179</v>
      </c>
      <c r="H262" s="247" t="s">
        <v>3180</v>
      </c>
    </row>
    <row r="263" spans="1:8" ht="15" customHeight="1" x14ac:dyDescent="0.2">
      <c r="A263" s="41" t="s">
        <v>3841</v>
      </c>
      <c r="B263" s="266" t="s">
        <v>3221</v>
      </c>
      <c r="C263" s="247" t="s">
        <v>2014</v>
      </c>
      <c r="D263" s="247" t="s">
        <v>3231</v>
      </c>
      <c r="E263" s="247" t="s">
        <v>3196</v>
      </c>
      <c r="F263" s="247" t="s">
        <v>3178</v>
      </c>
      <c r="G263" s="247" t="s">
        <v>3179</v>
      </c>
      <c r="H263" s="247" t="s">
        <v>3180</v>
      </c>
    </row>
    <row r="264" spans="1:8" ht="15" customHeight="1" x14ac:dyDescent="0.2">
      <c r="A264" s="41" t="s">
        <v>3842</v>
      </c>
      <c r="B264" s="266" t="s">
        <v>3221</v>
      </c>
      <c r="C264" s="247" t="s">
        <v>2694</v>
      </c>
      <c r="D264" s="247" t="s">
        <v>3232</v>
      </c>
      <c r="E264" s="247" t="s">
        <v>3196</v>
      </c>
      <c r="F264" s="247" t="s">
        <v>3178</v>
      </c>
      <c r="G264" s="247" t="s">
        <v>3179</v>
      </c>
      <c r="H264" s="247" t="s">
        <v>3180</v>
      </c>
    </row>
    <row r="265" spans="1:8" ht="15" customHeight="1" x14ac:dyDescent="0.2">
      <c r="A265" s="41" t="s">
        <v>3843</v>
      </c>
      <c r="B265" s="266" t="s">
        <v>3221</v>
      </c>
      <c r="C265" s="247" t="s">
        <v>2270</v>
      </c>
      <c r="D265" s="247" t="s">
        <v>3233</v>
      </c>
      <c r="E265" s="247" t="s">
        <v>3196</v>
      </c>
      <c r="F265" s="247" t="s">
        <v>3178</v>
      </c>
      <c r="G265" s="247" t="s">
        <v>3179</v>
      </c>
      <c r="H265" s="247" t="s">
        <v>3180</v>
      </c>
    </row>
    <row r="266" spans="1:8" ht="15" customHeight="1" x14ac:dyDescent="0.2">
      <c r="A266" s="41" t="s">
        <v>3845</v>
      </c>
      <c r="B266" s="266" t="s">
        <v>3221</v>
      </c>
      <c r="C266" s="247" t="s">
        <v>2271</v>
      </c>
      <c r="D266" s="247" t="s">
        <v>3235</v>
      </c>
      <c r="E266" s="247" t="s">
        <v>3196</v>
      </c>
      <c r="F266" s="247" t="s">
        <v>3178</v>
      </c>
      <c r="G266" s="247" t="s">
        <v>3179</v>
      </c>
      <c r="H266" s="247" t="s">
        <v>3180</v>
      </c>
    </row>
    <row r="267" spans="1:8" ht="15" customHeight="1" x14ac:dyDescent="0.2">
      <c r="A267" s="41" t="s">
        <v>3844</v>
      </c>
      <c r="B267" s="266" t="s">
        <v>3221</v>
      </c>
      <c r="C267" s="247" t="s">
        <v>2150</v>
      </c>
      <c r="D267" s="247" t="s">
        <v>3234</v>
      </c>
      <c r="E267" s="247" t="s">
        <v>3196</v>
      </c>
      <c r="F267" s="247" t="s">
        <v>3178</v>
      </c>
      <c r="G267" s="247" t="s">
        <v>3179</v>
      </c>
      <c r="H267" s="247" t="s">
        <v>3180</v>
      </c>
    </row>
    <row r="268" spans="1:8" ht="15" customHeight="1" x14ac:dyDescent="0.2">
      <c r="A268" s="41" t="s">
        <v>3690</v>
      </c>
      <c r="B268" s="266" t="s">
        <v>3176</v>
      </c>
      <c r="C268" s="247" t="s">
        <v>2455</v>
      </c>
      <c r="D268" s="247" t="s">
        <v>2454</v>
      </c>
      <c r="E268" s="247" t="s">
        <v>3177</v>
      </c>
      <c r="F268" s="247" t="s">
        <v>3178</v>
      </c>
      <c r="G268" s="247" t="s">
        <v>3179</v>
      </c>
      <c r="H268" s="247" t="s">
        <v>3180</v>
      </c>
    </row>
    <row r="269" spans="1:8" ht="15" customHeight="1" x14ac:dyDescent="0.2">
      <c r="A269" s="41" t="s">
        <v>3708</v>
      </c>
      <c r="B269" s="266" t="s">
        <v>3176</v>
      </c>
      <c r="C269" s="247" t="s">
        <v>2792</v>
      </c>
      <c r="D269" s="247" t="s">
        <v>2791</v>
      </c>
      <c r="E269" s="247" t="s">
        <v>3177</v>
      </c>
      <c r="F269" s="247" t="s">
        <v>3178</v>
      </c>
      <c r="G269" s="247" t="s">
        <v>3179</v>
      </c>
      <c r="H269" s="247" t="s">
        <v>3180</v>
      </c>
    </row>
    <row r="270" spans="1:8" ht="15" customHeight="1" x14ac:dyDescent="0.2">
      <c r="A270" s="41" t="s">
        <v>3691</v>
      </c>
      <c r="B270" s="266" t="s">
        <v>3176</v>
      </c>
      <c r="C270" s="247" t="s">
        <v>2457</v>
      </c>
      <c r="D270" s="247" t="s">
        <v>2456</v>
      </c>
      <c r="E270" s="247" t="s">
        <v>3177</v>
      </c>
      <c r="F270" s="247" t="s">
        <v>3178</v>
      </c>
      <c r="G270" s="247" t="s">
        <v>3179</v>
      </c>
      <c r="H270" s="247" t="s">
        <v>3180</v>
      </c>
    </row>
    <row r="271" spans="1:8" ht="15" customHeight="1" x14ac:dyDescent="0.2">
      <c r="A271" s="41" t="s">
        <v>3692</v>
      </c>
      <c r="B271" s="266" t="s">
        <v>3176</v>
      </c>
      <c r="C271" s="247" t="s">
        <v>1928</v>
      </c>
      <c r="D271" s="247" t="s">
        <v>1927</v>
      </c>
      <c r="E271" s="247" t="s">
        <v>3177</v>
      </c>
      <c r="F271" s="247" t="s">
        <v>3178</v>
      </c>
      <c r="G271" s="247" t="s">
        <v>3179</v>
      </c>
      <c r="H271" s="247" t="s">
        <v>3180</v>
      </c>
    </row>
    <row r="272" spans="1:8" ht="15" customHeight="1" x14ac:dyDescent="0.2">
      <c r="A272" s="41" t="s">
        <v>3693</v>
      </c>
      <c r="B272" s="266" t="s">
        <v>3176</v>
      </c>
      <c r="C272" s="247" t="s">
        <v>2337</v>
      </c>
      <c r="D272" s="247" t="s">
        <v>2336</v>
      </c>
      <c r="E272" s="247" t="s">
        <v>3177</v>
      </c>
      <c r="F272" s="247" t="s">
        <v>3178</v>
      </c>
      <c r="G272" s="247" t="s">
        <v>3179</v>
      </c>
      <c r="H272" s="247" t="s">
        <v>3180</v>
      </c>
    </row>
    <row r="273" spans="1:8" ht="15" customHeight="1" x14ac:dyDescent="0.2">
      <c r="A273" s="41" t="s">
        <v>3694</v>
      </c>
      <c r="B273" s="266" t="s">
        <v>3176</v>
      </c>
      <c r="C273" s="247" t="s">
        <v>2685</v>
      </c>
      <c r="D273" s="247" t="s">
        <v>2684</v>
      </c>
      <c r="E273" s="247" t="s">
        <v>3177</v>
      </c>
      <c r="F273" s="247" t="s">
        <v>3178</v>
      </c>
      <c r="G273" s="247" t="s">
        <v>3179</v>
      </c>
      <c r="H273" s="247" t="s">
        <v>3180</v>
      </c>
    </row>
    <row r="274" spans="1:8" ht="15" customHeight="1" x14ac:dyDescent="0.2">
      <c r="A274" s="41" t="s">
        <v>3705</v>
      </c>
      <c r="B274" s="266" t="s">
        <v>3176</v>
      </c>
      <c r="C274" s="247" t="s">
        <v>2461</v>
      </c>
      <c r="D274" s="247" t="s">
        <v>2460</v>
      </c>
      <c r="E274" s="247" t="s">
        <v>3177</v>
      </c>
      <c r="F274" s="247" t="s">
        <v>3178</v>
      </c>
      <c r="G274" s="247" t="s">
        <v>3179</v>
      </c>
      <c r="H274" s="247" t="s">
        <v>3180</v>
      </c>
    </row>
    <row r="275" spans="1:8" ht="15" customHeight="1" x14ac:dyDescent="0.2">
      <c r="A275" s="41" t="s">
        <v>3707</v>
      </c>
      <c r="B275" s="266" t="s">
        <v>3176</v>
      </c>
      <c r="C275" s="247" t="s">
        <v>2463</v>
      </c>
      <c r="D275" s="247" t="s">
        <v>2462</v>
      </c>
      <c r="E275" s="247" t="s">
        <v>3177</v>
      </c>
      <c r="F275" s="247" t="s">
        <v>3178</v>
      </c>
      <c r="G275" s="247" t="s">
        <v>3179</v>
      </c>
      <c r="H275" s="247" t="s">
        <v>3180</v>
      </c>
    </row>
    <row r="276" spans="1:8" ht="15" customHeight="1" x14ac:dyDescent="0.2">
      <c r="A276" s="41" t="s">
        <v>3706</v>
      </c>
      <c r="B276" s="266" t="s">
        <v>3176</v>
      </c>
      <c r="C276" s="247" t="s">
        <v>1997</v>
      </c>
      <c r="D276" s="247" t="s">
        <v>1996</v>
      </c>
      <c r="E276" s="247" t="s">
        <v>3177</v>
      </c>
      <c r="F276" s="247" t="s">
        <v>3178</v>
      </c>
      <c r="G276" s="247" t="s">
        <v>3179</v>
      </c>
      <c r="H276" s="247" t="s">
        <v>3180</v>
      </c>
    </row>
    <row r="277" spans="1:8" ht="15" customHeight="1" x14ac:dyDescent="0.2">
      <c r="A277" s="41" t="s">
        <v>3688</v>
      </c>
      <c r="B277" s="266" t="s">
        <v>3176</v>
      </c>
      <c r="C277" s="247" t="s">
        <v>1633</v>
      </c>
      <c r="D277" s="247" t="s">
        <v>1632</v>
      </c>
      <c r="E277" s="247" t="s">
        <v>3177</v>
      </c>
      <c r="F277" s="247" t="s">
        <v>3178</v>
      </c>
      <c r="G277" s="247" t="s">
        <v>3179</v>
      </c>
      <c r="H277" s="247" t="s">
        <v>3180</v>
      </c>
    </row>
    <row r="278" spans="1:8" ht="15" customHeight="1" x14ac:dyDescent="0.2">
      <c r="A278" s="41" t="s">
        <v>3689</v>
      </c>
      <c r="B278" s="266" t="s">
        <v>3176</v>
      </c>
      <c r="C278" s="247" t="s">
        <v>2063</v>
      </c>
      <c r="D278" s="247" t="s">
        <v>2062</v>
      </c>
      <c r="E278" s="247" t="s">
        <v>3177</v>
      </c>
      <c r="F278" s="247" t="s">
        <v>3178</v>
      </c>
      <c r="G278" s="247" t="s">
        <v>3179</v>
      </c>
      <c r="H278" s="247" t="s">
        <v>3180</v>
      </c>
    </row>
    <row r="279" spans="1:8" ht="15" customHeight="1" x14ac:dyDescent="0.2">
      <c r="A279" s="41" t="s">
        <v>3683</v>
      </c>
      <c r="B279" s="266" t="s">
        <v>3176</v>
      </c>
      <c r="C279" s="247" t="s">
        <v>2675</v>
      </c>
      <c r="D279" s="247" t="s">
        <v>2674</v>
      </c>
      <c r="E279" s="247" t="s">
        <v>3177</v>
      </c>
      <c r="F279" s="247" t="s">
        <v>3178</v>
      </c>
      <c r="G279" s="247" t="s">
        <v>3179</v>
      </c>
      <c r="H279" s="247" t="s">
        <v>3180</v>
      </c>
    </row>
    <row r="280" spans="1:8" ht="15" customHeight="1" x14ac:dyDescent="0.2">
      <c r="A280" s="41" t="s">
        <v>3709</v>
      </c>
      <c r="B280" s="266" t="s">
        <v>3176</v>
      </c>
      <c r="C280" s="247" t="s">
        <v>2464</v>
      </c>
      <c r="D280" s="247" t="s">
        <v>3181</v>
      </c>
      <c r="E280" s="247" t="s">
        <v>3177</v>
      </c>
      <c r="F280" s="247" t="s">
        <v>3178</v>
      </c>
      <c r="G280" s="247" t="s">
        <v>3179</v>
      </c>
      <c r="H280" s="247" t="s">
        <v>3180</v>
      </c>
    </row>
    <row r="281" spans="1:8" ht="15" customHeight="1" x14ac:dyDescent="0.2">
      <c r="A281" s="41" t="s">
        <v>3684</v>
      </c>
      <c r="B281" s="266" t="s">
        <v>3176</v>
      </c>
      <c r="C281" s="247" t="s">
        <v>2677</v>
      </c>
      <c r="D281" s="247" t="s">
        <v>2676</v>
      </c>
      <c r="E281" s="247" t="s">
        <v>3177</v>
      </c>
      <c r="F281" s="247" t="s">
        <v>3178</v>
      </c>
      <c r="G281" s="247" t="s">
        <v>3179</v>
      </c>
      <c r="H281" s="247" t="s">
        <v>3180</v>
      </c>
    </row>
    <row r="282" spans="1:8" ht="15" customHeight="1" x14ac:dyDescent="0.2">
      <c r="A282" s="41" t="s">
        <v>3685</v>
      </c>
      <c r="B282" s="266" t="s">
        <v>3176</v>
      </c>
      <c r="C282" s="247" t="s">
        <v>2679</v>
      </c>
      <c r="D282" s="247" t="s">
        <v>2678</v>
      </c>
      <c r="E282" s="247" t="s">
        <v>3177</v>
      </c>
      <c r="F282" s="247" t="s">
        <v>3178</v>
      </c>
      <c r="G282" s="247" t="s">
        <v>3179</v>
      </c>
      <c r="H282" s="247" t="s">
        <v>3180</v>
      </c>
    </row>
    <row r="283" spans="1:8" ht="15" customHeight="1" x14ac:dyDescent="0.2">
      <c r="A283" s="41" t="s">
        <v>3686</v>
      </c>
      <c r="B283" s="266" t="s">
        <v>3176</v>
      </c>
      <c r="C283" s="247" t="s">
        <v>2681</v>
      </c>
      <c r="D283" s="247" t="s">
        <v>2680</v>
      </c>
      <c r="E283" s="247" t="s">
        <v>3177</v>
      </c>
      <c r="F283" s="247" t="s">
        <v>3178</v>
      </c>
      <c r="G283" s="247" t="s">
        <v>3179</v>
      </c>
      <c r="H283" s="247" t="s">
        <v>3180</v>
      </c>
    </row>
    <row r="284" spans="1:8" ht="15" customHeight="1" x14ac:dyDescent="0.2">
      <c r="A284" s="41" t="s">
        <v>3687</v>
      </c>
      <c r="B284" s="266" t="s">
        <v>3176</v>
      </c>
      <c r="C284" s="247" t="s">
        <v>2683</v>
      </c>
      <c r="D284" s="247" t="s">
        <v>2682</v>
      </c>
      <c r="E284" s="247" t="s">
        <v>3177</v>
      </c>
      <c r="F284" s="247" t="s">
        <v>3178</v>
      </c>
      <c r="G284" s="247" t="s">
        <v>3179</v>
      </c>
      <c r="H284" s="247" t="s">
        <v>3180</v>
      </c>
    </row>
    <row r="285" spans="1:8" ht="15" customHeight="1" x14ac:dyDescent="0.2">
      <c r="A285" s="41" t="s">
        <v>3702</v>
      </c>
      <c r="B285" s="266" t="s">
        <v>3176</v>
      </c>
      <c r="C285" s="247" t="s">
        <v>1930</v>
      </c>
      <c r="D285" s="247" t="s">
        <v>1929</v>
      </c>
      <c r="E285" s="247" t="s">
        <v>3177</v>
      </c>
      <c r="F285" s="247" t="s">
        <v>3178</v>
      </c>
      <c r="G285" s="247" t="s">
        <v>3179</v>
      </c>
      <c r="H285" s="247" t="s">
        <v>3180</v>
      </c>
    </row>
    <row r="286" spans="1:8" ht="15" customHeight="1" x14ac:dyDescent="0.2">
      <c r="A286" s="41" t="s">
        <v>3703</v>
      </c>
      <c r="B286" s="266" t="s">
        <v>3176</v>
      </c>
      <c r="C286" s="247" t="s">
        <v>2257</v>
      </c>
      <c r="D286" s="247" t="s">
        <v>2256</v>
      </c>
      <c r="E286" s="247" t="s">
        <v>3177</v>
      </c>
      <c r="F286" s="247" t="s">
        <v>3178</v>
      </c>
      <c r="G286" s="247" t="s">
        <v>3179</v>
      </c>
      <c r="H286" s="247" t="s">
        <v>3180</v>
      </c>
    </row>
    <row r="287" spans="1:8" ht="15" customHeight="1" x14ac:dyDescent="0.2">
      <c r="A287" s="41" t="s">
        <v>3704</v>
      </c>
      <c r="B287" s="266" t="s">
        <v>3176</v>
      </c>
      <c r="C287" s="247" t="s">
        <v>2341</v>
      </c>
      <c r="D287" s="247" t="s">
        <v>2340</v>
      </c>
      <c r="E287" s="247" t="s">
        <v>3177</v>
      </c>
      <c r="F287" s="247" t="s">
        <v>3178</v>
      </c>
      <c r="G287" s="247" t="s">
        <v>3179</v>
      </c>
      <c r="H287" s="247" t="s">
        <v>3180</v>
      </c>
    </row>
    <row r="288" spans="1:8" ht="15" customHeight="1" x14ac:dyDescent="0.2">
      <c r="A288" s="41" t="s">
        <v>3681</v>
      </c>
      <c r="B288" s="266" t="s">
        <v>3176</v>
      </c>
      <c r="C288" s="247" t="s">
        <v>2187</v>
      </c>
      <c r="D288" s="247" t="s">
        <v>2186</v>
      </c>
      <c r="E288" s="247" t="s">
        <v>3177</v>
      </c>
      <c r="F288" s="247" t="s">
        <v>3178</v>
      </c>
      <c r="G288" s="247" t="s">
        <v>3179</v>
      </c>
      <c r="H288" s="247" t="s">
        <v>3180</v>
      </c>
    </row>
    <row r="289" spans="1:8" ht="15" customHeight="1" x14ac:dyDescent="0.2">
      <c r="A289" s="41" t="s">
        <v>3682</v>
      </c>
      <c r="B289" s="266" t="s">
        <v>3176</v>
      </c>
      <c r="C289" s="247" t="s">
        <v>2335</v>
      </c>
      <c r="D289" s="247" t="s">
        <v>2334</v>
      </c>
      <c r="E289" s="247" t="s">
        <v>3177</v>
      </c>
      <c r="F289" s="247" t="s">
        <v>3178</v>
      </c>
      <c r="G289" s="247" t="s">
        <v>3179</v>
      </c>
      <c r="H289" s="247" t="s">
        <v>3180</v>
      </c>
    </row>
    <row r="290" spans="1:8" ht="15" customHeight="1" x14ac:dyDescent="0.2">
      <c r="A290" s="41" t="s">
        <v>3779</v>
      </c>
      <c r="B290" s="266" t="s">
        <v>3201</v>
      </c>
      <c r="C290" s="247" t="s">
        <v>2351</v>
      </c>
      <c r="D290" s="247" t="s">
        <v>3202</v>
      </c>
      <c r="E290" s="247" t="s">
        <v>3177</v>
      </c>
      <c r="F290" s="247" t="s">
        <v>3182</v>
      </c>
      <c r="G290" s="247" t="s">
        <v>3179</v>
      </c>
      <c r="H290" s="247" t="s">
        <v>3180</v>
      </c>
    </row>
    <row r="291" spans="1:8" ht="15" customHeight="1" x14ac:dyDescent="0.2">
      <c r="A291" s="41" t="s">
        <v>3780</v>
      </c>
      <c r="B291" s="266" t="s">
        <v>3201</v>
      </c>
      <c r="C291" s="247" t="s">
        <v>2691</v>
      </c>
      <c r="D291" s="247" t="s">
        <v>3203</v>
      </c>
      <c r="E291" s="247" t="s">
        <v>3177</v>
      </c>
      <c r="F291" s="247" t="s">
        <v>3182</v>
      </c>
      <c r="G291" s="247" t="s">
        <v>3179</v>
      </c>
      <c r="H291" s="247" t="s">
        <v>3180</v>
      </c>
    </row>
    <row r="292" spans="1:8" ht="15" customHeight="1" x14ac:dyDescent="0.2">
      <c r="A292" s="41" t="s">
        <v>3781</v>
      </c>
      <c r="B292" s="266" t="s">
        <v>3201</v>
      </c>
      <c r="C292" s="247" t="s">
        <v>2692</v>
      </c>
      <c r="D292" s="247" t="s">
        <v>3204</v>
      </c>
      <c r="E292" s="247" t="s">
        <v>3177</v>
      </c>
      <c r="F292" s="247" t="s">
        <v>3182</v>
      </c>
      <c r="G292" s="247" t="s">
        <v>3179</v>
      </c>
      <c r="H292" s="247" t="s">
        <v>3180</v>
      </c>
    </row>
    <row r="293" spans="1:8" ht="15" customHeight="1" x14ac:dyDescent="0.2">
      <c r="A293" s="41" t="s">
        <v>3782</v>
      </c>
      <c r="B293" s="266" t="s">
        <v>3201</v>
      </c>
      <c r="C293" s="247" t="s">
        <v>2693</v>
      </c>
      <c r="D293" s="247" t="s">
        <v>3205</v>
      </c>
      <c r="E293" s="247" t="s">
        <v>3177</v>
      </c>
      <c r="F293" s="247" t="s">
        <v>3182</v>
      </c>
      <c r="G293" s="247" t="s">
        <v>3179</v>
      </c>
      <c r="H293" s="247" t="s">
        <v>3180</v>
      </c>
    </row>
    <row r="294" spans="1:8" ht="15" customHeight="1" x14ac:dyDescent="0.2">
      <c r="A294" s="41" t="s">
        <v>3740</v>
      </c>
      <c r="B294" s="266" t="s">
        <v>3183</v>
      </c>
      <c r="C294" s="247" t="s">
        <v>2347</v>
      </c>
      <c r="D294" s="247" t="s">
        <v>2346</v>
      </c>
      <c r="E294" s="247" t="s">
        <v>3188</v>
      </c>
      <c r="F294" s="247" t="s">
        <v>3182</v>
      </c>
      <c r="G294" s="247" t="s">
        <v>3179</v>
      </c>
      <c r="H294" s="247" t="s">
        <v>3180</v>
      </c>
    </row>
    <row r="295" spans="1:8" ht="15" customHeight="1" x14ac:dyDescent="0.2">
      <c r="A295" s="41" t="s">
        <v>3860</v>
      </c>
      <c r="B295" s="266" t="s">
        <v>3240</v>
      </c>
      <c r="C295" s="247" t="s">
        <v>2493</v>
      </c>
      <c r="D295" s="247" t="s">
        <v>2492</v>
      </c>
      <c r="E295" s="247" t="s">
        <v>3177</v>
      </c>
      <c r="F295" s="247" t="s">
        <v>3178</v>
      </c>
      <c r="G295" s="247" t="s">
        <v>3179</v>
      </c>
      <c r="H295" s="247" t="s">
        <v>3180</v>
      </c>
    </row>
    <row r="296" spans="1:8" ht="15" customHeight="1" x14ac:dyDescent="0.2">
      <c r="A296" s="41" t="s">
        <v>3859</v>
      </c>
      <c r="B296" s="266" t="s">
        <v>3240</v>
      </c>
      <c r="C296" s="247" t="s">
        <v>2154</v>
      </c>
      <c r="D296" s="247" t="s">
        <v>2153</v>
      </c>
      <c r="E296" s="247" t="s">
        <v>3177</v>
      </c>
      <c r="F296" s="247" t="s">
        <v>3178</v>
      </c>
      <c r="G296" s="247" t="s">
        <v>3179</v>
      </c>
      <c r="H296" s="247" t="s">
        <v>3180</v>
      </c>
    </row>
    <row r="297" spans="1:8" ht="15" customHeight="1" x14ac:dyDescent="0.2">
      <c r="A297" s="41" t="s">
        <v>3858</v>
      </c>
      <c r="B297" s="266" t="s">
        <v>3240</v>
      </c>
      <c r="C297" s="247" t="s">
        <v>1640</v>
      </c>
      <c r="D297" s="247" t="s">
        <v>1639</v>
      </c>
      <c r="E297" s="247" t="s">
        <v>3177</v>
      </c>
      <c r="F297" s="247" t="s">
        <v>3178</v>
      </c>
      <c r="G297" s="247" t="s">
        <v>3179</v>
      </c>
      <c r="H297" s="247" t="s">
        <v>3180</v>
      </c>
    </row>
    <row r="298" spans="1:8" ht="15" customHeight="1" x14ac:dyDescent="0.2">
      <c r="A298" s="41" t="s">
        <v>3863</v>
      </c>
      <c r="B298" s="266" t="s">
        <v>3240</v>
      </c>
      <c r="C298" s="247" t="s">
        <v>2804</v>
      </c>
      <c r="D298" s="247" t="s">
        <v>2803</v>
      </c>
      <c r="E298" s="247" t="s">
        <v>3177</v>
      </c>
      <c r="F298" s="247" t="s">
        <v>3178</v>
      </c>
      <c r="G298" s="247" t="s">
        <v>3179</v>
      </c>
      <c r="H298" s="247" t="s">
        <v>3180</v>
      </c>
    </row>
    <row r="299" spans="1:8" ht="15" customHeight="1" x14ac:dyDescent="0.2">
      <c r="A299" s="41" t="s">
        <v>3857</v>
      </c>
      <c r="B299" s="266" t="s">
        <v>3240</v>
      </c>
      <c r="C299" s="247" t="s">
        <v>1969</v>
      </c>
      <c r="D299" s="247" t="s">
        <v>1968</v>
      </c>
      <c r="E299" s="247" t="s">
        <v>3177</v>
      </c>
      <c r="F299" s="247" t="s">
        <v>3178</v>
      </c>
      <c r="G299" s="247" t="s">
        <v>3179</v>
      </c>
      <c r="H299" s="247" t="s">
        <v>3180</v>
      </c>
    </row>
    <row r="300" spans="1:8" ht="15" customHeight="1" x14ac:dyDescent="0.2">
      <c r="A300" s="41" t="s">
        <v>3861</v>
      </c>
      <c r="B300" s="266" t="s">
        <v>3240</v>
      </c>
      <c r="C300" s="247" t="s">
        <v>1644</v>
      </c>
      <c r="D300" s="247" t="s">
        <v>1643</v>
      </c>
      <c r="E300" s="247" t="s">
        <v>3177</v>
      </c>
      <c r="F300" s="247" t="s">
        <v>3178</v>
      </c>
      <c r="G300" s="247" t="s">
        <v>3179</v>
      </c>
      <c r="H300" s="247" t="s">
        <v>3180</v>
      </c>
    </row>
    <row r="301" spans="1:8" ht="15" customHeight="1" x14ac:dyDescent="0.2">
      <c r="A301" s="41" t="s">
        <v>3862</v>
      </c>
      <c r="B301" s="266" t="s">
        <v>3240</v>
      </c>
      <c r="C301" s="247" t="s">
        <v>2355</v>
      </c>
      <c r="D301" s="247" t="s">
        <v>2354</v>
      </c>
      <c r="E301" s="247" t="s">
        <v>3177</v>
      </c>
      <c r="F301" s="247" t="s">
        <v>3178</v>
      </c>
      <c r="G301" s="247" t="s">
        <v>3179</v>
      </c>
      <c r="H301" s="247" t="s">
        <v>3180</v>
      </c>
    </row>
    <row r="302" spans="1:8" ht="15" customHeight="1" x14ac:dyDescent="0.2">
      <c r="A302" s="41" t="s">
        <v>4277</v>
      </c>
      <c r="B302" s="266" t="s">
        <v>3416</v>
      </c>
      <c r="C302" s="247" t="s">
        <v>1830</v>
      </c>
      <c r="D302" s="247" t="s">
        <v>1829</v>
      </c>
      <c r="E302" s="247" t="s">
        <v>3177</v>
      </c>
      <c r="F302" s="247" t="s">
        <v>3178</v>
      </c>
      <c r="G302" s="247" t="s">
        <v>3179</v>
      </c>
      <c r="H302" s="247" t="s">
        <v>3180</v>
      </c>
    </row>
    <row r="303" spans="1:8" ht="15" customHeight="1" x14ac:dyDescent="0.2">
      <c r="A303" s="41" t="s">
        <v>3777</v>
      </c>
      <c r="B303" s="266" t="s">
        <v>3201</v>
      </c>
      <c r="C303" s="247" t="s">
        <v>1635</v>
      </c>
      <c r="D303" s="247" t="s">
        <v>1634</v>
      </c>
      <c r="E303" s="247" t="s">
        <v>3177</v>
      </c>
      <c r="F303" s="247" t="s">
        <v>3178</v>
      </c>
      <c r="G303" s="247" t="s">
        <v>3179</v>
      </c>
      <c r="H303" s="247" t="s">
        <v>3180</v>
      </c>
    </row>
    <row r="304" spans="1:8" ht="15" customHeight="1" x14ac:dyDescent="0.2">
      <c r="A304" s="41" t="s">
        <v>3778</v>
      </c>
      <c r="B304" s="266" t="s">
        <v>3201</v>
      </c>
      <c r="C304" s="247" t="s">
        <v>1676</v>
      </c>
      <c r="D304" s="247" t="s">
        <v>1675</v>
      </c>
      <c r="E304" s="247" t="s">
        <v>3177</v>
      </c>
      <c r="F304" s="247" t="s">
        <v>3178</v>
      </c>
      <c r="G304" s="247" t="s">
        <v>3179</v>
      </c>
      <c r="H304" s="247" t="s">
        <v>3180</v>
      </c>
    </row>
    <row r="305" spans="1:8" ht="15" customHeight="1" x14ac:dyDescent="0.2">
      <c r="A305" s="41" t="s">
        <v>3766</v>
      </c>
      <c r="B305" s="266" t="s">
        <v>3191</v>
      </c>
      <c r="C305" s="247" t="s">
        <v>2484</v>
      </c>
      <c r="D305" s="247" t="s">
        <v>2483</v>
      </c>
      <c r="E305" s="247" t="s">
        <v>3177</v>
      </c>
      <c r="F305" s="247" t="s">
        <v>3182</v>
      </c>
      <c r="G305" s="247" t="s">
        <v>3179</v>
      </c>
      <c r="H305" s="247" t="s">
        <v>3180</v>
      </c>
    </row>
    <row r="306" spans="1:8" ht="15" customHeight="1" x14ac:dyDescent="0.2">
      <c r="A306" s="41" t="s">
        <v>3745</v>
      </c>
      <c r="B306" s="266" t="s">
        <v>3191</v>
      </c>
      <c r="C306" s="247" t="s">
        <v>1770</v>
      </c>
      <c r="D306" s="247" t="s">
        <v>1769</v>
      </c>
      <c r="E306" s="247" t="s">
        <v>3177</v>
      </c>
      <c r="F306" s="247" t="s">
        <v>3178</v>
      </c>
      <c r="G306" s="247" t="s">
        <v>3179</v>
      </c>
      <c r="H306" s="247" t="s">
        <v>3180</v>
      </c>
    </row>
    <row r="307" spans="1:8" ht="15" customHeight="1" x14ac:dyDescent="0.2">
      <c r="A307" s="41" t="s">
        <v>3757</v>
      </c>
      <c r="B307" s="266" t="s">
        <v>3191</v>
      </c>
      <c r="C307" s="247" t="s">
        <v>2101</v>
      </c>
      <c r="D307" s="247" t="s">
        <v>2100</v>
      </c>
      <c r="E307" s="247" t="s">
        <v>3177</v>
      </c>
      <c r="F307" s="247" t="s">
        <v>3178</v>
      </c>
      <c r="G307" s="247" t="s">
        <v>3179</v>
      </c>
      <c r="H307" s="247" t="s">
        <v>3180</v>
      </c>
    </row>
    <row r="308" spans="1:8" ht="15" customHeight="1" x14ac:dyDescent="0.2">
      <c r="A308" s="41" t="s">
        <v>3746</v>
      </c>
      <c r="B308" s="266" t="s">
        <v>3191</v>
      </c>
      <c r="C308" s="247" t="s">
        <v>1841</v>
      </c>
      <c r="D308" s="247" t="s">
        <v>1840</v>
      </c>
      <c r="E308" s="247" t="s">
        <v>3177</v>
      </c>
      <c r="F308" s="247" t="s">
        <v>3178</v>
      </c>
      <c r="G308" s="247" t="s">
        <v>3179</v>
      </c>
      <c r="H308" s="247" t="s">
        <v>3180</v>
      </c>
    </row>
    <row r="309" spans="1:8" ht="15" customHeight="1" x14ac:dyDescent="0.2">
      <c r="A309" s="41" t="s">
        <v>3758</v>
      </c>
      <c r="B309" s="266" t="s">
        <v>3191</v>
      </c>
      <c r="C309" s="247" t="s">
        <v>2261</v>
      </c>
      <c r="D309" s="247" t="s">
        <v>2260</v>
      </c>
      <c r="E309" s="247" t="s">
        <v>3177</v>
      </c>
      <c r="F309" s="247" t="s">
        <v>3178</v>
      </c>
      <c r="G309" s="247" t="s">
        <v>3179</v>
      </c>
      <c r="H309" s="247" t="s">
        <v>3180</v>
      </c>
    </row>
    <row r="310" spans="1:8" ht="15" customHeight="1" x14ac:dyDescent="0.2">
      <c r="A310" s="41" t="s">
        <v>3747</v>
      </c>
      <c r="B310" s="266" t="s">
        <v>3191</v>
      </c>
      <c r="C310" s="247" t="s">
        <v>1691</v>
      </c>
      <c r="D310" s="247" t="s">
        <v>1690</v>
      </c>
      <c r="E310" s="247" t="s">
        <v>3177</v>
      </c>
      <c r="F310" s="247" t="s">
        <v>3178</v>
      </c>
      <c r="G310" s="247" t="s">
        <v>3179</v>
      </c>
      <c r="H310" s="247" t="s">
        <v>3180</v>
      </c>
    </row>
    <row r="311" spans="1:8" ht="15" customHeight="1" x14ac:dyDescent="0.2">
      <c r="A311" s="41" t="s">
        <v>3759</v>
      </c>
      <c r="B311" s="266" t="s">
        <v>3191</v>
      </c>
      <c r="C311" s="247" t="s">
        <v>2480</v>
      </c>
      <c r="D311" s="247" t="s">
        <v>2479</v>
      </c>
      <c r="E311" s="247" t="s">
        <v>3177</v>
      </c>
      <c r="F311" s="247" t="s">
        <v>3178</v>
      </c>
      <c r="G311" s="247" t="s">
        <v>3179</v>
      </c>
      <c r="H311" s="247" t="s">
        <v>3180</v>
      </c>
    </row>
    <row r="312" spans="1:8" ht="15" customHeight="1" x14ac:dyDescent="0.2">
      <c r="A312" s="41" t="s">
        <v>3748</v>
      </c>
      <c r="B312" s="266" t="s">
        <v>3191</v>
      </c>
      <c r="C312" s="247" t="s">
        <v>1887</v>
      </c>
      <c r="D312" s="247" t="s">
        <v>1886</v>
      </c>
      <c r="E312" s="247" t="s">
        <v>3177</v>
      </c>
      <c r="F312" s="247" t="s">
        <v>3178</v>
      </c>
      <c r="G312" s="247" t="s">
        <v>3179</v>
      </c>
      <c r="H312" s="247" t="s">
        <v>3180</v>
      </c>
    </row>
    <row r="313" spans="1:8" ht="15" customHeight="1" x14ac:dyDescent="0.2">
      <c r="A313" s="41" t="s">
        <v>3760</v>
      </c>
      <c r="B313" s="266" t="s">
        <v>3191</v>
      </c>
      <c r="C313" s="247" t="s">
        <v>2349</v>
      </c>
      <c r="D313" s="247" t="s">
        <v>2348</v>
      </c>
      <c r="E313" s="247" t="s">
        <v>3177</v>
      </c>
      <c r="F313" s="247" t="s">
        <v>3178</v>
      </c>
      <c r="G313" s="247" t="s">
        <v>3179</v>
      </c>
      <c r="H313" s="247" t="s">
        <v>3180</v>
      </c>
    </row>
    <row r="314" spans="1:8" ht="15" customHeight="1" x14ac:dyDescent="0.2">
      <c r="A314" s="41" t="s">
        <v>3749</v>
      </c>
      <c r="B314" s="266" t="s">
        <v>3191</v>
      </c>
      <c r="C314" s="247" t="s">
        <v>1838</v>
      </c>
      <c r="D314" s="247" t="s">
        <v>1837</v>
      </c>
      <c r="E314" s="247" t="s">
        <v>3177</v>
      </c>
      <c r="F314" s="247" t="s">
        <v>3178</v>
      </c>
      <c r="G314" s="247" t="s">
        <v>3179</v>
      </c>
      <c r="H314" s="247" t="s">
        <v>3180</v>
      </c>
    </row>
    <row r="315" spans="1:8" ht="15" customHeight="1" x14ac:dyDescent="0.2">
      <c r="A315" s="41" t="s">
        <v>3761</v>
      </c>
      <c r="B315" s="266" t="s">
        <v>3191</v>
      </c>
      <c r="C315" s="247" t="s">
        <v>2482</v>
      </c>
      <c r="D315" s="247" t="s">
        <v>2481</v>
      </c>
      <c r="E315" s="247" t="s">
        <v>3177</v>
      </c>
      <c r="F315" s="247" t="s">
        <v>3178</v>
      </c>
      <c r="G315" s="247" t="s">
        <v>3179</v>
      </c>
      <c r="H315" s="247" t="s">
        <v>3180</v>
      </c>
    </row>
    <row r="316" spans="1:8" ht="15" customHeight="1" x14ac:dyDescent="0.2">
      <c r="A316" s="41" t="s">
        <v>3750</v>
      </c>
      <c r="B316" s="266" t="s">
        <v>3191</v>
      </c>
      <c r="C316" s="247" t="s">
        <v>1966</v>
      </c>
      <c r="D316" s="247" t="s">
        <v>1965</v>
      </c>
      <c r="E316" s="247" t="s">
        <v>3177</v>
      </c>
      <c r="F316" s="247" t="s">
        <v>3178</v>
      </c>
      <c r="G316" s="247" t="s">
        <v>3179</v>
      </c>
      <c r="H316" s="247" t="s">
        <v>3180</v>
      </c>
    </row>
    <row r="317" spans="1:8" ht="15" customHeight="1" x14ac:dyDescent="0.2">
      <c r="A317" s="41" t="s">
        <v>3762</v>
      </c>
      <c r="B317" s="266" t="s">
        <v>3191</v>
      </c>
      <c r="C317" s="247" t="s">
        <v>2802</v>
      </c>
      <c r="D317" s="247" t="s">
        <v>2801</v>
      </c>
      <c r="E317" s="247" t="s">
        <v>3177</v>
      </c>
      <c r="F317" s="247" t="s">
        <v>3178</v>
      </c>
      <c r="G317" s="247" t="s">
        <v>3179</v>
      </c>
      <c r="H317" s="247" t="s">
        <v>3180</v>
      </c>
    </row>
    <row r="318" spans="1:8" ht="15" customHeight="1" x14ac:dyDescent="0.2">
      <c r="A318" s="41" t="s">
        <v>3753</v>
      </c>
      <c r="B318" s="266" t="s">
        <v>3191</v>
      </c>
      <c r="C318" s="247" t="s">
        <v>1985</v>
      </c>
      <c r="D318" s="247" t="s">
        <v>1984</v>
      </c>
      <c r="E318" s="247" t="s">
        <v>3177</v>
      </c>
      <c r="F318" s="247" t="s">
        <v>3178</v>
      </c>
      <c r="G318" s="247" t="s">
        <v>3179</v>
      </c>
      <c r="H318" s="247" t="s">
        <v>3180</v>
      </c>
    </row>
    <row r="319" spans="1:8" ht="15" customHeight="1" x14ac:dyDescent="0.2">
      <c r="A319" s="41" t="s">
        <v>3755</v>
      </c>
      <c r="B319" s="266" t="s">
        <v>3191</v>
      </c>
      <c r="C319" s="247" t="s">
        <v>2478</v>
      </c>
      <c r="D319" s="247" t="s">
        <v>2477</v>
      </c>
      <c r="E319" s="247" t="s">
        <v>3177</v>
      </c>
      <c r="F319" s="247" t="s">
        <v>3178</v>
      </c>
      <c r="G319" s="247" t="s">
        <v>3179</v>
      </c>
      <c r="H319" s="247" t="s">
        <v>3180</v>
      </c>
    </row>
    <row r="320" spans="1:8" ht="15" customHeight="1" x14ac:dyDescent="0.2">
      <c r="A320" s="41" t="s">
        <v>3763</v>
      </c>
      <c r="B320" s="266" t="s">
        <v>3191</v>
      </c>
      <c r="C320" s="247" t="s">
        <v>1730</v>
      </c>
      <c r="D320" s="247" t="s">
        <v>1729</v>
      </c>
      <c r="E320" s="247" t="s">
        <v>3177</v>
      </c>
      <c r="F320" s="247" t="s">
        <v>3178</v>
      </c>
      <c r="G320" s="247" t="s">
        <v>3179</v>
      </c>
      <c r="H320" s="247" t="s">
        <v>3180</v>
      </c>
    </row>
    <row r="321" spans="1:8" ht="15" customHeight="1" x14ac:dyDescent="0.2">
      <c r="A321" s="41" t="s">
        <v>3767</v>
      </c>
      <c r="B321" s="266" t="s">
        <v>3191</v>
      </c>
      <c r="C321" s="247" t="s">
        <v>2350</v>
      </c>
      <c r="D321" s="247" t="s">
        <v>3192</v>
      </c>
      <c r="E321" s="247" t="s">
        <v>3177</v>
      </c>
      <c r="F321" s="247" t="s">
        <v>3178</v>
      </c>
      <c r="G321" s="247" t="s">
        <v>3179</v>
      </c>
      <c r="H321" s="247" t="s">
        <v>3180</v>
      </c>
    </row>
    <row r="322" spans="1:8" ht="15" customHeight="1" x14ac:dyDescent="0.2">
      <c r="A322" s="41" t="s">
        <v>3752</v>
      </c>
      <c r="B322" s="266" t="s">
        <v>3191</v>
      </c>
      <c r="C322" s="247" t="s">
        <v>1742</v>
      </c>
      <c r="D322" s="247" t="s">
        <v>1741</v>
      </c>
      <c r="E322" s="247" t="s">
        <v>3177</v>
      </c>
      <c r="F322" s="247" t="s">
        <v>3178</v>
      </c>
      <c r="G322" s="247" t="s">
        <v>3179</v>
      </c>
      <c r="H322" s="247" t="s">
        <v>3180</v>
      </c>
    </row>
    <row r="323" spans="1:8" ht="15" customHeight="1" x14ac:dyDescent="0.2">
      <c r="A323" s="41" t="s">
        <v>3764</v>
      </c>
      <c r="B323" s="266" t="s">
        <v>3191</v>
      </c>
      <c r="C323" s="247" t="s">
        <v>1707</v>
      </c>
      <c r="D323" s="247" t="s">
        <v>1706</v>
      </c>
      <c r="E323" s="247" t="s">
        <v>3177</v>
      </c>
      <c r="F323" s="247" t="s">
        <v>3178</v>
      </c>
      <c r="G323" s="247" t="s">
        <v>3179</v>
      </c>
      <c r="H323" s="247" t="s">
        <v>3180</v>
      </c>
    </row>
    <row r="324" spans="1:8" ht="15" customHeight="1" x14ac:dyDescent="0.2">
      <c r="A324" s="41" t="s">
        <v>3765</v>
      </c>
      <c r="B324" s="266" t="s">
        <v>3191</v>
      </c>
      <c r="C324" s="247" t="s">
        <v>2263</v>
      </c>
      <c r="D324" s="247" t="s">
        <v>2262</v>
      </c>
      <c r="E324" s="247" t="s">
        <v>3177</v>
      </c>
      <c r="F324" s="247" t="s">
        <v>3178</v>
      </c>
      <c r="G324" s="247" t="s">
        <v>3179</v>
      </c>
      <c r="H324" s="247" t="s">
        <v>3180</v>
      </c>
    </row>
    <row r="325" spans="1:8" ht="15" customHeight="1" x14ac:dyDescent="0.2">
      <c r="A325" s="41" t="s">
        <v>3754</v>
      </c>
      <c r="B325" s="266" t="s">
        <v>3191</v>
      </c>
      <c r="C325" s="247" t="s">
        <v>1809</v>
      </c>
      <c r="D325" s="247" t="s">
        <v>1808</v>
      </c>
      <c r="E325" s="247" t="s">
        <v>3177</v>
      </c>
      <c r="F325" s="247" t="s">
        <v>3178</v>
      </c>
      <c r="G325" s="247" t="s">
        <v>3179</v>
      </c>
      <c r="H325" s="247" t="s">
        <v>3180</v>
      </c>
    </row>
    <row r="326" spans="1:8" ht="15" customHeight="1" x14ac:dyDescent="0.2">
      <c r="A326" s="41" t="s">
        <v>3751</v>
      </c>
      <c r="B326" s="266" t="s">
        <v>3191</v>
      </c>
      <c r="C326" s="247" t="s">
        <v>1765</v>
      </c>
      <c r="D326" s="247" t="s">
        <v>1764</v>
      </c>
      <c r="E326" s="247" t="s">
        <v>3177</v>
      </c>
      <c r="F326" s="247" t="s">
        <v>3178</v>
      </c>
      <c r="G326" s="247" t="s">
        <v>3179</v>
      </c>
      <c r="H326" s="247" t="s">
        <v>3180</v>
      </c>
    </row>
    <row r="327" spans="1:8" ht="15" customHeight="1" x14ac:dyDescent="0.2">
      <c r="A327" s="41" t="s">
        <v>3756</v>
      </c>
      <c r="B327" s="266" t="s">
        <v>3191</v>
      </c>
      <c r="C327" s="247" t="s">
        <v>2069</v>
      </c>
      <c r="D327" s="247" t="s">
        <v>2068</v>
      </c>
      <c r="E327" s="247" t="s">
        <v>3177</v>
      </c>
      <c r="F327" s="247" t="s">
        <v>3178</v>
      </c>
      <c r="G327" s="247" t="s">
        <v>3179</v>
      </c>
      <c r="H327" s="247" t="s">
        <v>3180</v>
      </c>
    </row>
    <row r="328" spans="1:8" ht="15" customHeight="1" x14ac:dyDescent="0.2">
      <c r="A328" s="41" t="s">
        <v>3889</v>
      </c>
      <c r="B328" s="266" t="s">
        <v>3265</v>
      </c>
      <c r="C328" s="247" t="s">
        <v>1807</v>
      </c>
      <c r="D328" s="247" t="s">
        <v>3268</v>
      </c>
      <c r="E328" s="247" t="s">
        <v>3196</v>
      </c>
      <c r="F328" s="247" t="s">
        <v>3178</v>
      </c>
      <c r="G328" s="247" t="s">
        <v>3179</v>
      </c>
      <c r="H328" s="247" t="s">
        <v>3180</v>
      </c>
    </row>
    <row r="329" spans="1:8" ht="15" customHeight="1" x14ac:dyDescent="0.2">
      <c r="A329" s="41" t="s">
        <v>3890</v>
      </c>
      <c r="B329" s="266" t="s">
        <v>3265</v>
      </c>
      <c r="C329" s="247" t="s">
        <v>1698</v>
      </c>
      <c r="D329" s="247" t="s">
        <v>3269</v>
      </c>
      <c r="E329" s="247" t="s">
        <v>3196</v>
      </c>
      <c r="F329" s="247" t="s">
        <v>3178</v>
      </c>
      <c r="G329" s="247" t="s">
        <v>3179</v>
      </c>
      <c r="H329" s="247" t="s">
        <v>3180</v>
      </c>
    </row>
    <row r="330" spans="1:8" ht="15" customHeight="1" x14ac:dyDescent="0.2">
      <c r="A330" s="41" t="s">
        <v>3888</v>
      </c>
      <c r="B330" s="266" t="s">
        <v>3265</v>
      </c>
      <c r="C330" s="247" t="s">
        <v>1773</v>
      </c>
      <c r="D330" s="247" t="s">
        <v>3267</v>
      </c>
      <c r="E330" s="247" t="s">
        <v>3196</v>
      </c>
      <c r="F330" s="247" t="s">
        <v>3178</v>
      </c>
      <c r="G330" s="247" t="s">
        <v>3179</v>
      </c>
      <c r="H330" s="247" t="s">
        <v>3180</v>
      </c>
    </row>
    <row r="331" spans="1:8" ht="15" customHeight="1" x14ac:dyDescent="0.2">
      <c r="A331" s="41" t="s">
        <v>3888</v>
      </c>
      <c r="B331" s="266" t="s">
        <v>3265</v>
      </c>
      <c r="C331" s="247" t="s">
        <v>2104</v>
      </c>
      <c r="D331" s="247" t="s">
        <v>3267</v>
      </c>
      <c r="E331" s="247" t="s">
        <v>3196</v>
      </c>
      <c r="F331" s="247" t="s">
        <v>3178</v>
      </c>
      <c r="G331" s="247" t="s">
        <v>3179</v>
      </c>
      <c r="H331" s="247" t="s">
        <v>3180</v>
      </c>
    </row>
    <row r="332" spans="1:8" ht="15" customHeight="1" x14ac:dyDescent="0.2">
      <c r="A332" s="41" t="s">
        <v>3909</v>
      </c>
      <c r="B332" s="266" t="s">
        <v>3265</v>
      </c>
      <c r="C332" s="247" t="s">
        <v>2361</v>
      </c>
      <c r="D332" s="247" t="s">
        <v>3287</v>
      </c>
      <c r="E332" s="247" t="s">
        <v>3196</v>
      </c>
      <c r="F332" s="247" t="s">
        <v>3178</v>
      </c>
      <c r="G332" s="247" t="s">
        <v>3179</v>
      </c>
      <c r="H332" s="247" t="s">
        <v>3180</v>
      </c>
    </row>
    <row r="333" spans="1:8" ht="15" customHeight="1" x14ac:dyDescent="0.2">
      <c r="A333" s="41" t="s">
        <v>3891</v>
      </c>
      <c r="B333" s="266" t="s">
        <v>3265</v>
      </c>
      <c r="C333" s="247" t="s">
        <v>2696</v>
      </c>
      <c r="D333" s="247" t="s">
        <v>3270</v>
      </c>
      <c r="E333" s="247" t="s">
        <v>3196</v>
      </c>
      <c r="F333" s="247" t="s">
        <v>3178</v>
      </c>
      <c r="G333" s="247" t="s">
        <v>3179</v>
      </c>
      <c r="H333" s="247" t="s">
        <v>3180</v>
      </c>
    </row>
    <row r="334" spans="1:8" ht="15" customHeight="1" x14ac:dyDescent="0.2">
      <c r="A334" s="41" t="s">
        <v>3887</v>
      </c>
      <c r="B334" s="266" t="s">
        <v>3265</v>
      </c>
      <c r="C334" s="247" t="s">
        <v>1810</v>
      </c>
      <c r="D334" s="247" t="s">
        <v>3266</v>
      </c>
      <c r="E334" s="247" t="s">
        <v>3196</v>
      </c>
      <c r="F334" s="247" t="s">
        <v>3178</v>
      </c>
      <c r="G334" s="247" t="s">
        <v>3179</v>
      </c>
      <c r="H334" s="247" t="s">
        <v>3180</v>
      </c>
    </row>
    <row r="335" spans="1:8" ht="15" customHeight="1" x14ac:dyDescent="0.2">
      <c r="A335" s="41" t="s">
        <v>3887</v>
      </c>
      <c r="B335" s="266" t="s">
        <v>3265</v>
      </c>
      <c r="C335" s="247" t="s">
        <v>1703</v>
      </c>
      <c r="D335" s="247" t="s">
        <v>3266</v>
      </c>
      <c r="E335" s="247" t="s">
        <v>3196</v>
      </c>
      <c r="F335" s="247" t="s">
        <v>3178</v>
      </c>
      <c r="G335" s="247" t="s">
        <v>3179</v>
      </c>
      <c r="H335" s="247" t="s">
        <v>3180</v>
      </c>
    </row>
    <row r="336" spans="1:8" ht="15" customHeight="1" x14ac:dyDescent="0.2">
      <c r="A336" s="41" t="s">
        <v>3906</v>
      </c>
      <c r="B336" s="266" t="s">
        <v>3265</v>
      </c>
      <c r="C336" s="247" t="s">
        <v>1950</v>
      </c>
      <c r="D336" s="247" t="s">
        <v>3285</v>
      </c>
      <c r="E336" s="247" t="s">
        <v>3196</v>
      </c>
      <c r="F336" s="247" t="s">
        <v>3178</v>
      </c>
      <c r="G336" s="247" t="s">
        <v>3179</v>
      </c>
      <c r="H336" s="247" t="s">
        <v>3180</v>
      </c>
    </row>
    <row r="337" spans="1:8" ht="15" customHeight="1" x14ac:dyDescent="0.2">
      <c r="A337" s="41" t="s">
        <v>3904</v>
      </c>
      <c r="B337" s="266" t="s">
        <v>3265</v>
      </c>
      <c r="C337" s="247" t="s">
        <v>2360</v>
      </c>
      <c r="D337" s="247" t="s">
        <v>3283</v>
      </c>
      <c r="E337" s="247" t="s">
        <v>3196</v>
      </c>
      <c r="F337" s="247" t="s">
        <v>3178</v>
      </c>
      <c r="G337" s="247" t="s">
        <v>3179</v>
      </c>
      <c r="H337" s="247" t="s">
        <v>3180</v>
      </c>
    </row>
    <row r="338" spans="1:8" ht="15" customHeight="1" x14ac:dyDescent="0.2">
      <c r="A338" s="41" t="s">
        <v>3898</v>
      </c>
      <c r="B338" s="266" t="s">
        <v>3265</v>
      </c>
      <c r="C338" s="247" t="s">
        <v>2807</v>
      </c>
      <c r="D338" s="247" t="s">
        <v>3277</v>
      </c>
      <c r="E338" s="247" t="s">
        <v>3196</v>
      </c>
      <c r="F338" s="247" t="s">
        <v>3178</v>
      </c>
      <c r="G338" s="247" t="s">
        <v>3179</v>
      </c>
      <c r="H338" s="247" t="s">
        <v>3180</v>
      </c>
    </row>
    <row r="339" spans="1:8" ht="15" customHeight="1" x14ac:dyDescent="0.2">
      <c r="A339" s="41" t="s">
        <v>3897</v>
      </c>
      <c r="B339" s="266" t="s">
        <v>3265</v>
      </c>
      <c r="C339" s="247" t="s">
        <v>1824</v>
      </c>
      <c r="D339" s="247" t="s">
        <v>3276</v>
      </c>
      <c r="E339" s="247" t="s">
        <v>3196</v>
      </c>
      <c r="F339" s="247" t="s">
        <v>3178</v>
      </c>
      <c r="G339" s="247" t="s">
        <v>3179</v>
      </c>
      <c r="H339" s="247" t="s">
        <v>3180</v>
      </c>
    </row>
    <row r="340" spans="1:8" ht="15" customHeight="1" x14ac:dyDescent="0.2">
      <c r="A340" s="41" t="s">
        <v>3899</v>
      </c>
      <c r="B340" s="266" t="s">
        <v>3265</v>
      </c>
      <c r="C340" s="247" t="s">
        <v>2040</v>
      </c>
      <c r="D340" s="247" t="s">
        <v>3278</v>
      </c>
      <c r="E340" s="247" t="s">
        <v>3196</v>
      </c>
      <c r="F340" s="247" t="s">
        <v>3178</v>
      </c>
      <c r="G340" s="247" t="s">
        <v>3179</v>
      </c>
      <c r="H340" s="247" t="s">
        <v>3180</v>
      </c>
    </row>
    <row r="341" spans="1:8" ht="15" customHeight="1" x14ac:dyDescent="0.2">
      <c r="A341" s="41" t="s">
        <v>3903</v>
      </c>
      <c r="B341" s="266" t="s">
        <v>3265</v>
      </c>
      <c r="C341" s="247" t="s">
        <v>2500</v>
      </c>
      <c r="D341" s="247" t="s">
        <v>3282</v>
      </c>
      <c r="E341" s="247" t="s">
        <v>3196</v>
      </c>
      <c r="F341" s="247" t="s">
        <v>3178</v>
      </c>
      <c r="G341" s="247" t="s">
        <v>3179</v>
      </c>
      <c r="H341" s="247" t="s">
        <v>3180</v>
      </c>
    </row>
    <row r="342" spans="1:8" ht="15" customHeight="1" x14ac:dyDescent="0.2">
      <c r="A342" s="41" t="s">
        <v>3901</v>
      </c>
      <c r="B342" s="266" t="s">
        <v>3265</v>
      </c>
      <c r="C342" s="247" t="s">
        <v>2498</v>
      </c>
      <c r="D342" s="247" t="s">
        <v>3280</v>
      </c>
      <c r="E342" s="247" t="s">
        <v>3196</v>
      </c>
      <c r="F342" s="247" t="s">
        <v>3178</v>
      </c>
      <c r="G342" s="247" t="s">
        <v>3179</v>
      </c>
      <c r="H342" s="247" t="s">
        <v>3180</v>
      </c>
    </row>
    <row r="343" spans="1:8" ht="15" customHeight="1" x14ac:dyDescent="0.2">
      <c r="A343" s="41" t="s">
        <v>3902</v>
      </c>
      <c r="B343" s="266" t="s">
        <v>3265</v>
      </c>
      <c r="C343" s="247" t="s">
        <v>2499</v>
      </c>
      <c r="D343" s="247" t="s">
        <v>3281</v>
      </c>
      <c r="E343" s="247" t="s">
        <v>3196</v>
      </c>
      <c r="F343" s="247" t="s">
        <v>3178</v>
      </c>
      <c r="G343" s="247" t="s">
        <v>3179</v>
      </c>
      <c r="H343" s="247" t="s">
        <v>3180</v>
      </c>
    </row>
    <row r="344" spans="1:8" ht="15" customHeight="1" x14ac:dyDescent="0.2">
      <c r="A344" s="41" t="s">
        <v>3892</v>
      </c>
      <c r="B344" s="266" t="s">
        <v>3265</v>
      </c>
      <c r="C344" s="247" t="s">
        <v>2805</v>
      </c>
      <c r="D344" s="247" t="s">
        <v>3271</v>
      </c>
      <c r="E344" s="247" t="s">
        <v>3196</v>
      </c>
      <c r="F344" s="247" t="s">
        <v>3178</v>
      </c>
      <c r="G344" s="247" t="s">
        <v>3179</v>
      </c>
      <c r="H344" s="247" t="s">
        <v>3180</v>
      </c>
    </row>
    <row r="345" spans="1:8" ht="15" customHeight="1" x14ac:dyDescent="0.2">
      <c r="A345" s="41" t="s">
        <v>3893</v>
      </c>
      <c r="B345" s="266" t="s">
        <v>3265</v>
      </c>
      <c r="C345" s="247" t="s">
        <v>2194</v>
      </c>
      <c r="D345" s="247" t="s">
        <v>3272</v>
      </c>
      <c r="E345" s="247" t="s">
        <v>3196</v>
      </c>
      <c r="F345" s="247" t="s">
        <v>3178</v>
      </c>
      <c r="G345" s="247" t="s">
        <v>3179</v>
      </c>
      <c r="H345" s="247" t="s">
        <v>3180</v>
      </c>
    </row>
    <row r="346" spans="1:8" ht="15" customHeight="1" x14ac:dyDescent="0.2">
      <c r="A346" s="41" t="s">
        <v>3894</v>
      </c>
      <c r="B346" s="266" t="s">
        <v>3265</v>
      </c>
      <c r="C346" s="247" t="s">
        <v>2015</v>
      </c>
      <c r="D346" s="247" t="s">
        <v>3273</v>
      </c>
      <c r="E346" s="247" t="s">
        <v>3196</v>
      </c>
      <c r="F346" s="247" t="s">
        <v>3178</v>
      </c>
      <c r="G346" s="247" t="s">
        <v>3179</v>
      </c>
      <c r="H346" s="247" t="s">
        <v>3180</v>
      </c>
    </row>
    <row r="347" spans="1:8" ht="15" customHeight="1" x14ac:dyDescent="0.2">
      <c r="A347" s="41" t="s">
        <v>3910</v>
      </c>
      <c r="B347" s="266" t="s">
        <v>3265</v>
      </c>
      <c r="C347" s="247" t="s">
        <v>2808</v>
      </c>
      <c r="D347" s="247" t="s">
        <v>3288</v>
      </c>
      <c r="E347" s="247" t="s">
        <v>3196</v>
      </c>
      <c r="F347" s="247" t="s">
        <v>3178</v>
      </c>
      <c r="G347" s="247" t="s">
        <v>3179</v>
      </c>
      <c r="H347" s="247" t="s">
        <v>3180</v>
      </c>
    </row>
    <row r="348" spans="1:8" ht="15" customHeight="1" x14ac:dyDescent="0.2">
      <c r="A348" s="41" t="s">
        <v>3895</v>
      </c>
      <c r="B348" s="266" t="s">
        <v>3265</v>
      </c>
      <c r="C348" s="247" t="s">
        <v>2806</v>
      </c>
      <c r="D348" s="247" t="s">
        <v>3274</v>
      </c>
      <c r="E348" s="247" t="s">
        <v>3196</v>
      </c>
      <c r="F348" s="247" t="s">
        <v>3178</v>
      </c>
      <c r="G348" s="247" t="s">
        <v>3179</v>
      </c>
      <c r="H348" s="247" t="s">
        <v>3180</v>
      </c>
    </row>
    <row r="349" spans="1:8" ht="15" customHeight="1" x14ac:dyDescent="0.2">
      <c r="A349" s="41" t="s">
        <v>3896</v>
      </c>
      <c r="B349" s="266" t="s">
        <v>3265</v>
      </c>
      <c r="C349" s="247" t="s">
        <v>2103</v>
      </c>
      <c r="D349" s="247" t="s">
        <v>3275</v>
      </c>
      <c r="E349" s="247" t="s">
        <v>3196</v>
      </c>
      <c r="F349" s="247" t="s">
        <v>3178</v>
      </c>
      <c r="G349" s="247" t="s">
        <v>3179</v>
      </c>
      <c r="H349" s="247" t="s">
        <v>3180</v>
      </c>
    </row>
    <row r="350" spans="1:8" ht="15" customHeight="1" x14ac:dyDescent="0.2">
      <c r="A350" s="41" t="s">
        <v>3908</v>
      </c>
      <c r="B350" s="266" t="s">
        <v>3265</v>
      </c>
      <c r="C350" s="247" t="s">
        <v>2502</v>
      </c>
      <c r="D350" s="247" t="s">
        <v>3286</v>
      </c>
      <c r="E350" s="247" t="s">
        <v>3196</v>
      </c>
      <c r="F350" s="247" t="s">
        <v>3178</v>
      </c>
      <c r="G350" s="247" t="s">
        <v>3179</v>
      </c>
      <c r="H350" s="247" t="s">
        <v>3180</v>
      </c>
    </row>
    <row r="351" spans="1:8" ht="15" customHeight="1" x14ac:dyDescent="0.2">
      <c r="A351" s="41" t="s">
        <v>3905</v>
      </c>
      <c r="B351" s="266" t="s">
        <v>3265</v>
      </c>
      <c r="C351" s="247" t="s">
        <v>2501</v>
      </c>
      <c r="D351" s="247" t="s">
        <v>3284</v>
      </c>
      <c r="E351" s="247" t="s">
        <v>3196</v>
      </c>
      <c r="F351" s="247" t="s">
        <v>3178</v>
      </c>
      <c r="G351" s="247" t="s">
        <v>3179</v>
      </c>
      <c r="H351" s="247" t="s">
        <v>3180</v>
      </c>
    </row>
    <row r="352" spans="1:8" ht="15" customHeight="1" x14ac:dyDescent="0.2">
      <c r="A352" s="41" t="s">
        <v>3900</v>
      </c>
      <c r="B352" s="266" t="s">
        <v>3265</v>
      </c>
      <c r="C352" s="247" t="s">
        <v>2273</v>
      </c>
      <c r="D352" s="247" t="s">
        <v>3279</v>
      </c>
      <c r="E352" s="247" t="s">
        <v>3196</v>
      </c>
      <c r="F352" s="247" t="s">
        <v>3178</v>
      </c>
      <c r="G352" s="247" t="s">
        <v>3179</v>
      </c>
      <c r="H352" s="247" t="s">
        <v>3180</v>
      </c>
    </row>
    <row r="353" spans="1:8" ht="15" customHeight="1" x14ac:dyDescent="0.2">
      <c r="A353" s="41" t="s">
        <v>4250</v>
      </c>
      <c r="B353" s="266" t="s">
        <v>3416</v>
      </c>
      <c r="C353" s="247" t="s">
        <v>1871</v>
      </c>
      <c r="D353" s="247" t="s">
        <v>1870</v>
      </c>
      <c r="E353" s="247" t="s">
        <v>3208</v>
      </c>
      <c r="F353" s="247" t="s">
        <v>3182</v>
      </c>
      <c r="G353" s="247" t="s">
        <v>3179</v>
      </c>
      <c r="H353" s="247" t="s">
        <v>3180</v>
      </c>
    </row>
    <row r="354" spans="1:8" ht="15" customHeight="1" x14ac:dyDescent="0.2">
      <c r="A354" s="41" t="s">
        <v>4299</v>
      </c>
      <c r="B354" s="266" t="s">
        <v>3416</v>
      </c>
      <c r="C354" s="247" t="s">
        <v>1899</v>
      </c>
      <c r="D354" s="247" t="s">
        <v>1898</v>
      </c>
      <c r="E354" s="247" t="s">
        <v>3196</v>
      </c>
      <c r="F354" s="247" t="s">
        <v>3182</v>
      </c>
      <c r="G354" s="247" t="s">
        <v>3179</v>
      </c>
      <c r="H354" s="247" t="s">
        <v>3180</v>
      </c>
    </row>
    <row r="355" spans="1:8" ht="15" customHeight="1" x14ac:dyDescent="0.2">
      <c r="A355" s="41" t="s">
        <v>4288</v>
      </c>
      <c r="B355" s="266" t="s">
        <v>3416</v>
      </c>
      <c r="C355" s="247" t="s">
        <v>1972</v>
      </c>
      <c r="D355" s="247" t="s">
        <v>1971</v>
      </c>
      <c r="E355" s="247" t="s">
        <v>3208</v>
      </c>
      <c r="F355" s="247" t="s">
        <v>3182</v>
      </c>
      <c r="G355" s="247" t="s">
        <v>3179</v>
      </c>
      <c r="H355" s="247" t="s">
        <v>3180</v>
      </c>
    </row>
    <row r="356" spans="1:8" ht="15" customHeight="1" x14ac:dyDescent="0.2">
      <c r="A356" s="41" t="s">
        <v>3741</v>
      </c>
      <c r="B356" s="266" t="s">
        <v>3183</v>
      </c>
      <c r="C356" s="247" t="s">
        <v>2147</v>
      </c>
      <c r="D356" s="247" t="s">
        <v>2146</v>
      </c>
      <c r="E356" s="247" t="s">
        <v>3177</v>
      </c>
      <c r="F356" s="247" t="s">
        <v>3182</v>
      </c>
      <c r="G356" s="247" t="s">
        <v>3179</v>
      </c>
      <c r="H356" s="247" t="s">
        <v>3180</v>
      </c>
    </row>
    <row r="357" spans="1:8" ht="15" customHeight="1" x14ac:dyDescent="0.2">
      <c r="A357" s="41" t="s">
        <v>3731</v>
      </c>
      <c r="B357" s="266" t="s">
        <v>3183</v>
      </c>
      <c r="C357" s="247" t="s">
        <v>2469</v>
      </c>
      <c r="D357" s="247" t="s">
        <v>3186</v>
      </c>
      <c r="E357" s="247" t="s">
        <v>3177</v>
      </c>
      <c r="F357" s="247" t="s">
        <v>3182</v>
      </c>
      <c r="G357" s="247" t="s">
        <v>3179</v>
      </c>
      <c r="H357" s="247" t="s">
        <v>3180</v>
      </c>
    </row>
    <row r="358" spans="1:8" ht="15" customHeight="1" x14ac:dyDescent="0.2">
      <c r="A358" s="41" t="s">
        <v>3744</v>
      </c>
      <c r="B358" s="266" t="s">
        <v>3183</v>
      </c>
      <c r="C358" s="247" t="s">
        <v>2476</v>
      </c>
      <c r="D358" s="247" t="s">
        <v>3190</v>
      </c>
      <c r="E358" s="247" t="s">
        <v>3177</v>
      </c>
      <c r="F358" s="247" t="s">
        <v>3182</v>
      </c>
      <c r="G358" s="247" t="s">
        <v>3179</v>
      </c>
      <c r="H358" s="247" t="s">
        <v>3180</v>
      </c>
    </row>
    <row r="359" spans="1:8" ht="15" customHeight="1" x14ac:dyDescent="0.2">
      <c r="A359" s="41" t="s">
        <v>3743</v>
      </c>
      <c r="B359" s="266" t="s">
        <v>3183</v>
      </c>
      <c r="C359" s="247" t="s">
        <v>2475</v>
      </c>
      <c r="D359" s="247" t="s">
        <v>2474</v>
      </c>
      <c r="E359" s="247" t="s">
        <v>3177</v>
      </c>
      <c r="F359" s="247" t="s">
        <v>3182</v>
      </c>
      <c r="G359" s="247" t="s">
        <v>3179</v>
      </c>
      <c r="H359" s="247" t="s">
        <v>3180</v>
      </c>
    </row>
    <row r="360" spans="1:8" ht="15" customHeight="1" x14ac:dyDescent="0.2">
      <c r="A360" s="41" t="s">
        <v>3742</v>
      </c>
      <c r="B360" s="266" t="s">
        <v>3183</v>
      </c>
      <c r="C360" s="247" t="s">
        <v>2473</v>
      </c>
      <c r="D360" s="247" t="s">
        <v>2472</v>
      </c>
      <c r="E360" s="247" t="s">
        <v>3177</v>
      </c>
      <c r="F360" s="247" t="s">
        <v>3182</v>
      </c>
      <c r="G360" s="247" t="s">
        <v>3179</v>
      </c>
      <c r="H360" s="247" t="s">
        <v>3180</v>
      </c>
    </row>
    <row r="361" spans="1:8" ht="15" customHeight="1" x14ac:dyDescent="0.2">
      <c r="A361" s="41" t="s">
        <v>3738</v>
      </c>
      <c r="B361" s="266" t="s">
        <v>3183</v>
      </c>
      <c r="C361" s="247" t="s">
        <v>1975</v>
      </c>
      <c r="D361" s="247" t="s">
        <v>3187</v>
      </c>
      <c r="E361" s="247" t="s">
        <v>3188</v>
      </c>
      <c r="F361" s="247" t="s">
        <v>3182</v>
      </c>
      <c r="G361" s="247" t="s">
        <v>3189</v>
      </c>
      <c r="H361" s="247" t="s">
        <v>3180</v>
      </c>
    </row>
    <row r="362" spans="1:8" ht="15" customHeight="1" x14ac:dyDescent="0.2">
      <c r="A362" s="41" t="s">
        <v>3733</v>
      </c>
      <c r="B362" s="266" t="s">
        <v>3183</v>
      </c>
      <c r="C362" s="247" t="s">
        <v>2345</v>
      </c>
      <c r="D362" s="247" t="s">
        <v>2344</v>
      </c>
      <c r="E362" s="247" t="s">
        <v>3177</v>
      </c>
      <c r="F362" s="247" t="s">
        <v>3182</v>
      </c>
      <c r="G362" s="247" t="s">
        <v>3179</v>
      </c>
      <c r="H362" s="247" t="s">
        <v>3180</v>
      </c>
    </row>
    <row r="363" spans="1:8" ht="15" customHeight="1" x14ac:dyDescent="0.2">
      <c r="A363" s="41" t="s">
        <v>3734</v>
      </c>
      <c r="B363" s="266" t="s">
        <v>3183</v>
      </c>
      <c r="C363" s="247" t="s">
        <v>2067</v>
      </c>
      <c r="D363" s="247" t="s">
        <v>2066</v>
      </c>
      <c r="E363" s="247" t="s">
        <v>3177</v>
      </c>
      <c r="F363" s="247" t="s">
        <v>3182</v>
      </c>
      <c r="G363" s="247" t="s">
        <v>3179</v>
      </c>
      <c r="H363" s="247" t="s">
        <v>3180</v>
      </c>
    </row>
    <row r="364" spans="1:8" ht="15" customHeight="1" x14ac:dyDescent="0.2">
      <c r="A364" s="41" t="s">
        <v>3735</v>
      </c>
      <c r="B364" s="266" t="s">
        <v>3183</v>
      </c>
      <c r="C364" s="247" t="s">
        <v>2259</v>
      </c>
      <c r="D364" s="247" t="s">
        <v>2258</v>
      </c>
      <c r="E364" s="247" t="s">
        <v>3177</v>
      </c>
      <c r="F364" s="247" t="s">
        <v>3182</v>
      </c>
      <c r="G364" s="247" t="s">
        <v>3179</v>
      </c>
      <c r="H364" s="247" t="s">
        <v>3180</v>
      </c>
    </row>
    <row r="365" spans="1:8" ht="15" customHeight="1" x14ac:dyDescent="0.2">
      <c r="A365" s="41" t="s">
        <v>3736</v>
      </c>
      <c r="B365" s="266" t="s">
        <v>3183</v>
      </c>
      <c r="C365" s="247" t="s">
        <v>2798</v>
      </c>
      <c r="D365" s="247" t="s">
        <v>2797</v>
      </c>
      <c r="E365" s="247" t="s">
        <v>3177</v>
      </c>
      <c r="F365" s="247" t="s">
        <v>3182</v>
      </c>
      <c r="G365" s="247" t="s">
        <v>3179</v>
      </c>
      <c r="H365" s="247" t="s">
        <v>3180</v>
      </c>
    </row>
    <row r="366" spans="1:8" ht="15" customHeight="1" x14ac:dyDescent="0.2">
      <c r="A366" s="41" t="s">
        <v>3737</v>
      </c>
      <c r="B366" s="266" t="s">
        <v>3183</v>
      </c>
      <c r="C366" s="247" t="s">
        <v>2471</v>
      </c>
      <c r="D366" s="247" t="s">
        <v>2470</v>
      </c>
      <c r="E366" s="247" t="s">
        <v>3177</v>
      </c>
      <c r="F366" s="247" t="s">
        <v>3182</v>
      </c>
      <c r="G366" s="247" t="s">
        <v>3179</v>
      </c>
      <c r="H366" s="247" t="s">
        <v>3180</v>
      </c>
    </row>
    <row r="367" spans="1:8" ht="15" customHeight="1" x14ac:dyDescent="0.2">
      <c r="A367" s="41" t="s">
        <v>3739</v>
      </c>
      <c r="B367" s="266" t="s">
        <v>3183</v>
      </c>
      <c r="C367" s="247" t="s">
        <v>2800</v>
      </c>
      <c r="D367" s="247" t="s">
        <v>2799</v>
      </c>
      <c r="E367" s="247" t="s">
        <v>3177</v>
      </c>
      <c r="F367" s="247" t="s">
        <v>3182</v>
      </c>
      <c r="G367" s="247" t="s">
        <v>3179</v>
      </c>
      <c r="H367" s="247" t="s">
        <v>3180</v>
      </c>
    </row>
    <row r="368" spans="1:8" ht="15" customHeight="1" x14ac:dyDescent="0.2">
      <c r="A368" s="41" t="s">
        <v>3718</v>
      </c>
      <c r="B368" s="266" t="s">
        <v>3183</v>
      </c>
      <c r="C368" s="247" t="s">
        <v>2038</v>
      </c>
      <c r="D368" s="247" t="s">
        <v>2037</v>
      </c>
      <c r="E368" s="247" t="s">
        <v>3177</v>
      </c>
      <c r="F368" s="247" t="s">
        <v>3178</v>
      </c>
      <c r="G368" s="247" t="s">
        <v>3184</v>
      </c>
      <c r="H368" s="247" t="s">
        <v>3185</v>
      </c>
    </row>
    <row r="369" spans="1:8" ht="15" customHeight="1" x14ac:dyDescent="0.2">
      <c r="A369" s="41" t="s">
        <v>3712</v>
      </c>
      <c r="B369" s="266" t="s">
        <v>3183</v>
      </c>
      <c r="C369" s="247" t="s">
        <v>1805</v>
      </c>
      <c r="D369" s="247" t="s">
        <v>1804</v>
      </c>
      <c r="E369" s="247" t="s">
        <v>3177</v>
      </c>
      <c r="F369" s="247" t="s">
        <v>3178</v>
      </c>
      <c r="G369" s="247" t="s">
        <v>3179</v>
      </c>
      <c r="H369" s="247" t="s">
        <v>3180</v>
      </c>
    </row>
    <row r="370" spans="1:8" ht="15" customHeight="1" x14ac:dyDescent="0.2">
      <c r="A370" s="41" t="s">
        <v>3719</v>
      </c>
      <c r="B370" s="266" t="s">
        <v>3183</v>
      </c>
      <c r="C370" s="247" t="s">
        <v>1964</v>
      </c>
      <c r="D370" s="247" t="s">
        <v>1963</v>
      </c>
      <c r="E370" s="247" t="s">
        <v>3177</v>
      </c>
      <c r="F370" s="247" t="s">
        <v>3178</v>
      </c>
      <c r="G370" s="247" t="s">
        <v>3179</v>
      </c>
      <c r="H370" s="247" t="s">
        <v>3180</v>
      </c>
    </row>
    <row r="371" spans="1:8" ht="15" customHeight="1" x14ac:dyDescent="0.2">
      <c r="A371" s="41" t="s">
        <v>3713</v>
      </c>
      <c r="B371" s="266" t="s">
        <v>3183</v>
      </c>
      <c r="C371" s="247" t="s">
        <v>1853</v>
      </c>
      <c r="D371" s="247" t="s">
        <v>1852</v>
      </c>
      <c r="E371" s="247" t="s">
        <v>3177</v>
      </c>
      <c r="F371" s="247" t="s">
        <v>3178</v>
      </c>
      <c r="G371" s="247" t="s">
        <v>3179</v>
      </c>
      <c r="H371" s="247" t="s">
        <v>3180</v>
      </c>
    </row>
    <row r="372" spans="1:8" ht="15" customHeight="1" x14ac:dyDescent="0.2">
      <c r="A372" s="41" t="s">
        <v>3720</v>
      </c>
      <c r="B372" s="266" t="s">
        <v>3183</v>
      </c>
      <c r="C372" s="247" t="s">
        <v>2189</v>
      </c>
      <c r="D372" s="247" t="s">
        <v>2188</v>
      </c>
      <c r="E372" s="247" t="s">
        <v>3177</v>
      </c>
      <c r="F372" s="247" t="s">
        <v>3178</v>
      </c>
      <c r="G372" s="247" t="s">
        <v>3179</v>
      </c>
      <c r="H372" s="247" t="s">
        <v>3180</v>
      </c>
    </row>
    <row r="373" spans="1:8" ht="15" customHeight="1" x14ac:dyDescent="0.2">
      <c r="A373" s="41" t="s">
        <v>3714</v>
      </c>
      <c r="B373" s="266" t="s">
        <v>3183</v>
      </c>
      <c r="C373" s="247" t="s">
        <v>1827</v>
      </c>
      <c r="D373" s="247" t="s">
        <v>1826</v>
      </c>
      <c r="E373" s="247" t="s">
        <v>3177</v>
      </c>
      <c r="F373" s="247" t="s">
        <v>3178</v>
      </c>
      <c r="G373" s="247" t="s">
        <v>3179</v>
      </c>
      <c r="H373" s="247" t="s">
        <v>3180</v>
      </c>
    </row>
    <row r="374" spans="1:8" ht="15" customHeight="1" x14ac:dyDescent="0.2">
      <c r="A374" s="41" t="s">
        <v>3721</v>
      </c>
      <c r="B374" s="266" t="s">
        <v>3183</v>
      </c>
      <c r="C374" s="247" t="s">
        <v>2099</v>
      </c>
      <c r="D374" s="247" t="s">
        <v>2098</v>
      </c>
      <c r="E374" s="247" t="s">
        <v>3177</v>
      </c>
      <c r="F374" s="247" t="s">
        <v>3178</v>
      </c>
      <c r="G374" s="247" t="s">
        <v>3179</v>
      </c>
      <c r="H374" s="247" t="s">
        <v>3180</v>
      </c>
    </row>
    <row r="375" spans="1:8" ht="15" customHeight="1" x14ac:dyDescent="0.2">
      <c r="A375" s="41" t="s">
        <v>3715</v>
      </c>
      <c r="B375" s="266" t="s">
        <v>3183</v>
      </c>
      <c r="C375" s="247" t="s">
        <v>2065</v>
      </c>
      <c r="D375" s="247" t="s">
        <v>2064</v>
      </c>
      <c r="E375" s="247" t="s">
        <v>3177</v>
      </c>
      <c r="F375" s="247" t="s">
        <v>3178</v>
      </c>
      <c r="G375" s="247" t="s">
        <v>3179</v>
      </c>
      <c r="H375" s="247" t="s">
        <v>3180</v>
      </c>
    </row>
    <row r="376" spans="1:8" ht="15" customHeight="1" x14ac:dyDescent="0.2">
      <c r="A376" s="41" t="s">
        <v>3722</v>
      </c>
      <c r="B376" s="266" t="s">
        <v>3183</v>
      </c>
      <c r="C376" s="247" t="s">
        <v>2343</v>
      </c>
      <c r="D376" s="247" t="s">
        <v>2342</v>
      </c>
      <c r="E376" s="247" t="s">
        <v>3177</v>
      </c>
      <c r="F376" s="247" t="s">
        <v>3178</v>
      </c>
      <c r="G376" s="247" t="s">
        <v>3179</v>
      </c>
      <c r="H376" s="247" t="s">
        <v>3180</v>
      </c>
    </row>
    <row r="377" spans="1:8" ht="15" customHeight="1" x14ac:dyDescent="0.2">
      <c r="A377" s="41" t="s">
        <v>3716</v>
      </c>
      <c r="B377" s="266" t="s">
        <v>3183</v>
      </c>
      <c r="C377" s="247" t="s">
        <v>1858</v>
      </c>
      <c r="D377" s="247" t="s">
        <v>1857</v>
      </c>
      <c r="E377" s="247" t="s">
        <v>3177</v>
      </c>
      <c r="F377" s="247" t="s">
        <v>3178</v>
      </c>
      <c r="G377" s="247" t="s">
        <v>3179</v>
      </c>
      <c r="H377" s="247" t="s">
        <v>3180</v>
      </c>
    </row>
    <row r="378" spans="1:8" ht="15" customHeight="1" x14ac:dyDescent="0.2">
      <c r="A378" s="41" t="s">
        <v>3723</v>
      </c>
      <c r="B378" s="266" t="s">
        <v>3183</v>
      </c>
      <c r="C378" s="247" t="s">
        <v>2687</v>
      </c>
      <c r="D378" s="247" t="s">
        <v>2686</v>
      </c>
      <c r="E378" s="247" t="s">
        <v>3177</v>
      </c>
      <c r="F378" s="247" t="s">
        <v>3178</v>
      </c>
      <c r="G378" s="247" t="s">
        <v>3179</v>
      </c>
      <c r="H378" s="247" t="s">
        <v>3180</v>
      </c>
    </row>
    <row r="379" spans="1:8" ht="15" customHeight="1" x14ac:dyDescent="0.2">
      <c r="A379" s="41" t="s">
        <v>3717</v>
      </c>
      <c r="B379" s="266" t="s">
        <v>3183</v>
      </c>
      <c r="C379" s="247" t="s">
        <v>1999</v>
      </c>
      <c r="D379" s="247" t="s">
        <v>1998</v>
      </c>
      <c r="E379" s="247" t="s">
        <v>3177</v>
      </c>
      <c r="F379" s="247" t="s">
        <v>3178</v>
      </c>
      <c r="G379" s="247" t="s">
        <v>3179</v>
      </c>
      <c r="H379" s="247" t="s">
        <v>3180</v>
      </c>
    </row>
    <row r="380" spans="1:8" ht="15" customHeight="1" x14ac:dyDescent="0.2">
      <c r="A380" s="41" t="s">
        <v>3724</v>
      </c>
      <c r="B380" s="266" t="s">
        <v>3183</v>
      </c>
      <c r="C380" s="247" t="s">
        <v>2689</v>
      </c>
      <c r="D380" s="247" t="s">
        <v>2688</v>
      </c>
      <c r="E380" s="247" t="s">
        <v>3177</v>
      </c>
      <c r="F380" s="247" t="s">
        <v>3178</v>
      </c>
      <c r="G380" s="247" t="s">
        <v>3179</v>
      </c>
      <c r="H380" s="247" t="s">
        <v>3180</v>
      </c>
    </row>
    <row r="381" spans="1:8" ht="15" customHeight="1" x14ac:dyDescent="0.2">
      <c r="A381" s="41" t="s">
        <v>3725</v>
      </c>
      <c r="B381" s="266" t="s">
        <v>3183</v>
      </c>
      <c r="C381" s="247" t="s">
        <v>2468</v>
      </c>
      <c r="D381" s="247" t="s">
        <v>2467</v>
      </c>
      <c r="E381" s="247" t="s">
        <v>3177</v>
      </c>
      <c r="F381" s="247" t="s">
        <v>3178</v>
      </c>
      <c r="G381" s="247" t="s">
        <v>3179</v>
      </c>
      <c r="H381" s="247" t="s">
        <v>3180</v>
      </c>
    </row>
    <row r="382" spans="1:8" ht="15" customHeight="1" x14ac:dyDescent="0.2">
      <c r="A382" s="41" t="s">
        <v>3732</v>
      </c>
      <c r="B382" s="266" t="s">
        <v>3183</v>
      </c>
      <c r="C382" s="247" t="s">
        <v>2145</v>
      </c>
      <c r="D382" s="247" t="s">
        <v>2144</v>
      </c>
      <c r="E382" s="247" t="s">
        <v>3177</v>
      </c>
      <c r="F382" s="247" t="s">
        <v>3178</v>
      </c>
      <c r="G382" s="247" t="s">
        <v>3179</v>
      </c>
      <c r="H382" s="247" t="s">
        <v>3180</v>
      </c>
    </row>
    <row r="383" spans="1:8" ht="15" customHeight="1" x14ac:dyDescent="0.2">
      <c r="A383" s="41" t="s">
        <v>3730</v>
      </c>
      <c r="B383" s="266" t="s">
        <v>3183</v>
      </c>
      <c r="C383" s="247" t="s">
        <v>2796</v>
      </c>
      <c r="D383" s="247" t="s">
        <v>2795</v>
      </c>
      <c r="E383" s="247" t="s">
        <v>3177</v>
      </c>
      <c r="F383" s="247" t="s">
        <v>3178</v>
      </c>
      <c r="G383" s="247" t="s">
        <v>3179</v>
      </c>
      <c r="H383" s="247" t="s">
        <v>3180</v>
      </c>
    </row>
    <row r="384" spans="1:8" ht="15" customHeight="1" x14ac:dyDescent="0.2">
      <c r="A384" s="41" t="s">
        <v>3727</v>
      </c>
      <c r="B384" s="266" t="s">
        <v>3183</v>
      </c>
      <c r="C384" s="247" t="s">
        <v>2191</v>
      </c>
      <c r="D384" s="247" t="s">
        <v>2190</v>
      </c>
      <c r="E384" s="247" t="s">
        <v>3177</v>
      </c>
      <c r="F384" s="247" t="s">
        <v>3178</v>
      </c>
      <c r="G384" s="247" t="s">
        <v>3179</v>
      </c>
      <c r="H384" s="247" t="s">
        <v>3180</v>
      </c>
    </row>
    <row r="385" spans="1:8" ht="15" customHeight="1" x14ac:dyDescent="0.2">
      <c r="A385" s="41" t="s">
        <v>3729</v>
      </c>
      <c r="B385" s="266" t="s">
        <v>3183</v>
      </c>
      <c r="C385" s="247" t="s">
        <v>2143</v>
      </c>
      <c r="D385" s="247" t="s">
        <v>2142</v>
      </c>
      <c r="E385" s="247" t="s">
        <v>3177</v>
      </c>
      <c r="F385" s="247" t="s">
        <v>3178</v>
      </c>
      <c r="G385" s="247" t="s">
        <v>3179</v>
      </c>
      <c r="H385" s="247" t="s">
        <v>3180</v>
      </c>
    </row>
    <row r="386" spans="1:8" ht="15" customHeight="1" x14ac:dyDescent="0.2">
      <c r="A386" s="41" t="s">
        <v>3726</v>
      </c>
      <c r="B386" s="266" t="s">
        <v>3183</v>
      </c>
      <c r="C386" s="247" t="s">
        <v>1873</v>
      </c>
      <c r="D386" s="247" t="s">
        <v>1872</v>
      </c>
      <c r="E386" s="247" t="s">
        <v>3177</v>
      </c>
      <c r="F386" s="247" t="s">
        <v>3178</v>
      </c>
      <c r="G386" s="247" t="s">
        <v>3179</v>
      </c>
      <c r="H386" s="247" t="s">
        <v>3180</v>
      </c>
    </row>
    <row r="387" spans="1:8" ht="15" customHeight="1" x14ac:dyDescent="0.2">
      <c r="A387" s="41" t="s">
        <v>3728</v>
      </c>
      <c r="B387" s="266" t="s">
        <v>3183</v>
      </c>
      <c r="C387" s="247" t="s">
        <v>1836</v>
      </c>
      <c r="D387" s="247" t="s">
        <v>1835</v>
      </c>
      <c r="E387" s="247" t="s">
        <v>3177</v>
      </c>
      <c r="F387" s="247" t="s">
        <v>3178</v>
      </c>
      <c r="G387" s="247" t="s">
        <v>3179</v>
      </c>
      <c r="H387" s="247" t="s">
        <v>3180</v>
      </c>
    </row>
    <row r="388" spans="1:8" ht="15" customHeight="1" x14ac:dyDescent="0.2">
      <c r="A388" s="41" t="s">
        <v>3959</v>
      </c>
      <c r="B388" s="266" t="s">
        <v>3294</v>
      </c>
      <c r="C388" s="247" t="s">
        <v>1654</v>
      </c>
      <c r="D388" s="247" t="s">
        <v>3310</v>
      </c>
      <c r="E388" s="247" t="s">
        <v>3188</v>
      </c>
      <c r="F388" s="247" t="s">
        <v>3178</v>
      </c>
      <c r="G388" s="247" t="s">
        <v>3179</v>
      </c>
      <c r="H388" s="247" t="s">
        <v>3180</v>
      </c>
    </row>
    <row r="389" spans="1:8" ht="15" customHeight="1" x14ac:dyDescent="0.2">
      <c r="A389" s="41" t="s">
        <v>3960</v>
      </c>
      <c r="B389" s="266" t="s">
        <v>3294</v>
      </c>
      <c r="C389" s="247" t="s">
        <v>1849</v>
      </c>
      <c r="D389" s="247" t="s">
        <v>3310</v>
      </c>
      <c r="E389" s="247" t="s">
        <v>3196</v>
      </c>
      <c r="F389" s="247" t="s">
        <v>3178</v>
      </c>
      <c r="G389" s="247" t="s">
        <v>3179</v>
      </c>
      <c r="H389" s="247" t="s">
        <v>3180</v>
      </c>
    </row>
    <row r="390" spans="1:8" ht="15" customHeight="1" x14ac:dyDescent="0.2">
      <c r="A390" s="41" t="s">
        <v>3962</v>
      </c>
      <c r="B390" s="266" t="s">
        <v>3294</v>
      </c>
      <c r="C390" s="247" t="s">
        <v>1842</v>
      </c>
      <c r="D390" s="247" t="s">
        <v>3311</v>
      </c>
      <c r="E390" s="247" t="s">
        <v>3188</v>
      </c>
      <c r="F390" s="247" t="s">
        <v>3178</v>
      </c>
      <c r="G390" s="247" t="s">
        <v>3179</v>
      </c>
      <c r="H390" s="247" t="s">
        <v>3180</v>
      </c>
    </row>
    <row r="391" spans="1:8" ht="15" customHeight="1" x14ac:dyDescent="0.2">
      <c r="A391" s="41" t="s">
        <v>3961</v>
      </c>
      <c r="B391" s="266" t="s">
        <v>3294</v>
      </c>
      <c r="C391" s="247" t="s">
        <v>1946</v>
      </c>
      <c r="D391" s="247" t="s">
        <v>3311</v>
      </c>
      <c r="E391" s="247" t="s">
        <v>3196</v>
      </c>
      <c r="F391" s="247" t="s">
        <v>3178</v>
      </c>
      <c r="G391" s="247" t="s">
        <v>3179</v>
      </c>
      <c r="H391" s="247" t="s">
        <v>3180</v>
      </c>
    </row>
    <row r="392" spans="1:8" ht="15" customHeight="1" x14ac:dyDescent="0.2">
      <c r="A392" s="41" t="s">
        <v>3946</v>
      </c>
      <c r="B392" s="266" t="s">
        <v>3294</v>
      </c>
      <c r="C392" s="247" t="s">
        <v>1659</v>
      </c>
      <c r="D392" s="247" t="s">
        <v>3299</v>
      </c>
      <c r="E392" s="247" t="s">
        <v>3188</v>
      </c>
      <c r="F392" s="247" t="s">
        <v>3178</v>
      </c>
      <c r="G392" s="247" t="s">
        <v>3179</v>
      </c>
      <c r="H392" s="247" t="s">
        <v>3180</v>
      </c>
    </row>
    <row r="393" spans="1:8" ht="15" customHeight="1" x14ac:dyDescent="0.2">
      <c r="A393" s="41" t="s">
        <v>3941</v>
      </c>
      <c r="B393" s="266" t="s">
        <v>3294</v>
      </c>
      <c r="C393" s="247" t="s">
        <v>1681</v>
      </c>
      <c r="D393" s="247" t="s">
        <v>3299</v>
      </c>
      <c r="E393" s="247" t="s">
        <v>3196</v>
      </c>
      <c r="F393" s="247" t="s">
        <v>3178</v>
      </c>
      <c r="G393" s="247" t="s">
        <v>3179</v>
      </c>
      <c r="H393" s="247" t="s">
        <v>3180</v>
      </c>
    </row>
    <row r="394" spans="1:8" ht="15" customHeight="1" x14ac:dyDescent="0.2">
      <c r="A394" s="41" t="s">
        <v>3947</v>
      </c>
      <c r="B394" s="266" t="s">
        <v>3294</v>
      </c>
      <c r="C394" s="247" t="s">
        <v>1671</v>
      </c>
      <c r="D394" s="247" t="s">
        <v>3298</v>
      </c>
      <c r="E394" s="247" t="s">
        <v>3188</v>
      </c>
      <c r="F394" s="247" t="s">
        <v>3178</v>
      </c>
      <c r="G394" s="247" t="s">
        <v>3179</v>
      </c>
      <c r="H394" s="247" t="s">
        <v>3180</v>
      </c>
    </row>
    <row r="395" spans="1:8" ht="15" customHeight="1" x14ac:dyDescent="0.2">
      <c r="A395" s="41" t="s">
        <v>3940</v>
      </c>
      <c r="B395" s="266" t="s">
        <v>3294</v>
      </c>
      <c r="C395" s="247" t="s">
        <v>1674</v>
      </c>
      <c r="D395" s="247" t="s">
        <v>3298</v>
      </c>
      <c r="E395" s="247" t="s">
        <v>3196</v>
      </c>
      <c r="F395" s="247" t="s">
        <v>3178</v>
      </c>
      <c r="G395" s="247" t="s">
        <v>3179</v>
      </c>
      <c r="H395" s="247" t="s">
        <v>3180</v>
      </c>
    </row>
    <row r="396" spans="1:8" ht="15" customHeight="1" x14ac:dyDescent="0.2">
      <c r="A396" s="41" t="s">
        <v>3948</v>
      </c>
      <c r="B396" s="266" t="s">
        <v>3294</v>
      </c>
      <c r="C396" s="247" t="s">
        <v>1761</v>
      </c>
      <c r="D396" s="247" t="s">
        <v>3301</v>
      </c>
      <c r="E396" s="247" t="s">
        <v>3188</v>
      </c>
      <c r="F396" s="247" t="s">
        <v>3178</v>
      </c>
      <c r="G396" s="247" t="s">
        <v>3179</v>
      </c>
      <c r="H396" s="247" t="s">
        <v>3180</v>
      </c>
    </row>
    <row r="397" spans="1:8" ht="15" customHeight="1" x14ac:dyDescent="0.2">
      <c r="A397" s="41" t="s">
        <v>3943</v>
      </c>
      <c r="B397" s="266" t="s">
        <v>3294</v>
      </c>
      <c r="C397" s="247" t="s">
        <v>1789</v>
      </c>
      <c r="D397" s="247" t="s">
        <v>3301</v>
      </c>
      <c r="E397" s="247" t="s">
        <v>3196</v>
      </c>
      <c r="F397" s="247" t="s">
        <v>3178</v>
      </c>
      <c r="G397" s="247" t="s">
        <v>3179</v>
      </c>
      <c r="H397" s="247" t="s">
        <v>3180</v>
      </c>
    </row>
    <row r="398" spans="1:8" ht="15" customHeight="1" x14ac:dyDescent="0.2">
      <c r="A398" s="41" t="s">
        <v>3949</v>
      </c>
      <c r="B398" s="266" t="s">
        <v>3294</v>
      </c>
      <c r="C398" s="247" t="s">
        <v>1790</v>
      </c>
      <c r="D398" s="247" t="s">
        <v>3300</v>
      </c>
      <c r="E398" s="247" t="s">
        <v>3188</v>
      </c>
      <c r="F398" s="247" t="s">
        <v>3178</v>
      </c>
      <c r="G398" s="247" t="s">
        <v>3179</v>
      </c>
      <c r="H398" s="247" t="s">
        <v>3180</v>
      </c>
    </row>
    <row r="399" spans="1:8" ht="15" customHeight="1" x14ac:dyDescent="0.2">
      <c r="A399" s="41" t="s">
        <v>3942</v>
      </c>
      <c r="B399" s="266" t="s">
        <v>3294</v>
      </c>
      <c r="C399" s="247" t="s">
        <v>1866</v>
      </c>
      <c r="D399" s="247" t="s">
        <v>3300</v>
      </c>
      <c r="E399" s="247" t="s">
        <v>3196</v>
      </c>
      <c r="F399" s="247" t="s">
        <v>3178</v>
      </c>
      <c r="G399" s="247" t="s">
        <v>3179</v>
      </c>
      <c r="H399" s="247" t="s">
        <v>3180</v>
      </c>
    </row>
    <row r="400" spans="1:8" ht="15" customHeight="1" x14ac:dyDescent="0.2">
      <c r="A400" s="41" t="s">
        <v>3950</v>
      </c>
      <c r="B400" s="266" t="s">
        <v>3294</v>
      </c>
      <c r="C400" s="247" t="s">
        <v>2280</v>
      </c>
      <c r="D400" s="247" t="s">
        <v>3303</v>
      </c>
      <c r="E400" s="247" t="s">
        <v>3188</v>
      </c>
      <c r="F400" s="247" t="s">
        <v>3178</v>
      </c>
      <c r="G400" s="247" t="s">
        <v>3179</v>
      </c>
      <c r="H400" s="247" t="s">
        <v>3180</v>
      </c>
    </row>
    <row r="401" spans="1:8" ht="15" customHeight="1" x14ac:dyDescent="0.2">
      <c r="A401" s="41" t="s">
        <v>3945</v>
      </c>
      <c r="B401" s="266" t="s">
        <v>3294</v>
      </c>
      <c r="C401" s="247" t="s">
        <v>2197</v>
      </c>
      <c r="D401" s="247" t="s">
        <v>3303</v>
      </c>
      <c r="E401" s="247" t="s">
        <v>3196</v>
      </c>
      <c r="F401" s="247" t="s">
        <v>3178</v>
      </c>
      <c r="G401" s="247" t="s">
        <v>3179</v>
      </c>
      <c r="H401" s="247" t="s">
        <v>3180</v>
      </c>
    </row>
    <row r="402" spans="1:8" ht="15" customHeight="1" x14ac:dyDescent="0.2">
      <c r="A402" s="41" t="s">
        <v>3951</v>
      </c>
      <c r="B402" s="266" t="s">
        <v>3294</v>
      </c>
      <c r="C402" s="247" t="s">
        <v>2198</v>
      </c>
      <c r="D402" s="247" t="s">
        <v>3302</v>
      </c>
      <c r="E402" s="247" t="s">
        <v>3188</v>
      </c>
      <c r="F402" s="247" t="s">
        <v>3178</v>
      </c>
      <c r="G402" s="247" t="s">
        <v>3179</v>
      </c>
      <c r="H402" s="247" t="s">
        <v>3180</v>
      </c>
    </row>
    <row r="403" spans="1:8" ht="15" customHeight="1" x14ac:dyDescent="0.2">
      <c r="A403" s="41" t="s">
        <v>3944</v>
      </c>
      <c r="B403" s="266" t="s">
        <v>3294</v>
      </c>
      <c r="C403" s="247" t="s">
        <v>1828</v>
      </c>
      <c r="D403" s="247" t="s">
        <v>3302</v>
      </c>
      <c r="E403" s="247" t="s">
        <v>3196</v>
      </c>
      <c r="F403" s="247" t="s">
        <v>3178</v>
      </c>
      <c r="G403" s="247" t="s">
        <v>3179</v>
      </c>
      <c r="H403" s="247" t="s">
        <v>3180</v>
      </c>
    </row>
    <row r="404" spans="1:8" ht="15" customHeight="1" x14ac:dyDescent="0.2">
      <c r="A404" s="41" t="s">
        <v>3847</v>
      </c>
      <c r="B404" s="266" t="s">
        <v>3237</v>
      </c>
      <c r="C404" s="247" t="s">
        <v>1678</v>
      </c>
      <c r="D404" s="247" t="s">
        <v>1677</v>
      </c>
      <c r="E404" s="247" t="s">
        <v>3177</v>
      </c>
      <c r="F404" s="247" t="s">
        <v>3178</v>
      </c>
      <c r="G404" s="247" t="s">
        <v>3238</v>
      </c>
      <c r="H404" s="247" t="s">
        <v>3180</v>
      </c>
    </row>
    <row r="405" spans="1:8" ht="15" customHeight="1" x14ac:dyDescent="0.2">
      <c r="A405" s="41" t="s">
        <v>3848</v>
      </c>
      <c r="B405" s="266" t="s">
        <v>3237</v>
      </c>
      <c r="C405" s="247" t="s">
        <v>2152</v>
      </c>
      <c r="D405" s="247" t="s">
        <v>2151</v>
      </c>
      <c r="E405" s="247" t="s">
        <v>3177</v>
      </c>
      <c r="F405" s="247" t="s">
        <v>3178</v>
      </c>
      <c r="G405" s="247" t="s">
        <v>3238</v>
      </c>
      <c r="H405" s="247" t="s">
        <v>3180</v>
      </c>
    </row>
    <row r="406" spans="1:8" ht="15" customHeight="1" x14ac:dyDescent="0.2">
      <c r="A406" s="41" t="s">
        <v>3849</v>
      </c>
      <c r="B406" s="266" t="s">
        <v>3237</v>
      </c>
      <c r="C406" s="247" t="s">
        <v>1620</v>
      </c>
      <c r="D406" s="247" t="s">
        <v>1619</v>
      </c>
      <c r="E406" s="247" t="s">
        <v>3177</v>
      </c>
      <c r="F406" s="247" t="s">
        <v>3178</v>
      </c>
      <c r="G406" s="247" t="s">
        <v>3238</v>
      </c>
      <c r="H406" s="247" t="s">
        <v>3180</v>
      </c>
    </row>
    <row r="407" spans="1:8" ht="15" customHeight="1" x14ac:dyDescent="0.2">
      <c r="A407" s="41" t="s">
        <v>3850</v>
      </c>
      <c r="B407" s="266" t="s">
        <v>3237</v>
      </c>
      <c r="C407" s="247" t="s">
        <v>1736</v>
      </c>
      <c r="D407" s="247" t="s">
        <v>1735</v>
      </c>
      <c r="E407" s="247" t="s">
        <v>3177</v>
      </c>
      <c r="F407" s="247" t="s">
        <v>3178</v>
      </c>
      <c r="G407" s="247" t="s">
        <v>3238</v>
      </c>
      <c r="H407" s="247" t="s">
        <v>3180</v>
      </c>
    </row>
    <row r="408" spans="1:8" ht="15" customHeight="1" x14ac:dyDescent="0.2">
      <c r="A408" s="41" t="s">
        <v>3851</v>
      </c>
      <c r="B408" s="266" t="s">
        <v>3237</v>
      </c>
      <c r="C408" s="247" t="s">
        <v>1732</v>
      </c>
      <c r="D408" s="247" t="s">
        <v>1731</v>
      </c>
      <c r="E408" s="247" t="s">
        <v>3177</v>
      </c>
      <c r="F408" s="247" t="s">
        <v>3178</v>
      </c>
      <c r="G408" s="247" t="s">
        <v>3238</v>
      </c>
      <c r="H408" s="247" t="s">
        <v>3180</v>
      </c>
    </row>
    <row r="409" spans="1:8" ht="15" customHeight="1" x14ac:dyDescent="0.2">
      <c r="A409" s="41" t="s">
        <v>3852</v>
      </c>
      <c r="B409" s="266" t="s">
        <v>3237</v>
      </c>
      <c r="C409" s="247" t="s">
        <v>1987</v>
      </c>
      <c r="D409" s="247" t="s">
        <v>1986</v>
      </c>
      <c r="E409" s="247" t="s">
        <v>3177</v>
      </c>
      <c r="F409" s="247" t="s">
        <v>3178</v>
      </c>
      <c r="G409" s="247" t="s">
        <v>3238</v>
      </c>
      <c r="H409" s="247" t="s">
        <v>3180</v>
      </c>
    </row>
    <row r="410" spans="1:8" ht="15" customHeight="1" x14ac:dyDescent="0.2">
      <c r="A410" s="41" t="s">
        <v>3853</v>
      </c>
      <c r="B410" s="266" t="s">
        <v>3237</v>
      </c>
      <c r="C410" s="247" t="s">
        <v>1906</v>
      </c>
      <c r="D410" s="247" t="s">
        <v>1905</v>
      </c>
      <c r="E410" s="247" t="s">
        <v>3177</v>
      </c>
      <c r="F410" s="247" t="s">
        <v>3178</v>
      </c>
      <c r="G410" s="247" t="s">
        <v>3238</v>
      </c>
      <c r="H410" s="247" t="s">
        <v>3180</v>
      </c>
    </row>
    <row r="411" spans="1:8" ht="15" customHeight="1" x14ac:dyDescent="0.2">
      <c r="A411" s="41" t="s">
        <v>3855</v>
      </c>
      <c r="B411" s="266" t="s">
        <v>3237</v>
      </c>
      <c r="C411" s="247" t="s">
        <v>2489</v>
      </c>
      <c r="D411" s="247" t="s">
        <v>2488</v>
      </c>
      <c r="E411" s="247" t="s">
        <v>3177</v>
      </c>
      <c r="F411" s="247" t="s">
        <v>3178</v>
      </c>
      <c r="G411" s="247" t="s">
        <v>3238</v>
      </c>
      <c r="H411" s="247" t="s">
        <v>3180</v>
      </c>
    </row>
    <row r="412" spans="1:8" ht="15" customHeight="1" x14ac:dyDescent="0.2">
      <c r="A412" s="41" t="s">
        <v>3856</v>
      </c>
      <c r="B412" s="266" t="s">
        <v>3237</v>
      </c>
      <c r="C412" s="247" t="s">
        <v>2491</v>
      </c>
      <c r="D412" s="247" t="s">
        <v>2490</v>
      </c>
      <c r="E412" s="247" t="s">
        <v>3177</v>
      </c>
      <c r="F412" s="247" t="s">
        <v>3178</v>
      </c>
      <c r="G412" s="247" t="s">
        <v>3239</v>
      </c>
      <c r="H412" s="247" t="s">
        <v>3180</v>
      </c>
    </row>
    <row r="413" spans="1:8" ht="15" customHeight="1" x14ac:dyDescent="0.2">
      <c r="A413" s="41" t="s">
        <v>3854</v>
      </c>
      <c r="B413" s="266" t="s">
        <v>3237</v>
      </c>
      <c r="C413" s="247" t="s">
        <v>2353</v>
      </c>
      <c r="D413" s="247" t="s">
        <v>2352</v>
      </c>
      <c r="E413" s="247" t="s">
        <v>3177</v>
      </c>
      <c r="F413" s="247" t="s">
        <v>3178</v>
      </c>
      <c r="G413" s="247" t="s">
        <v>3238</v>
      </c>
      <c r="H413" s="247" t="s">
        <v>3180</v>
      </c>
    </row>
    <row r="414" spans="1:8" ht="15" customHeight="1" x14ac:dyDescent="0.2">
      <c r="A414" s="41" t="s">
        <v>3907</v>
      </c>
      <c r="B414" s="266" t="s">
        <v>3265</v>
      </c>
      <c r="C414" s="247" t="s">
        <v>2275</v>
      </c>
      <c r="D414" s="247" t="s">
        <v>2274</v>
      </c>
      <c r="E414" s="247" t="s">
        <v>3196</v>
      </c>
      <c r="F414" s="247" t="s">
        <v>3178</v>
      </c>
      <c r="G414" s="247" t="s">
        <v>3179</v>
      </c>
      <c r="H414" s="247" t="s">
        <v>3180</v>
      </c>
    </row>
    <row r="415" spans="1:8" ht="15" customHeight="1" x14ac:dyDescent="0.2">
      <c r="A415" s="41" t="s">
        <v>3956</v>
      </c>
      <c r="B415" s="266" t="s">
        <v>3294</v>
      </c>
      <c r="C415" s="247" t="s">
        <v>2281</v>
      </c>
      <c r="D415" s="247" t="s">
        <v>3308</v>
      </c>
      <c r="E415" s="247" t="s">
        <v>3177</v>
      </c>
      <c r="F415" s="247" t="s">
        <v>3178</v>
      </c>
      <c r="G415" s="247" t="s">
        <v>3179</v>
      </c>
      <c r="H415" s="247" t="s">
        <v>3180</v>
      </c>
    </row>
    <row r="416" spans="1:8" ht="15" customHeight="1" x14ac:dyDescent="0.2">
      <c r="A416" s="41" t="s">
        <v>3957</v>
      </c>
      <c r="B416" s="266" t="s">
        <v>3294</v>
      </c>
      <c r="C416" s="247" t="s">
        <v>2362</v>
      </c>
      <c r="D416" s="247" t="s">
        <v>3309</v>
      </c>
      <c r="E416" s="247" t="s">
        <v>3177</v>
      </c>
      <c r="F416" s="247" t="s">
        <v>3178</v>
      </c>
      <c r="G416" s="247" t="s">
        <v>3179</v>
      </c>
      <c r="H416" s="247" t="s">
        <v>3180</v>
      </c>
    </row>
    <row r="417" spans="1:8" ht="15" customHeight="1" x14ac:dyDescent="0.2">
      <c r="A417" s="41" t="s">
        <v>3927</v>
      </c>
      <c r="B417" s="266" t="s">
        <v>3294</v>
      </c>
      <c r="C417" s="247" t="s">
        <v>1700</v>
      </c>
      <c r="D417" s="247" t="s">
        <v>1699</v>
      </c>
      <c r="E417" s="247" t="s">
        <v>3177</v>
      </c>
      <c r="F417" s="247" t="s">
        <v>3178</v>
      </c>
      <c r="G417" s="247" t="s">
        <v>3179</v>
      </c>
      <c r="H417" s="247" t="s">
        <v>3180</v>
      </c>
    </row>
    <row r="418" spans="1:8" ht="15" customHeight="1" x14ac:dyDescent="0.2">
      <c r="A418" s="41" t="s">
        <v>3928</v>
      </c>
      <c r="B418" s="266" t="s">
        <v>3294</v>
      </c>
      <c r="C418" s="247" t="s">
        <v>2277</v>
      </c>
      <c r="D418" s="247" t="s">
        <v>2276</v>
      </c>
      <c r="E418" s="247" t="s">
        <v>3177</v>
      </c>
      <c r="F418" s="247" t="s">
        <v>3178</v>
      </c>
      <c r="G418" s="247" t="s">
        <v>3179</v>
      </c>
      <c r="H418" s="247" t="s">
        <v>3180</v>
      </c>
    </row>
    <row r="419" spans="1:8" ht="15" customHeight="1" x14ac:dyDescent="0.2">
      <c r="A419" s="41" t="s">
        <v>3929</v>
      </c>
      <c r="B419" s="266" t="s">
        <v>3294</v>
      </c>
      <c r="C419" s="247" t="s">
        <v>2158</v>
      </c>
      <c r="D419" s="247" t="s">
        <v>2157</v>
      </c>
      <c r="E419" s="247" t="s">
        <v>3177</v>
      </c>
      <c r="F419" s="247" t="s">
        <v>3178</v>
      </c>
      <c r="G419" s="247" t="s">
        <v>3179</v>
      </c>
      <c r="H419" s="247" t="s">
        <v>3180</v>
      </c>
    </row>
    <row r="420" spans="1:8" ht="15" customHeight="1" x14ac:dyDescent="0.2">
      <c r="A420" s="41" t="s">
        <v>3930</v>
      </c>
      <c r="B420" s="266" t="s">
        <v>3294</v>
      </c>
      <c r="C420" s="247" t="s">
        <v>2698</v>
      </c>
      <c r="D420" s="247" t="s">
        <v>2697</v>
      </c>
      <c r="E420" s="247" t="s">
        <v>3177</v>
      </c>
      <c r="F420" s="247" t="s">
        <v>3178</v>
      </c>
      <c r="G420" s="247" t="s">
        <v>3179</v>
      </c>
      <c r="H420" s="247" t="s">
        <v>3180</v>
      </c>
    </row>
    <row r="421" spans="1:8" ht="15" customHeight="1" x14ac:dyDescent="0.2">
      <c r="A421" s="41" t="s">
        <v>3931</v>
      </c>
      <c r="B421" s="266" t="s">
        <v>3294</v>
      </c>
      <c r="C421" s="247" t="s">
        <v>1952</v>
      </c>
      <c r="D421" s="247" t="s">
        <v>1951</v>
      </c>
      <c r="E421" s="247" t="s">
        <v>3177</v>
      </c>
      <c r="F421" s="247" t="s">
        <v>3178</v>
      </c>
      <c r="G421" s="247" t="s">
        <v>3179</v>
      </c>
      <c r="H421" s="247" t="s">
        <v>3180</v>
      </c>
    </row>
    <row r="422" spans="1:8" ht="15" customHeight="1" x14ac:dyDescent="0.2">
      <c r="A422" s="41" t="s">
        <v>3932</v>
      </c>
      <c r="B422" s="266" t="s">
        <v>3294</v>
      </c>
      <c r="C422" s="247" t="s">
        <v>2810</v>
      </c>
      <c r="D422" s="247" t="s">
        <v>2809</v>
      </c>
      <c r="E422" s="247" t="s">
        <v>3177</v>
      </c>
      <c r="F422" s="247" t="s">
        <v>3178</v>
      </c>
      <c r="G422" s="247" t="s">
        <v>3179</v>
      </c>
      <c r="H422" s="247" t="s">
        <v>3180</v>
      </c>
    </row>
    <row r="423" spans="1:8" ht="15" customHeight="1" x14ac:dyDescent="0.2">
      <c r="A423" s="41" t="s">
        <v>3933</v>
      </c>
      <c r="B423" s="266" t="s">
        <v>3294</v>
      </c>
      <c r="C423" s="247" t="s">
        <v>1954</v>
      </c>
      <c r="D423" s="247" t="s">
        <v>1953</v>
      </c>
      <c r="E423" s="247" t="s">
        <v>3177</v>
      </c>
      <c r="F423" s="247" t="s">
        <v>3178</v>
      </c>
      <c r="G423" s="247" t="s">
        <v>3179</v>
      </c>
      <c r="H423" s="247" t="s">
        <v>3180</v>
      </c>
    </row>
    <row r="424" spans="1:8" ht="15" customHeight="1" x14ac:dyDescent="0.2">
      <c r="A424" s="41" t="s">
        <v>3934</v>
      </c>
      <c r="B424" s="266" t="s">
        <v>3294</v>
      </c>
      <c r="C424" s="247" t="s">
        <v>2700</v>
      </c>
      <c r="D424" s="247" t="s">
        <v>2699</v>
      </c>
      <c r="E424" s="247" t="s">
        <v>3177</v>
      </c>
      <c r="F424" s="247" t="s">
        <v>3178</v>
      </c>
      <c r="G424" s="247" t="s">
        <v>3179</v>
      </c>
      <c r="H424" s="247" t="s">
        <v>3180</v>
      </c>
    </row>
    <row r="425" spans="1:8" ht="15" customHeight="1" x14ac:dyDescent="0.2">
      <c r="A425" s="41" t="s">
        <v>3935</v>
      </c>
      <c r="B425" s="266" t="s">
        <v>3294</v>
      </c>
      <c r="C425" s="247" t="s">
        <v>2279</v>
      </c>
      <c r="D425" s="247" t="s">
        <v>2278</v>
      </c>
      <c r="E425" s="247" t="s">
        <v>3177</v>
      </c>
      <c r="F425" s="247" t="s">
        <v>3178</v>
      </c>
      <c r="G425" s="247" t="s">
        <v>3179</v>
      </c>
      <c r="H425" s="247" t="s">
        <v>3180</v>
      </c>
    </row>
    <row r="426" spans="1:8" ht="15" customHeight="1" x14ac:dyDescent="0.2">
      <c r="A426" s="41" t="s">
        <v>3936</v>
      </c>
      <c r="B426" s="266" t="s">
        <v>3294</v>
      </c>
      <c r="C426" s="247" t="s">
        <v>2106</v>
      </c>
      <c r="D426" s="247" t="s">
        <v>2105</v>
      </c>
      <c r="E426" s="247" t="s">
        <v>3177</v>
      </c>
      <c r="F426" s="247" t="s">
        <v>3178</v>
      </c>
      <c r="G426" s="247" t="s">
        <v>3179</v>
      </c>
      <c r="H426" s="247" t="s">
        <v>3180</v>
      </c>
    </row>
    <row r="427" spans="1:8" ht="15" customHeight="1" x14ac:dyDescent="0.2">
      <c r="A427" s="41" t="s">
        <v>3939</v>
      </c>
      <c r="B427" s="266" t="s">
        <v>3294</v>
      </c>
      <c r="C427" s="247" t="s">
        <v>2196</v>
      </c>
      <c r="D427" s="247" t="s">
        <v>2195</v>
      </c>
      <c r="E427" s="247" t="s">
        <v>3177</v>
      </c>
      <c r="F427" s="247" t="s">
        <v>3178</v>
      </c>
      <c r="G427" s="247" t="s">
        <v>3179</v>
      </c>
      <c r="H427" s="247" t="s">
        <v>3180</v>
      </c>
    </row>
    <row r="428" spans="1:8" ht="15" customHeight="1" x14ac:dyDescent="0.2">
      <c r="A428" s="41" t="s">
        <v>3937</v>
      </c>
      <c r="B428" s="266" t="s">
        <v>3294</v>
      </c>
      <c r="C428" s="247" t="s">
        <v>2702</v>
      </c>
      <c r="D428" s="247" t="s">
        <v>2701</v>
      </c>
      <c r="E428" s="247" t="s">
        <v>3177</v>
      </c>
      <c r="F428" s="247" t="s">
        <v>3178</v>
      </c>
      <c r="G428" s="247" t="s">
        <v>3179</v>
      </c>
      <c r="H428" s="247" t="s">
        <v>3180</v>
      </c>
    </row>
    <row r="429" spans="1:8" ht="15" customHeight="1" x14ac:dyDescent="0.2">
      <c r="A429" s="41" t="s">
        <v>3938</v>
      </c>
      <c r="B429" s="266" t="s">
        <v>3294</v>
      </c>
      <c r="C429" s="247" t="s">
        <v>2704</v>
      </c>
      <c r="D429" s="247" t="s">
        <v>2703</v>
      </c>
      <c r="E429" s="247" t="s">
        <v>3177</v>
      </c>
      <c r="F429" s="247" t="s">
        <v>3178</v>
      </c>
      <c r="G429" s="247" t="s">
        <v>3179</v>
      </c>
      <c r="H429" s="247" t="s">
        <v>3180</v>
      </c>
    </row>
    <row r="430" spans="1:8" ht="15" customHeight="1" x14ac:dyDescent="0.2">
      <c r="A430" s="41" t="s">
        <v>3958</v>
      </c>
      <c r="B430" s="266" t="s">
        <v>3294</v>
      </c>
      <c r="C430" s="247" t="s">
        <v>2812</v>
      </c>
      <c r="D430" s="247" t="s">
        <v>2811</v>
      </c>
      <c r="E430" s="247" t="s">
        <v>3177</v>
      </c>
      <c r="F430" s="247" t="s">
        <v>3178</v>
      </c>
      <c r="G430" s="247" t="s">
        <v>3179</v>
      </c>
      <c r="H430" s="247" t="s">
        <v>3180</v>
      </c>
    </row>
    <row r="431" spans="1:8" ht="15" customHeight="1" x14ac:dyDescent="0.2">
      <c r="A431" s="41" t="s">
        <v>3883</v>
      </c>
      <c r="B431" s="266" t="s">
        <v>3258</v>
      </c>
      <c r="C431" s="247" t="s">
        <v>2156</v>
      </c>
      <c r="D431" s="247" t="s">
        <v>3260</v>
      </c>
      <c r="E431" s="247" t="s">
        <v>3208</v>
      </c>
      <c r="F431" s="247" t="s">
        <v>3199</v>
      </c>
      <c r="G431" s="247" t="s">
        <v>3259</v>
      </c>
      <c r="H431" s="247" t="s">
        <v>3180</v>
      </c>
    </row>
    <row r="432" spans="1:8" ht="15" customHeight="1" x14ac:dyDescent="0.2">
      <c r="A432" s="41" t="s">
        <v>3884</v>
      </c>
      <c r="B432" s="266" t="s">
        <v>3258</v>
      </c>
      <c r="C432" s="247" t="s">
        <v>1710</v>
      </c>
      <c r="D432" s="247" t="s">
        <v>3261</v>
      </c>
      <c r="E432" s="247" t="s">
        <v>3208</v>
      </c>
      <c r="F432" s="247" t="s">
        <v>3199</v>
      </c>
      <c r="G432" s="247" t="s">
        <v>3259</v>
      </c>
      <c r="H432" s="247" t="s">
        <v>3180</v>
      </c>
    </row>
    <row r="433" spans="1:8" ht="15" customHeight="1" x14ac:dyDescent="0.2">
      <c r="A433" s="41" t="s">
        <v>3788</v>
      </c>
      <c r="B433" s="266" t="s">
        <v>3211</v>
      </c>
      <c r="C433" s="247" t="s">
        <v>1622</v>
      </c>
      <c r="D433" s="247" t="s">
        <v>1621</v>
      </c>
      <c r="E433" s="247" t="s">
        <v>3177</v>
      </c>
      <c r="F433" s="247" t="s">
        <v>3178</v>
      </c>
      <c r="G433" s="247" t="s">
        <v>3179</v>
      </c>
      <c r="H433" s="247" t="s">
        <v>3180</v>
      </c>
    </row>
    <row r="434" spans="1:8" ht="15" customHeight="1" x14ac:dyDescent="0.2">
      <c r="A434" s="41" t="s">
        <v>3787</v>
      </c>
      <c r="B434" s="266" t="s">
        <v>3211</v>
      </c>
      <c r="C434" s="247" t="s">
        <v>1757</v>
      </c>
      <c r="D434" s="247" t="s">
        <v>1756</v>
      </c>
      <c r="E434" s="247" t="s">
        <v>3177</v>
      </c>
      <c r="F434" s="247" t="s">
        <v>3178</v>
      </c>
      <c r="G434" s="247" t="s">
        <v>3179</v>
      </c>
      <c r="H434" s="247" t="s">
        <v>3180</v>
      </c>
    </row>
    <row r="435" spans="1:8" ht="15" customHeight="1" x14ac:dyDescent="0.2">
      <c r="A435" s="41" t="s">
        <v>3791</v>
      </c>
      <c r="B435" s="266" t="s">
        <v>3211</v>
      </c>
      <c r="C435" s="247" t="s">
        <v>2071</v>
      </c>
      <c r="D435" s="247" t="s">
        <v>2070</v>
      </c>
      <c r="E435" s="247" t="s">
        <v>3177</v>
      </c>
      <c r="F435" s="247" t="s">
        <v>3178</v>
      </c>
      <c r="G435" s="247" t="s">
        <v>3179</v>
      </c>
      <c r="H435" s="247" t="s">
        <v>3180</v>
      </c>
    </row>
    <row r="436" spans="1:8" ht="15" customHeight="1" x14ac:dyDescent="0.2">
      <c r="A436" s="41" t="s">
        <v>4573</v>
      </c>
      <c r="B436" s="266" t="s">
        <v>3637</v>
      </c>
      <c r="C436" s="247" t="s">
        <v>1901</v>
      </c>
      <c r="D436" s="247" t="s">
        <v>1900</v>
      </c>
      <c r="E436" s="247" t="s">
        <v>3208</v>
      </c>
      <c r="F436" s="247" t="s">
        <v>3182</v>
      </c>
      <c r="G436" s="247" t="s">
        <v>3179</v>
      </c>
      <c r="H436" s="247" t="s">
        <v>3180</v>
      </c>
    </row>
    <row r="437" spans="1:8" ht="15" customHeight="1" x14ac:dyDescent="0.2">
      <c r="A437" s="41" t="s">
        <v>4601</v>
      </c>
      <c r="B437" s="266" t="s">
        <v>3647</v>
      </c>
      <c r="C437" s="247" t="s">
        <v>1715</v>
      </c>
      <c r="D437" s="247" t="s">
        <v>3653</v>
      </c>
      <c r="E437" s="247" t="s">
        <v>3208</v>
      </c>
      <c r="F437" s="247" t="s">
        <v>3178</v>
      </c>
      <c r="G437" s="247" t="s">
        <v>3649</v>
      </c>
      <c r="H437" s="247" t="s">
        <v>3180</v>
      </c>
    </row>
    <row r="438" spans="1:8" ht="15" customHeight="1" x14ac:dyDescent="0.2">
      <c r="A438" s="41" t="s">
        <v>4602</v>
      </c>
      <c r="B438" s="266" t="s">
        <v>3647</v>
      </c>
      <c r="C438" s="247" t="s">
        <v>1748</v>
      </c>
      <c r="D438" s="247" t="s">
        <v>3654</v>
      </c>
      <c r="E438" s="247" t="s">
        <v>3208</v>
      </c>
      <c r="F438" s="247" t="s">
        <v>3178</v>
      </c>
      <c r="G438" s="247" t="s">
        <v>3649</v>
      </c>
      <c r="H438" s="247" t="s">
        <v>3180</v>
      </c>
    </row>
    <row r="439" spans="1:8" ht="15" customHeight="1" x14ac:dyDescent="0.2">
      <c r="A439" s="41" t="s">
        <v>4603</v>
      </c>
      <c r="B439" s="266" t="s">
        <v>3647</v>
      </c>
      <c r="C439" s="247" t="s">
        <v>2008</v>
      </c>
      <c r="D439" s="247" t="s">
        <v>3655</v>
      </c>
      <c r="E439" s="247" t="s">
        <v>3208</v>
      </c>
      <c r="F439" s="247" t="s">
        <v>3178</v>
      </c>
      <c r="G439" s="247" t="s">
        <v>3649</v>
      </c>
      <c r="H439" s="247" t="s">
        <v>3180</v>
      </c>
    </row>
    <row r="440" spans="1:8" ht="15" customHeight="1" x14ac:dyDescent="0.2">
      <c r="A440" s="41" t="s">
        <v>4604</v>
      </c>
      <c r="B440" s="266" t="s">
        <v>3647</v>
      </c>
      <c r="C440" s="247" t="s">
        <v>1869</v>
      </c>
      <c r="D440" s="247" t="s">
        <v>3656</v>
      </c>
      <c r="E440" s="247" t="s">
        <v>3208</v>
      </c>
      <c r="F440" s="247" t="s">
        <v>3178</v>
      </c>
      <c r="G440" s="247" t="s">
        <v>3649</v>
      </c>
      <c r="H440" s="247" t="s">
        <v>3180</v>
      </c>
    </row>
    <row r="441" spans="1:8" ht="15" customHeight="1" x14ac:dyDescent="0.2">
      <c r="A441" s="41" t="s">
        <v>4605</v>
      </c>
      <c r="B441" s="266" t="s">
        <v>3647</v>
      </c>
      <c r="C441" s="247" t="s">
        <v>2332</v>
      </c>
      <c r="D441" s="247" t="s">
        <v>3657</v>
      </c>
      <c r="E441" s="247" t="s">
        <v>3208</v>
      </c>
      <c r="F441" s="247" t="s">
        <v>3178</v>
      </c>
      <c r="G441" s="247" t="s">
        <v>3649</v>
      </c>
      <c r="H441" s="247" t="s">
        <v>3180</v>
      </c>
    </row>
    <row r="442" spans="1:8" ht="15" customHeight="1" x14ac:dyDescent="0.2">
      <c r="A442" s="41" t="s">
        <v>4606</v>
      </c>
      <c r="B442" s="266" t="s">
        <v>3647</v>
      </c>
      <c r="C442" s="247" t="s">
        <v>2442</v>
      </c>
      <c r="D442" s="247" t="s">
        <v>3658</v>
      </c>
      <c r="E442" s="247" t="s">
        <v>3208</v>
      </c>
      <c r="F442" s="247" t="s">
        <v>3178</v>
      </c>
      <c r="G442" s="247" t="s">
        <v>3649</v>
      </c>
      <c r="H442" s="247" t="s">
        <v>3180</v>
      </c>
    </row>
    <row r="443" spans="1:8" ht="15" customHeight="1" x14ac:dyDescent="0.2">
      <c r="A443" s="41" t="s">
        <v>4692</v>
      </c>
      <c r="B443" s="266">
        <v>805</v>
      </c>
      <c r="C443" s="247" t="s">
        <v>4693</v>
      </c>
      <c r="D443" s="247" t="s">
        <v>4694</v>
      </c>
      <c r="E443" s="247" t="s">
        <v>3208</v>
      </c>
      <c r="F443" s="247" t="s">
        <v>3178</v>
      </c>
      <c r="G443" s="247"/>
      <c r="H443" s="247" t="s">
        <v>3180</v>
      </c>
    </row>
    <row r="444" spans="1:8" ht="15" customHeight="1" x14ac:dyDescent="0.2">
      <c r="A444" s="41" t="s">
        <v>4592</v>
      </c>
      <c r="B444" s="266" t="s">
        <v>3647</v>
      </c>
      <c r="C444" s="247" t="s">
        <v>1648</v>
      </c>
      <c r="D444" s="247" t="s">
        <v>1647</v>
      </c>
      <c r="E444" s="247" t="s">
        <v>3208</v>
      </c>
      <c r="F444" s="247" t="s">
        <v>3178</v>
      </c>
      <c r="G444" s="247" t="s">
        <v>3179</v>
      </c>
      <c r="H444" s="247" t="s">
        <v>3180</v>
      </c>
    </row>
    <row r="445" spans="1:8" ht="15" customHeight="1" x14ac:dyDescent="0.2">
      <c r="A445" s="41" t="s">
        <v>4594</v>
      </c>
      <c r="B445" s="266" t="s">
        <v>3647</v>
      </c>
      <c r="C445" s="247" t="s">
        <v>2649</v>
      </c>
      <c r="D445" s="247" t="s">
        <v>2648</v>
      </c>
      <c r="E445" s="247" t="s">
        <v>3208</v>
      </c>
      <c r="F445" s="247" t="s">
        <v>3178</v>
      </c>
      <c r="G445" s="247" t="s">
        <v>3179</v>
      </c>
      <c r="H445" s="247" t="s">
        <v>3180</v>
      </c>
    </row>
    <row r="446" spans="1:8" ht="15" customHeight="1" x14ac:dyDescent="0.2">
      <c r="A446" s="41" t="s">
        <v>4591</v>
      </c>
      <c r="B446" s="266" t="s">
        <v>3647</v>
      </c>
      <c r="C446" s="247" t="s">
        <v>2437</v>
      </c>
      <c r="D446" s="247" t="s">
        <v>3652</v>
      </c>
      <c r="E446" s="247" t="s">
        <v>3208</v>
      </c>
      <c r="F446" s="247" t="s">
        <v>3178</v>
      </c>
      <c r="G446" s="247" t="s">
        <v>3179</v>
      </c>
      <c r="H446" s="247" t="s">
        <v>3180</v>
      </c>
    </row>
    <row r="447" spans="1:8" ht="15" customHeight="1" x14ac:dyDescent="0.2">
      <c r="A447" s="41" t="s">
        <v>4586</v>
      </c>
      <c r="B447" s="266" t="s">
        <v>3647</v>
      </c>
      <c r="C447" s="247" t="s">
        <v>1665</v>
      </c>
      <c r="D447" s="247" t="s">
        <v>1664</v>
      </c>
      <c r="E447" s="247" t="s">
        <v>3208</v>
      </c>
      <c r="F447" s="247" t="s">
        <v>3178</v>
      </c>
      <c r="G447" s="247" t="s">
        <v>3649</v>
      </c>
      <c r="H447" s="247" t="s">
        <v>3180</v>
      </c>
    </row>
    <row r="448" spans="1:8" ht="15" customHeight="1" x14ac:dyDescent="0.2">
      <c r="A448" s="41" t="s">
        <v>4588</v>
      </c>
      <c r="B448" s="266" t="s">
        <v>3647</v>
      </c>
      <c r="C448" s="247" t="s">
        <v>2139</v>
      </c>
      <c r="D448" s="247" t="s">
        <v>2138</v>
      </c>
      <c r="E448" s="247" t="s">
        <v>3208</v>
      </c>
      <c r="F448" s="247" t="s">
        <v>3178</v>
      </c>
      <c r="G448" s="247" t="s">
        <v>3649</v>
      </c>
      <c r="H448" s="247" t="s">
        <v>3180</v>
      </c>
    </row>
    <row r="449" spans="1:8" ht="15" customHeight="1" x14ac:dyDescent="0.2">
      <c r="A449" s="41" t="s">
        <v>4593</v>
      </c>
      <c r="B449" s="266" t="s">
        <v>3647</v>
      </c>
      <c r="C449" s="247" t="s">
        <v>2439</v>
      </c>
      <c r="D449" s="247" t="s">
        <v>2438</v>
      </c>
      <c r="E449" s="247" t="s">
        <v>3208</v>
      </c>
      <c r="F449" s="247" t="s">
        <v>3182</v>
      </c>
      <c r="G449" s="247" t="s">
        <v>3179</v>
      </c>
      <c r="H449" s="247" t="s">
        <v>3180</v>
      </c>
    </row>
    <row r="450" spans="1:8" ht="15" customHeight="1" x14ac:dyDescent="0.2">
      <c r="A450" s="41" t="s">
        <v>4599</v>
      </c>
      <c r="B450" s="266" t="s">
        <v>3647</v>
      </c>
      <c r="C450" s="247" t="s">
        <v>2248</v>
      </c>
      <c r="D450" s="247" t="s">
        <v>2247</v>
      </c>
      <c r="E450" s="247" t="s">
        <v>3208</v>
      </c>
      <c r="F450" s="247" t="s">
        <v>3182</v>
      </c>
      <c r="G450" s="247" t="s">
        <v>3179</v>
      </c>
      <c r="H450" s="247" t="s">
        <v>3180</v>
      </c>
    </row>
    <row r="451" spans="1:8" ht="15" customHeight="1" x14ac:dyDescent="0.2">
      <c r="A451" s="41" t="s">
        <v>4587</v>
      </c>
      <c r="B451" s="266" t="s">
        <v>3647</v>
      </c>
      <c r="C451" s="247" t="s">
        <v>1903</v>
      </c>
      <c r="D451" s="247" t="s">
        <v>1902</v>
      </c>
      <c r="E451" s="247" t="s">
        <v>3208</v>
      </c>
      <c r="F451" s="247" t="s">
        <v>3182</v>
      </c>
      <c r="G451" s="247" t="s">
        <v>3179</v>
      </c>
      <c r="H451" s="247" t="s">
        <v>3180</v>
      </c>
    </row>
    <row r="452" spans="1:8" ht="15" customHeight="1" x14ac:dyDescent="0.2">
      <c r="A452" s="41" t="s">
        <v>3872</v>
      </c>
      <c r="B452" s="266" t="s">
        <v>3249</v>
      </c>
      <c r="C452" s="247" t="s">
        <v>1913</v>
      </c>
      <c r="D452" s="247" t="s">
        <v>1912</v>
      </c>
      <c r="E452" s="247" t="s">
        <v>3177</v>
      </c>
      <c r="F452" s="247" t="s">
        <v>3178</v>
      </c>
      <c r="G452" s="247" t="s">
        <v>3179</v>
      </c>
      <c r="H452" s="247" t="s">
        <v>3180</v>
      </c>
    </row>
    <row r="453" spans="1:8" ht="15" customHeight="1" x14ac:dyDescent="0.2">
      <c r="A453" s="41" t="s">
        <v>3874</v>
      </c>
      <c r="B453" s="266" t="s">
        <v>3249</v>
      </c>
      <c r="C453" s="247" t="s">
        <v>1668</v>
      </c>
      <c r="D453" s="247" t="s">
        <v>1667</v>
      </c>
      <c r="E453" s="247" t="s">
        <v>3177</v>
      </c>
      <c r="F453" s="247" t="s">
        <v>3178</v>
      </c>
      <c r="G453" s="247" t="s">
        <v>3179</v>
      </c>
      <c r="H453" s="247" t="s">
        <v>3180</v>
      </c>
    </row>
    <row r="454" spans="1:8" ht="15" customHeight="1" x14ac:dyDescent="0.2">
      <c r="A454" s="41" t="s">
        <v>3873</v>
      </c>
      <c r="B454" s="266" t="s">
        <v>3249</v>
      </c>
      <c r="C454" s="247" t="s">
        <v>1783</v>
      </c>
      <c r="D454" s="247" t="s">
        <v>1782</v>
      </c>
      <c r="E454" s="247" t="s">
        <v>3177</v>
      </c>
      <c r="F454" s="247" t="s">
        <v>3178</v>
      </c>
      <c r="G454" s="247" t="s">
        <v>3179</v>
      </c>
      <c r="H454" s="247" t="s">
        <v>3180</v>
      </c>
    </row>
    <row r="455" spans="1:8" ht="15" customHeight="1" x14ac:dyDescent="0.2">
      <c r="A455" s="41" t="s">
        <v>4311</v>
      </c>
      <c r="B455" s="266" t="s">
        <v>3444</v>
      </c>
      <c r="C455" s="247" t="s">
        <v>1923</v>
      </c>
      <c r="D455" s="247" t="s">
        <v>1922</v>
      </c>
      <c r="E455" s="247" t="s">
        <v>3208</v>
      </c>
      <c r="F455" s="247" t="s">
        <v>3182</v>
      </c>
      <c r="G455" s="247" t="s">
        <v>3179</v>
      </c>
      <c r="H455" s="247" t="s">
        <v>3185</v>
      </c>
    </row>
    <row r="456" spans="1:8" ht="15" customHeight="1" x14ac:dyDescent="0.2">
      <c r="A456" s="41" t="s">
        <v>4312</v>
      </c>
      <c r="B456" s="266" t="s">
        <v>3444</v>
      </c>
      <c r="C456" s="247" t="s">
        <v>2591</v>
      </c>
      <c r="D456" s="247" t="s">
        <v>3445</v>
      </c>
      <c r="E456" s="247" t="s">
        <v>3208</v>
      </c>
      <c r="F456" s="247" t="s">
        <v>3182</v>
      </c>
      <c r="G456" s="247" t="s">
        <v>3179</v>
      </c>
      <c r="H456" s="247" t="s">
        <v>3180</v>
      </c>
    </row>
    <row r="457" spans="1:8" ht="15" customHeight="1" x14ac:dyDescent="0.2">
      <c r="A457" s="41" t="s">
        <v>3879</v>
      </c>
      <c r="B457" s="266" t="s">
        <v>3251</v>
      </c>
      <c r="C457" s="247" t="s">
        <v>2155</v>
      </c>
      <c r="D457" s="247" t="s">
        <v>3256</v>
      </c>
      <c r="E457" s="247" t="s">
        <v>3253</v>
      </c>
      <c r="F457" s="247" t="s">
        <v>3199</v>
      </c>
      <c r="G457" s="247" t="s">
        <v>3254</v>
      </c>
      <c r="H457" s="247" t="s">
        <v>3185</v>
      </c>
    </row>
    <row r="458" spans="1:8" ht="15" customHeight="1" x14ac:dyDescent="0.2">
      <c r="A458" s="41" t="s">
        <v>3878</v>
      </c>
      <c r="B458" s="266" t="s">
        <v>3251</v>
      </c>
      <c r="C458" s="247" t="s">
        <v>1774</v>
      </c>
      <c r="D458" s="247" t="s">
        <v>3255</v>
      </c>
      <c r="E458" s="247" t="s">
        <v>3253</v>
      </c>
      <c r="F458" s="247" t="s">
        <v>3199</v>
      </c>
      <c r="G458" s="247" t="s">
        <v>3254</v>
      </c>
      <c r="H458" s="247" t="s">
        <v>3185</v>
      </c>
    </row>
    <row r="459" spans="1:8" ht="15" customHeight="1" x14ac:dyDescent="0.2">
      <c r="A459" s="41" t="s">
        <v>3877</v>
      </c>
      <c r="B459" s="266" t="s">
        <v>3251</v>
      </c>
      <c r="C459" s="247" t="s">
        <v>1988</v>
      </c>
      <c r="D459" s="247" t="s">
        <v>3252</v>
      </c>
      <c r="E459" s="247" t="s">
        <v>3253</v>
      </c>
      <c r="F459" s="247" t="s">
        <v>3199</v>
      </c>
      <c r="G459" s="247" t="s">
        <v>3254</v>
      </c>
      <c r="H459" s="247" t="s">
        <v>3185</v>
      </c>
    </row>
    <row r="460" spans="1:8" ht="15" customHeight="1" x14ac:dyDescent="0.2">
      <c r="A460" s="41" t="s">
        <v>3789</v>
      </c>
      <c r="B460" s="266" t="s">
        <v>3211</v>
      </c>
      <c r="C460" s="247" t="s">
        <v>1865</v>
      </c>
      <c r="D460" s="247" t="s">
        <v>1864</v>
      </c>
      <c r="E460" s="247" t="s">
        <v>3177</v>
      </c>
      <c r="F460" s="247" t="s">
        <v>3182</v>
      </c>
      <c r="G460" s="247" t="s">
        <v>3179</v>
      </c>
      <c r="H460" s="247" t="s">
        <v>3180</v>
      </c>
    </row>
    <row r="461" spans="1:8" ht="15" customHeight="1" x14ac:dyDescent="0.2">
      <c r="A461" s="41" t="s">
        <v>3792</v>
      </c>
      <c r="B461" s="266" t="s">
        <v>3211</v>
      </c>
      <c r="C461" s="247" t="s">
        <v>1717</v>
      </c>
      <c r="D461" s="247" t="s">
        <v>1716</v>
      </c>
      <c r="E461" s="247" t="s">
        <v>3188</v>
      </c>
      <c r="F461" s="247" t="s">
        <v>3178</v>
      </c>
      <c r="G461" s="247" t="s">
        <v>3179</v>
      </c>
      <c r="H461" s="247" t="s">
        <v>3180</v>
      </c>
    </row>
    <row r="462" spans="1:8" ht="15" customHeight="1" x14ac:dyDescent="0.2">
      <c r="A462" s="41" t="s">
        <v>3965</v>
      </c>
      <c r="B462" s="266" t="s">
        <v>3313</v>
      </c>
      <c r="C462" s="247" t="s">
        <v>1785</v>
      </c>
      <c r="D462" s="247" t="s">
        <v>1784</v>
      </c>
      <c r="E462" s="247" t="s">
        <v>3208</v>
      </c>
      <c r="F462" s="247" t="s">
        <v>3182</v>
      </c>
      <c r="G462" s="247" t="s">
        <v>3179</v>
      </c>
      <c r="H462" s="247" t="s">
        <v>3185</v>
      </c>
    </row>
    <row r="463" spans="1:8" ht="15" customHeight="1" x14ac:dyDescent="0.2">
      <c r="A463" s="41" t="s">
        <v>4207</v>
      </c>
      <c r="B463" s="266" t="s">
        <v>3314</v>
      </c>
      <c r="C463" s="247" t="s">
        <v>2906</v>
      </c>
      <c r="D463" s="247" t="s">
        <v>3396</v>
      </c>
      <c r="E463" s="247" t="s">
        <v>3196</v>
      </c>
      <c r="F463" s="247" t="s">
        <v>3178</v>
      </c>
      <c r="G463" s="247" t="s">
        <v>3179</v>
      </c>
      <c r="H463" s="247" t="s">
        <v>3180</v>
      </c>
    </row>
    <row r="464" spans="1:8" ht="15" customHeight="1" x14ac:dyDescent="0.2">
      <c r="A464" s="41" t="s">
        <v>4163</v>
      </c>
      <c r="B464" s="266" t="s">
        <v>3314</v>
      </c>
      <c r="C464" s="247" t="s">
        <v>2888</v>
      </c>
      <c r="D464" s="247" t="s">
        <v>3370</v>
      </c>
      <c r="E464" s="247" t="s">
        <v>3196</v>
      </c>
      <c r="F464" s="247" t="s">
        <v>3178</v>
      </c>
      <c r="G464" s="247" t="s">
        <v>3179</v>
      </c>
      <c r="H464" s="247" t="s">
        <v>3180</v>
      </c>
    </row>
    <row r="465" spans="1:8" ht="15" customHeight="1" x14ac:dyDescent="0.2">
      <c r="A465" s="41" t="s">
        <v>4105</v>
      </c>
      <c r="B465" s="266" t="s">
        <v>3314</v>
      </c>
      <c r="C465" s="247" t="s">
        <v>2847</v>
      </c>
      <c r="D465" s="247" t="s">
        <v>2846</v>
      </c>
      <c r="E465" s="247" t="s">
        <v>3196</v>
      </c>
      <c r="F465" s="247" t="s">
        <v>3178</v>
      </c>
      <c r="G465" s="247" t="s">
        <v>3179</v>
      </c>
      <c r="H465" s="247" t="s">
        <v>3180</v>
      </c>
    </row>
    <row r="466" spans="1:8" ht="15" customHeight="1" x14ac:dyDescent="0.2">
      <c r="A466" s="41" t="s">
        <v>4205</v>
      </c>
      <c r="B466" s="266" t="s">
        <v>3314</v>
      </c>
      <c r="C466" s="247" t="s">
        <v>2903</v>
      </c>
      <c r="D466" s="247" t="s">
        <v>3395</v>
      </c>
      <c r="E466" s="247" t="s">
        <v>3196</v>
      </c>
      <c r="F466" s="247" t="s">
        <v>3178</v>
      </c>
      <c r="G466" s="247" t="s">
        <v>3179</v>
      </c>
      <c r="H466" s="247" t="s">
        <v>3180</v>
      </c>
    </row>
    <row r="467" spans="1:8" ht="15" customHeight="1" x14ac:dyDescent="0.2">
      <c r="A467" s="41" t="s">
        <v>4166</v>
      </c>
      <c r="B467" s="266" t="s">
        <v>3314</v>
      </c>
      <c r="C467" s="247" t="s">
        <v>2538</v>
      </c>
      <c r="D467" s="247" t="s">
        <v>3372</v>
      </c>
      <c r="E467" s="247" t="s">
        <v>3196</v>
      </c>
      <c r="F467" s="247" t="s">
        <v>3178</v>
      </c>
      <c r="G467" s="247" t="s">
        <v>3179</v>
      </c>
      <c r="H467" s="247" t="s">
        <v>3180</v>
      </c>
    </row>
    <row r="468" spans="1:8" ht="15" customHeight="1" x14ac:dyDescent="0.2">
      <c r="A468" s="41" t="s">
        <v>4243</v>
      </c>
      <c r="B468" s="266" t="s">
        <v>3314</v>
      </c>
      <c r="C468" s="247" t="s">
        <v>2943</v>
      </c>
      <c r="D468" s="247" t="s">
        <v>2942</v>
      </c>
      <c r="E468" s="247" t="s">
        <v>3196</v>
      </c>
      <c r="F468" s="247" t="s">
        <v>3178</v>
      </c>
      <c r="G468" s="247" t="s">
        <v>3179</v>
      </c>
      <c r="H468" s="247" t="s">
        <v>3180</v>
      </c>
    </row>
    <row r="469" spans="1:8" ht="15" customHeight="1" x14ac:dyDescent="0.2">
      <c r="A469" s="41" t="s">
        <v>4215</v>
      </c>
      <c r="B469" s="266" t="s">
        <v>3314</v>
      </c>
      <c r="C469" s="247" t="s">
        <v>2913</v>
      </c>
      <c r="D469" s="247" t="s">
        <v>2912</v>
      </c>
      <c r="E469" s="247" t="s">
        <v>3196</v>
      </c>
      <c r="F469" s="247" t="s">
        <v>3178</v>
      </c>
      <c r="G469" s="247" t="s">
        <v>3179</v>
      </c>
      <c r="H469" s="247" t="s">
        <v>3180</v>
      </c>
    </row>
    <row r="470" spans="1:8" ht="15" customHeight="1" x14ac:dyDescent="0.2">
      <c r="A470" s="41" t="s">
        <v>4106</v>
      </c>
      <c r="B470" s="266" t="s">
        <v>3314</v>
      </c>
      <c r="C470" s="247" t="s">
        <v>2849</v>
      </c>
      <c r="D470" s="247" t="s">
        <v>2848</v>
      </c>
      <c r="E470" s="247" t="s">
        <v>3196</v>
      </c>
      <c r="F470" s="247" t="s">
        <v>3178</v>
      </c>
      <c r="G470" s="247" t="s">
        <v>3179</v>
      </c>
      <c r="H470" s="247" t="s">
        <v>3180</v>
      </c>
    </row>
    <row r="471" spans="1:8" ht="15" customHeight="1" x14ac:dyDescent="0.2">
      <c r="A471" s="41" t="s">
        <v>3969</v>
      </c>
      <c r="B471" s="266" t="s">
        <v>3314</v>
      </c>
      <c r="C471" s="247" t="s">
        <v>2363</v>
      </c>
      <c r="D471" s="247" t="s">
        <v>3316</v>
      </c>
      <c r="E471" s="247" t="s">
        <v>3196</v>
      </c>
      <c r="F471" s="247" t="s">
        <v>3178</v>
      </c>
      <c r="G471" s="247" t="s">
        <v>3179</v>
      </c>
      <c r="H471" s="247" t="s">
        <v>3180</v>
      </c>
    </row>
    <row r="472" spans="1:8" ht="15" customHeight="1" x14ac:dyDescent="0.2">
      <c r="A472" s="41" t="s">
        <v>4220</v>
      </c>
      <c r="B472" s="266" t="s">
        <v>3314</v>
      </c>
      <c r="C472" s="247" t="s">
        <v>2567</v>
      </c>
      <c r="D472" s="247" t="s">
        <v>3407</v>
      </c>
      <c r="E472" s="247" t="s">
        <v>3196</v>
      </c>
      <c r="F472" s="247" t="s">
        <v>3178</v>
      </c>
      <c r="G472" s="247" t="s">
        <v>3179</v>
      </c>
      <c r="H472" s="247" t="s">
        <v>3180</v>
      </c>
    </row>
    <row r="473" spans="1:8" ht="15" customHeight="1" x14ac:dyDescent="0.2">
      <c r="A473" s="41" t="s">
        <v>4019</v>
      </c>
      <c r="B473" s="266" t="s">
        <v>3314</v>
      </c>
      <c r="C473" s="247" t="s">
        <v>2713</v>
      </c>
      <c r="D473" s="247" t="s">
        <v>2712</v>
      </c>
      <c r="E473" s="247" t="s">
        <v>3196</v>
      </c>
      <c r="F473" s="247" t="s">
        <v>3178</v>
      </c>
      <c r="G473" s="247" t="s">
        <v>3179</v>
      </c>
      <c r="H473" s="247" t="s">
        <v>3180</v>
      </c>
    </row>
    <row r="474" spans="1:8" ht="15" customHeight="1" x14ac:dyDescent="0.2">
      <c r="A474" s="41" t="s">
        <v>4020</v>
      </c>
      <c r="B474" s="266" t="s">
        <v>3314</v>
      </c>
      <c r="C474" s="247" t="s">
        <v>2714</v>
      </c>
      <c r="D474" s="247" t="s">
        <v>3325</v>
      </c>
      <c r="E474" s="247" t="s">
        <v>3196</v>
      </c>
      <c r="F474" s="247" t="s">
        <v>3178</v>
      </c>
      <c r="G474" s="247" t="s">
        <v>3179</v>
      </c>
      <c r="H474" s="247" t="s">
        <v>3180</v>
      </c>
    </row>
    <row r="475" spans="1:8" ht="15" customHeight="1" x14ac:dyDescent="0.2">
      <c r="A475" s="41" t="s">
        <v>4178</v>
      </c>
      <c r="B475" s="266" t="s">
        <v>3314</v>
      </c>
      <c r="C475" s="247" t="s">
        <v>2545</v>
      </c>
      <c r="D475" s="247" t="s">
        <v>3380</v>
      </c>
      <c r="E475" s="247" t="s">
        <v>3196</v>
      </c>
      <c r="F475" s="247" t="s">
        <v>3178</v>
      </c>
      <c r="G475" s="247" t="s">
        <v>3179</v>
      </c>
      <c r="H475" s="247" t="s">
        <v>3180</v>
      </c>
    </row>
    <row r="476" spans="1:8" ht="15" customHeight="1" x14ac:dyDescent="0.2">
      <c r="A476" s="41" t="s">
        <v>4134</v>
      </c>
      <c r="B476" s="266" t="s">
        <v>3314</v>
      </c>
      <c r="C476" s="247" t="s">
        <v>2866</v>
      </c>
      <c r="D476" s="247" t="s">
        <v>2865</v>
      </c>
      <c r="E476" s="247" t="s">
        <v>3196</v>
      </c>
      <c r="F476" s="247" t="s">
        <v>3178</v>
      </c>
      <c r="G476" s="247" t="s">
        <v>3179</v>
      </c>
      <c r="H476" s="247" t="s">
        <v>3180</v>
      </c>
    </row>
    <row r="477" spans="1:8" ht="15" customHeight="1" x14ac:dyDescent="0.2">
      <c r="A477" s="41" t="s">
        <v>4183</v>
      </c>
      <c r="B477" s="266" t="s">
        <v>3314</v>
      </c>
      <c r="C477" s="247" t="s">
        <v>2550</v>
      </c>
      <c r="D477" s="247" t="s">
        <v>3384</v>
      </c>
      <c r="E477" s="247" t="s">
        <v>3196</v>
      </c>
      <c r="F477" s="247" t="s">
        <v>3178</v>
      </c>
      <c r="G477" s="247" t="s">
        <v>3179</v>
      </c>
      <c r="H477" s="247" t="s">
        <v>3180</v>
      </c>
    </row>
    <row r="478" spans="1:8" ht="15" customHeight="1" x14ac:dyDescent="0.2">
      <c r="A478" s="41" t="s">
        <v>4012</v>
      </c>
      <c r="B478" s="266" t="s">
        <v>3314</v>
      </c>
      <c r="C478" s="247" t="s">
        <v>2711</v>
      </c>
      <c r="D478" s="247" t="s">
        <v>3323</v>
      </c>
      <c r="E478" s="247" t="s">
        <v>3196</v>
      </c>
      <c r="F478" s="247" t="s">
        <v>3178</v>
      </c>
      <c r="G478" s="247" t="s">
        <v>3179</v>
      </c>
      <c r="H478" s="247" t="s">
        <v>3180</v>
      </c>
    </row>
    <row r="479" spans="1:8" ht="15" customHeight="1" x14ac:dyDescent="0.2">
      <c r="A479" s="41" t="s">
        <v>4018</v>
      </c>
      <c r="B479" s="266" t="s">
        <v>3314</v>
      </c>
      <c r="C479" s="247" t="s">
        <v>2122</v>
      </c>
      <c r="D479" s="247" t="s">
        <v>2121</v>
      </c>
      <c r="E479" s="247" t="s">
        <v>3196</v>
      </c>
      <c r="F479" s="247" t="s">
        <v>3178</v>
      </c>
      <c r="G479" s="247" t="s">
        <v>3179</v>
      </c>
      <c r="H479" s="247" t="s">
        <v>3180</v>
      </c>
    </row>
    <row r="480" spans="1:8" ht="15" customHeight="1" x14ac:dyDescent="0.2">
      <c r="A480" s="41" t="s">
        <v>3971</v>
      </c>
      <c r="B480" s="266" t="s">
        <v>3314</v>
      </c>
      <c r="C480" s="247" t="s">
        <v>2817</v>
      </c>
      <c r="D480" s="247" t="s">
        <v>2816</v>
      </c>
      <c r="E480" s="247" t="s">
        <v>3196</v>
      </c>
      <c r="F480" s="247" t="s">
        <v>3178</v>
      </c>
      <c r="G480" s="247" t="s">
        <v>3179</v>
      </c>
      <c r="H480" s="247" t="s">
        <v>3180</v>
      </c>
    </row>
    <row r="481" spans="1:8" ht="15" customHeight="1" x14ac:dyDescent="0.2">
      <c r="A481" s="41" t="s">
        <v>4228</v>
      </c>
      <c r="B481" s="266" t="s">
        <v>3314</v>
      </c>
      <c r="C481" s="247" t="s">
        <v>2919</v>
      </c>
      <c r="D481" s="247" t="s">
        <v>2918</v>
      </c>
      <c r="E481" s="247" t="s">
        <v>3196</v>
      </c>
      <c r="F481" s="247" t="s">
        <v>3178</v>
      </c>
      <c r="G481" s="247" t="s">
        <v>3179</v>
      </c>
      <c r="H481" s="247" t="s">
        <v>3180</v>
      </c>
    </row>
    <row r="482" spans="1:8" ht="15" customHeight="1" x14ac:dyDescent="0.2">
      <c r="A482" s="41" t="s">
        <v>3970</v>
      </c>
      <c r="B482" s="266" t="s">
        <v>3314</v>
      </c>
      <c r="C482" s="247" t="s">
        <v>2108</v>
      </c>
      <c r="D482" s="247" t="s">
        <v>3317</v>
      </c>
      <c r="E482" s="247" t="s">
        <v>3196</v>
      </c>
      <c r="F482" s="247" t="s">
        <v>3178</v>
      </c>
      <c r="G482" s="247" t="s">
        <v>3179</v>
      </c>
      <c r="H482" s="247" t="s">
        <v>3180</v>
      </c>
    </row>
    <row r="483" spans="1:8" ht="15" customHeight="1" x14ac:dyDescent="0.2">
      <c r="A483" s="41" t="s">
        <v>4231</v>
      </c>
      <c r="B483" s="266" t="s">
        <v>3314</v>
      </c>
      <c r="C483" s="247" t="s">
        <v>2922</v>
      </c>
      <c r="D483" s="247" t="s">
        <v>3411</v>
      </c>
      <c r="E483" s="247" t="s">
        <v>3196</v>
      </c>
      <c r="F483" s="247" t="s">
        <v>3178</v>
      </c>
      <c r="G483" s="247" t="s">
        <v>3179</v>
      </c>
      <c r="H483" s="247" t="s">
        <v>3180</v>
      </c>
    </row>
    <row r="484" spans="1:8" ht="15" customHeight="1" x14ac:dyDescent="0.2">
      <c r="A484" s="41" t="s">
        <v>4202</v>
      </c>
      <c r="B484" s="266" t="s">
        <v>3314</v>
      </c>
      <c r="C484" s="247" t="s">
        <v>2559</v>
      </c>
      <c r="D484" s="247" t="s">
        <v>3393</v>
      </c>
      <c r="E484" s="247" t="s">
        <v>3196</v>
      </c>
      <c r="F484" s="247" t="s">
        <v>3178</v>
      </c>
      <c r="G484" s="247" t="s">
        <v>3179</v>
      </c>
      <c r="H484" s="247" t="s">
        <v>3180</v>
      </c>
    </row>
    <row r="485" spans="1:8" ht="15" customHeight="1" x14ac:dyDescent="0.2">
      <c r="A485" s="41" t="s">
        <v>4052</v>
      </c>
      <c r="B485" s="266" t="s">
        <v>3314</v>
      </c>
      <c r="C485" s="247" t="s">
        <v>2168</v>
      </c>
      <c r="D485" s="247" t="s">
        <v>2167</v>
      </c>
      <c r="E485" s="247" t="s">
        <v>3196</v>
      </c>
      <c r="F485" s="247" t="s">
        <v>3178</v>
      </c>
      <c r="G485" s="247" t="s">
        <v>3179</v>
      </c>
      <c r="H485" s="247" t="s">
        <v>3180</v>
      </c>
    </row>
    <row r="486" spans="1:8" ht="15" customHeight="1" x14ac:dyDescent="0.2">
      <c r="A486" s="41" t="s">
        <v>4024</v>
      </c>
      <c r="B486" s="266" t="s">
        <v>3314</v>
      </c>
      <c r="C486" s="247" t="s">
        <v>2295</v>
      </c>
      <c r="D486" s="247" t="s">
        <v>2294</v>
      </c>
      <c r="E486" s="247" t="s">
        <v>3196</v>
      </c>
      <c r="F486" s="247" t="s">
        <v>3178</v>
      </c>
      <c r="G486" s="247" t="s">
        <v>3179</v>
      </c>
      <c r="H486" s="247" t="s">
        <v>3180</v>
      </c>
    </row>
    <row r="487" spans="1:8" ht="15" customHeight="1" x14ac:dyDescent="0.2">
      <c r="A487" s="41" t="s">
        <v>4234</v>
      </c>
      <c r="B487" s="266" t="s">
        <v>3314</v>
      </c>
      <c r="C487" s="247" t="s">
        <v>2927</v>
      </c>
      <c r="D487" s="247" t="s">
        <v>3412</v>
      </c>
      <c r="E487" s="247" t="s">
        <v>3196</v>
      </c>
      <c r="F487" s="247" t="s">
        <v>3178</v>
      </c>
      <c r="G487" s="247" t="s">
        <v>3179</v>
      </c>
      <c r="H487" s="247" t="s">
        <v>3180</v>
      </c>
    </row>
    <row r="488" spans="1:8" ht="15" customHeight="1" x14ac:dyDescent="0.2">
      <c r="A488" s="41" t="s">
        <v>4190</v>
      </c>
      <c r="B488" s="266" t="s">
        <v>3314</v>
      </c>
      <c r="C488" s="247" t="s">
        <v>2896</v>
      </c>
      <c r="D488" s="247" t="s">
        <v>3388</v>
      </c>
      <c r="E488" s="247" t="s">
        <v>3196</v>
      </c>
      <c r="F488" s="247" t="s">
        <v>3178</v>
      </c>
      <c r="G488" s="247" t="s">
        <v>3179</v>
      </c>
      <c r="H488" s="247" t="s">
        <v>3180</v>
      </c>
    </row>
    <row r="489" spans="1:8" ht="15" customHeight="1" x14ac:dyDescent="0.2">
      <c r="A489" s="41" t="s">
        <v>4239</v>
      </c>
      <c r="B489" s="266" t="s">
        <v>3314</v>
      </c>
      <c r="C489" s="247" t="s">
        <v>2936</v>
      </c>
      <c r="D489" s="247" t="s">
        <v>2935</v>
      </c>
      <c r="E489" s="247" t="s">
        <v>3196</v>
      </c>
      <c r="F489" s="247" t="s">
        <v>3178</v>
      </c>
      <c r="G489" s="247" t="s">
        <v>3179</v>
      </c>
      <c r="H489" s="247" t="s">
        <v>3180</v>
      </c>
    </row>
    <row r="490" spans="1:8" ht="15" customHeight="1" x14ac:dyDescent="0.2">
      <c r="A490" s="41" t="s">
        <v>4016</v>
      </c>
      <c r="B490" s="266" t="s">
        <v>3314</v>
      </c>
      <c r="C490" s="247" t="s">
        <v>2293</v>
      </c>
      <c r="D490" s="247" t="s">
        <v>2292</v>
      </c>
      <c r="E490" s="247" t="s">
        <v>3196</v>
      </c>
      <c r="F490" s="247" t="s">
        <v>3178</v>
      </c>
      <c r="G490" s="247" t="s">
        <v>3179</v>
      </c>
      <c r="H490" s="247" t="s">
        <v>3180</v>
      </c>
    </row>
    <row r="491" spans="1:8" ht="15" customHeight="1" x14ac:dyDescent="0.2">
      <c r="A491" s="41" t="s">
        <v>4142</v>
      </c>
      <c r="B491" s="266" t="s">
        <v>3314</v>
      </c>
      <c r="C491" s="247" t="s">
        <v>2393</v>
      </c>
      <c r="D491" s="247" t="s">
        <v>2392</v>
      </c>
      <c r="E491" s="247" t="s">
        <v>3196</v>
      </c>
      <c r="F491" s="247" t="s">
        <v>3178</v>
      </c>
      <c r="G491" s="247" t="s">
        <v>3179</v>
      </c>
      <c r="H491" s="247" t="s">
        <v>3180</v>
      </c>
    </row>
    <row r="492" spans="1:8" ht="15" customHeight="1" x14ac:dyDescent="0.2">
      <c r="A492" s="41" t="s">
        <v>4162</v>
      </c>
      <c r="B492" s="266" t="s">
        <v>3314</v>
      </c>
      <c r="C492" s="247" t="s">
        <v>2887</v>
      </c>
      <c r="D492" s="247" t="s">
        <v>2886</v>
      </c>
      <c r="E492" s="247" t="s">
        <v>3196</v>
      </c>
      <c r="F492" s="247" t="s">
        <v>3178</v>
      </c>
      <c r="G492" s="247" t="s">
        <v>3179</v>
      </c>
      <c r="H492" s="247" t="s">
        <v>3180</v>
      </c>
    </row>
    <row r="493" spans="1:8" ht="15" customHeight="1" x14ac:dyDescent="0.2">
      <c r="A493" s="41" t="s">
        <v>3996</v>
      </c>
      <c r="B493" s="266" t="s">
        <v>3314</v>
      </c>
      <c r="C493" s="247" t="s">
        <v>2368</v>
      </c>
      <c r="D493" s="247" t="s">
        <v>3320</v>
      </c>
      <c r="E493" s="247" t="s">
        <v>3196</v>
      </c>
      <c r="F493" s="247" t="s">
        <v>3178</v>
      </c>
      <c r="G493" s="247" t="s">
        <v>3179</v>
      </c>
      <c r="H493" s="247" t="s">
        <v>3180</v>
      </c>
    </row>
    <row r="494" spans="1:8" ht="15" customHeight="1" x14ac:dyDescent="0.2">
      <c r="A494" s="41" t="s">
        <v>4053</v>
      </c>
      <c r="B494" s="266" t="s">
        <v>3314</v>
      </c>
      <c r="C494" s="247" t="s">
        <v>2831</v>
      </c>
      <c r="D494" s="247" t="s">
        <v>2830</v>
      </c>
      <c r="E494" s="247" t="s">
        <v>3196</v>
      </c>
      <c r="F494" s="247" t="s">
        <v>3178</v>
      </c>
      <c r="G494" s="247" t="s">
        <v>3179</v>
      </c>
      <c r="H494" s="247" t="s">
        <v>3180</v>
      </c>
    </row>
    <row r="495" spans="1:8" ht="15" customHeight="1" x14ac:dyDescent="0.2">
      <c r="A495" s="41" t="s">
        <v>4026</v>
      </c>
      <c r="B495" s="266" t="s">
        <v>3314</v>
      </c>
      <c r="C495" s="247" t="s">
        <v>2819</v>
      </c>
      <c r="D495" s="247" t="s">
        <v>2818</v>
      </c>
      <c r="E495" s="247" t="s">
        <v>3196</v>
      </c>
      <c r="F495" s="247" t="s">
        <v>3178</v>
      </c>
      <c r="G495" s="247" t="s">
        <v>3179</v>
      </c>
      <c r="H495" s="247" t="s">
        <v>3180</v>
      </c>
    </row>
    <row r="496" spans="1:8" ht="15" customHeight="1" x14ac:dyDescent="0.2">
      <c r="A496" s="41" t="s">
        <v>4240</v>
      </c>
      <c r="B496" s="266" t="s">
        <v>3314</v>
      </c>
      <c r="C496" s="247" t="s">
        <v>2938</v>
      </c>
      <c r="D496" s="247" t="s">
        <v>2937</v>
      </c>
      <c r="E496" s="247" t="s">
        <v>3196</v>
      </c>
      <c r="F496" s="247" t="s">
        <v>3178</v>
      </c>
      <c r="G496" s="247" t="s">
        <v>3179</v>
      </c>
      <c r="H496" s="247" t="s">
        <v>3180</v>
      </c>
    </row>
    <row r="497" spans="1:8" ht="15" customHeight="1" x14ac:dyDescent="0.2">
      <c r="A497" s="41" t="s">
        <v>3966</v>
      </c>
      <c r="B497" s="266" t="s">
        <v>3314</v>
      </c>
      <c r="C497" s="247" t="s">
        <v>2814</v>
      </c>
      <c r="D497" s="247" t="s">
        <v>2813</v>
      </c>
      <c r="E497" s="247" t="s">
        <v>3196</v>
      </c>
      <c r="F497" s="247" t="s">
        <v>3178</v>
      </c>
      <c r="G497" s="247" t="s">
        <v>3179</v>
      </c>
      <c r="H497" s="247" t="s">
        <v>3180</v>
      </c>
    </row>
    <row r="498" spans="1:8" ht="15" customHeight="1" x14ac:dyDescent="0.2">
      <c r="A498" s="41" t="s">
        <v>4023</v>
      </c>
      <c r="B498" s="266" t="s">
        <v>3314</v>
      </c>
      <c r="C498" s="247" t="s">
        <v>2380</v>
      </c>
      <c r="D498" s="247" t="s">
        <v>2379</v>
      </c>
      <c r="E498" s="247" t="s">
        <v>3196</v>
      </c>
      <c r="F498" s="247" t="s">
        <v>3178</v>
      </c>
      <c r="G498" s="247" t="s">
        <v>3179</v>
      </c>
      <c r="H498" s="247" t="s">
        <v>3180</v>
      </c>
    </row>
    <row r="499" spans="1:8" ht="15" customHeight="1" x14ac:dyDescent="0.2">
      <c r="A499" s="41" t="s">
        <v>4532</v>
      </c>
      <c r="B499" s="266" t="s">
        <v>3450</v>
      </c>
      <c r="C499" s="247" t="s">
        <v>3097</v>
      </c>
      <c r="D499" s="247" t="s">
        <v>3611</v>
      </c>
      <c r="E499" s="247" t="s">
        <v>3196</v>
      </c>
      <c r="F499" s="247" t="s">
        <v>3178</v>
      </c>
      <c r="G499" s="247" t="s">
        <v>3179</v>
      </c>
      <c r="H499" s="247" t="s">
        <v>3180</v>
      </c>
    </row>
    <row r="500" spans="1:8" ht="15" customHeight="1" x14ac:dyDescent="0.2">
      <c r="A500" s="41" t="s">
        <v>4514</v>
      </c>
      <c r="B500" s="266" t="s">
        <v>3450</v>
      </c>
      <c r="C500" s="247" t="s">
        <v>3072</v>
      </c>
      <c r="D500" s="247" t="s">
        <v>3601</v>
      </c>
      <c r="E500" s="247" t="s">
        <v>3196</v>
      </c>
      <c r="F500" s="247" t="s">
        <v>3178</v>
      </c>
      <c r="G500" s="247" t="s">
        <v>3179</v>
      </c>
      <c r="H500" s="247" t="s">
        <v>3180</v>
      </c>
    </row>
    <row r="501" spans="1:8" ht="15" customHeight="1" x14ac:dyDescent="0.2">
      <c r="A501" s="41" t="s">
        <v>4529</v>
      </c>
      <c r="B501" s="266" t="s">
        <v>3450</v>
      </c>
      <c r="C501" s="247" t="s">
        <v>3092</v>
      </c>
      <c r="D501" s="247" t="s">
        <v>3610</v>
      </c>
      <c r="E501" s="247" t="s">
        <v>3196</v>
      </c>
      <c r="F501" s="247" t="s">
        <v>3178</v>
      </c>
      <c r="G501" s="247" t="s">
        <v>3179</v>
      </c>
      <c r="H501" s="247" t="s">
        <v>3180</v>
      </c>
    </row>
    <row r="502" spans="1:8" ht="15" customHeight="1" x14ac:dyDescent="0.2">
      <c r="A502" s="41" t="s">
        <v>3967</v>
      </c>
      <c r="B502" s="266" t="s">
        <v>3314</v>
      </c>
      <c r="C502" s="247" t="s">
        <v>2815</v>
      </c>
      <c r="D502" s="247" t="s">
        <v>3315</v>
      </c>
      <c r="E502" s="247" t="s">
        <v>3196</v>
      </c>
      <c r="F502" s="247" t="s">
        <v>3178</v>
      </c>
      <c r="G502" s="247" t="s">
        <v>3179</v>
      </c>
      <c r="H502" s="247" t="s">
        <v>3180</v>
      </c>
    </row>
    <row r="503" spans="1:8" ht="15" customHeight="1" x14ac:dyDescent="0.2">
      <c r="A503" s="41" t="s">
        <v>4102</v>
      </c>
      <c r="B503" s="266" t="s">
        <v>3314</v>
      </c>
      <c r="C503" s="247" t="s">
        <v>2738</v>
      </c>
      <c r="D503" s="247" t="s">
        <v>3336</v>
      </c>
      <c r="E503" s="247" t="s">
        <v>3196</v>
      </c>
      <c r="F503" s="247" t="s">
        <v>3178</v>
      </c>
      <c r="G503" s="247" t="s">
        <v>3179</v>
      </c>
      <c r="H503" s="247" t="s">
        <v>3180</v>
      </c>
    </row>
    <row r="504" spans="1:8" ht="15" customHeight="1" x14ac:dyDescent="0.2">
      <c r="A504" s="41" t="s">
        <v>4095</v>
      </c>
      <c r="B504" s="266" t="s">
        <v>3314</v>
      </c>
      <c r="C504" s="247" t="s">
        <v>2220</v>
      </c>
      <c r="D504" s="247" t="s">
        <v>3332</v>
      </c>
      <c r="E504" s="247" t="s">
        <v>3196</v>
      </c>
      <c r="F504" s="247" t="s">
        <v>3178</v>
      </c>
      <c r="G504" s="247" t="s">
        <v>3179</v>
      </c>
      <c r="H504" s="247" t="s">
        <v>3180</v>
      </c>
    </row>
    <row r="505" spans="1:8" ht="15" customHeight="1" x14ac:dyDescent="0.2">
      <c r="A505" s="41" t="s">
        <v>4099</v>
      </c>
      <c r="B505" s="266" t="s">
        <v>3314</v>
      </c>
      <c r="C505" s="247" t="s">
        <v>2521</v>
      </c>
      <c r="D505" s="247" t="s">
        <v>3335</v>
      </c>
      <c r="E505" s="247" t="s">
        <v>3196</v>
      </c>
      <c r="F505" s="247" t="s">
        <v>3178</v>
      </c>
      <c r="G505" s="247" t="s">
        <v>3179</v>
      </c>
      <c r="H505" s="247" t="s">
        <v>3180</v>
      </c>
    </row>
    <row r="506" spans="1:8" ht="15" customHeight="1" x14ac:dyDescent="0.2">
      <c r="A506" s="41" t="s">
        <v>4093</v>
      </c>
      <c r="B506" s="266" t="s">
        <v>3314</v>
      </c>
      <c r="C506" s="247" t="s">
        <v>2127</v>
      </c>
      <c r="D506" s="247" t="s">
        <v>3331</v>
      </c>
      <c r="E506" s="247" t="s">
        <v>3196</v>
      </c>
      <c r="F506" s="247" t="s">
        <v>3178</v>
      </c>
      <c r="G506" s="247" t="s">
        <v>3179</v>
      </c>
      <c r="H506" s="247" t="s">
        <v>3180</v>
      </c>
    </row>
    <row r="507" spans="1:8" ht="15" customHeight="1" x14ac:dyDescent="0.2">
      <c r="A507" s="41" t="s">
        <v>4098</v>
      </c>
      <c r="B507" s="266" t="s">
        <v>3314</v>
      </c>
      <c r="C507" s="247" t="s">
        <v>2045</v>
      </c>
      <c r="D507" s="247" t="s">
        <v>3334</v>
      </c>
      <c r="E507" s="247" t="s">
        <v>3196</v>
      </c>
      <c r="F507" s="247" t="s">
        <v>3178</v>
      </c>
      <c r="G507" s="247" t="s">
        <v>3179</v>
      </c>
      <c r="H507" s="247" t="s">
        <v>3180</v>
      </c>
    </row>
    <row r="508" spans="1:8" ht="15" customHeight="1" x14ac:dyDescent="0.2">
      <c r="A508" s="41" t="s">
        <v>4097</v>
      </c>
      <c r="B508" s="266" t="s">
        <v>3314</v>
      </c>
      <c r="C508" s="247" t="s">
        <v>2737</v>
      </c>
      <c r="D508" s="247" t="s">
        <v>3333</v>
      </c>
      <c r="E508" s="247" t="s">
        <v>3196</v>
      </c>
      <c r="F508" s="247" t="s">
        <v>3178</v>
      </c>
      <c r="G508" s="247" t="s">
        <v>3179</v>
      </c>
      <c r="H508" s="247" t="s">
        <v>3180</v>
      </c>
    </row>
    <row r="509" spans="1:8" ht="15" customHeight="1" x14ac:dyDescent="0.2">
      <c r="A509" s="41" t="s">
        <v>4048</v>
      </c>
      <c r="B509" s="266" t="s">
        <v>3314</v>
      </c>
      <c r="C509" s="247" t="s">
        <v>2731</v>
      </c>
      <c r="D509" s="247" t="s">
        <v>3328</v>
      </c>
      <c r="E509" s="247" t="s">
        <v>3196</v>
      </c>
      <c r="F509" s="247" t="s">
        <v>3178</v>
      </c>
      <c r="G509" s="247" t="s">
        <v>3179</v>
      </c>
      <c r="H509" s="247" t="s">
        <v>3180</v>
      </c>
    </row>
    <row r="510" spans="1:8" ht="15" customHeight="1" x14ac:dyDescent="0.2">
      <c r="A510" s="41" t="s">
        <v>4139</v>
      </c>
      <c r="B510" s="266" t="s">
        <v>3314</v>
      </c>
      <c r="C510" s="247" t="s">
        <v>2391</v>
      </c>
      <c r="D510" s="247" t="s">
        <v>3358</v>
      </c>
      <c r="E510" s="247" t="s">
        <v>3196</v>
      </c>
      <c r="F510" s="247" t="s">
        <v>3178</v>
      </c>
      <c r="G510" s="247" t="s">
        <v>3179</v>
      </c>
      <c r="H510" s="247" t="s">
        <v>3180</v>
      </c>
    </row>
    <row r="511" spans="1:8" ht="15" customHeight="1" x14ac:dyDescent="0.2">
      <c r="A511" s="41" t="s">
        <v>4114</v>
      </c>
      <c r="B511" s="266" t="s">
        <v>3314</v>
      </c>
      <c r="C511" s="247" t="s">
        <v>2388</v>
      </c>
      <c r="D511" s="247" t="s">
        <v>3343</v>
      </c>
      <c r="E511" s="247" t="s">
        <v>3196</v>
      </c>
      <c r="F511" s="247" t="s">
        <v>3178</v>
      </c>
      <c r="G511" s="247" t="s">
        <v>3179</v>
      </c>
      <c r="H511" s="247" t="s">
        <v>3180</v>
      </c>
    </row>
    <row r="512" spans="1:8" ht="15" customHeight="1" x14ac:dyDescent="0.2">
      <c r="A512" s="41" t="s">
        <v>4131</v>
      </c>
      <c r="B512" s="266" t="s">
        <v>3314</v>
      </c>
      <c r="C512" s="247" t="s">
        <v>2527</v>
      </c>
      <c r="D512" s="247" t="s">
        <v>3355</v>
      </c>
      <c r="E512" s="247" t="s">
        <v>3196</v>
      </c>
      <c r="F512" s="247" t="s">
        <v>3178</v>
      </c>
      <c r="G512" s="247" t="s">
        <v>3179</v>
      </c>
      <c r="H512" s="247" t="s">
        <v>3180</v>
      </c>
    </row>
    <row r="513" spans="1:8" ht="15" customHeight="1" x14ac:dyDescent="0.2">
      <c r="A513" s="41" t="s">
        <v>4198</v>
      </c>
      <c r="B513" s="266" t="s">
        <v>3314</v>
      </c>
      <c r="C513" s="247" t="s">
        <v>2900</v>
      </c>
      <c r="D513" s="247" t="s">
        <v>2899</v>
      </c>
      <c r="E513" s="247" t="s">
        <v>3196</v>
      </c>
      <c r="F513" s="247" t="s">
        <v>3178</v>
      </c>
      <c r="G513" s="247" t="s">
        <v>3179</v>
      </c>
      <c r="H513" s="247" t="s">
        <v>3180</v>
      </c>
    </row>
    <row r="514" spans="1:8" ht="15" customHeight="1" x14ac:dyDescent="0.2">
      <c r="A514" s="41" t="s">
        <v>4126</v>
      </c>
      <c r="B514" s="266" t="s">
        <v>3314</v>
      </c>
      <c r="C514" s="247" t="s">
        <v>2222</v>
      </c>
      <c r="D514" s="247" t="s">
        <v>3354</v>
      </c>
      <c r="E514" s="247" t="s">
        <v>3196</v>
      </c>
      <c r="F514" s="247" t="s">
        <v>3178</v>
      </c>
      <c r="G514" s="247" t="s">
        <v>3179</v>
      </c>
      <c r="H514" s="247" t="s">
        <v>3180</v>
      </c>
    </row>
    <row r="515" spans="1:8" ht="15" customHeight="1" x14ac:dyDescent="0.2">
      <c r="A515" s="41" t="s">
        <v>4137</v>
      </c>
      <c r="B515" s="266" t="s">
        <v>3314</v>
      </c>
      <c r="C515" s="247" t="s">
        <v>2390</v>
      </c>
      <c r="D515" s="247" t="s">
        <v>3357</v>
      </c>
      <c r="E515" s="247" t="s">
        <v>3196</v>
      </c>
      <c r="F515" s="247" t="s">
        <v>3178</v>
      </c>
      <c r="G515" s="247" t="s">
        <v>3179</v>
      </c>
      <c r="H515" s="247" t="s">
        <v>3180</v>
      </c>
    </row>
    <row r="516" spans="1:8" ht="15" customHeight="1" x14ac:dyDescent="0.2">
      <c r="A516" s="41" t="s">
        <v>4199</v>
      </c>
      <c r="B516" s="266" t="s">
        <v>3314</v>
      </c>
      <c r="C516" s="247" t="s">
        <v>2406</v>
      </c>
      <c r="D516" s="247" t="s">
        <v>3391</v>
      </c>
      <c r="E516" s="247" t="s">
        <v>3196</v>
      </c>
      <c r="F516" s="247" t="s">
        <v>3178</v>
      </c>
      <c r="G516" s="247" t="s">
        <v>3179</v>
      </c>
      <c r="H516" s="247" t="s">
        <v>3180</v>
      </c>
    </row>
    <row r="517" spans="1:8" ht="15" customHeight="1" x14ac:dyDescent="0.2">
      <c r="A517" s="41" t="s">
        <v>4225</v>
      </c>
      <c r="B517" s="266" t="s">
        <v>3314</v>
      </c>
      <c r="C517" s="247" t="s">
        <v>2571</v>
      </c>
      <c r="D517" s="247" t="s">
        <v>2570</v>
      </c>
      <c r="E517" s="247" t="s">
        <v>3196</v>
      </c>
      <c r="F517" s="247" t="s">
        <v>3178</v>
      </c>
      <c r="G517" s="247" t="s">
        <v>3179</v>
      </c>
      <c r="H517" s="247" t="s">
        <v>3180</v>
      </c>
    </row>
    <row r="518" spans="1:8" ht="15" customHeight="1" x14ac:dyDescent="0.2">
      <c r="A518" s="41" t="s">
        <v>4188</v>
      </c>
      <c r="B518" s="266" t="s">
        <v>3314</v>
      </c>
      <c r="C518" s="247" t="s">
        <v>2554</v>
      </c>
      <c r="D518" s="247" t="s">
        <v>3387</v>
      </c>
      <c r="E518" s="247" t="s">
        <v>3196</v>
      </c>
      <c r="F518" s="247" t="s">
        <v>3178</v>
      </c>
      <c r="G518" s="247" t="s">
        <v>3179</v>
      </c>
      <c r="H518" s="247" t="s">
        <v>3180</v>
      </c>
    </row>
    <row r="519" spans="1:8" ht="15" customHeight="1" x14ac:dyDescent="0.2">
      <c r="A519" s="41" t="s">
        <v>4208</v>
      </c>
      <c r="B519" s="266" t="s">
        <v>3314</v>
      </c>
      <c r="C519" s="247" t="s">
        <v>2561</v>
      </c>
      <c r="D519" s="247" t="s">
        <v>3397</v>
      </c>
      <c r="E519" s="247" t="s">
        <v>3196</v>
      </c>
      <c r="F519" s="247" t="s">
        <v>3178</v>
      </c>
      <c r="G519" s="247" t="s">
        <v>3179</v>
      </c>
      <c r="H519" s="247" t="s">
        <v>3180</v>
      </c>
    </row>
    <row r="520" spans="1:8" ht="15" customHeight="1" x14ac:dyDescent="0.2">
      <c r="A520" s="41" t="s">
        <v>4224</v>
      </c>
      <c r="B520" s="266" t="s">
        <v>3314</v>
      </c>
      <c r="C520" s="247" t="s">
        <v>2917</v>
      </c>
      <c r="D520" s="247" t="s">
        <v>2916</v>
      </c>
      <c r="E520" s="247" t="s">
        <v>3196</v>
      </c>
      <c r="F520" s="247" t="s">
        <v>3178</v>
      </c>
      <c r="G520" s="247" t="s">
        <v>3179</v>
      </c>
      <c r="H520" s="247" t="s">
        <v>3180</v>
      </c>
    </row>
    <row r="521" spans="1:8" ht="15" customHeight="1" x14ac:dyDescent="0.2">
      <c r="A521" s="41" t="s">
        <v>4177</v>
      </c>
      <c r="B521" s="266" t="s">
        <v>3314</v>
      </c>
      <c r="C521" s="247" t="s">
        <v>2544</v>
      </c>
      <c r="D521" s="247" t="s">
        <v>3379</v>
      </c>
      <c r="E521" s="247" t="s">
        <v>3196</v>
      </c>
      <c r="F521" s="247" t="s">
        <v>3178</v>
      </c>
      <c r="G521" s="247" t="s">
        <v>3179</v>
      </c>
      <c r="H521" s="247" t="s">
        <v>3180</v>
      </c>
    </row>
    <row r="522" spans="1:8" ht="15" customHeight="1" x14ac:dyDescent="0.2">
      <c r="A522" s="41" t="s">
        <v>4223</v>
      </c>
      <c r="B522" s="266" t="s">
        <v>3314</v>
      </c>
      <c r="C522" s="247" t="s">
        <v>2915</v>
      </c>
      <c r="D522" s="247" t="s">
        <v>2914</v>
      </c>
      <c r="E522" s="247" t="s">
        <v>3196</v>
      </c>
      <c r="F522" s="247" t="s">
        <v>3178</v>
      </c>
      <c r="G522" s="247" t="s">
        <v>3179</v>
      </c>
      <c r="H522" s="247" t="s">
        <v>3180</v>
      </c>
    </row>
    <row r="523" spans="1:8" ht="15" customHeight="1" x14ac:dyDescent="0.2">
      <c r="A523" s="41" t="s">
        <v>4133</v>
      </c>
      <c r="B523" s="266" t="s">
        <v>3314</v>
      </c>
      <c r="C523" s="247" t="s">
        <v>2741</v>
      </c>
      <c r="D523" s="247" t="s">
        <v>3356</v>
      </c>
      <c r="E523" s="247" t="s">
        <v>3196</v>
      </c>
      <c r="F523" s="247" t="s">
        <v>3178</v>
      </c>
      <c r="G523" s="247" t="s">
        <v>3179</v>
      </c>
      <c r="H523" s="247" t="s">
        <v>3180</v>
      </c>
    </row>
    <row r="524" spans="1:8" ht="15" customHeight="1" x14ac:dyDescent="0.2">
      <c r="A524" s="41" t="s">
        <v>4117</v>
      </c>
      <c r="B524" s="266" t="s">
        <v>3314</v>
      </c>
      <c r="C524" s="247" t="s">
        <v>2078</v>
      </c>
      <c r="D524" s="247" t="s">
        <v>3346</v>
      </c>
      <c r="E524" s="247" t="s">
        <v>3196</v>
      </c>
      <c r="F524" s="247" t="s">
        <v>3178</v>
      </c>
      <c r="G524" s="247" t="s">
        <v>3179</v>
      </c>
      <c r="H524" s="247" t="s">
        <v>3180</v>
      </c>
    </row>
    <row r="525" spans="1:8" ht="15" customHeight="1" x14ac:dyDescent="0.2">
      <c r="A525" s="41" t="s">
        <v>4089</v>
      </c>
      <c r="B525" s="266" t="s">
        <v>3314</v>
      </c>
      <c r="C525" s="247" t="s">
        <v>2302</v>
      </c>
      <c r="D525" s="247" t="s">
        <v>3329</v>
      </c>
      <c r="E525" s="247" t="s">
        <v>3196</v>
      </c>
      <c r="F525" s="247" t="s">
        <v>3178</v>
      </c>
      <c r="G525" s="247" t="s">
        <v>3179</v>
      </c>
      <c r="H525" s="247" t="s">
        <v>3180</v>
      </c>
    </row>
    <row r="526" spans="1:8" ht="15" customHeight="1" x14ac:dyDescent="0.2">
      <c r="A526" s="41" t="s">
        <v>4041</v>
      </c>
      <c r="B526" s="266" t="s">
        <v>3314</v>
      </c>
      <c r="C526" s="247" t="s">
        <v>2827</v>
      </c>
      <c r="D526" s="247" t="s">
        <v>2826</v>
      </c>
      <c r="E526" s="247" t="s">
        <v>3196</v>
      </c>
      <c r="F526" s="247" t="s">
        <v>3178</v>
      </c>
      <c r="G526" s="247" t="s">
        <v>3179</v>
      </c>
      <c r="H526" s="247" t="s">
        <v>3180</v>
      </c>
    </row>
    <row r="527" spans="1:8" ht="15" customHeight="1" x14ac:dyDescent="0.2">
      <c r="A527" s="41" t="s">
        <v>4110</v>
      </c>
      <c r="B527" s="266" t="s">
        <v>3314</v>
      </c>
      <c r="C527" s="247" t="s">
        <v>2739</v>
      </c>
      <c r="D527" s="247" t="s">
        <v>3340</v>
      </c>
      <c r="E527" s="247" t="s">
        <v>3196</v>
      </c>
      <c r="F527" s="247" t="s">
        <v>3178</v>
      </c>
      <c r="G527" s="247" t="s">
        <v>3179</v>
      </c>
      <c r="H527" s="247" t="s">
        <v>3180</v>
      </c>
    </row>
    <row r="528" spans="1:8" ht="15" customHeight="1" x14ac:dyDescent="0.2">
      <c r="A528" s="41" t="s">
        <v>4172</v>
      </c>
      <c r="B528" s="266" t="s">
        <v>3314</v>
      </c>
      <c r="C528" s="247" t="s">
        <v>2540</v>
      </c>
      <c r="D528" s="247" t="s">
        <v>2539</v>
      </c>
      <c r="E528" s="247" t="s">
        <v>3196</v>
      </c>
      <c r="F528" s="247" t="s">
        <v>3178</v>
      </c>
      <c r="G528" s="247" t="s">
        <v>3179</v>
      </c>
      <c r="H528" s="247" t="s">
        <v>3180</v>
      </c>
    </row>
    <row r="529" spans="1:8" ht="15" customHeight="1" x14ac:dyDescent="0.2">
      <c r="A529" s="41" t="s">
        <v>4187</v>
      </c>
      <c r="B529" s="266" t="s">
        <v>3314</v>
      </c>
      <c r="C529" s="247" t="s">
        <v>2553</v>
      </c>
      <c r="D529" s="247" t="s">
        <v>2552</v>
      </c>
      <c r="E529" s="247" t="s">
        <v>3196</v>
      </c>
      <c r="F529" s="247" t="s">
        <v>3178</v>
      </c>
      <c r="G529" s="247" t="s">
        <v>3179</v>
      </c>
      <c r="H529" s="247" t="s">
        <v>3180</v>
      </c>
    </row>
    <row r="530" spans="1:8" ht="15" customHeight="1" x14ac:dyDescent="0.2">
      <c r="A530" s="41" t="s">
        <v>4203</v>
      </c>
      <c r="B530" s="266" t="s">
        <v>3314</v>
      </c>
      <c r="C530" s="247" t="s">
        <v>2560</v>
      </c>
      <c r="D530" s="247" t="s">
        <v>3394</v>
      </c>
      <c r="E530" s="247" t="s">
        <v>3196</v>
      </c>
      <c r="F530" s="247" t="s">
        <v>3178</v>
      </c>
      <c r="G530" s="247" t="s">
        <v>3179</v>
      </c>
      <c r="H530" s="247" t="s">
        <v>3180</v>
      </c>
    </row>
    <row r="531" spans="1:8" ht="15" customHeight="1" x14ac:dyDescent="0.2">
      <c r="A531" s="41" t="s">
        <v>4197</v>
      </c>
      <c r="B531" s="266" t="s">
        <v>3314</v>
      </c>
      <c r="C531" s="247" t="s">
        <v>2313</v>
      </c>
      <c r="D531" s="247" t="s">
        <v>3390</v>
      </c>
      <c r="E531" s="247" t="s">
        <v>3196</v>
      </c>
      <c r="F531" s="247" t="s">
        <v>3178</v>
      </c>
      <c r="G531" s="247" t="s">
        <v>3179</v>
      </c>
      <c r="H531" s="247" t="s">
        <v>3180</v>
      </c>
    </row>
    <row r="532" spans="1:8" ht="15" customHeight="1" x14ac:dyDescent="0.2">
      <c r="A532" s="41" t="s">
        <v>4141</v>
      </c>
      <c r="B532" s="266" t="s">
        <v>3314</v>
      </c>
      <c r="C532" s="247" t="s">
        <v>2305</v>
      </c>
      <c r="D532" s="247" t="s">
        <v>3360</v>
      </c>
      <c r="E532" s="247" t="s">
        <v>3196</v>
      </c>
      <c r="F532" s="247" t="s">
        <v>3178</v>
      </c>
      <c r="G532" s="247" t="s">
        <v>3179</v>
      </c>
      <c r="H532" s="247" t="s">
        <v>3180</v>
      </c>
    </row>
    <row r="533" spans="1:8" ht="15" customHeight="1" x14ac:dyDescent="0.2">
      <c r="A533" s="41" t="s">
        <v>4123</v>
      </c>
      <c r="B533" s="266" t="s">
        <v>3314</v>
      </c>
      <c r="C533" s="247" t="s">
        <v>2304</v>
      </c>
      <c r="D533" s="247" t="s">
        <v>3351</v>
      </c>
      <c r="E533" s="247" t="s">
        <v>3196</v>
      </c>
      <c r="F533" s="247" t="s">
        <v>3178</v>
      </c>
      <c r="G533" s="247" t="s">
        <v>3179</v>
      </c>
      <c r="H533" s="247" t="s">
        <v>3180</v>
      </c>
    </row>
    <row r="534" spans="1:8" ht="15" customHeight="1" x14ac:dyDescent="0.2">
      <c r="A534" s="41" t="s">
        <v>4119</v>
      </c>
      <c r="B534" s="266" t="s">
        <v>3314</v>
      </c>
      <c r="C534" s="247" t="s">
        <v>2303</v>
      </c>
      <c r="D534" s="247" t="s">
        <v>3348</v>
      </c>
      <c r="E534" s="247" t="s">
        <v>3196</v>
      </c>
      <c r="F534" s="247" t="s">
        <v>3178</v>
      </c>
      <c r="G534" s="247" t="s">
        <v>3179</v>
      </c>
      <c r="H534" s="247" t="s">
        <v>3180</v>
      </c>
    </row>
    <row r="535" spans="1:8" ht="15" customHeight="1" x14ac:dyDescent="0.2">
      <c r="A535" s="41" t="s">
        <v>4140</v>
      </c>
      <c r="B535" s="266" t="s">
        <v>3314</v>
      </c>
      <c r="C535" s="247" t="s">
        <v>2873</v>
      </c>
      <c r="D535" s="247" t="s">
        <v>3359</v>
      </c>
      <c r="E535" s="247" t="s">
        <v>3196</v>
      </c>
      <c r="F535" s="247" t="s">
        <v>3178</v>
      </c>
      <c r="G535" s="247" t="s">
        <v>3179</v>
      </c>
      <c r="H535" s="247" t="s">
        <v>3180</v>
      </c>
    </row>
    <row r="536" spans="1:8" ht="15" customHeight="1" x14ac:dyDescent="0.2">
      <c r="A536" s="41" t="s">
        <v>4147</v>
      </c>
      <c r="B536" s="266" t="s">
        <v>3314</v>
      </c>
      <c r="C536" s="247" t="s">
        <v>2528</v>
      </c>
      <c r="D536" s="247" t="s">
        <v>3363</v>
      </c>
      <c r="E536" s="247" t="s">
        <v>3196</v>
      </c>
      <c r="F536" s="247" t="s">
        <v>3178</v>
      </c>
      <c r="G536" s="247" t="s">
        <v>3179</v>
      </c>
      <c r="H536" s="247" t="s">
        <v>3180</v>
      </c>
    </row>
    <row r="537" spans="1:8" ht="15" customHeight="1" x14ac:dyDescent="0.2">
      <c r="A537" s="41" t="s">
        <v>4150</v>
      </c>
      <c r="B537" s="266" t="s">
        <v>3314</v>
      </c>
      <c r="C537" s="247" t="s">
        <v>2878</v>
      </c>
      <c r="D537" s="247" t="s">
        <v>3365</v>
      </c>
      <c r="E537" s="247" t="s">
        <v>3196</v>
      </c>
      <c r="F537" s="247" t="s">
        <v>3178</v>
      </c>
      <c r="G537" s="247" t="s">
        <v>3179</v>
      </c>
      <c r="H537" s="247" t="s">
        <v>3180</v>
      </c>
    </row>
    <row r="538" spans="1:8" ht="15" customHeight="1" x14ac:dyDescent="0.2">
      <c r="A538" s="41" t="s">
        <v>4241</v>
      </c>
      <c r="B538" s="266" t="s">
        <v>3314</v>
      </c>
      <c r="C538" s="247" t="s">
        <v>2939</v>
      </c>
      <c r="D538" s="247" t="s">
        <v>3414</v>
      </c>
      <c r="E538" s="247" t="s">
        <v>3196</v>
      </c>
      <c r="F538" s="247" t="s">
        <v>3178</v>
      </c>
      <c r="G538" s="247" t="s">
        <v>3179</v>
      </c>
      <c r="H538" s="247" t="s">
        <v>3180</v>
      </c>
    </row>
    <row r="539" spans="1:8" ht="15" customHeight="1" x14ac:dyDescent="0.2">
      <c r="A539" s="41" t="s">
        <v>4116</v>
      </c>
      <c r="B539" s="266" t="s">
        <v>3314</v>
      </c>
      <c r="C539" s="247" t="s">
        <v>2526</v>
      </c>
      <c r="D539" s="247" t="s">
        <v>3345</v>
      </c>
      <c r="E539" s="247" t="s">
        <v>3196</v>
      </c>
      <c r="F539" s="247" t="s">
        <v>3178</v>
      </c>
      <c r="G539" s="247" t="s">
        <v>3179</v>
      </c>
      <c r="H539" s="247" t="s">
        <v>3180</v>
      </c>
    </row>
    <row r="540" spans="1:8" ht="15" customHeight="1" x14ac:dyDescent="0.2">
      <c r="A540" s="41" t="s">
        <v>4160</v>
      </c>
      <c r="B540" s="266" t="s">
        <v>3314</v>
      </c>
      <c r="C540" s="247" t="s">
        <v>2535</v>
      </c>
      <c r="D540" s="247" t="s">
        <v>2534</v>
      </c>
      <c r="E540" s="247" t="s">
        <v>3196</v>
      </c>
      <c r="F540" s="247" t="s">
        <v>3178</v>
      </c>
      <c r="G540" s="247" t="s">
        <v>3179</v>
      </c>
      <c r="H540" s="247" t="s">
        <v>3180</v>
      </c>
    </row>
    <row r="541" spans="1:8" ht="15" customHeight="1" x14ac:dyDescent="0.2">
      <c r="A541" s="41" t="s">
        <v>4213</v>
      </c>
      <c r="B541" s="266" t="s">
        <v>3314</v>
      </c>
      <c r="C541" s="247" t="s">
        <v>2910</v>
      </c>
      <c r="D541" s="247" t="s">
        <v>3401</v>
      </c>
      <c r="E541" s="247" t="s">
        <v>3196</v>
      </c>
      <c r="F541" s="247" t="s">
        <v>3178</v>
      </c>
      <c r="G541" s="247" t="s">
        <v>3179</v>
      </c>
      <c r="H541" s="247" t="s">
        <v>3180</v>
      </c>
    </row>
    <row r="542" spans="1:8" ht="15" customHeight="1" x14ac:dyDescent="0.2">
      <c r="A542" s="41" t="s">
        <v>4209</v>
      </c>
      <c r="B542" s="266" t="s">
        <v>3314</v>
      </c>
      <c r="C542" s="247" t="s">
        <v>2408</v>
      </c>
      <c r="D542" s="247" t="s">
        <v>3398</v>
      </c>
      <c r="E542" s="247" t="s">
        <v>3196</v>
      </c>
      <c r="F542" s="247" t="s">
        <v>3178</v>
      </c>
      <c r="G542" s="247" t="s">
        <v>3179</v>
      </c>
      <c r="H542" s="247" t="s">
        <v>3180</v>
      </c>
    </row>
    <row r="543" spans="1:8" ht="15" customHeight="1" x14ac:dyDescent="0.2">
      <c r="A543" s="41" t="s">
        <v>4125</v>
      </c>
      <c r="B543" s="266" t="s">
        <v>3314</v>
      </c>
      <c r="C543" s="247" t="s">
        <v>2221</v>
      </c>
      <c r="D543" s="247" t="s">
        <v>3353</v>
      </c>
      <c r="E543" s="247" t="s">
        <v>3196</v>
      </c>
      <c r="F543" s="247" t="s">
        <v>3178</v>
      </c>
      <c r="G543" s="247" t="s">
        <v>3179</v>
      </c>
      <c r="H543" s="247" t="s">
        <v>3180</v>
      </c>
    </row>
    <row r="544" spans="1:8" ht="15" customHeight="1" x14ac:dyDescent="0.2">
      <c r="A544" s="41" t="s">
        <v>4158</v>
      </c>
      <c r="B544" s="266" t="s">
        <v>3314</v>
      </c>
      <c r="C544" s="247" t="s">
        <v>2306</v>
      </c>
      <c r="D544" s="247" t="s">
        <v>3367</v>
      </c>
      <c r="E544" s="247" t="s">
        <v>3196</v>
      </c>
      <c r="F544" s="247" t="s">
        <v>3178</v>
      </c>
      <c r="G544" s="247" t="s">
        <v>3179</v>
      </c>
      <c r="H544" s="247" t="s">
        <v>3180</v>
      </c>
    </row>
    <row r="545" spans="1:8" ht="15" customHeight="1" x14ac:dyDescent="0.2">
      <c r="A545" s="41" t="s">
        <v>4159</v>
      </c>
      <c r="B545" s="266" t="s">
        <v>3314</v>
      </c>
      <c r="C545" s="247" t="s">
        <v>2227</v>
      </c>
      <c r="D545" s="247" t="s">
        <v>3368</v>
      </c>
      <c r="E545" s="247" t="s">
        <v>3196</v>
      </c>
      <c r="F545" s="247" t="s">
        <v>3178</v>
      </c>
      <c r="G545" s="247" t="s">
        <v>3179</v>
      </c>
      <c r="H545" s="247" t="s">
        <v>3180</v>
      </c>
    </row>
    <row r="546" spans="1:8" ht="15" customHeight="1" x14ac:dyDescent="0.2">
      <c r="A546" s="41" t="s">
        <v>4168</v>
      </c>
      <c r="B546" s="266" t="s">
        <v>3314</v>
      </c>
      <c r="C546" s="247" t="s">
        <v>2307</v>
      </c>
      <c r="D546" s="247" t="s">
        <v>3374</v>
      </c>
      <c r="E546" s="247" t="s">
        <v>3196</v>
      </c>
      <c r="F546" s="247" t="s">
        <v>3178</v>
      </c>
      <c r="G546" s="247" t="s">
        <v>3179</v>
      </c>
      <c r="H546" s="247" t="s">
        <v>3180</v>
      </c>
    </row>
    <row r="547" spans="1:8" ht="15" customHeight="1" x14ac:dyDescent="0.2">
      <c r="A547" s="41" t="s">
        <v>4091</v>
      </c>
      <c r="B547" s="266" t="s">
        <v>3314</v>
      </c>
      <c r="C547" s="247" t="s">
        <v>2736</v>
      </c>
      <c r="D547" s="247" t="s">
        <v>3330</v>
      </c>
      <c r="E547" s="247" t="s">
        <v>3196</v>
      </c>
      <c r="F547" s="247" t="s">
        <v>3178</v>
      </c>
      <c r="G547" s="247" t="s">
        <v>3179</v>
      </c>
      <c r="H547" s="247" t="s">
        <v>3180</v>
      </c>
    </row>
    <row r="548" spans="1:8" ht="15" customHeight="1" x14ac:dyDescent="0.2">
      <c r="A548" s="41" t="s">
        <v>4027</v>
      </c>
      <c r="B548" s="266" t="s">
        <v>3314</v>
      </c>
      <c r="C548" s="247" t="s">
        <v>2207</v>
      </c>
      <c r="D548" s="247" t="s">
        <v>3326</v>
      </c>
      <c r="E548" s="247" t="s">
        <v>3196</v>
      </c>
      <c r="F548" s="247" t="s">
        <v>3178</v>
      </c>
      <c r="G548" s="247" t="s">
        <v>3179</v>
      </c>
      <c r="H548" s="247" t="s">
        <v>3180</v>
      </c>
    </row>
    <row r="549" spans="1:8" ht="15" customHeight="1" x14ac:dyDescent="0.2">
      <c r="A549" s="41" t="s">
        <v>4201</v>
      </c>
      <c r="B549" s="266" t="s">
        <v>3314</v>
      </c>
      <c r="C549" s="247" t="s">
        <v>2558</v>
      </c>
      <c r="D549" s="247" t="s">
        <v>2557</v>
      </c>
      <c r="E549" s="247" t="s">
        <v>3196</v>
      </c>
      <c r="F549" s="247" t="s">
        <v>3178</v>
      </c>
      <c r="G549" s="247" t="s">
        <v>3179</v>
      </c>
      <c r="H549" s="247" t="s">
        <v>3180</v>
      </c>
    </row>
    <row r="550" spans="1:8" ht="15" customHeight="1" x14ac:dyDescent="0.2">
      <c r="A550" s="41" t="s">
        <v>4148</v>
      </c>
      <c r="B550" s="266" t="s">
        <v>3314</v>
      </c>
      <c r="C550" s="247" t="s">
        <v>2529</v>
      </c>
      <c r="D550" s="247" t="s">
        <v>3364</v>
      </c>
      <c r="E550" s="247" t="s">
        <v>3196</v>
      </c>
      <c r="F550" s="247" t="s">
        <v>3178</v>
      </c>
      <c r="G550" s="247" t="s">
        <v>3179</v>
      </c>
      <c r="H550" s="247" t="s">
        <v>3180</v>
      </c>
    </row>
    <row r="551" spans="1:8" ht="15" customHeight="1" x14ac:dyDescent="0.2">
      <c r="A551" s="41" t="s">
        <v>4107</v>
      </c>
      <c r="B551" s="266" t="s">
        <v>3314</v>
      </c>
      <c r="C551" s="247" t="s">
        <v>2522</v>
      </c>
      <c r="D551" s="247" t="s">
        <v>3337</v>
      </c>
      <c r="E551" s="247" t="s">
        <v>3196</v>
      </c>
      <c r="F551" s="247" t="s">
        <v>3178</v>
      </c>
      <c r="G551" s="247" t="s">
        <v>3179</v>
      </c>
      <c r="H551" s="247" t="s">
        <v>3180</v>
      </c>
    </row>
    <row r="552" spans="1:8" ht="15" customHeight="1" x14ac:dyDescent="0.2">
      <c r="A552" s="41" t="s">
        <v>4115</v>
      </c>
      <c r="B552" s="266" t="s">
        <v>3314</v>
      </c>
      <c r="C552" s="247" t="s">
        <v>2525</v>
      </c>
      <c r="D552" s="247" t="s">
        <v>3344</v>
      </c>
      <c r="E552" s="247" t="s">
        <v>3196</v>
      </c>
      <c r="F552" s="247" t="s">
        <v>3178</v>
      </c>
      <c r="G552" s="247" t="s">
        <v>3179</v>
      </c>
      <c r="H552" s="247" t="s">
        <v>3180</v>
      </c>
    </row>
    <row r="553" spans="1:8" ht="15" customHeight="1" x14ac:dyDescent="0.2">
      <c r="A553" s="41" t="s">
        <v>4040</v>
      </c>
      <c r="B553" s="266" t="s">
        <v>3314</v>
      </c>
      <c r="C553" s="247" t="s">
        <v>2825</v>
      </c>
      <c r="D553" s="247" t="s">
        <v>2824</v>
      </c>
      <c r="E553" s="247" t="s">
        <v>3196</v>
      </c>
      <c r="F553" s="247" t="s">
        <v>3178</v>
      </c>
      <c r="G553" s="247" t="s">
        <v>3179</v>
      </c>
      <c r="H553" s="247" t="s">
        <v>3180</v>
      </c>
    </row>
    <row r="554" spans="1:8" ht="15" customHeight="1" x14ac:dyDescent="0.2">
      <c r="A554" s="41" t="s">
        <v>4222</v>
      </c>
      <c r="B554" s="266" t="s">
        <v>3314</v>
      </c>
      <c r="C554" s="247" t="s">
        <v>2569</v>
      </c>
      <c r="D554" s="247" t="s">
        <v>3409</v>
      </c>
      <c r="E554" s="247" t="s">
        <v>3196</v>
      </c>
      <c r="F554" s="247" t="s">
        <v>3178</v>
      </c>
      <c r="G554" s="247" t="s">
        <v>3179</v>
      </c>
      <c r="H554" s="247" t="s">
        <v>3180</v>
      </c>
    </row>
    <row r="555" spans="1:8" ht="15" customHeight="1" x14ac:dyDescent="0.2">
      <c r="A555" s="41" t="s">
        <v>4200</v>
      </c>
      <c r="B555" s="266" t="s">
        <v>3314</v>
      </c>
      <c r="C555" s="247" t="s">
        <v>2407</v>
      </c>
      <c r="D555" s="247" t="s">
        <v>3392</v>
      </c>
      <c r="E555" s="247" t="s">
        <v>3196</v>
      </c>
      <c r="F555" s="247" t="s">
        <v>3178</v>
      </c>
      <c r="G555" s="247" t="s">
        <v>3179</v>
      </c>
      <c r="H555" s="247" t="s">
        <v>3180</v>
      </c>
    </row>
    <row r="556" spans="1:8" ht="15" customHeight="1" x14ac:dyDescent="0.2">
      <c r="A556" s="41" t="s">
        <v>4245</v>
      </c>
      <c r="B556" s="266" t="s">
        <v>3314</v>
      </c>
      <c r="C556" s="247" t="s">
        <v>2947</v>
      </c>
      <c r="D556" s="247" t="s">
        <v>2946</v>
      </c>
      <c r="E556" s="247" t="s">
        <v>3196</v>
      </c>
      <c r="F556" s="247" t="s">
        <v>3178</v>
      </c>
      <c r="G556" s="247" t="s">
        <v>3179</v>
      </c>
      <c r="H556" s="247" t="s">
        <v>3180</v>
      </c>
    </row>
    <row r="557" spans="1:8" ht="15" customHeight="1" x14ac:dyDescent="0.2">
      <c r="A557" s="41" t="s">
        <v>4173</v>
      </c>
      <c r="B557" s="266" t="s">
        <v>3314</v>
      </c>
      <c r="C557" s="247" t="s">
        <v>2541</v>
      </c>
      <c r="D557" s="247" t="s">
        <v>3377</v>
      </c>
      <c r="E557" s="247" t="s">
        <v>3196</v>
      </c>
      <c r="F557" s="247" t="s">
        <v>3178</v>
      </c>
      <c r="G557" s="247" t="s">
        <v>3179</v>
      </c>
      <c r="H557" s="247" t="s">
        <v>3180</v>
      </c>
    </row>
    <row r="558" spans="1:8" ht="15" customHeight="1" x14ac:dyDescent="0.2">
      <c r="A558" s="41" t="s">
        <v>4181</v>
      </c>
      <c r="B558" s="266" t="s">
        <v>3314</v>
      </c>
      <c r="C558" s="247" t="s">
        <v>2548</v>
      </c>
      <c r="D558" s="247" t="s">
        <v>3382</v>
      </c>
      <c r="E558" s="247" t="s">
        <v>3196</v>
      </c>
      <c r="F558" s="247" t="s">
        <v>3178</v>
      </c>
      <c r="G558" s="247" t="s">
        <v>3179</v>
      </c>
      <c r="H558" s="247" t="s">
        <v>3180</v>
      </c>
    </row>
    <row r="559" spans="1:8" ht="15" customHeight="1" x14ac:dyDescent="0.2">
      <c r="A559" s="41" t="s">
        <v>4212</v>
      </c>
      <c r="B559" s="266" t="s">
        <v>3314</v>
      </c>
      <c r="C559" s="247" t="s">
        <v>2909</v>
      </c>
      <c r="D559" s="247" t="s">
        <v>3400</v>
      </c>
      <c r="E559" s="247" t="s">
        <v>3196</v>
      </c>
      <c r="F559" s="247" t="s">
        <v>3178</v>
      </c>
      <c r="G559" s="247" t="s">
        <v>3179</v>
      </c>
      <c r="H559" s="247" t="s">
        <v>3180</v>
      </c>
    </row>
    <row r="560" spans="1:8" ht="15" customHeight="1" x14ac:dyDescent="0.2">
      <c r="A560" s="41" t="s">
        <v>4171</v>
      </c>
      <c r="B560" s="266" t="s">
        <v>3314</v>
      </c>
      <c r="C560" s="247" t="s">
        <v>2399</v>
      </c>
      <c r="D560" s="247" t="s">
        <v>2398</v>
      </c>
      <c r="E560" s="247" t="s">
        <v>3196</v>
      </c>
      <c r="F560" s="247" t="s">
        <v>3178</v>
      </c>
      <c r="G560" s="247" t="s">
        <v>3179</v>
      </c>
      <c r="H560" s="247" t="s">
        <v>3180</v>
      </c>
    </row>
    <row r="561" spans="1:8" ht="15" customHeight="1" x14ac:dyDescent="0.2">
      <c r="A561" s="41" t="s">
        <v>4176</v>
      </c>
      <c r="B561" s="266" t="s">
        <v>3314</v>
      </c>
      <c r="C561" s="247" t="s">
        <v>2543</v>
      </c>
      <c r="D561" s="247" t="s">
        <v>2542</v>
      </c>
      <c r="E561" s="247" t="s">
        <v>3196</v>
      </c>
      <c r="F561" s="247" t="s">
        <v>3178</v>
      </c>
      <c r="G561" s="247" t="s">
        <v>3179</v>
      </c>
      <c r="H561" s="247" t="s">
        <v>3180</v>
      </c>
    </row>
    <row r="562" spans="1:8" ht="15" customHeight="1" x14ac:dyDescent="0.2">
      <c r="A562" s="41" t="s">
        <v>4226</v>
      </c>
      <c r="B562" s="266" t="s">
        <v>3314</v>
      </c>
      <c r="C562" s="247" t="s">
        <v>2573</v>
      </c>
      <c r="D562" s="247" t="s">
        <v>2572</v>
      </c>
      <c r="E562" s="247" t="s">
        <v>3196</v>
      </c>
      <c r="F562" s="247" t="s">
        <v>3178</v>
      </c>
      <c r="G562" s="247" t="s">
        <v>3179</v>
      </c>
      <c r="H562" s="247" t="s">
        <v>3180</v>
      </c>
    </row>
    <row r="563" spans="1:8" ht="15" customHeight="1" x14ac:dyDescent="0.2">
      <c r="A563" s="41" t="s">
        <v>4229</v>
      </c>
      <c r="B563" s="266" t="s">
        <v>3314</v>
      </c>
      <c r="C563" s="247" t="s">
        <v>2576</v>
      </c>
      <c r="D563" s="247" t="s">
        <v>3410</v>
      </c>
      <c r="E563" s="247" t="s">
        <v>3196</v>
      </c>
      <c r="F563" s="247" t="s">
        <v>3178</v>
      </c>
      <c r="G563" s="247" t="s">
        <v>3179</v>
      </c>
      <c r="H563" s="247" t="s">
        <v>3180</v>
      </c>
    </row>
    <row r="564" spans="1:8" ht="15" customHeight="1" x14ac:dyDescent="0.2">
      <c r="A564" s="41" t="s">
        <v>4206</v>
      </c>
      <c r="B564" s="266" t="s">
        <v>3314</v>
      </c>
      <c r="C564" s="247" t="s">
        <v>2905</v>
      </c>
      <c r="D564" s="247" t="s">
        <v>2904</v>
      </c>
      <c r="E564" s="247" t="s">
        <v>3196</v>
      </c>
      <c r="F564" s="247" t="s">
        <v>3178</v>
      </c>
      <c r="G564" s="247" t="s">
        <v>3179</v>
      </c>
      <c r="H564" s="247" t="s">
        <v>3180</v>
      </c>
    </row>
    <row r="565" spans="1:8" ht="15" customHeight="1" x14ac:dyDescent="0.2">
      <c r="A565" s="41" t="s">
        <v>4112</v>
      </c>
      <c r="B565" s="266" t="s">
        <v>3314</v>
      </c>
      <c r="C565" s="247" t="s">
        <v>2387</v>
      </c>
      <c r="D565" s="247" t="s">
        <v>3342</v>
      </c>
      <c r="E565" s="247" t="s">
        <v>3196</v>
      </c>
      <c r="F565" s="247" t="s">
        <v>3178</v>
      </c>
      <c r="G565" s="247" t="s">
        <v>3179</v>
      </c>
      <c r="H565" s="247" t="s">
        <v>3180</v>
      </c>
    </row>
    <row r="566" spans="1:8" ht="15" customHeight="1" x14ac:dyDescent="0.2">
      <c r="A566" s="41" t="s">
        <v>4185</v>
      </c>
      <c r="B566" s="266" t="s">
        <v>3314</v>
      </c>
      <c r="C566" s="247" t="s">
        <v>2894</v>
      </c>
      <c r="D566" s="247" t="s">
        <v>2893</v>
      </c>
      <c r="E566" s="247" t="s">
        <v>3196</v>
      </c>
      <c r="F566" s="247" t="s">
        <v>3178</v>
      </c>
      <c r="G566" s="247" t="s">
        <v>3179</v>
      </c>
      <c r="H566" s="247" t="s">
        <v>3180</v>
      </c>
    </row>
    <row r="567" spans="1:8" ht="15" customHeight="1" x14ac:dyDescent="0.2">
      <c r="A567" s="41" t="s">
        <v>4189</v>
      </c>
      <c r="B567" s="266" t="s">
        <v>3314</v>
      </c>
      <c r="C567" s="247" t="s">
        <v>2401</v>
      </c>
      <c r="D567" s="247" t="s">
        <v>2400</v>
      </c>
      <c r="E567" s="247" t="s">
        <v>3196</v>
      </c>
      <c r="F567" s="247" t="s">
        <v>3178</v>
      </c>
      <c r="G567" s="247" t="s">
        <v>3179</v>
      </c>
      <c r="H567" s="247" t="s">
        <v>3180</v>
      </c>
    </row>
    <row r="568" spans="1:8" ht="15" customHeight="1" x14ac:dyDescent="0.2">
      <c r="A568" s="41" t="s">
        <v>4184</v>
      </c>
      <c r="B568" s="266" t="s">
        <v>3314</v>
      </c>
      <c r="C568" s="247" t="s">
        <v>2551</v>
      </c>
      <c r="D568" s="247" t="s">
        <v>3385</v>
      </c>
      <c r="E568" s="247" t="s">
        <v>3196</v>
      </c>
      <c r="F568" s="247" t="s">
        <v>3178</v>
      </c>
      <c r="G568" s="247" t="s">
        <v>3179</v>
      </c>
      <c r="H568" s="247" t="s">
        <v>3180</v>
      </c>
    </row>
    <row r="569" spans="1:8" ht="15" customHeight="1" x14ac:dyDescent="0.2">
      <c r="A569" s="41" t="s">
        <v>4088</v>
      </c>
      <c r="B569" s="266" t="s">
        <v>3314</v>
      </c>
      <c r="C569" s="247" t="s">
        <v>2833</v>
      </c>
      <c r="D569" s="247" t="s">
        <v>2832</v>
      </c>
      <c r="E569" s="247" t="s">
        <v>3196</v>
      </c>
      <c r="F569" s="247" t="s">
        <v>3178</v>
      </c>
      <c r="G569" s="247" t="s">
        <v>3179</v>
      </c>
      <c r="H569" s="247" t="s">
        <v>3180</v>
      </c>
    </row>
    <row r="570" spans="1:8" ht="15" customHeight="1" x14ac:dyDescent="0.2">
      <c r="A570" s="41" t="s">
        <v>4219</v>
      </c>
      <c r="B570" s="266" t="s">
        <v>3314</v>
      </c>
      <c r="C570" s="247" t="s">
        <v>2566</v>
      </c>
      <c r="D570" s="247" t="s">
        <v>3406</v>
      </c>
      <c r="E570" s="247" t="s">
        <v>3196</v>
      </c>
      <c r="F570" s="247" t="s">
        <v>3178</v>
      </c>
      <c r="G570" s="247" t="s">
        <v>3179</v>
      </c>
      <c r="H570" s="247" t="s">
        <v>3180</v>
      </c>
    </row>
    <row r="571" spans="1:8" ht="15" customHeight="1" x14ac:dyDescent="0.2">
      <c r="A571" s="41" t="s">
        <v>4218</v>
      </c>
      <c r="B571" s="266" t="s">
        <v>3314</v>
      </c>
      <c r="C571" s="247" t="s">
        <v>2565</v>
      </c>
      <c r="D571" s="247" t="s">
        <v>3405</v>
      </c>
      <c r="E571" s="247" t="s">
        <v>3196</v>
      </c>
      <c r="F571" s="247" t="s">
        <v>3178</v>
      </c>
      <c r="G571" s="247" t="s">
        <v>3179</v>
      </c>
      <c r="H571" s="247" t="s">
        <v>3180</v>
      </c>
    </row>
    <row r="572" spans="1:8" ht="15" customHeight="1" x14ac:dyDescent="0.2">
      <c r="A572" s="41" t="s">
        <v>4193</v>
      </c>
      <c r="B572" s="266" t="s">
        <v>3314</v>
      </c>
      <c r="C572" s="247" t="s">
        <v>2311</v>
      </c>
      <c r="D572" s="247" t="s">
        <v>2310</v>
      </c>
      <c r="E572" s="247" t="s">
        <v>3196</v>
      </c>
      <c r="F572" s="247" t="s">
        <v>3178</v>
      </c>
      <c r="G572" s="247" t="s">
        <v>3179</v>
      </c>
      <c r="H572" s="247" t="s">
        <v>3180</v>
      </c>
    </row>
    <row r="573" spans="1:8" ht="15" customHeight="1" x14ac:dyDescent="0.2">
      <c r="A573" s="41" t="s">
        <v>4194</v>
      </c>
      <c r="B573" s="266" t="s">
        <v>3314</v>
      </c>
      <c r="C573" s="247" t="s">
        <v>2556</v>
      </c>
      <c r="D573" s="247" t="s">
        <v>2555</v>
      </c>
      <c r="E573" s="247" t="s">
        <v>3196</v>
      </c>
      <c r="F573" s="247" t="s">
        <v>3178</v>
      </c>
      <c r="G573" s="247" t="s">
        <v>3179</v>
      </c>
      <c r="H573" s="247" t="s">
        <v>3180</v>
      </c>
    </row>
    <row r="574" spans="1:8" ht="15" customHeight="1" x14ac:dyDescent="0.2">
      <c r="A574" s="41" t="s">
        <v>4144</v>
      </c>
      <c r="B574" s="266" t="s">
        <v>3314</v>
      </c>
      <c r="C574" s="247" t="s">
        <v>2223</v>
      </c>
      <c r="D574" s="247" t="s">
        <v>3361</v>
      </c>
      <c r="E574" s="247" t="s">
        <v>3196</v>
      </c>
      <c r="F574" s="247" t="s">
        <v>3178</v>
      </c>
      <c r="G574" s="247" t="s">
        <v>3179</v>
      </c>
      <c r="H574" s="247" t="s">
        <v>3180</v>
      </c>
    </row>
    <row r="575" spans="1:8" ht="15" customHeight="1" x14ac:dyDescent="0.2">
      <c r="A575" s="41" t="s">
        <v>4238</v>
      </c>
      <c r="B575" s="266" t="s">
        <v>3314</v>
      </c>
      <c r="C575" s="247" t="s">
        <v>2934</v>
      </c>
      <c r="D575" s="247" t="s">
        <v>2933</v>
      </c>
      <c r="E575" s="247" t="s">
        <v>3196</v>
      </c>
      <c r="F575" s="247" t="s">
        <v>3178</v>
      </c>
      <c r="G575" s="247" t="s">
        <v>3179</v>
      </c>
      <c r="H575" s="247" t="s">
        <v>3180</v>
      </c>
    </row>
    <row r="576" spans="1:8" ht="15" customHeight="1" x14ac:dyDescent="0.2">
      <c r="A576" s="41" t="s">
        <v>4180</v>
      </c>
      <c r="B576" s="266" t="s">
        <v>3314</v>
      </c>
      <c r="C576" s="247" t="s">
        <v>2547</v>
      </c>
      <c r="D576" s="247" t="s">
        <v>2546</v>
      </c>
      <c r="E576" s="247" t="s">
        <v>3196</v>
      </c>
      <c r="F576" s="247" t="s">
        <v>3178</v>
      </c>
      <c r="G576" s="247" t="s">
        <v>3179</v>
      </c>
      <c r="H576" s="247" t="s">
        <v>3180</v>
      </c>
    </row>
    <row r="577" spans="1:8" ht="15" customHeight="1" x14ac:dyDescent="0.2">
      <c r="A577" s="41" t="s">
        <v>4182</v>
      </c>
      <c r="B577" s="266" t="s">
        <v>3314</v>
      </c>
      <c r="C577" s="247" t="s">
        <v>2549</v>
      </c>
      <c r="D577" s="247" t="s">
        <v>3383</v>
      </c>
      <c r="E577" s="247" t="s">
        <v>3196</v>
      </c>
      <c r="F577" s="247" t="s">
        <v>3178</v>
      </c>
      <c r="G577" s="247" t="s">
        <v>3179</v>
      </c>
      <c r="H577" s="247" t="s">
        <v>3180</v>
      </c>
    </row>
    <row r="578" spans="1:8" ht="15" customHeight="1" x14ac:dyDescent="0.2">
      <c r="A578" s="41" t="s">
        <v>4191</v>
      </c>
      <c r="B578" s="266" t="s">
        <v>3314</v>
      </c>
      <c r="C578" s="247" t="s">
        <v>2403</v>
      </c>
      <c r="D578" s="247" t="s">
        <v>2402</v>
      </c>
      <c r="E578" s="247" t="s">
        <v>3196</v>
      </c>
      <c r="F578" s="247" t="s">
        <v>3178</v>
      </c>
      <c r="G578" s="247" t="s">
        <v>3179</v>
      </c>
      <c r="H578" s="247" t="s">
        <v>3180</v>
      </c>
    </row>
    <row r="579" spans="1:8" ht="15" customHeight="1" x14ac:dyDescent="0.2">
      <c r="A579" s="41" t="s">
        <v>4217</v>
      </c>
      <c r="B579" s="266" t="s">
        <v>3314</v>
      </c>
      <c r="C579" s="247" t="s">
        <v>2564</v>
      </c>
      <c r="D579" s="247" t="s">
        <v>3404</v>
      </c>
      <c r="E579" s="247" t="s">
        <v>3196</v>
      </c>
      <c r="F579" s="247" t="s">
        <v>3178</v>
      </c>
      <c r="G579" s="247" t="s">
        <v>3179</v>
      </c>
      <c r="H579" s="247" t="s">
        <v>3180</v>
      </c>
    </row>
    <row r="580" spans="1:8" ht="15" customHeight="1" x14ac:dyDescent="0.2">
      <c r="A580" s="41" t="s">
        <v>4170</v>
      </c>
      <c r="B580" s="266" t="s">
        <v>3314</v>
      </c>
      <c r="C580" s="247" t="s">
        <v>2397</v>
      </c>
      <c r="D580" s="247" t="s">
        <v>3376</v>
      </c>
      <c r="E580" s="247" t="s">
        <v>3196</v>
      </c>
      <c r="F580" s="247" t="s">
        <v>3178</v>
      </c>
      <c r="G580" s="247" t="s">
        <v>3179</v>
      </c>
      <c r="H580" s="247" t="s">
        <v>3180</v>
      </c>
    </row>
    <row r="581" spans="1:8" ht="15" customHeight="1" x14ac:dyDescent="0.2">
      <c r="A581" s="41" t="s">
        <v>4121</v>
      </c>
      <c r="B581" s="266" t="s">
        <v>3314</v>
      </c>
      <c r="C581" s="247" t="s">
        <v>2079</v>
      </c>
      <c r="D581" s="247" t="s">
        <v>3349</v>
      </c>
      <c r="E581" s="247" t="s">
        <v>3196</v>
      </c>
      <c r="F581" s="247" t="s">
        <v>3178</v>
      </c>
      <c r="G581" s="247" t="s">
        <v>3179</v>
      </c>
      <c r="H581" s="247" t="s">
        <v>3180</v>
      </c>
    </row>
    <row r="582" spans="1:8" ht="15" customHeight="1" x14ac:dyDescent="0.2">
      <c r="A582" s="41" t="s">
        <v>4161</v>
      </c>
      <c r="B582" s="266" t="s">
        <v>3314</v>
      </c>
      <c r="C582" s="247" t="s">
        <v>2128</v>
      </c>
      <c r="D582" s="247" t="s">
        <v>3369</v>
      </c>
      <c r="E582" s="247" t="s">
        <v>3196</v>
      </c>
      <c r="F582" s="247" t="s">
        <v>3178</v>
      </c>
      <c r="G582" s="247" t="s">
        <v>3179</v>
      </c>
      <c r="H582" s="247" t="s">
        <v>3180</v>
      </c>
    </row>
    <row r="583" spans="1:8" ht="15" customHeight="1" x14ac:dyDescent="0.2">
      <c r="A583" s="41" t="s">
        <v>4175</v>
      </c>
      <c r="B583" s="266" t="s">
        <v>3314</v>
      </c>
      <c r="C583" s="247" t="s">
        <v>2308</v>
      </c>
      <c r="D583" s="247" t="s">
        <v>3378</v>
      </c>
      <c r="E583" s="247" t="s">
        <v>3196</v>
      </c>
      <c r="F583" s="247" t="s">
        <v>3178</v>
      </c>
      <c r="G583" s="247" t="s">
        <v>3179</v>
      </c>
      <c r="H583" s="247" t="s">
        <v>3180</v>
      </c>
    </row>
    <row r="584" spans="1:8" ht="15" customHeight="1" x14ac:dyDescent="0.2">
      <c r="A584" s="41" t="s">
        <v>4195</v>
      </c>
      <c r="B584" s="266" t="s">
        <v>3314</v>
      </c>
      <c r="C584" s="247" t="s">
        <v>2312</v>
      </c>
      <c r="D584" s="247" t="s">
        <v>3389</v>
      </c>
      <c r="E584" s="247" t="s">
        <v>3196</v>
      </c>
      <c r="F584" s="247" t="s">
        <v>3178</v>
      </c>
      <c r="G584" s="247" t="s">
        <v>3179</v>
      </c>
      <c r="H584" s="247" t="s">
        <v>3180</v>
      </c>
    </row>
    <row r="585" spans="1:8" ht="15" customHeight="1" x14ac:dyDescent="0.2">
      <c r="A585" s="41" t="s">
        <v>4145</v>
      </c>
      <c r="B585" s="266" t="s">
        <v>3314</v>
      </c>
      <c r="C585" s="247" t="s">
        <v>2224</v>
      </c>
      <c r="D585" s="247" t="s">
        <v>3362</v>
      </c>
      <c r="E585" s="247" t="s">
        <v>3196</v>
      </c>
      <c r="F585" s="247" t="s">
        <v>3178</v>
      </c>
      <c r="G585" s="247" t="s">
        <v>3179</v>
      </c>
      <c r="H585" s="247" t="s">
        <v>3180</v>
      </c>
    </row>
    <row r="586" spans="1:8" ht="15" customHeight="1" x14ac:dyDescent="0.2">
      <c r="A586" s="41" t="s">
        <v>4179</v>
      </c>
      <c r="B586" s="266" t="s">
        <v>3314</v>
      </c>
      <c r="C586" s="247" t="s">
        <v>2309</v>
      </c>
      <c r="D586" s="247" t="s">
        <v>3381</v>
      </c>
      <c r="E586" s="247" t="s">
        <v>3196</v>
      </c>
      <c r="F586" s="247" t="s">
        <v>3178</v>
      </c>
      <c r="G586" s="247" t="s">
        <v>3179</v>
      </c>
      <c r="H586" s="247" t="s">
        <v>3180</v>
      </c>
    </row>
    <row r="587" spans="1:8" ht="15" customHeight="1" x14ac:dyDescent="0.2">
      <c r="A587" s="41" t="s">
        <v>4227</v>
      </c>
      <c r="B587" s="266" t="s">
        <v>3314</v>
      </c>
      <c r="C587" s="247" t="s">
        <v>2575</v>
      </c>
      <c r="D587" s="247" t="s">
        <v>2574</v>
      </c>
      <c r="E587" s="247" t="s">
        <v>3196</v>
      </c>
      <c r="F587" s="247" t="s">
        <v>3178</v>
      </c>
      <c r="G587" s="247" t="s">
        <v>3179</v>
      </c>
      <c r="H587" s="247" t="s">
        <v>3180</v>
      </c>
    </row>
    <row r="588" spans="1:8" ht="15" customHeight="1" x14ac:dyDescent="0.2">
      <c r="A588" s="41" t="s">
        <v>4169</v>
      </c>
      <c r="B588" s="266" t="s">
        <v>3314</v>
      </c>
      <c r="C588" s="247" t="s">
        <v>2396</v>
      </c>
      <c r="D588" s="247" t="s">
        <v>3375</v>
      </c>
      <c r="E588" s="247" t="s">
        <v>3196</v>
      </c>
      <c r="F588" s="247" t="s">
        <v>3178</v>
      </c>
      <c r="G588" s="247" t="s">
        <v>3179</v>
      </c>
      <c r="H588" s="247" t="s">
        <v>3180</v>
      </c>
    </row>
    <row r="589" spans="1:8" ht="15" customHeight="1" x14ac:dyDescent="0.2">
      <c r="A589" s="41" t="s">
        <v>4124</v>
      </c>
      <c r="B589" s="266" t="s">
        <v>3314</v>
      </c>
      <c r="C589" s="247" t="s">
        <v>2048</v>
      </c>
      <c r="D589" s="247" t="s">
        <v>3352</v>
      </c>
      <c r="E589" s="247" t="s">
        <v>3196</v>
      </c>
      <c r="F589" s="247" t="s">
        <v>3178</v>
      </c>
      <c r="G589" s="247" t="s">
        <v>3179</v>
      </c>
      <c r="H589" s="247" t="s">
        <v>3180</v>
      </c>
    </row>
    <row r="590" spans="1:8" ht="15" customHeight="1" x14ac:dyDescent="0.2">
      <c r="A590" s="41" t="s">
        <v>4210</v>
      </c>
      <c r="B590" s="266" t="s">
        <v>3314</v>
      </c>
      <c r="C590" s="247" t="s">
        <v>2562</v>
      </c>
      <c r="D590" s="247" t="s">
        <v>3399</v>
      </c>
      <c r="E590" s="247" t="s">
        <v>3196</v>
      </c>
      <c r="F590" s="247" t="s">
        <v>3178</v>
      </c>
      <c r="G590" s="247" t="s">
        <v>3179</v>
      </c>
      <c r="H590" s="247" t="s">
        <v>3180</v>
      </c>
    </row>
    <row r="591" spans="1:8" ht="15" customHeight="1" x14ac:dyDescent="0.2">
      <c r="A591" s="41" t="s">
        <v>4109</v>
      </c>
      <c r="B591" s="266" t="s">
        <v>3314</v>
      </c>
      <c r="C591" s="247" t="s">
        <v>2524</v>
      </c>
      <c r="D591" s="247" t="s">
        <v>3339</v>
      </c>
      <c r="E591" s="247" t="s">
        <v>3196</v>
      </c>
      <c r="F591" s="247" t="s">
        <v>3178</v>
      </c>
      <c r="G591" s="247" t="s">
        <v>3179</v>
      </c>
      <c r="H591" s="247" t="s">
        <v>3180</v>
      </c>
    </row>
    <row r="592" spans="1:8" ht="15" customHeight="1" x14ac:dyDescent="0.2">
      <c r="A592" s="41" t="s">
        <v>4122</v>
      </c>
      <c r="B592" s="266" t="s">
        <v>3314</v>
      </c>
      <c r="C592" s="247" t="s">
        <v>2389</v>
      </c>
      <c r="D592" s="247" t="s">
        <v>3350</v>
      </c>
      <c r="E592" s="247" t="s">
        <v>3196</v>
      </c>
      <c r="F592" s="247" t="s">
        <v>3178</v>
      </c>
      <c r="G592" s="247" t="s">
        <v>3179</v>
      </c>
      <c r="H592" s="247" t="s">
        <v>3180</v>
      </c>
    </row>
    <row r="593" spans="1:8" ht="15" customHeight="1" x14ac:dyDescent="0.2">
      <c r="A593" s="41" t="s">
        <v>4196</v>
      </c>
      <c r="B593" s="266" t="s">
        <v>3314</v>
      </c>
      <c r="C593" s="247" t="s">
        <v>2405</v>
      </c>
      <c r="D593" s="247" t="s">
        <v>2404</v>
      </c>
      <c r="E593" s="247" t="s">
        <v>3196</v>
      </c>
      <c r="F593" s="247" t="s">
        <v>3178</v>
      </c>
      <c r="G593" s="247" t="s">
        <v>3179</v>
      </c>
      <c r="H593" s="247" t="s">
        <v>3180</v>
      </c>
    </row>
    <row r="594" spans="1:8" ht="15" customHeight="1" x14ac:dyDescent="0.2">
      <c r="A594" s="41" t="s">
        <v>4113</v>
      </c>
      <c r="B594" s="266" t="s">
        <v>3314</v>
      </c>
      <c r="C594" s="247" t="s">
        <v>2851</v>
      </c>
      <c r="D594" s="247" t="s">
        <v>2850</v>
      </c>
      <c r="E594" s="247" t="s">
        <v>3196</v>
      </c>
      <c r="F594" s="247" t="s">
        <v>3178</v>
      </c>
      <c r="G594" s="247" t="s">
        <v>3179</v>
      </c>
      <c r="H594" s="247" t="s">
        <v>3180</v>
      </c>
    </row>
    <row r="595" spans="1:8" ht="15" customHeight="1" x14ac:dyDescent="0.2">
      <c r="A595" s="41" t="s">
        <v>4435</v>
      </c>
      <c r="B595" s="266" t="s">
        <v>3450</v>
      </c>
      <c r="C595" s="247" t="s">
        <v>2620</v>
      </c>
      <c r="D595" s="247" t="s">
        <v>3559</v>
      </c>
      <c r="E595" s="247" t="s">
        <v>3196</v>
      </c>
      <c r="F595" s="247" t="s">
        <v>3178</v>
      </c>
      <c r="G595" s="247" t="s">
        <v>3179</v>
      </c>
      <c r="H595" s="247" t="s">
        <v>3180</v>
      </c>
    </row>
    <row r="596" spans="1:8" ht="15" customHeight="1" x14ac:dyDescent="0.2">
      <c r="A596" s="41" t="s">
        <v>4502</v>
      </c>
      <c r="B596" s="266" t="s">
        <v>3450</v>
      </c>
      <c r="C596" s="247" t="s">
        <v>3057</v>
      </c>
      <c r="D596" s="247" t="s">
        <v>3056</v>
      </c>
      <c r="E596" s="247" t="s">
        <v>3196</v>
      </c>
      <c r="F596" s="247" t="s">
        <v>3178</v>
      </c>
      <c r="G596" s="247" t="s">
        <v>3179</v>
      </c>
      <c r="H596" s="247" t="s">
        <v>3180</v>
      </c>
    </row>
    <row r="597" spans="1:8" ht="15" customHeight="1" x14ac:dyDescent="0.2">
      <c r="A597" s="41" t="s">
        <v>4441</v>
      </c>
      <c r="B597" s="266" t="s">
        <v>3450</v>
      </c>
      <c r="C597" s="247" t="s">
        <v>2995</v>
      </c>
      <c r="D597" s="247" t="s">
        <v>3562</v>
      </c>
      <c r="E597" s="247" t="s">
        <v>3196</v>
      </c>
      <c r="F597" s="247" t="s">
        <v>3178</v>
      </c>
      <c r="G597" s="247" t="s">
        <v>3179</v>
      </c>
      <c r="H597" s="247" t="s">
        <v>3180</v>
      </c>
    </row>
    <row r="598" spans="1:8" ht="15" customHeight="1" x14ac:dyDescent="0.2">
      <c r="A598" s="41" t="s">
        <v>4480</v>
      </c>
      <c r="B598" s="266" t="s">
        <v>3450</v>
      </c>
      <c r="C598" s="247" t="s">
        <v>3029</v>
      </c>
      <c r="D598" s="247" t="s">
        <v>3028</v>
      </c>
      <c r="E598" s="247" t="s">
        <v>3196</v>
      </c>
      <c r="F598" s="247" t="s">
        <v>3178</v>
      </c>
      <c r="G598" s="247" t="s">
        <v>3179</v>
      </c>
      <c r="H598" s="247" t="s">
        <v>3180</v>
      </c>
    </row>
    <row r="599" spans="1:8" ht="15" customHeight="1" x14ac:dyDescent="0.2">
      <c r="A599" s="41" t="s">
        <v>4430</v>
      </c>
      <c r="B599" s="266" t="s">
        <v>3450</v>
      </c>
      <c r="C599" s="247" t="s">
        <v>2429</v>
      </c>
      <c r="D599" s="247" t="s">
        <v>3554</v>
      </c>
      <c r="E599" s="247" t="s">
        <v>3196</v>
      </c>
      <c r="F599" s="247" t="s">
        <v>3178</v>
      </c>
      <c r="G599" s="247" t="s">
        <v>3179</v>
      </c>
      <c r="H599" s="247" t="s">
        <v>3180</v>
      </c>
    </row>
    <row r="600" spans="1:8" ht="15" customHeight="1" x14ac:dyDescent="0.2">
      <c r="A600" s="41" t="s">
        <v>4412</v>
      </c>
      <c r="B600" s="266" t="s">
        <v>3450</v>
      </c>
      <c r="C600" s="247" t="s">
        <v>2981</v>
      </c>
      <c r="D600" s="247" t="s">
        <v>2980</v>
      </c>
      <c r="E600" s="247" t="s">
        <v>3196</v>
      </c>
      <c r="F600" s="247" t="s">
        <v>3178</v>
      </c>
      <c r="G600" s="247" t="s">
        <v>3179</v>
      </c>
      <c r="H600" s="247" t="s">
        <v>3180</v>
      </c>
    </row>
    <row r="601" spans="1:8" ht="15" customHeight="1" x14ac:dyDescent="0.2">
      <c r="A601" s="41" t="s">
        <v>4487</v>
      </c>
      <c r="B601" s="266" t="s">
        <v>3450</v>
      </c>
      <c r="C601" s="247" t="s">
        <v>2638</v>
      </c>
      <c r="D601" s="247" t="s">
        <v>3592</v>
      </c>
      <c r="E601" s="247" t="s">
        <v>3196</v>
      </c>
      <c r="F601" s="247" t="s">
        <v>3178</v>
      </c>
      <c r="G601" s="247" t="s">
        <v>3179</v>
      </c>
      <c r="H601" s="247" t="s">
        <v>3180</v>
      </c>
    </row>
    <row r="602" spans="1:8" ht="15" customHeight="1" x14ac:dyDescent="0.2">
      <c r="A602" s="41" t="s">
        <v>4505</v>
      </c>
      <c r="B602" s="266" t="s">
        <v>3450</v>
      </c>
      <c r="C602" s="247" t="s">
        <v>3063</v>
      </c>
      <c r="D602" s="247" t="s">
        <v>3062</v>
      </c>
      <c r="E602" s="247" t="s">
        <v>3196</v>
      </c>
      <c r="F602" s="247" t="s">
        <v>3178</v>
      </c>
      <c r="G602" s="247" t="s">
        <v>3179</v>
      </c>
      <c r="H602" s="247" t="s">
        <v>3180</v>
      </c>
    </row>
    <row r="603" spans="1:8" ht="15" customHeight="1" x14ac:dyDescent="0.2">
      <c r="A603" s="41" t="s">
        <v>4467</v>
      </c>
      <c r="B603" s="266" t="s">
        <v>3450</v>
      </c>
      <c r="C603" s="247" t="s">
        <v>2432</v>
      </c>
      <c r="D603" s="247" t="s">
        <v>3580</v>
      </c>
      <c r="E603" s="247" t="s">
        <v>3196</v>
      </c>
      <c r="F603" s="247" t="s">
        <v>3178</v>
      </c>
      <c r="G603" s="247" t="s">
        <v>3179</v>
      </c>
      <c r="H603" s="247" t="s">
        <v>3180</v>
      </c>
    </row>
    <row r="604" spans="1:8" ht="15" customHeight="1" x14ac:dyDescent="0.2">
      <c r="A604" s="41" t="s">
        <v>4465</v>
      </c>
      <c r="B604" s="266" t="s">
        <v>3450</v>
      </c>
      <c r="C604" s="247" t="s">
        <v>3015</v>
      </c>
      <c r="D604" s="247" t="s">
        <v>3578</v>
      </c>
      <c r="E604" s="247" t="s">
        <v>3196</v>
      </c>
      <c r="F604" s="247" t="s">
        <v>3178</v>
      </c>
      <c r="G604" s="247" t="s">
        <v>3179</v>
      </c>
      <c r="H604" s="247" t="s">
        <v>3180</v>
      </c>
    </row>
    <row r="605" spans="1:8" ht="15" customHeight="1" x14ac:dyDescent="0.2">
      <c r="A605" s="41" t="s">
        <v>4463</v>
      </c>
      <c r="B605" s="266" t="s">
        <v>3450</v>
      </c>
      <c r="C605" s="247" t="s">
        <v>2629</v>
      </c>
      <c r="D605" s="247" t="s">
        <v>3577</v>
      </c>
      <c r="E605" s="247" t="s">
        <v>3196</v>
      </c>
      <c r="F605" s="247" t="s">
        <v>3178</v>
      </c>
      <c r="G605" s="247" t="s">
        <v>3179</v>
      </c>
      <c r="H605" s="247" t="s">
        <v>3180</v>
      </c>
    </row>
    <row r="606" spans="1:8" ht="15" customHeight="1" x14ac:dyDescent="0.2">
      <c r="A606" s="41" t="s">
        <v>4484</v>
      </c>
      <c r="B606" s="266" t="s">
        <v>3450</v>
      </c>
      <c r="C606" s="247" t="s">
        <v>3032</v>
      </c>
      <c r="D606" s="247" t="s">
        <v>3031</v>
      </c>
      <c r="E606" s="247" t="s">
        <v>3196</v>
      </c>
      <c r="F606" s="247" t="s">
        <v>3178</v>
      </c>
      <c r="G606" s="247" t="s">
        <v>3179</v>
      </c>
      <c r="H606" s="247" t="s">
        <v>3180</v>
      </c>
    </row>
    <row r="607" spans="1:8" ht="15" customHeight="1" x14ac:dyDescent="0.2">
      <c r="A607" s="41" t="s">
        <v>4500</v>
      </c>
      <c r="B607" s="266" t="s">
        <v>3450</v>
      </c>
      <c r="C607" s="247" t="s">
        <v>3053</v>
      </c>
      <c r="D607" s="247" t="s">
        <v>3052</v>
      </c>
      <c r="E607" s="247" t="s">
        <v>3196</v>
      </c>
      <c r="F607" s="247" t="s">
        <v>3178</v>
      </c>
      <c r="G607" s="247" t="s">
        <v>3179</v>
      </c>
      <c r="H607" s="247" t="s">
        <v>3180</v>
      </c>
    </row>
    <row r="608" spans="1:8" ht="15" customHeight="1" x14ac:dyDescent="0.2">
      <c r="A608" s="41" t="s">
        <v>4470</v>
      </c>
      <c r="B608" s="266" t="s">
        <v>3450</v>
      </c>
      <c r="C608" s="247" t="s">
        <v>2631</v>
      </c>
      <c r="D608" s="247" t="s">
        <v>3582</v>
      </c>
      <c r="E608" s="247" t="s">
        <v>3196</v>
      </c>
      <c r="F608" s="247" t="s">
        <v>3178</v>
      </c>
      <c r="G608" s="247" t="s">
        <v>3179</v>
      </c>
      <c r="H608" s="247" t="s">
        <v>3180</v>
      </c>
    </row>
    <row r="609" spans="1:8" ht="15" customHeight="1" x14ac:dyDescent="0.2">
      <c r="A609" s="41" t="s">
        <v>4413</v>
      </c>
      <c r="B609" s="266" t="s">
        <v>3450</v>
      </c>
      <c r="C609" s="247" t="s">
        <v>2983</v>
      </c>
      <c r="D609" s="247" t="s">
        <v>2982</v>
      </c>
      <c r="E609" s="247" t="s">
        <v>3196</v>
      </c>
      <c r="F609" s="247" t="s">
        <v>3178</v>
      </c>
      <c r="G609" s="247" t="s">
        <v>3179</v>
      </c>
      <c r="H609" s="247" t="s">
        <v>3180</v>
      </c>
    </row>
    <row r="610" spans="1:8" ht="15" customHeight="1" x14ac:dyDescent="0.2">
      <c r="A610" s="41" t="s">
        <v>4411</v>
      </c>
      <c r="B610" s="266" t="s">
        <v>3450</v>
      </c>
      <c r="C610" s="247" t="s">
        <v>2979</v>
      </c>
      <c r="D610" s="247" t="s">
        <v>2978</v>
      </c>
      <c r="E610" s="247" t="s">
        <v>3196</v>
      </c>
      <c r="F610" s="247" t="s">
        <v>3178</v>
      </c>
      <c r="G610" s="247" t="s">
        <v>3179</v>
      </c>
      <c r="H610" s="247" t="s">
        <v>3180</v>
      </c>
    </row>
    <row r="611" spans="1:8" ht="15" customHeight="1" x14ac:dyDescent="0.2">
      <c r="A611" s="41" t="s">
        <v>4466</v>
      </c>
      <c r="B611" s="266" t="s">
        <v>3450</v>
      </c>
      <c r="C611" s="247" t="s">
        <v>2630</v>
      </c>
      <c r="D611" s="247" t="s">
        <v>3579</v>
      </c>
      <c r="E611" s="247" t="s">
        <v>3196</v>
      </c>
      <c r="F611" s="247" t="s">
        <v>3178</v>
      </c>
      <c r="G611" s="247" t="s">
        <v>3179</v>
      </c>
      <c r="H611" s="247" t="s">
        <v>3180</v>
      </c>
    </row>
    <row r="612" spans="1:8" ht="15" customHeight="1" x14ac:dyDescent="0.2">
      <c r="A612" s="41" t="s">
        <v>4446</v>
      </c>
      <c r="B612" s="266" t="s">
        <v>3450</v>
      </c>
      <c r="C612" s="247" t="s">
        <v>2624</v>
      </c>
      <c r="D612" s="247" t="s">
        <v>3565</v>
      </c>
      <c r="E612" s="247" t="s">
        <v>3196</v>
      </c>
      <c r="F612" s="247" t="s">
        <v>3178</v>
      </c>
      <c r="G612" s="247" t="s">
        <v>3179</v>
      </c>
      <c r="H612" s="247" t="s">
        <v>3180</v>
      </c>
    </row>
    <row r="613" spans="1:8" ht="15" customHeight="1" x14ac:dyDescent="0.2">
      <c r="A613" s="41" t="s">
        <v>4447</v>
      </c>
      <c r="B613" s="266" t="s">
        <v>3450</v>
      </c>
      <c r="C613" s="247" t="s">
        <v>2324</v>
      </c>
      <c r="D613" s="247" t="s">
        <v>3566</v>
      </c>
      <c r="E613" s="247" t="s">
        <v>3196</v>
      </c>
      <c r="F613" s="247" t="s">
        <v>3178</v>
      </c>
      <c r="G613" s="247" t="s">
        <v>3179</v>
      </c>
      <c r="H613" s="247" t="s">
        <v>3180</v>
      </c>
    </row>
    <row r="614" spans="1:8" ht="15" customHeight="1" x14ac:dyDescent="0.2">
      <c r="A614" s="41" t="s">
        <v>4443</v>
      </c>
      <c r="B614" s="266" t="s">
        <v>3450</v>
      </c>
      <c r="C614" s="247" t="s">
        <v>2999</v>
      </c>
      <c r="D614" s="247" t="s">
        <v>2998</v>
      </c>
      <c r="E614" s="247" t="s">
        <v>3196</v>
      </c>
      <c r="F614" s="247" t="s">
        <v>3178</v>
      </c>
      <c r="G614" s="247" t="s">
        <v>3179</v>
      </c>
      <c r="H614" s="247" t="s">
        <v>3180</v>
      </c>
    </row>
    <row r="615" spans="1:8" ht="15" customHeight="1" x14ac:dyDescent="0.2">
      <c r="A615" s="41" t="s">
        <v>4450</v>
      </c>
      <c r="B615" s="266" t="s">
        <v>3450</v>
      </c>
      <c r="C615" s="247" t="s">
        <v>3002</v>
      </c>
      <c r="D615" s="247" t="s">
        <v>3001</v>
      </c>
      <c r="E615" s="247" t="s">
        <v>3196</v>
      </c>
      <c r="F615" s="247" t="s">
        <v>3178</v>
      </c>
      <c r="G615" s="247" t="s">
        <v>3179</v>
      </c>
      <c r="H615" s="247" t="s">
        <v>3180</v>
      </c>
    </row>
    <row r="616" spans="1:8" ht="15" customHeight="1" x14ac:dyDescent="0.2">
      <c r="A616" s="41" t="s">
        <v>4473</v>
      </c>
      <c r="B616" s="266" t="s">
        <v>3450</v>
      </c>
      <c r="C616" s="247" t="s">
        <v>2328</v>
      </c>
      <c r="D616" s="247" t="s">
        <v>3584</v>
      </c>
      <c r="E616" s="247" t="s">
        <v>3196</v>
      </c>
      <c r="F616" s="247" t="s">
        <v>3178</v>
      </c>
      <c r="G616" s="247" t="s">
        <v>3179</v>
      </c>
      <c r="H616" s="247" t="s">
        <v>3180</v>
      </c>
    </row>
    <row r="617" spans="1:8" ht="15" customHeight="1" x14ac:dyDescent="0.2">
      <c r="A617" s="41" t="s">
        <v>4410</v>
      </c>
      <c r="B617" s="266" t="s">
        <v>3450</v>
      </c>
      <c r="C617" s="247" t="s">
        <v>2771</v>
      </c>
      <c r="D617" s="247" t="s">
        <v>3539</v>
      </c>
      <c r="E617" s="247" t="s">
        <v>3196</v>
      </c>
      <c r="F617" s="247" t="s">
        <v>3178</v>
      </c>
      <c r="G617" s="247" t="s">
        <v>3179</v>
      </c>
      <c r="H617" s="247" t="s">
        <v>3180</v>
      </c>
    </row>
    <row r="618" spans="1:8" ht="15" customHeight="1" x14ac:dyDescent="0.2">
      <c r="A618" s="41" t="s">
        <v>4498</v>
      </c>
      <c r="B618" s="266" t="s">
        <v>3450</v>
      </c>
      <c r="C618" s="247" t="s">
        <v>3049</v>
      </c>
      <c r="D618" s="247" t="s">
        <v>3596</v>
      </c>
      <c r="E618" s="247" t="s">
        <v>3196</v>
      </c>
      <c r="F618" s="247" t="s">
        <v>3178</v>
      </c>
      <c r="G618" s="247" t="s">
        <v>3179</v>
      </c>
      <c r="H618" s="247" t="s">
        <v>3180</v>
      </c>
    </row>
    <row r="619" spans="1:8" ht="15" customHeight="1" x14ac:dyDescent="0.2">
      <c r="A619" s="41" t="s">
        <v>4408</v>
      </c>
      <c r="B619" s="266" t="s">
        <v>3450</v>
      </c>
      <c r="C619" s="247" t="s">
        <v>2975</v>
      </c>
      <c r="D619" s="247" t="s">
        <v>2974</v>
      </c>
      <c r="E619" s="247" t="s">
        <v>3196</v>
      </c>
      <c r="F619" s="247" t="s">
        <v>3178</v>
      </c>
      <c r="G619" s="247" t="s">
        <v>3179</v>
      </c>
      <c r="H619" s="247" t="s">
        <v>3180</v>
      </c>
    </row>
    <row r="620" spans="1:8" ht="15" customHeight="1" x14ac:dyDescent="0.2">
      <c r="A620" s="41" t="s">
        <v>4409</v>
      </c>
      <c r="B620" s="266" t="s">
        <v>3450</v>
      </c>
      <c r="C620" s="247" t="s">
        <v>2977</v>
      </c>
      <c r="D620" s="247" t="s">
        <v>2976</v>
      </c>
      <c r="E620" s="247" t="s">
        <v>3196</v>
      </c>
      <c r="F620" s="247" t="s">
        <v>3178</v>
      </c>
      <c r="G620" s="247" t="s">
        <v>3179</v>
      </c>
      <c r="H620" s="247" t="s">
        <v>3180</v>
      </c>
    </row>
    <row r="621" spans="1:8" ht="15" customHeight="1" x14ac:dyDescent="0.2">
      <c r="A621" s="41" t="s">
        <v>4416</v>
      </c>
      <c r="B621" s="266" t="s">
        <v>3450</v>
      </c>
      <c r="C621" s="247" t="s">
        <v>2427</v>
      </c>
      <c r="D621" s="247" t="s">
        <v>3541</v>
      </c>
      <c r="E621" s="247" t="s">
        <v>3196</v>
      </c>
      <c r="F621" s="247" t="s">
        <v>3178</v>
      </c>
      <c r="G621" s="247" t="s">
        <v>3179</v>
      </c>
      <c r="H621" s="247" t="s">
        <v>3180</v>
      </c>
    </row>
    <row r="622" spans="1:8" ht="15" customHeight="1" x14ac:dyDescent="0.2">
      <c r="A622" s="41" t="s">
        <v>4405</v>
      </c>
      <c r="B622" s="266" t="s">
        <v>3450</v>
      </c>
      <c r="C622" s="247" t="s">
        <v>2426</v>
      </c>
      <c r="D622" s="247" t="s">
        <v>3536</v>
      </c>
      <c r="E622" s="247" t="s">
        <v>3196</v>
      </c>
      <c r="F622" s="247" t="s">
        <v>3178</v>
      </c>
      <c r="G622" s="247" t="s">
        <v>3179</v>
      </c>
      <c r="H622" s="247" t="s">
        <v>3180</v>
      </c>
    </row>
    <row r="623" spans="1:8" ht="15" customHeight="1" x14ac:dyDescent="0.2">
      <c r="A623" s="41" t="s">
        <v>4404</v>
      </c>
      <c r="B623" s="266" t="s">
        <v>3450</v>
      </c>
      <c r="C623" s="247" t="s">
        <v>2614</v>
      </c>
      <c r="D623" s="247" t="s">
        <v>3535</v>
      </c>
      <c r="E623" s="247" t="s">
        <v>3196</v>
      </c>
      <c r="F623" s="247" t="s">
        <v>3178</v>
      </c>
      <c r="G623" s="247" t="s">
        <v>3179</v>
      </c>
      <c r="H623" s="247" t="s">
        <v>3180</v>
      </c>
    </row>
    <row r="624" spans="1:8" ht="15" customHeight="1" x14ac:dyDescent="0.2">
      <c r="A624" s="41" t="s">
        <v>4491</v>
      </c>
      <c r="B624" s="266" t="s">
        <v>3450</v>
      </c>
      <c r="C624" s="247" t="s">
        <v>3037</v>
      </c>
      <c r="D624" s="247" t="s">
        <v>3036</v>
      </c>
      <c r="E624" s="247" t="s">
        <v>3196</v>
      </c>
      <c r="F624" s="247" t="s">
        <v>3178</v>
      </c>
      <c r="G624" s="247" t="s">
        <v>3179</v>
      </c>
      <c r="H624" s="247" t="s">
        <v>3180</v>
      </c>
    </row>
    <row r="625" spans="1:8" ht="15" customHeight="1" x14ac:dyDescent="0.2">
      <c r="A625" s="41" t="s">
        <v>4492</v>
      </c>
      <c r="B625" s="266" t="s">
        <v>3450</v>
      </c>
      <c r="C625" s="247" t="s">
        <v>3038</v>
      </c>
      <c r="D625" s="247" t="s">
        <v>3595</v>
      </c>
      <c r="E625" s="247" t="s">
        <v>3196</v>
      </c>
      <c r="F625" s="247" t="s">
        <v>3178</v>
      </c>
      <c r="G625" s="247" t="s">
        <v>3179</v>
      </c>
      <c r="H625" s="247" t="s">
        <v>3180</v>
      </c>
    </row>
    <row r="626" spans="1:8" ht="15" customHeight="1" x14ac:dyDescent="0.2">
      <c r="A626" s="41" t="s">
        <v>4445</v>
      </c>
      <c r="B626" s="266" t="s">
        <v>3450</v>
      </c>
      <c r="C626" s="247" t="s">
        <v>2623</v>
      </c>
      <c r="D626" s="247" t="s">
        <v>3564</v>
      </c>
      <c r="E626" s="247" t="s">
        <v>3196</v>
      </c>
      <c r="F626" s="247" t="s">
        <v>3178</v>
      </c>
      <c r="G626" s="247" t="s">
        <v>3179</v>
      </c>
      <c r="H626" s="247" t="s">
        <v>3180</v>
      </c>
    </row>
    <row r="627" spans="1:8" ht="15" customHeight="1" x14ac:dyDescent="0.2">
      <c r="A627" s="41" t="s">
        <v>4419</v>
      </c>
      <c r="B627" s="266" t="s">
        <v>3450</v>
      </c>
      <c r="C627" s="247" t="s">
        <v>2986</v>
      </c>
      <c r="D627" s="247" t="s">
        <v>3544</v>
      </c>
      <c r="E627" s="247" t="s">
        <v>3196</v>
      </c>
      <c r="F627" s="247" t="s">
        <v>3178</v>
      </c>
      <c r="G627" s="247" t="s">
        <v>3179</v>
      </c>
      <c r="H627" s="247" t="s">
        <v>3180</v>
      </c>
    </row>
    <row r="628" spans="1:8" ht="15" customHeight="1" x14ac:dyDescent="0.2">
      <c r="A628" s="41" t="s">
        <v>4414</v>
      </c>
      <c r="B628" s="266" t="s">
        <v>3450</v>
      </c>
      <c r="C628" s="247" t="s">
        <v>2985</v>
      </c>
      <c r="D628" s="247" t="s">
        <v>2984</v>
      </c>
      <c r="E628" s="247" t="s">
        <v>3196</v>
      </c>
      <c r="F628" s="247" t="s">
        <v>3178</v>
      </c>
      <c r="G628" s="247" t="s">
        <v>3179</v>
      </c>
      <c r="H628" s="247" t="s">
        <v>3180</v>
      </c>
    </row>
    <row r="629" spans="1:8" ht="15" customHeight="1" x14ac:dyDescent="0.2">
      <c r="A629" s="41" t="s">
        <v>4511</v>
      </c>
      <c r="B629" s="266" t="s">
        <v>3450</v>
      </c>
      <c r="C629" s="247" t="s">
        <v>2641</v>
      </c>
      <c r="D629" s="247" t="s">
        <v>3599</v>
      </c>
      <c r="E629" s="247" t="s">
        <v>3196</v>
      </c>
      <c r="F629" s="247" t="s">
        <v>3178</v>
      </c>
      <c r="G629" s="247" t="s">
        <v>3179</v>
      </c>
      <c r="H629" s="247" t="s">
        <v>3180</v>
      </c>
    </row>
    <row r="630" spans="1:8" ht="15" customHeight="1" x14ac:dyDescent="0.2">
      <c r="A630" s="41" t="s">
        <v>4406</v>
      </c>
      <c r="B630" s="266" t="s">
        <v>3450</v>
      </c>
      <c r="C630" s="247" t="s">
        <v>2770</v>
      </c>
      <c r="D630" s="247" t="s">
        <v>3537</v>
      </c>
      <c r="E630" s="247" t="s">
        <v>3196</v>
      </c>
      <c r="F630" s="247" t="s">
        <v>3178</v>
      </c>
      <c r="G630" s="247" t="s">
        <v>3179</v>
      </c>
      <c r="H630" s="247" t="s">
        <v>3180</v>
      </c>
    </row>
    <row r="631" spans="1:8" ht="15" customHeight="1" x14ac:dyDescent="0.2">
      <c r="A631" s="41" t="s">
        <v>4481</v>
      </c>
      <c r="B631" s="266" t="s">
        <v>3450</v>
      </c>
      <c r="C631" s="247" t="s">
        <v>2635</v>
      </c>
      <c r="D631" s="247" t="s">
        <v>3587</v>
      </c>
      <c r="E631" s="247" t="s">
        <v>3196</v>
      </c>
      <c r="F631" s="247" t="s">
        <v>3178</v>
      </c>
      <c r="G631" s="247" t="s">
        <v>3179</v>
      </c>
      <c r="H631" s="247" t="s">
        <v>3180</v>
      </c>
    </row>
    <row r="632" spans="1:8" ht="15" customHeight="1" x14ac:dyDescent="0.2">
      <c r="A632" s="41" t="s">
        <v>4486</v>
      </c>
      <c r="B632" s="266" t="s">
        <v>3450</v>
      </c>
      <c r="C632" s="247" t="s">
        <v>2637</v>
      </c>
      <c r="D632" s="247" t="s">
        <v>3591</v>
      </c>
      <c r="E632" s="247" t="s">
        <v>3196</v>
      </c>
      <c r="F632" s="247" t="s">
        <v>3178</v>
      </c>
      <c r="G632" s="247" t="s">
        <v>3179</v>
      </c>
      <c r="H632" s="247" t="s">
        <v>3180</v>
      </c>
    </row>
    <row r="633" spans="1:8" ht="15" customHeight="1" x14ac:dyDescent="0.2">
      <c r="A633" s="41" t="s">
        <v>4485</v>
      </c>
      <c r="B633" s="266" t="s">
        <v>3450</v>
      </c>
      <c r="C633" s="247" t="s">
        <v>3033</v>
      </c>
      <c r="D633" s="247" t="s">
        <v>3590</v>
      </c>
      <c r="E633" s="247" t="s">
        <v>3196</v>
      </c>
      <c r="F633" s="247" t="s">
        <v>3178</v>
      </c>
      <c r="G633" s="247" t="s">
        <v>3179</v>
      </c>
      <c r="H633" s="247" t="s">
        <v>3180</v>
      </c>
    </row>
    <row r="634" spans="1:8" ht="15" customHeight="1" x14ac:dyDescent="0.2">
      <c r="A634" s="41" t="s">
        <v>4429</v>
      </c>
      <c r="B634" s="266" t="s">
        <v>3450</v>
      </c>
      <c r="C634" s="247" t="s">
        <v>2988</v>
      </c>
      <c r="D634" s="247" t="s">
        <v>2987</v>
      </c>
      <c r="E634" s="247" t="s">
        <v>3196</v>
      </c>
      <c r="F634" s="247" t="s">
        <v>3178</v>
      </c>
      <c r="G634" s="247" t="s">
        <v>3179</v>
      </c>
      <c r="H634" s="247" t="s">
        <v>3180</v>
      </c>
    </row>
    <row r="635" spans="1:8" ht="15" customHeight="1" x14ac:dyDescent="0.2">
      <c r="A635" s="41" t="s">
        <v>4524</v>
      </c>
      <c r="B635" s="266" t="s">
        <v>3450</v>
      </c>
      <c r="C635" s="247" t="s">
        <v>3087</v>
      </c>
      <c r="D635" s="247" t="s">
        <v>3086</v>
      </c>
      <c r="E635" s="247" t="s">
        <v>3196</v>
      </c>
      <c r="F635" s="247" t="s">
        <v>3178</v>
      </c>
      <c r="G635" s="247" t="s">
        <v>3179</v>
      </c>
      <c r="H635" s="247" t="s">
        <v>3180</v>
      </c>
    </row>
    <row r="636" spans="1:8" ht="15" customHeight="1" x14ac:dyDescent="0.2">
      <c r="A636" s="41" t="s">
        <v>4440</v>
      </c>
      <c r="B636" s="266" t="s">
        <v>3450</v>
      </c>
      <c r="C636" s="247" t="s">
        <v>2994</v>
      </c>
      <c r="D636" s="247" t="s">
        <v>2993</v>
      </c>
      <c r="E636" s="247" t="s">
        <v>3196</v>
      </c>
      <c r="F636" s="247" t="s">
        <v>3178</v>
      </c>
      <c r="G636" s="247" t="s">
        <v>3179</v>
      </c>
      <c r="H636" s="247" t="s">
        <v>3180</v>
      </c>
    </row>
    <row r="637" spans="1:8" ht="15" customHeight="1" x14ac:dyDescent="0.2">
      <c r="A637" s="41" t="s">
        <v>4420</v>
      </c>
      <c r="B637" s="266" t="s">
        <v>3450</v>
      </c>
      <c r="C637" s="247" t="s">
        <v>2615</v>
      </c>
      <c r="D637" s="247" t="s">
        <v>3545</v>
      </c>
      <c r="E637" s="247" t="s">
        <v>3196</v>
      </c>
      <c r="F637" s="247" t="s">
        <v>3178</v>
      </c>
      <c r="G637" s="247" t="s">
        <v>3179</v>
      </c>
      <c r="H637" s="247" t="s">
        <v>3180</v>
      </c>
    </row>
    <row r="638" spans="1:8" ht="15" customHeight="1" x14ac:dyDescent="0.2">
      <c r="A638" s="41" t="s">
        <v>4439</v>
      </c>
      <c r="B638" s="266" t="s">
        <v>3450</v>
      </c>
      <c r="C638" s="247" t="s">
        <v>2992</v>
      </c>
      <c r="D638" s="247" t="s">
        <v>2991</v>
      </c>
      <c r="E638" s="247" t="s">
        <v>3196</v>
      </c>
      <c r="F638" s="247" t="s">
        <v>3178</v>
      </c>
      <c r="G638" s="247" t="s">
        <v>3179</v>
      </c>
      <c r="H638" s="247" t="s">
        <v>3180</v>
      </c>
    </row>
    <row r="639" spans="1:8" ht="15" customHeight="1" x14ac:dyDescent="0.2">
      <c r="A639" s="41" t="s">
        <v>4438</v>
      </c>
      <c r="B639" s="266" t="s">
        <v>3450</v>
      </c>
      <c r="C639" s="247" t="s">
        <v>2990</v>
      </c>
      <c r="D639" s="247" t="s">
        <v>2989</v>
      </c>
      <c r="E639" s="247" t="s">
        <v>3196</v>
      </c>
      <c r="F639" s="247" t="s">
        <v>3178</v>
      </c>
      <c r="G639" s="247" t="s">
        <v>3179</v>
      </c>
      <c r="H639" s="247" t="s">
        <v>3180</v>
      </c>
    </row>
    <row r="640" spans="1:8" ht="15" customHeight="1" x14ac:dyDescent="0.2">
      <c r="A640" s="41" t="s">
        <v>4436</v>
      </c>
      <c r="B640" s="266" t="s">
        <v>3450</v>
      </c>
      <c r="C640" s="247" t="s">
        <v>2621</v>
      </c>
      <c r="D640" s="247" t="s">
        <v>3560</v>
      </c>
      <c r="E640" s="247" t="s">
        <v>3196</v>
      </c>
      <c r="F640" s="247" t="s">
        <v>3178</v>
      </c>
      <c r="G640" s="247" t="s">
        <v>3179</v>
      </c>
      <c r="H640" s="247" t="s">
        <v>3180</v>
      </c>
    </row>
    <row r="641" spans="1:8" ht="15" customHeight="1" x14ac:dyDescent="0.2">
      <c r="A641" s="41" t="s">
        <v>4417</v>
      </c>
      <c r="B641" s="266" t="s">
        <v>3450</v>
      </c>
      <c r="C641" s="247" t="s">
        <v>2773</v>
      </c>
      <c r="D641" s="247" t="s">
        <v>3542</v>
      </c>
      <c r="E641" s="247" t="s">
        <v>3196</v>
      </c>
      <c r="F641" s="247" t="s">
        <v>3178</v>
      </c>
      <c r="G641" s="247" t="s">
        <v>3179</v>
      </c>
      <c r="H641" s="247" t="s">
        <v>3180</v>
      </c>
    </row>
    <row r="642" spans="1:8" ht="15" customHeight="1" x14ac:dyDescent="0.2">
      <c r="A642" s="41" t="s">
        <v>4432</v>
      </c>
      <c r="B642" s="266" t="s">
        <v>3450</v>
      </c>
      <c r="C642" s="247" t="s">
        <v>2430</v>
      </c>
      <c r="D642" s="247" t="s">
        <v>3556</v>
      </c>
      <c r="E642" s="247" t="s">
        <v>3196</v>
      </c>
      <c r="F642" s="247" t="s">
        <v>3178</v>
      </c>
      <c r="G642" s="247" t="s">
        <v>3179</v>
      </c>
      <c r="H642" s="247" t="s">
        <v>3180</v>
      </c>
    </row>
    <row r="643" spans="1:8" ht="15" customHeight="1" x14ac:dyDescent="0.2">
      <c r="A643" s="41" t="s">
        <v>4475</v>
      </c>
      <c r="B643" s="266" t="s">
        <v>3450</v>
      </c>
      <c r="C643" s="247" t="s">
        <v>2330</v>
      </c>
      <c r="D643" s="247" t="s">
        <v>2329</v>
      </c>
      <c r="E643" s="247" t="s">
        <v>3196</v>
      </c>
      <c r="F643" s="247" t="s">
        <v>3178</v>
      </c>
      <c r="G643" s="247" t="s">
        <v>3179</v>
      </c>
      <c r="H643" s="247" t="s">
        <v>3180</v>
      </c>
    </row>
    <row r="644" spans="1:8" ht="15" customHeight="1" x14ac:dyDescent="0.2">
      <c r="A644" s="41" t="s">
        <v>4468</v>
      </c>
      <c r="B644" s="266" t="s">
        <v>3450</v>
      </c>
      <c r="C644" s="247" t="s">
        <v>3016</v>
      </c>
      <c r="D644" s="247" t="s">
        <v>3581</v>
      </c>
      <c r="E644" s="247" t="s">
        <v>3196</v>
      </c>
      <c r="F644" s="247" t="s">
        <v>3178</v>
      </c>
      <c r="G644" s="247" t="s">
        <v>3179</v>
      </c>
      <c r="H644" s="247" t="s">
        <v>3180</v>
      </c>
    </row>
    <row r="645" spans="1:8" ht="15" customHeight="1" x14ac:dyDescent="0.2">
      <c r="A645" s="41" t="s">
        <v>4469</v>
      </c>
      <c r="B645" s="266" t="s">
        <v>3450</v>
      </c>
      <c r="C645" s="247" t="s">
        <v>3018</v>
      </c>
      <c r="D645" s="247" t="s">
        <v>3017</v>
      </c>
      <c r="E645" s="247" t="s">
        <v>3196</v>
      </c>
      <c r="F645" s="247" t="s">
        <v>3178</v>
      </c>
      <c r="G645" s="247" t="s">
        <v>3179</v>
      </c>
      <c r="H645" s="247" t="s">
        <v>3180</v>
      </c>
    </row>
    <row r="646" spans="1:8" ht="15" customHeight="1" x14ac:dyDescent="0.2">
      <c r="A646" s="41" t="s">
        <v>4496</v>
      </c>
      <c r="B646" s="266" t="s">
        <v>3450</v>
      </c>
      <c r="C646" s="247" t="s">
        <v>3046</v>
      </c>
      <c r="D646" s="247" t="s">
        <v>3045</v>
      </c>
      <c r="E646" s="247" t="s">
        <v>3196</v>
      </c>
      <c r="F646" s="247" t="s">
        <v>3178</v>
      </c>
      <c r="G646" s="247" t="s">
        <v>3179</v>
      </c>
      <c r="H646" s="247" t="s">
        <v>3180</v>
      </c>
    </row>
    <row r="647" spans="1:8" ht="15" customHeight="1" x14ac:dyDescent="0.2">
      <c r="A647" s="41" t="s">
        <v>4495</v>
      </c>
      <c r="B647" s="266" t="s">
        <v>3450</v>
      </c>
      <c r="C647" s="247" t="s">
        <v>3044</v>
      </c>
      <c r="D647" s="247" t="s">
        <v>3043</v>
      </c>
      <c r="E647" s="247" t="s">
        <v>3196</v>
      </c>
      <c r="F647" s="247" t="s">
        <v>3178</v>
      </c>
      <c r="G647" s="247" t="s">
        <v>3179</v>
      </c>
      <c r="H647" s="247" t="s">
        <v>3180</v>
      </c>
    </row>
    <row r="648" spans="1:8" ht="15" customHeight="1" x14ac:dyDescent="0.2">
      <c r="A648" s="41" t="s">
        <v>4452</v>
      </c>
      <c r="B648" s="266" t="s">
        <v>3450</v>
      </c>
      <c r="C648" s="247" t="s">
        <v>3003</v>
      </c>
      <c r="D648" s="247" t="s">
        <v>3570</v>
      </c>
      <c r="E648" s="247" t="s">
        <v>3196</v>
      </c>
      <c r="F648" s="247" t="s">
        <v>3178</v>
      </c>
      <c r="G648" s="247" t="s">
        <v>3179</v>
      </c>
      <c r="H648" s="247" t="s">
        <v>3180</v>
      </c>
    </row>
    <row r="649" spans="1:8" ht="15" customHeight="1" x14ac:dyDescent="0.2">
      <c r="A649" s="41" t="s">
        <v>4460</v>
      </c>
      <c r="B649" s="266" t="s">
        <v>3450</v>
      </c>
      <c r="C649" s="247" t="s">
        <v>2326</v>
      </c>
      <c r="D649" s="247" t="s">
        <v>3574</v>
      </c>
      <c r="E649" s="247" t="s">
        <v>3196</v>
      </c>
      <c r="F649" s="247" t="s">
        <v>3178</v>
      </c>
      <c r="G649" s="247" t="s">
        <v>3179</v>
      </c>
      <c r="H649" s="247" t="s">
        <v>3180</v>
      </c>
    </row>
    <row r="650" spans="1:8" ht="15" customHeight="1" x14ac:dyDescent="0.2">
      <c r="A650" s="41" t="s">
        <v>4477</v>
      </c>
      <c r="B650" s="266" t="s">
        <v>3450</v>
      </c>
      <c r="C650" s="247" t="s">
        <v>2633</v>
      </c>
      <c r="D650" s="247" t="s">
        <v>3585</v>
      </c>
      <c r="E650" s="247" t="s">
        <v>3196</v>
      </c>
      <c r="F650" s="247" t="s">
        <v>3178</v>
      </c>
      <c r="G650" s="247" t="s">
        <v>3179</v>
      </c>
      <c r="H650" s="247" t="s">
        <v>3180</v>
      </c>
    </row>
    <row r="651" spans="1:8" ht="15" customHeight="1" x14ac:dyDescent="0.2">
      <c r="A651" s="41" t="s">
        <v>4535</v>
      </c>
      <c r="B651" s="266" t="s">
        <v>3450</v>
      </c>
      <c r="C651" s="247" t="s">
        <v>3103</v>
      </c>
      <c r="D651" s="247" t="s">
        <v>3102</v>
      </c>
      <c r="E651" s="247" t="s">
        <v>3196</v>
      </c>
      <c r="F651" s="247" t="s">
        <v>3178</v>
      </c>
      <c r="G651" s="247" t="s">
        <v>3179</v>
      </c>
      <c r="H651" s="247" t="s">
        <v>3180</v>
      </c>
    </row>
    <row r="652" spans="1:8" ht="15" customHeight="1" x14ac:dyDescent="0.2">
      <c r="A652" s="41" t="s">
        <v>4415</v>
      </c>
      <c r="B652" s="266" t="s">
        <v>3450</v>
      </c>
      <c r="C652" s="247" t="s">
        <v>2772</v>
      </c>
      <c r="D652" s="247" t="s">
        <v>3540</v>
      </c>
      <c r="E652" s="247" t="s">
        <v>3196</v>
      </c>
      <c r="F652" s="247" t="s">
        <v>3178</v>
      </c>
      <c r="G652" s="247" t="s">
        <v>3179</v>
      </c>
      <c r="H652" s="247" t="s">
        <v>3180</v>
      </c>
    </row>
    <row r="653" spans="1:8" ht="15" customHeight="1" x14ac:dyDescent="0.2">
      <c r="A653" s="41" t="s">
        <v>4474</v>
      </c>
      <c r="B653" s="266" t="s">
        <v>3450</v>
      </c>
      <c r="C653" s="247" t="s">
        <v>3023</v>
      </c>
      <c r="D653" s="247" t="s">
        <v>3022</v>
      </c>
      <c r="E653" s="247" t="s">
        <v>3196</v>
      </c>
      <c r="F653" s="247" t="s">
        <v>3178</v>
      </c>
      <c r="G653" s="247" t="s">
        <v>3179</v>
      </c>
      <c r="H653" s="247" t="s">
        <v>3180</v>
      </c>
    </row>
    <row r="654" spans="1:8" ht="15" customHeight="1" x14ac:dyDescent="0.2">
      <c r="A654" s="41" t="s">
        <v>4248</v>
      </c>
      <c r="B654" s="266" t="s">
        <v>3314</v>
      </c>
      <c r="C654" s="247" t="s">
        <v>3019</v>
      </c>
      <c r="D654" s="247" t="s">
        <v>3415</v>
      </c>
      <c r="E654" s="247" t="s">
        <v>3196</v>
      </c>
      <c r="F654" s="247" t="s">
        <v>3178</v>
      </c>
      <c r="G654" s="247" t="s">
        <v>3179</v>
      </c>
      <c r="H654" s="247" t="s">
        <v>3180</v>
      </c>
    </row>
    <row r="655" spans="1:8" ht="15" customHeight="1" x14ac:dyDescent="0.2">
      <c r="A655" s="41" t="s">
        <v>4512</v>
      </c>
      <c r="B655" s="266" t="s">
        <v>3450</v>
      </c>
      <c r="C655" s="247" t="s">
        <v>3071</v>
      </c>
      <c r="D655" s="247" t="s">
        <v>3070</v>
      </c>
      <c r="E655" s="247" t="s">
        <v>3196</v>
      </c>
      <c r="F655" s="247" t="s">
        <v>3178</v>
      </c>
      <c r="G655" s="247" t="s">
        <v>3179</v>
      </c>
      <c r="H655" s="247" t="s">
        <v>3180</v>
      </c>
    </row>
    <row r="656" spans="1:8" ht="15" customHeight="1" x14ac:dyDescent="0.2">
      <c r="A656" s="41" t="s">
        <v>4499</v>
      </c>
      <c r="B656" s="266" t="s">
        <v>3450</v>
      </c>
      <c r="C656" s="247" t="s">
        <v>3051</v>
      </c>
      <c r="D656" s="247" t="s">
        <v>3050</v>
      </c>
      <c r="E656" s="247" t="s">
        <v>3196</v>
      </c>
      <c r="F656" s="247" t="s">
        <v>3178</v>
      </c>
      <c r="G656" s="247" t="s">
        <v>3179</v>
      </c>
      <c r="H656" s="247" t="s">
        <v>3180</v>
      </c>
    </row>
    <row r="657" spans="1:8" ht="15" customHeight="1" x14ac:dyDescent="0.2">
      <c r="A657" s="41" t="s">
        <v>4523</v>
      </c>
      <c r="B657" s="266" t="s">
        <v>3450</v>
      </c>
      <c r="C657" s="247" t="s">
        <v>3085</v>
      </c>
      <c r="D657" s="247" t="s">
        <v>3084</v>
      </c>
      <c r="E657" s="247" t="s">
        <v>3196</v>
      </c>
      <c r="F657" s="247" t="s">
        <v>3178</v>
      </c>
      <c r="G657" s="247" t="s">
        <v>3179</v>
      </c>
      <c r="H657" s="247" t="s">
        <v>3180</v>
      </c>
    </row>
    <row r="658" spans="1:8" ht="15" customHeight="1" x14ac:dyDescent="0.2">
      <c r="A658" s="41" t="s">
        <v>4092</v>
      </c>
      <c r="B658" s="266" t="s">
        <v>3314</v>
      </c>
      <c r="C658" s="247" t="s">
        <v>2837</v>
      </c>
      <c r="D658" s="247" t="s">
        <v>2836</v>
      </c>
      <c r="E658" s="247" t="s">
        <v>3196</v>
      </c>
      <c r="F658" s="247" t="s">
        <v>3178</v>
      </c>
      <c r="G658" s="247" t="s">
        <v>3179</v>
      </c>
      <c r="H658" s="247" t="s">
        <v>3180</v>
      </c>
    </row>
    <row r="659" spans="1:8" ht="15" customHeight="1" x14ac:dyDescent="0.2">
      <c r="A659" s="41" t="s">
        <v>4045</v>
      </c>
      <c r="B659" s="266" t="s">
        <v>3314</v>
      </c>
      <c r="C659" s="247" t="s">
        <v>2209</v>
      </c>
      <c r="D659" s="247" t="s">
        <v>2208</v>
      </c>
      <c r="E659" s="247" t="s">
        <v>3196</v>
      </c>
      <c r="F659" s="247" t="s">
        <v>3178</v>
      </c>
      <c r="G659" s="247" t="s">
        <v>3179</v>
      </c>
      <c r="H659" s="247" t="s">
        <v>3180</v>
      </c>
    </row>
    <row r="660" spans="1:8" ht="15" customHeight="1" x14ac:dyDescent="0.2">
      <c r="A660" s="41" t="s">
        <v>4536</v>
      </c>
      <c r="B660" s="266" t="s">
        <v>3450</v>
      </c>
      <c r="C660" s="247" t="s">
        <v>3105</v>
      </c>
      <c r="D660" s="247" t="s">
        <v>3104</v>
      </c>
      <c r="E660" s="247" t="s">
        <v>3196</v>
      </c>
      <c r="F660" s="247" t="s">
        <v>3178</v>
      </c>
      <c r="G660" s="247" t="s">
        <v>3179</v>
      </c>
      <c r="H660" s="247" t="s">
        <v>3180</v>
      </c>
    </row>
    <row r="661" spans="1:8" ht="15" customHeight="1" x14ac:dyDescent="0.2">
      <c r="A661" s="41" t="s">
        <v>3978</v>
      </c>
      <c r="B661" s="266" t="s">
        <v>3314</v>
      </c>
      <c r="C661" s="247" t="s">
        <v>1935</v>
      </c>
      <c r="D661" s="247" t="s">
        <v>3318</v>
      </c>
      <c r="E661" s="247" t="s">
        <v>3196</v>
      </c>
      <c r="F661" s="247" t="s">
        <v>3182</v>
      </c>
      <c r="G661" s="247" t="s">
        <v>3319</v>
      </c>
      <c r="H661" s="247" t="s">
        <v>3185</v>
      </c>
    </row>
    <row r="662" spans="1:8" ht="15" customHeight="1" x14ac:dyDescent="0.2">
      <c r="A662" s="41" t="s">
        <v>4204</v>
      </c>
      <c r="B662" s="266" t="s">
        <v>3314</v>
      </c>
      <c r="C662" s="247" t="s">
        <v>2902</v>
      </c>
      <c r="D662" s="247" t="s">
        <v>2901</v>
      </c>
      <c r="E662" s="247" t="s">
        <v>3196</v>
      </c>
      <c r="F662" s="247" t="s">
        <v>3178</v>
      </c>
      <c r="G662" s="247" t="s">
        <v>3179</v>
      </c>
      <c r="H662" s="247" t="s">
        <v>3180</v>
      </c>
    </row>
    <row r="663" spans="1:8" ht="15" customHeight="1" x14ac:dyDescent="0.2">
      <c r="A663" s="41" t="s">
        <v>4135</v>
      </c>
      <c r="B663" s="266" t="s">
        <v>3314</v>
      </c>
      <c r="C663" s="247" t="s">
        <v>2868</v>
      </c>
      <c r="D663" s="247" t="s">
        <v>2867</v>
      </c>
      <c r="E663" s="247" t="s">
        <v>3196</v>
      </c>
      <c r="F663" s="247" t="s">
        <v>3178</v>
      </c>
      <c r="G663" s="247" t="s">
        <v>3179</v>
      </c>
      <c r="H663" s="247" t="s">
        <v>3180</v>
      </c>
    </row>
    <row r="664" spans="1:8" ht="15" customHeight="1" x14ac:dyDescent="0.2">
      <c r="A664" s="41" t="s">
        <v>4152</v>
      </c>
      <c r="B664" s="266" t="s">
        <v>3314</v>
      </c>
      <c r="C664" s="247" t="s">
        <v>2880</v>
      </c>
      <c r="D664" s="247" t="s">
        <v>2879</v>
      </c>
      <c r="E664" s="247" t="s">
        <v>3196</v>
      </c>
      <c r="F664" s="247" t="s">
        <v>3178</v>
      </c>
      <c r="G664" s="247" t="s">
        <v>3179</v>
      </c>
      <c r="H664" s="247" t="s">
        <v>3180</v>
      </c>
    </row>
    <row r="665" spans="1:8" ht="15" customHeight="1" x14ac:dyDescent="0.2">
      <c r="A665" s="41" t="s">
        <v>4004</v>
      </c>
      <c r="B665" s="266" t="s">
        <v>3314</v>
      </c>
      <c r="C665" s="247" t="s">
        <v>2289</v>
      </c>
      <c r="D665" s="247" t="s">
        <v>2288</v>
      </c>
      <c r="E665" s="247" t="s">
        <v>3196</v>
      </c>
      <c r="F665" s="247" t="s">
        <v>3178</v>
      </c>
      <c r="G665" s="247" t="s">
        <v>3179</v>
      </c>
      <c r="H665" s="247" t="s">
        <v>3180</v>
      </c>
    </row>
    <row r="666" spans="1:8" ht="15" customHeight="1" x14ac:dyDescent="0.2">
      <c r="A666" s="41" t="s">
        <v>4080</v>
      </c>
      <c r="B666" s="266" t="s">
        <v>3314</v>
      </c>
      <c r="C666" s="247" t="s">
        <v>1919</v>
      </c>
      <c r="D666" s="247" t="s">
        <v>1918</v>
      </c>
      <c r="E666" s="247" t="s">
        <v>3196</v>
      </c>
      <c r="F666" s="247" t="s">
        <v>3178</v>
      </c>
      <c r="G666" s="247" t="s">
        <v>3179</v>
      </c>
      <c r="H666" s="247" t="s">
        <v>3180</v>
      </c>
    </row>
    <row r="667" spans="1:8" ht="15" customHeight="1" x14ac:dyDescent="0.2">
      <c r="A667" s="41" t="s">
        <v>4064</v>
      </c>
      <c r="B667" s="266" t="s">
        <v>3314</v>
      </c>
      <c r="C667" s="247" t="s">
        <v>1915</v>
      </c>
      <c r="D667" s="247" t="s">
        <v>1914</v>
      </c>
      <c r="E667" s="247" t="s">
        <v>3196</v>
      </c>
      <c r="F667" s="247" t="s">
        <v>3178</v>
      </c>
      <c r="G667" s="247" t="s">
        <v>3179</v>
      </c>
      <c r="H667" s="247" t="s">
        <v>3180</v>
      </c>
    </row>
    <row r="668" spans="1:8" ht="15" customHeight="1" x14ac:dyDescent="0.2">
      <c r="A668" s="41" t="s">
        <v>4065</v>
      </c>
      <c r="B668" s="266" t="s">
        <v>3314</v>
      </c>
      <c r="C668" s="247" t="s">
        <v>1917</v>
      </c>
      <c r="D668" s="247" t="s">
        <v>1916</v>
      </c>
      <c r="E668" s="247" t="s">
        <v>3196</v>
      </c>
      <c r="F668" s="247" t="s">
        <v>3178</v>
      </c>
      <c r="G668" s="247" t="s">
        <v>3179</v>
      </c>
      <c r="H668" s="247" t="s">
        <v>3180</v>
      </c>
    </row>
    <row r="669" spans="1:8" ht="15" customHeight="1" x14ac:dyDescent="0.2">
      <c r="A669" s="41" t="s">
        <v>4066</v>
      </c>
      <c r="B669" s="266" t="s">
        <v>3314</v>
      </c>
      <c r="C669" s="247" t="s">
        <v>2211</v>
      </c>
      <c r="D669" s="247" t="s">
        <v>2210</v>
      </c>
      <c r="E669" s="247" t="s">
        <v>3196</v>
      </c>
      <c r="F669" s="247" t="s">
        <v>3178</v>
      </c>
      <c r="G669" s="247" t="s">
        <v>3179</v>
      </c>
      <c r="H669" s="247" t="s">
        <v>3180</v>
      </c>
    </row>
    <row r="670" spans="1:8" ht="15" customHeight="1" x14ac:dyDescent="0.2">
      <c r="A670" s="41" t="s">
        <v>4096</v>
      </c>
      <c r="B670" s="266" t="s">
        <v>3314</v>
      </c>
      <c r="C670" s="247" t="s">
        <v>2841</v>
      </c>
      <c r="D670" s="247" t="s">
        <v>2840</v>
      </c>
      <c r="E670" s="247" t="s">
        <v>3196</v>
      </c>
      <c r="F670" s="247" t="s">
        <v>3178</v>
      </c>
      <c r="G670" s="247" t="s">
        <v>3179</v>
      </c>
      <c r="H670" s="247" t="s">
        <v>3180</v>
      </c>
    </row>
    <row r="671" spans="1:8" ht="15" customHeight="1" x14ac:dyDescent="0.2">
      <c r="A671" s="41" t="s">
        <v>4067</v>
      </c>
      <c r="B671" s="266" t="s">
        <v>3314</v>
      </c>
      <c r="C671" s="247" t="s">
        <v>2213</v>
      </c>
      <c r="D671" s="247" t="s">
        <v>2212</v>
      </c>
      <c r="E671" s="247" t="s">
        <v>3196</v>
      </c>
      <c r="F671" s="247" t="s">
        <v>3178</v>
      </c>
      <c r="G671" s="247" t="s">
        <v>3179</v>
      </c>
      <c r="H671" s="247" t="s">
        <v>3180</v>
      </c>
    </row>
    <row r="672" spans="1:8" ht="15" customHeight="1" x14ac:dyDescent="0.2">
      <c r="A672" s="41" t="s">
        <v>4111</v>
      </c>
      <c r="B672" s="266" t="s">
        <v>3314</v>
      </c>
      <c r="C672" s="247" t="s">
        <v>2740</v>
      </c>
      <c r="D672" s="247" t="s">
        <v>3341</v>
      </c>
      <c r="E672" s="247" t="s">
        <v>3196</v>
      </c>
      <c r="F672" s="247" t="s">
        <v>3178</v>
      </c>
      <c r="G672" s="247" t="s">
        <v>3179</v>
      </c>
      <c r="H672" s="247" t="s">
        <v>3180</v>
      </c>
    </row>
    <row r="673" spans="1:8" ht="15" customHeight="1" x14ac:dyDescent="0.2">
      <c r="A673" s="41" t="s">
        <v>4077</v>
      </c>
      <c r="B673" s="266" t="s">
        <v>3314</v>
      </c>
      <c r="C673" s="247" t="s">
        <v>2215</v>
      </c>
      <c r="D673" s="247" t="s">
        <v>2214</v>
      </c>
      <c r="E673" s="247" t="s">
        <v>3196</v>
      </c>
      <c r="F673" s="247" t="s">
        <v>3178</v>
      </c>
      <c r="G673" s="247" t="s">
        <v>3179</v>
      </c>
      <c r="H673" s="247" t="s">
        <v>3180</v>
      </c>
    </row>
    <row r="674" spans="1:8" ht="15" customHeight="1" x14ac:dyDescent="0.2">
      <c r="A674" s="41" t="s">
        <v>4236</v>
      </c>
      <c r="B674" s="266" t="s">
        <v>3314</v>
      </c>
      <c r="C674" s="247" t="s">
        <v>2930</v>
      </c>
      <c r="D674" s="247" t="s">
        <v>2929</v>
      </c>
      <c r="E674" s="247" t="s">
        <v>3196</v>
      </c>
      <c r="F674" s="247" t="s">
        <v>3178</v>
      </c>
      <c r="G674" s="247" t="s">
        <v>3179</v>
      </c>
      <c r="H674" s="247" t="s">
        <v>3180</v>
      </c>
    </row>
    <row r="675" spans="1:8" ht="15" customHeight="1" x14ac:dyDescent="0.2">
      <c r="A675" s="41" t="s">
        <v>4154</v>
      </c>
      <c r="B675" s="266" t="s">
        <v>3314</v>
      </c>
      <c r="C675" s="247" t="s">
        <v>2884</v>
      </c>
      <c r="D675" s="247" t="s">
        <v>2883</v>
      </c>
      <c r="E675" s="247" t="s">
        <v>3196</v>
      </c>
      <c r="F675" s="247" t="s">
        <v>3178</v>
      </c>
      <c r="G675" s="247" t="s">
        <v>3179</v>
      </c>
      <c r="H675" s="247" t="s">
        <v>3180</v>
      </c>
    </row>
    <row r="676" spans="1:8" ht="15" customHeight="1" x14ac:dyDescent="0.2">
      <c r="A676" s="41" t="s">
        <v>3981</v>
      </c>
      <c r="B676" s="266" t="s">
        <v>3314</v>
      </c>
      <c r="C676" s="247" t="s">
        <v>2022</v>
      </c>
      <c r="D676" s="247" t="s">
        <v>2021</v>
      </c>
      <c r="E676" s="247" t="s">
        <v>3196</v>
      </c>
      <c r="F676" s="247" t="s">
        <v>3178</v>
      </c>
      <c r="G676" s="247" t="s">
        <v>3179</v>
      </c>
      <c r="H676" s="247" t="s">
        <v>3180</v>
      </c>
    </row>
    <row r="677" spans="1:8" ht="15" customHeight="1" x14ac:dyDescent="0.2">
      <c r="A677" s="41" t="s">
        <v>3976</v>
      </c>
      <c r="B677" s="266" t="s">
        <v>3314</v>
      </c>
      <c r="C677" s="247" t="s">
        <v>2506</v>
      </c>
      <c r="D677" s="247" t="s">
        <v>2505</v>
      </c>
      <c r="E677" s="247" t="s">
        <v>3196</v>
      </c>
      <c r="F677" s="247" t="s">
        <v>3178</v>
      </c>
      <c r="G677" s="247" t="s">
        <v>3179</v>
      </c>
      <c r="H677" s="247" t="s">
        <v>3180</v>
      </c>
    </row>
    <row r="678" spans="1:8" ht="15" customHeight="1" x14ac:dyDescent="0.2">
      <c r="A678" s="41" t="s">
        <v>4130</v>
      </c>
      <c r="B678" s="266" t="s">
        <v>3314</v>
      </c>
      <c r="C678" s="247" t="s">
        <v>2862</v>
      </c>
      <c r="D678" s="247" t="s">
        <v>2861</v>
      </c>
      <c r="E678" s="247" t="s">
        <v>3196</v>
      </c>
      <c r="F678" s="247" t="s">
        <v>3178</v>
      </c>
      <c r="G678" s="247" t="s">
        <v>3179</v>
      </c>
      <c r="H678" s="247" t="s">
        <v>3180</v>
      </c>
    </row>
    <row r="679" spans="1:8" ht="15" customHeight="1" x14ac:dyDescent="0.2">
      <c r="A679" s="41" t="s">
        <v>4233</v>
      </c>
      <c r="B679" s="266" t="s">
        <v>3314</v>
      </c>
      <c r="C679" s="247" t="s">
        <v>2926</v>
      </c>
      <c r="D679" s="247" t="s">
        <v>2925</v>
      </c>
      <c r="E679" s="247" t="s">
        <v>3196</v>
      </c>
      <c r="F679" s="247" t="s">
        <v>3178</v>
      </c>
      <c r="G679" s="247" t="s">
        <v>3179</v>
      </c>
      <c r="H679" s="247" t="s">
        <v>3180</v>
      </c>
    </row>
    <row r="680" spans="1:8" ht="15" customHeight="1" x14ac:dyDescent="0.2">
      <c r="A680" s="41" t="s">
        <v>4192</v>
      </c>
      <c r="B680" s="266" t="s">
        <v>3314</v>
      </c>
      <c r="C680" s="247" t="s">
        <v>2898</v>
      </c>
      <c r="D680" s="247" t="s">
        <v>2897</v>
      </c>
      <c r="E680" s="247" t="s">
        <v>3196</v>
      </c>
      <c r="F680" s="247" t="s">
        <v>3178</v>
      </c>
      <c r="G680" s="247" t="s">
        <v>3179</v>
      </c>
      <c r="H680" s="247" t="s">
        <v>3180</v>
      </c>
    </row>
    <row r="681" spans="1:8" ht="15" customHeight="1" x14ac:dyDescent="0.2">
      <c r="A681" s="41" t="s">
        <v>4071</v>
      </c>
      <c r="B681" s="266" t="s">
        <v>3314</v>
      </c>
      <c r="C681" s="247" t="s">
        <v>2124</v>
      </c>
      <c r="D681" s="247" t="s">
        <v>2123</v>
      </c>
      <c r="E681" s="247" t="s">
        <v>3196</v>
      </c>
      <c r="F681" s="247" t="s">
        <v>3178</v>
      </c>
      <c r="G681" s="247" t="s">
        <v>3179</v>
      </c>
      <c r="H681" s="247" t="s">
        <v>3180</v>
      </c>
    </row>
    <row r="682" spans="1:8" ht="15" customHeight="1" x14ac:dyDescent="0.2">
      <c r="A682" s="41" t="s">
        <v>4129</v>
      </c>
      <c r="B682" s="266" t="s">
        <v>3314</v>
      </c>
      <c r="C682" s="247" t="s">
        <v>2860</v>
      </c>
      <c r="D682" s="247" t="s">
        <v>2859</v>
      </c>
      <c r="E682" s="247" t="s">
        <v>3196</v>
      </c>
      <c r="F682" s="247" t="s">
        <v>3178</v>
      </c>
      <c r="G682" s="247" t="s">
        <v>3179</v>
      </c>
      <c r="H682" s="247" t="s">
        <v>3180</v>
      </c>
    </row>
    <row r="683" spans="1:8" ht="15" customHeight="1" x14ac:dyDescent="0.2">
      <c r="A683" s="41" t="s">
        <v>3975</v>
      </c>
      <c r="B683" s="266" t="s">
        <v>3314</v>
      </c>
      <c r="C683" s="247" t="s">
        <v>2365</v>
      </c>
      <c r="D683" s="247" t="s">
        <v>2364</v>
      </c>
      <c r="E683" s="247" t="s">
        <v>3196</v>
      </c>
      <c r="F683" s="247" t="s">
        <v>3178</v>
      </c>
      <c r="G683" s="247" t="s">
        <v>3179</v>
      </c>
      <c r="H683" s="247" t="s">
        <v>3180</v>
      </c>
    </row>
    <row r="684" spans="1:8" ht="15" customHeight="1" x14ac:dyDescent="0.2">
      <c r="A684" s="41" t="s">
        <v>3973</v>
      </c>
      <c r="B684" s="266" t="s">
        <v>3314</v>
      </c>
      <c r="C684" s="247" t="s">
        <v>2504</v>
      </c>
      <c r="D684" s="247" t="s">
        <v>2503</v>
      </c>
      <c r="E684" s="247" t="s">
        <v>3196</v>
      </c>
      <c r="F684" s="247" t="s">
        <v>3178</v>
      </c>
      <c r="G684" s="247" t="s">
        <v>3179</v>
      </c>
      <c r="H684" s="247" t="s">
        <v>3180</v>
      </c>
    </row>
    <row r="685" spans="1:8" ht="15" customHeight="1" x14ac:dyDescent="0.2">
      <c r="A685" s="41" t="s">
        <v>4068</v>
      </c>
      <c r="B685" s="266" t="s">
        <v>3314</v>
      </c>
      <c r="C685" s="247" t="s">
        <v>1992</v>
      </c>
      <c r="D685" s="247" t="s">
        <v>1991</v>
      </c>
      <c r="E685" s="247" t="s">
        <v>3196</v>
      </c>
      <c r="F685" s="247" t="s">
        <v>3178</v>
      </c>
      <c r="G685" s="247" t="s">
        <v>3179</v>
      </c>
      <c r="H685" s="247" t="s">
        <v>3180</v>
      </c>
    </row>
    <row r="686" spans="1:8" ht="15" customHeight="1" x14ac:dyDescent="0.2">
      <c r="A686" s="41" t="s">
        <v>3979</v>
      </c>
      <c r="B686" s="266" t="s">
        <v>3314</v>
      </c>
      <c r="C686" s="247" t="s">
        <v>2110</v>
      </c>
      <c r="D686" s="247" t="s">
        <v>2109</v>
      </c>
      <c r="E686" s="247" t="s">
        <v>3196</v>
      </c>
      <c r="F686" s="247" t="s">
        <v>3178</v>
      </c>
      <c r="G686" s="247" t="s">
        <v>3179</v>
      </c>
      <c r="H686" s="247" t="s">
        <v>3180</v>
      </c>
    </row>
    <row r="687" spans="1:8" ht="15" customHeight="1" x14ac:dyDescent="0.2">
      <c r="A687" s="41" t="s">
        <v>4069</v>
      </c>
      <c r="B687" s="266" t="s">
        <v>3314</v>
      </c>
      <c r="C687" s="247" t="s">
        <v>1937</v>
      </c>
      <c r="D687" s="247" t="s">
        <v>1936</v>
      </c>
      <c r="E687" s="247" t="s">
        <v>3196</v>
      </c>
      <c r="F687" s="247" t="s">
        <v>3178</v>
      </c>
      <c r="G687" s="247" t="s">
        <v>3179</v>
      </c>
      <c r="H687" s="247" t="s">
        <v>3180</v>
      </c>
    </row>
    <row r="688" spans="1:8" ht="15" customHeight="1" x14ac:dyDescent="0.2">
      <c r="A688" s="41" t="s">
        <v>4029</v>
      </c>
      <c r="B688" s="266" t="s">
        <v>3314</v>
      </c>
      <c r="C688" s="247" t="s">
        <v>1977</v>
      </c>
      <c r="D688" s="247" t="s">
        <v>1976</v>
      </c>
      <c r="E688" s="247" t="s">
        <v>3196</v>
      </c>
      <c r="F688" s="247" t="s">
        <v>3178</v>
      </c>
      <c r="G688" s="247" t="s">
        <v>3179</v>
      </c>
      <c r="H688" s="247" t="s">
        <v>3180</v>
      </c>
    </row>
    <row r="689" spans="1:8" ht="15" customHeight="1" x14ac:dyDescent="0.2">
      <c r="A689" s="41" t="s">
        <v>4070</v>
      </c>
      <c r="B689" s="266" t="s">
        <v>3314</v>
      </c>
      <c r="C689" s="247" t="s">
        <v>2030</v>
      </c>
      <c r="D689" s="247" t="s">
        <v>2029</v>
      </c>
      <c r="E689" s="247" t="s">
        <v>3196</v>
      </c>
      <c r="F689" s="247" t="s">
        <v>3178</v>
      </c>
      <c r="G689" s="247" t="s">
        <v>3179</v>
      </c>
      <c r="H689" s="247" t="s">
        <v>3180</v>
      </c>
    </row>
    <row r="690" spans="1:8" ht="15" customHeight="1" x14ac:dyDescent="0.2">
      <c r="A690" s="41" t="s">
        <v>4108</v>
      </c>
      <c r="B690" s="266" t="s">
        <v>3314</v>
      </c>
      <c r="C690" s="247" t="s">
        <v>2523</v>
      </c>
      <c r="D690" s="247" t="s">
        <v>3338</v>
      </c>
      <c r="E690" s="247" t="s">
        <v>3196</v>
      </c>
      <c r="F690" s="247" t="s">
        <v>3178</v>
      </c>
      <c r="G690" s="247" t="s">
        <v>3179</v>
      </c>
      <c r="H690" s="247" t="s">
        <v>3180</v>
      </c>
    </row>
    <row r="691" spans="1:8" ht="15" customHeight="1" x14ac:dyDescent="0.2">
      <c r="A691" s="41" t="s">
        <v>4211</v>
      </c>
      <c r="B691" s="266" t="s">
        <v>3314</v>
      </c>
      <c r="C691" s="247" t="s">
        <v>2908</v>
      </c>
      <c r="D691" s="247" t="s">
        <v>2907</v>
      </c>
      <c r="E691" s="247" t="s">
        <v>3196</v>
      </c>
      <c r="F691" s="247" t="s">
        <v>3178</v>
      </c>
      <c r="G691" s="247" t="s">
        <v>3179</v>
      </c>
      <c r="H691" s="247" t="s">
        <v>3180</v>
      </c>
    </row>
    <row r="692" spans="1:8" ht="15" customHeight="1" x14ac:dyDescent="0.2">
      <c r="A692" s="41" t="s">
        <v>4032</v>
      </c>
      <c r="B692" s="266" t="s">
        <v>3314</v>
      </c>
      <c r="C692" s="247" t="s">
        <v>2722</v>
      </c>
      <c r="D692" s="247" t="s">
        <v>2721</v>
      </c>
      <c r="E692" s="247" t="s">
        <v>3196</v>
      </c>
      <c r="F692" s="247" t="s">
        <v>3178</v>
      </c>
      <c r="G692" s="247" t="s">
        <v>3179</v>
      </c>
      <c r="H692" s="247" t="s">
        <v>3180</v>
      </c>
    </row>
    <row r="693" spans="1:8" ht="15" customHeight="1" x14ac:dyDescent="0.2">
      <c r="A693" s="41" t="s">
        <v>4146</v>
      </c>
      <c r="B693" s="266" t="s">
        <v>3314</v>
      </c>
      <c r="C693" s="247" t="s">
        <v>2395</v>
      </c>
      <c r="D693" s="247" t="s">
        <v>2394</v>
      </c>
      <c r="E693" s="247" t="s">
        <v>3196</v>
      </c>
      <c r="F693" s="247" t="s">
        <v>3178</v>
      </c>
      <c r="G693" s="247" t="s">
        <v>3179</v>
      </c>
      <c r="H693" s="247" t="s">
        <v>3180</v>
      </c>
    </row>
    <row r="694" spans="1:8" ht="15" customHeight="1" x14ac:dyDescent="0.2">
      <c r="A694" s="41" t="s">
        <v>4049</v>
      </c>
      <c r="B694" s="266" t="s">
        <v>3314</v>
      </c>
      <c r="C694" s="247" t="s">
        <v>2733</v>
      </c>
      <c r="D694" s="247" t="s">
        <v>2732</v>
      </c>
      <c r="E694" s="247" t="s">
        <v>3196</v>
      </c>
      <c r="F694" s="247" t="s">
        <v>3178</v>
      </c>
      <c r="G694" s="247" t="s">
        <v>3179</v>
      </c>
      <c r="H694" s="247" t="s">
        <v>3180</v>
      </c>
    </row>
    <row r="695" spans="1:8" ht="15" customHeight="1" x14ac:dyDescent="0.2">
      <c r="A695" s="41" t="s">
        <v>4118</v>
      </c>
      <c r="B695" s="266" t="s">
        <v>3314</v>
      </c>
      <c r="C695" s="247" t="s">
        <v>2852</v>
      </c>
      <c r="D695" s="247" t="s">
        <v>3347</v>
      </c>
      <c r="E695" s="247" t="s">
        <v>3196</v>
      </c>
      <c r="F695" s="247" t="s">
        <v>3178</v>
      </c>
      <c r="G695" s="247" t="s">
        <v>3179</v>
      </c>
      <c r="H695" s="247" t="s">
        <v>3180</v>
      </c>
    </row>
    <row r="696" spans="1:8" ht="15" customHeight="1" x14ac:dyDescent="0.2">
      <c r="A696" s="41" t="s">
        <v>4100</v>
      </c>
      <c r="B696" s="266" t="s">
        <v>3314</v>
      </c>
      <c r="C696" s="247" t="s">
        <v>2047</v>
      </c>
      <c r="D696" s="247" t="s">
        <v>2046</v>
      </c>
      <c r="E696" s="247" t="s">
        <v>3196</v>
      </c>
      <c r="F696" s="247" t="s">
        <v>3178</v>
      </c>
      <c r="G696" s="247" t="s">
        <v>3179</v>
      </c>
      <c r="H696" s="247" t="s">
        <v>3180</v>
      </c>
    </row>
    <row r="697" spans="1:8" ht="15" customHeight="1" x14ac:dyDescent="0.2">
      <c r="A697" s="41" t="s">
        <v>4003</v>
      </c>
      <c r="B697" s="266" t="s">
        <v>3314</v>
      </c>
      <c r="C697" s="247" t="s">
        <v>2287</v>
      </c>
      <c r="D697" s="247" t="s">
        <v>2286</v>
      </c>
      <c r="E697" s="247" t="s">
        <v>3196</v>
      </c>
      <c r="F697" s="247" t="s">
        <v>3178</v>
      </c>
      <c r="G697" s="247" t="s">
        <v>3179</v>
      </c>
      <c r="H697" s="247" t="s">
        <v>3180</v>
      </c>
    </row>
    <row r="698" spans="1:8" ht="15" customHeight="1" x14ac:dyDescent="0.2">
      <c r="A698" s="41" t="s">
        <v>4221</v>
      </c>
      <c r="B698" s="266" t="s">
        <v>3314</v>
      </c>
      <c r="C698" s="247" t="s">
        <v>2568</v>
      </c>
      <c r="D698" s="247" t="s">
        <v>3408</v>
      </c>
      <c r="E698" s="247" t="s">
        <v>3196</v>
      </c>
      <c r="F698" s="247" t="s">
        <v>3178</v>
      </c>
      <c r="G698" s="247" t="s">
        <v>3179</v>
      </c>
      <c r="H698" s="247" t="s">
        <v>3180</v>
      </c>
    </row>
    <row r="699" spans="1:8" ht="15" customHeight="1" x14ac:dyDescent="0.2">
      <c r="A699" s="41" t="s">
        <v>3980</v>
      </c>
      <c r="B699" s="266" t="s">
        <v>3314</v>
      </c>
      <c r="C699" s="247" t="s">
        <v>2112</v>
      </c>
      <c r="D699" s="247" t="s">
        <v>2111</v>
      </c>
      <c r="E699" s="247" t="s">
        <v>3196</v>
      </c>
      <c r="F699" s="247" t="s">
        <v>3178</v>
      </c>
      <c r="G699" s="247" t="s">
        <v>3179</v>
      </c>
      <c r="H699" s="247" t="s">
        <v>3180</v>
      </c>
    </row>
    <row r="700" spans="1:8" ht="15" customHeight="1" x14ac:dyDescent="0.2">
      <c r="A700" s="41" t="s">
        <v>4021</v>
      </c>
      <c r="B700" s="266" t="s">
        <v>3314</v>
      </c>
      <c r="C700" s="247" t="s">
        <v>2716</v>
      </c>
      <c r="D700" s="247" t="s">
        <v>2715</v>
      </c>
      <c r="E700" s="247" t="s">
        <v>3196</v>
      </c>
      <c r="F700" s="247" t="s">
        <v>3178</v>
      </c>
      <c r="G700" s="247" t="s">
        <v>3179</v>
      </c>
      <c r="H700" s="247" t="s">
        <v>3180</v>
      </c>
    </row>
    <row r="701" spans="1:8" ht="15" customHeight="1" x14ac:dyDescent="0.2">
      <c r="A701" s="41" t="s">
        <v>4008</v>
      </c>
      <c r="B701" s="266" t="s">
        <v>3314</v>
      </c>
      <c r="C701" s="247" t="s">
        <v>2376</v>
      </c>
      <c r="D701" s="247" t="s">
        <v>2375</v>
      </c>
      <c r="E701" s="247" t="s">
        <v>3196</v>
      </c>
      <c r="F701" s="247" t="s">
        <v>3178</v>
      </c>
      <c r="G701" s="247" t="s">
        <v>3179</v>
      </c>
      <c r="H701" s="247" t="s">
        <v>3180</v>
      </c>
    </row>
    <row r="702" spans="1:8" ht="15" customHeight="1" x14ac:dyDescent="0.2">
      <c r="A702" s="41" t="s">
        <v>3983</v>
      </c>
      <c r="B702" s="266" t="s">
        <v>3314</v>
      </c>
      <c r="C702" s="247" t="s">
        <v>2162</v>
      </c>
      <c r="D702" s="247" t="s">
        <v>2161</v>
      </c>
      <c r="E702" s="247" t="s">
        <v>3196</v>
      </c>
      <c r="F702" s="247" t="s">
        <v>3178</v>
      </c>
      <c r="G702" s="247" t="s">
        <v>3179</v>
      </c>
      <c r="H702" s="247" t="s">
        <v>3180</v>
      </c>
    </row>
    <row r="703" spans="1:8" ht="15" customHeight="1" x14ac:dyDescent="0.2">
      <c r="A703" s="41" t="s">
        <v>3987</v>
      </c>
      <c r="B703" s="266" t="s">
        <v>3314</v>
      </c>
      <c r="C703" s="247" t="s">
        <v>2075</v>
      </c>
      <c r="D703" s="247" t="s">
        <v>2074</v>
      </c>
      <c r="E703" s="247" t="s">
        <v>3196</v>
      </c>
      <c r="F703" s="247" t="s">
        <v>3178</v>
      </c>
      <c r="G703" s="247" t="s">
        <v>3179</v>
      </c>
      <c r="H703" s="247" t="s">
        <v>3180</v>
      </c>
    </row>
    <row r="704" spans="1:8" ht="15" customHeight="1" x14ac:dyDescent="0.2">
      <c r="A704" s="41" t="s">
        <v>3995</v>
      </c>
      <c r="B704" s="266" t="s">
        <v>3314</v>
      </c>
      <c r="C704" s="247" t="s">
        <v>2202</v>
      </c>
      <c r="D704" s="247" t="s">
        <v>2201</v>
      </c>
      <c r="E704" s="247" t="s">
        <v>3196</v>
      </c>
      <c r="F704" s="247" t="s">
        <v>3178</v>
      </c>
      <c r="G704" s="247" t="s">
        <v>3179</v>
      </c>
      <c r="H704" s="247" t="s">
        <v>3180</v>
      </c>
    </row>
    <row r="705" spans="1:8" ht="15" customHeight="1" x14ac:dyDescent="0.2">
      <c r="A705" s="41" t="s">
        <v>4001</v>
      </c>
      <c r="B705" s="266" t="s">
        <v>3314</v>
      </c>
      <c r="C705" s="247" t="s">
        <v>2028</v>
      </c>
      <c r="D705" s="247" t="s">
        <v>2027</v>
      </c>
      <c r="E705" s="247" t="s">
        <v>3196</v>
      </c>
      <c r="F705" s="247" t="s">
        <v>3178</v>
      </c>
      <c r="G705" s="247" t="s">
        <v>3179</v>
      </c>
      <c r="H705" s="247" t="s">
        <v>3180</v>
      </c>
    </row>
    <row r="706" spans="1:8" ht="15" customHeight="1" x14ac:dyDescent="0.2">
      <c r="A706" s="41" t="s">
        <v>3984</v>
      </c>
      <c r="B706" s="266" t="s">
        <v>3314</v>
      </c>
      <c r="C706" s="247" t="s">
        <v>2114</v>
      </c>
      <c r="D706" s="247" t="s">
        <v>2113</v>
      </c>
      <c r="E706" s="247" t="s">
        <v>3196</v>
      </c>
      <c r="F706" s="247" t="s">
        <v>3178</v>
      </c>
      <c r="G706" s="247" t="s">
        <v>3179</v>
      </c>
      <c r="H706" s="247" t="s">
        <v>3180</v>
      </c>
    </row>
    <row r="707" spans="1:8" ht="15" customHeight="1" x14ac:dyDescent="0.2">
      <c r="A707" s="41" t="s">
        <v>4030</v>
      </c>
      <c r="B707" s="266" t="s">
        <v>3314</v>
      </c>
      <c r="C707" s="247" t="s">
        <v>2299</v>
      </c>
      <c r="D707" s="247" t="s">
        <v>2298</v>
      </c>
      <c r="E707" s="247" t="s">
        <v>3196</v>
      </c>
      <c r="F707" s="247" t="s">
        <v>3178</v>
      </c>
      <c r="G707" s="247" t="s">
        <v>3179</v>
      </c>
      <c r="H707" s="247" t="s">
        <v>3180</v>
      </c>
    </row>
    <row r="708" spans="1:8" ht="15" customHeight="1" x14ac:dyDescent="0.2">
      <c r="A708" s="41" t="s">
        <v>4028</v>
      </c>
      <c r="B708" s="266" t="s">
        <v>3314</v>
      </c>
      <c r="C708" s="247" t="s">
        <v>2718</v>
      </c>
      <c r="D708" s="247" t="s">
        <v>2717</v>
      </c>
      <c r="E708" s="247" t="s">
        <v>3196</v>
      </c>
      <c r="F708" s="247" t="s">
        <v>3178</v>
      </c>
      <c r="G708" s="247" t="s">
        <v>3179</v>
      </c>
      <c r="H708" s="247" t="s">
        <v>3180</v>
      </c>
    </row>
    <row r="709" spans="1:8" ht="15" customHeight="1" x14ac:dyDescent="0.2">
      <c r="A709" s="41" t="s">
        <v>4054</v>
      </c>
      <c r="B709" s="266" t="s">
        <v>3314</v>
      </c>
      <c r="C709" s="247" t="s">
        <v>2518</v>
      </c>
      <c r="D709" s="247" t="s">
        <v>2517</v>
      </c>
      <c r="E709" s="247" t="s">
        <v>3196</v>
      </c>
      <c r="F709" s="247" t="s">
        <v>3178</v>
      </c>
      <c r="G709" s="247" t="s">
        <v>3179</v>
      </c>
      <c r="H709" s="247" t="s">
        <v>3180</v>
      </c>
    </row>
    <row r="710" spans="1:8" ht="15" customHeight="1" x14ac:dyDescent="0.2">
      <c r="A710" s="41" t="s">
        <v>4138</v>
      </c>
      <c r="B710" s="266" t="s">
        <v>3314</v>
      </c>
      <c r="C710" s="247" t="s">
        <v>2872</v>
      </c>
      <c r="D710" s="247" t="s">
        <v>2871</v>
      </c>
      <c r="E710" s="247" t="s">
        <v>3196</v>
      </c>
      <c r="F710" s="247" t="s">
        <v>3178</v>
      </c>
      <c r="G710" s="247" t="s">
        <v>3179</v>
      </c>
      <c r="H710" s="247" t="s">
        <v>3180</v>
      </c>
    </row>
    <row r="711" spans="1:8" ht="15" customHeight="1" x14ac:dyDescent="0.2">
      <c r="A711" s="41" t="s">
        <v>4155</v>
      </c>
      <c r="B711" s="266" t="s">
        <v>3314</v>
      </c>
      <c r="C711" s="247" t="s">
        <v>2226</v>
      </c>
      <c r="D711" s="247" t="s">
        <v>2225</v>
      </c>
      <c r="E711" s="247" t="s">
        <v>3196</v>
      </c>
      <c r="F711" s="247" t="s">
        <v>3178</v>
      </c>
      <c r="G711" s="247" t="s">
        <v>3179</v>
      </c>
      <c r="H711" s="247" t="s">
        <v>3180</v>
      </c>
    </row>
    <row r="712" spans="1:8" ht="15" customHeight="1" x14ac:dyDescent="0.2">
      <c r="A712" s="41" t="s">
        <v>4128</v>
      </c>
      <c r="B712" s="266" t="s">
        <v>3314</v>
      </c>
      <c r="C712" s="247" t="s">
        <v>2858</v>
      </c>
      <c r="D712" s="247" t="s">
        <v>2857</v>
      </c>
      <c r="E712" s="247" t="s">
        <v>3196</v>
      </c>
      <c r="F712" s="247" t="s">
        <v>3178</v>
      </c>
      <c r="G712" s="247" t="s">
        <v>3179</v>
      </c>
      <c r="H712" s="247" t="s">
        <v>3180</v>
      </c>
    </row>
    <row r="713" spans="1:8" ht="15" customHeight="1" x14ac:dyDescent="0.2">
      <c r="A713" s="41" t="s">
        <v>4083</v>
      </c>
      <c r="B713" s="266" t="s">
        <v>3314</v>
      </c>
      <c r="C713" s="247" t="s">
        <v>2520</v>
      </c>
      <c r="D713" s="247" t="s">
        <v>2519</v>
      </c>
      <c r="E713" s="247" t="s">
        <v>3196</v>
      </c>
      <c r="F713" s="247" t="s">
        <v>3178</v>
      </c>
      <c r="G713" s="247" t="s">
        <v>3179</v>
      </c>
      <c r="H713" s="247" t="s">
        <v>3180</v>
      </c>
    </row>
    <row r="714" spans="1:8" ht="15" customHeight="1" x14ac:dyDescent="0.2">
      <c r="A714" s="41" t="s">
        <v>4101</v>
      </c>
      <c r="B714" s="266" t="s">
        <v>3314</v>
      </c>
      <c r="C714" s="247" t="s">
        <v>2174</v>
      </c>
      <c r="D714" s="247" t="s">
        <v>2173</v>
      </c>
      <c r="E714" s="247" t="s">
        <v>3196</v>
      </c>
      <c r="F714" s="247" t="s">
        <v>3178</v>
      </c>
      <c r="G714" s="247" t="s">
        <v>3179</v>
      </c>
      <c r="H714" s="247" t="s">
        <v>3180</v>
      </c>
    </row>
    <row r="715" spans="1:8" ht="15" customHeight="1" x14ac:dyDescent="0.2">
      <c r="A715" s="41" t="s">
        <v>4044</v>
      </c>
      <c r="B715" s="266" t="s">
        <v>3314</v>
      </c>
      <c r="C715" s="247" t="s">
        <v>2516</v>
      </c>
      <c r="D715" s="247" t="s">
        <v>2515</v>
      </c>
      <c r="E715" s="247" t="s">
        <v>3196</v>
      </c>
      <c r="F715" s="247" t="s">
        <v>3178</v>
      </c>
      <c r="G715" s="247" t="s">
        <v>3179</v>
      </c>
      <c r="H715" s="247" t="s">
        <v>3180</v>
      </c>
    </row>
    <row r="716" spans="1:8" ht="15" customHeight="1" x14ac:dyDescent="0.2">
      <c r="A716" s="41" t="s">
        <v>4143</v>
      </c>
      <c r="B716" s="266" t="s">
        <v>3314</v>
      </c>
      <c r="C716" s="247" t="s">
        <v>2875</v>
      </c>
      <c r="D716" s="247" t="s">
        <v>2874</v>
      </c>
      <c r="E716" s="247" t="s">
        <v>3196</v>
      </c>
      <c r="F716" s="247" t="s">
        <v>3178</v>
      </c>
      <c r="G716" s="247" t="s">
        <v>3179</v>
      </c>
      <c r="H716" s="247" t="s">
        <v>3180</v>
      </c>
    </row>
    <row r="717" spans="1:8" ht="15" customHeight="1" x14ac:dyDescent="0.2">
      <c r="A717" s="41" t="s">
        <v>3993</v>
      </c>
      <c r="B717" s="266" t="s">
        <v>3314</v>
      </c>
      <c r="C717" s="247" t="s">
        <v>2285</v>
      </c>
      <c r="D717" s="247" t="s">
        <v>2284</v>
      </c>
      <c r="E717" s="247" t="s">
        <v>3196</v>
      </c>
      <c r="F717" s="247" t="s">
        <v>3178</v>
      </c>
      <c r="G717" s="247" t="s">
        <v>3179</v>
      </c>
      <c r="H717" s="247" t="s">
        <v>3180</v>
      </c>
    </row>
    <row r="718" spans="1:8" ht="15" customHeight="1" x14ac:dyDescent="0.2">
      <c r="A718" s="41" t="s">
        <v>3997</v>
      </c>
      <c r="B718" s="266" t="s">
        <v>3314</v>
      </c>
      <c r="C718" s="247" t="s">
        <v>2204</v>
      </c>
      <c r="D718" s="247" t="s">
        <v>2203</v>
      </c>
      <c r="E718" s="247" t="s">
        <v>3196</v>
      </c>
      <c r="F718" s="247" t="s">
        <v>3178</v>
      </c>
      <c r="G718" s="247" t="s">
        <v>3179</v>
      </c>
      <c r="H718" s="247" t="s">
        <v>3180</v>
      </c>
    </row>
    <row r="719" spans="1:8" ht="15" customHeight="1" x14ac:dyDescent="0.2">
      <c r="A719" s="41" t="s">
        <v>4006</v>
      </c>
      <c r="B719" s="266" t="s">
        <v>3314</v>
      </c>
      <c r="C719" s="247" t="s">
        <v>2206</v>
      </c>
      <c r="D719" s="247" t="s">
        <v>2205</v>
      </c>
      <c r="E719" s="247" t="s">
        <v>3196</v>
      </c>
      <c r="F719" s="247" t="s">
        <v>3178</v>
      </c>
      <c r="G719" s="247" t="s">
        <v>3179</v>
      </c>
      <c r="H719" s="247" t="s">
        <v>3180</v>
      </c>
    </row>
    <row r="720" spans="1:8" ht="15" customHeight="1" x14ac:dyDescent="0.2">
      <c r="A720" s="41" t="s">
        <v>3992</v>
      </c>
      <c r="B720" s="266" t="s">
        <v>3314</v>
      </c>
      <c r="C720" s="247" t="s">
        <v>2118</v>
      </c>
      <c r="D720" s="247" t="s">
        <v>2117</v>
      </c>
      <c r="E720" s="247" t="s">
        <v>3196</v>
      </c>
      <c r="F720" s="247" t="s">
        <v>3178</v>
      </c>
      <c r="G720" s="247" t="s">
        <v>3179</v>
      </c>
      <c r="H720" s="247" t="s">
        <v>3180</v>
      </c>
    </row>
    <row r="721" spans="1:8" ht="15" customHeight="1" x14ac:dyDescent="0.2">
      <c r="A721" s="41" t="s">
        <v>3989</v>
      </c>
      <c r="B721" s="266" t="s">
        <v>3314</v>
      </c>
      <c r="C721" s="247" t="s">
        <v>2164</v>
      </c>
      <c r="D721" s="247" t="s">
        <v>2163</v>
      </c>
      <c r="E721" s="247" t="s">
        <v>3196</v>
      </c>
      <c r="F721" s="247" t="s">
        <v>3178</v>
      </c>
      <c r="G721" s="247" t="s">
        <v>3179</v>
      </c>
      <c r="H721" s="247" t="s">
        <v>3180</v>
      </c>
    </row>
    <row r="722" spans="1:8" ht="15" customHeight="1" x14ac:dyDescent="0.2">
      <c r="A722" s="41" t="s">
        <v>4082</v>
      </c>
      <c r="B722" s="266" t="s">
        <v>3314</v>
      </c>
      <c r="C722" s="247" t="s">
        <v>2217</v>
      </c>
      <c r="D722" s="247" t="s">
        <v>2216</v>
      </c>
      <c r="E722" s="247" t="s">
        <v>3196</v>
      </c>
      <c r="F722" s="247" t="s">
        <v>3178</v>
      </c>
      <c r="G722" s="247" t="s">
        <v>3179</v>
      </c>
      <c r="H722" s="247" t="s">
        <v>3180</v>
      </c>
    </row>
    <row r="723" spans="1:8" ht="15" customHeight="1" x14ac:dyDescent="0.2">
      <c r="A723" s="41" t="s">
        <v>4214</v>
      </c>
      <c r="B723" s="266" t="s">
        <v>3314</v>
      </c>
      <c r="C723" s="247" t="s">
        <v>2911</v>
      </c>
      <c r="D723" s="247" t="s">
        <v>3402</v>
      </c>
      <c r="E723" s="247" t="s">
        <v>3196</v>
      </c>
      <c r="F723" s="247" t="s">
        <v>3178</v>
      </c>
      <c r="G723" s="247" t="s">
        <v>3179</v>
      </c>
      <c r="H723" s="247" t="s">
        <v>3180</v>
      </c>
    </row>
    <row r="724" spans="1:8" ht="15" customHeight="1" x14ac:dyDescent="0.2">
      <c r="A724" s="41" t="s">
        <v>4035</v>
      </c>
      <c r="B724" s="266" t="s">
        <v>3314</v>
      </c>
      <c r="C724" s="247" t="s">
        <v>2724</v>
      </c>
      <c r="D724" s="247" t="s">
        <v>2723</v>
      </c>
      <c r="E724" s="247" t="s">
        <v>3196</v>
      </c>
      <c r="F724" s="247" t="s">
        <v>3178</v>
      </c>
      <c r="G724" s="247" t="s">
        <v>3179</v>
      </c>
      <c r="H724" s="247" t="s">
        <v>3180</v>
      </c>
    </row>
    <row r="725" spans="1:8" ht="15" customHeight="1" x14ac:dyDescent="0.2">
      <c r="A725" s="41" t="s">
        <v>4025</v>
      </c>
      <c r="B725" s="266" t="s">
        <v>3314</v>
      </c>
      <c r="C725" s="247" t="s">
        <v>2297</v>
      </c>
      <c r="D725" s="247" t="s">
        <v>2296</v>
      </c>
      <c r="E725" s="247" t="s">
        <v>3196</v>
      </c>
      <c r="F725" s="247" t="s">
        <v>3178</v>
      </c>
      <c r="G725" s="247" t="s">
        <v>3179</v>
      </c>
      <c r="H725" s="247" t="s">
        <v>3180</v>
      </c>
    </row>
    <row r="726" spans="1:8" ht="15" customHeight="1" x14ac:dyDescent="0.2">
      <c r="A726" s="41" t="s">
        <v>4034</v>
      </c>
      <c r="B726" s="266" t="s">
        <v>3314</v>
      </c>
      <c r="C726" s="247" t="s">
        <v>2382</v>
      </c>
      <c r="D726" s="247" t="s">
        <v>2381</v>
      </c>
      <c r="E726" s="247" t="s">
        <v>3196</v>
      </c>
      <c r="F726" s="247" t="s">
        <v>3178</v>
      </c>
      <c r="G726" s="247" t="s">
        <v>3179</v>
      </c>
      <c r="H726" s="247" t="s">
        <v>3180</v>
      </c>
    </row>
    <row r="727" spans="1:8" ht="15" customHeight="1" x14ac:dyDescent="0.2">
      <c r="A727" s="41" t="s">
        <v>4039</v>
      </c>
      <c r="B727" s="266" t="s">
        <v>3314</v>
      </c>
      <c r="C727" s="247" t="s">
        <v>2823</v>
      </c>
      <c r="D727" s="247" t="s">
        <v>2822</v>
      </c>
      <c r="E727" s="247" t="s">
        <v>3196</v>
      </c>
      <c r="F727" s="247" t="s">
        <v>3178</v>
      </c>
      <c r="G727" s="247" t="s">
        <v>3179</v>
      </c>
      <c r="H727" s="247" t="s">
        <v>3180</v>
      </c>
    </row>
    <row r="728" spans="1:8" ht="15" customHeight="1" x14ac:dyDescent="0.2">
      <c r="A728" s="41" t="s">
        <v>4013</v>
      </c>
      <c r="B728" s="266" t="s">
        <v>3314</v>
      </c>
      <c r="C728" s="247" t="s">
        <v>2378</v>
      </c>
      <c r="D728" s="247" t="s">
        <v>2377</v>
      </c>
      <c r="E728" s="247" t="s">
        <v>3196</v>
      </c>
      <c r="F728" s="247" t="s">
        <v>3178</v>
      </c>
      <c r="G728" s="247" t="s">
        <v>3179</v>
      </c>
      <c r="H728" s="247" t="s">
        <v>3180</v>
      </c>
    </row>
    <row r="729" spans="1:8" ht="15" customHeight="1" x14ac:dyDescent="0.2">
      <c r="A729" s="41" t="s">
        <v>4120</v>
      </c>
      <c r="B729" s="266" t="s">
        <v>3314</v>
      </c>
      <c r="C729" s="247" t="s">
        <v>2854</v>
      </c>
      <c r="D729" s="247" t="s">
        <v>2853</v>
      </c>
      <c r="E729" s="247" t="s">
        <v>3196</v>
      </c>
      <c r="F729" s="247" t="s">
        <v>3178</v>
      </c>
      <c r="G729" s="247" t="s">
        <v>3179</v>
      </c>
      <c r="H729" s="247" t="s">
        <v>3180</v>
      </c>
    </row>
    <row r="730" spans="1:8" ht="15" customHeight="1" x14ac:dyDescent="0.2">
      <c r="A730" s="41" t="s">
        <v>3982</v>
      </c>
      <c r="B730" s="266" t="s">
        <v>3314</v>
      </c>
      <c r="C730" s="247" t="s">
        <v>2367</v>
      </c>
      <c r="D730" s="247" t="s">
        <v>2366</v>
      </c>
      <c r="E730" s="247" t="s">
        <v>3196</v>
      </c>
      <c r="F730" s="247" t="s">
        <v>3178</v>
      </c>
      <c r="G730" s="247" t="s">
        <v>3179</v>
      </c>
      <c r="H730" s="247" t="s">
        <v>3180</v>
      </c>
    </row>
    <row r="731" spans="1:8" ht="15" customHeight="1" x14ac:dyDescent="0.2">
      <c r="A731" s="41" t="s">
        <v>4036</v>
      </c>
      <c r="B731" s="266" t="s">
        <v>3314</v>
      </c>
      <c r="C731" s="247" t="s">
        <v>2514</v>
      </c>
      <c r="D731" s="247" t="s">
        <v>2513</v>
      </c>
      <c r="E731" s="247" t="s">
        <v>3196</v>
      </c>
      <c r="F731" s="247" t="s">
        <v>3178</v>
      </c>
      <c r="G731" s="247" t="s">
        <v>3179</v>
      </c>
      <c r="H731" s="247" t="s">
        <v>3180</v>
      </c>
    </row>
    <row r="732" spans="1:8" ht="15" customHeight="1" x14ac:dyDescent="0.2">
      <c r="A732" s="41" t="s">
        <v>3990</v>
      </c>
      <c r="B732" s="266" t="s">
        <v>3314</v>
      </c>
      <c r="C732" s="247" t="s">
        <v>2116</v>
      </c>
      <c r="D732" s="247" t="s">
        <v>2115</v>
      </c>
      <c r="E732" s="247" t="s">
        <v>3196</v>
      </c>
      <c r="F732" s="247" t="s">
        <v>3178</v>
      </c>
      <c r="G732" s="247" t="s">
        <v>3179</v>
      </c>
      <c r="H732" s="247" t="s">
        <v>3180</v>
      </c>
    </row>
    <row r="733" spans="1:8" ht="15" customHeight="1" x14ac:dyDescent="0.2">
      <c r="A733" s="41" t="s">
        <v>3998</v>
      </c>
      <c r="B733" s="266" t="s">
        <v>3314</v>
      </c>
      <c r="C733" s="247" t="s">
        <v>2120</v>
      </c>
      <c r="D733" s="247" t="s">
        <v>2119</v>
      </c>
      <c r="E733" s="247" t="s">
        <v>3196</v>
      </c>
      <c r="F733" s="247" t="s">
        <v>3178</v>
      </c>
      <c r="G733" s="247" t="s">
        <v>3179</v>
      </c>
      <c r="H733" s="247" t="s">
        <v>3180</v>
      </c>
    </row>
    <row r="734" spans="1:8" ht="15" customHeight="1" x14ac:dyDescent="0.2">
      <c r="A734" s="41" t="s">
        <v>4022</v>
      </c>
      <c r="B734" s="266" t="s">
        <v>3314</v>
      </c>
      <c r="C734" s="247" t="s">
        <v>2511</v>
      </c>
      <c r="D734" s="247" t="s">
        <v>2510</v>
      </c>
      <c r="E734" s="247" t="s">
        <v>3196</v>
      </c>
      <c r="F734" s="247" t="s">
        <v>3178</v>
      </c>
      <c r="G734" s="247" t="s">
        <v>3179</v>
      </c>
      <c r="H734" s="247" t="s">
        <v>3180</v>
      </c>
    </row>
    <row r="735" spans="1:8" ht="15" customHeight="1" x14ac:dyDescent="0.2">
      <c r="A735" s="41" t="s">
        <v>4007</v>
      </c>
      <c r="B735" s="266" t="s">
        <v>3314</v>
      </c>
      <c r="C735" s="247" t="s">
        <v>2042</v>
      </c>
      <c r="D735" s="247" t="s">
        <v>2041</v>
      </c>
      <c r="E735" s="247" t="s">
        <v>3196</v>
      </c>
      <c r="F735" s="247" t="s">
        <v>3178</v>
      </c>
      <c r="G735" s="247" t="s">
        <v>3179</v>
      </c>
      <c r="H735" s="247" t="s">
        <v>3180</v>
      </c>
    </row>
    <row r="736" spans="1:8" ht="15" customHeight="1" x14ac:dyDescent="0.2">
      <c r="A736" s="41" t="s">
        <v>4031</v>
      </c>
      <c r="B736" s="266" t="s">
        <v>3314</v>
      </c>
      <c r="C736" s="247" t="s">
        <v>2720</v>
      </c>
      <c r="D736" s="247" t="s">
        <v>2719</v>
      </c>
      <c r="E736" s="247" t="s">
        <v>3196</v>
      </c>
      <c r="F736" s="247" t="s">
        <v>3178</v>
      </c>
      <c r="G736" s="247" t="s">
        <v>3179</v>
      </c>
      <c r="H736" s="247" t="s">
        <v>3180</v>
      </c>
    </row>
    <row r="737" spans="1:8" ht="15" customHeight="1" x14ac:dyDescent="0.2">
      <c r="A737" s="41" t="s">
        <v>4156</v>
      </c>
      <c r="B737" s="266" t="s">
        <v>3314</v>
      </c>
      <c r="C737" s="247" t="s">
        <v>2533</v>
      </c>
      <c r="D737" s="247" t="s">
        <v>2532</v>
      </c>
      <c r="E737" s="247" t="s">
        <v>3196</v>
      </c>
      <c r="F737" s="247" t="s">
        <v>3178</v>
      </c>
      <c r="G737" s="247" t="s">
        <v>3179</v>
      </c>
      <c r="H737" s="247" t="s">
        <v>3180</v>
      </c>
    </row>
    <row r="738" spans="1:8" ht="15" customHeight="1" x14ac:dyDescent="0.2">
      <c r="A738" s="41" t="s">
        <v>4037</v>
      </c>
      <c r="B738" s="266" t="s">
        <v>3314</v>
      </c>
      <c r="C738" s="247" t="s">
        <v>2726</v>
      </c>
      <c r="D738" s="247" t="s">
        <v>2725</v>
      </c>
      <c r="E738" s="247" t="s">
        <v>3196</v>
      </c>
      <c r="F738" s="247" t="s">
        <v>3178</v>
      </c>
      <c r="G738" s="247" t="s">
        <v>3179</v>
      </c>
      <c r="H738" s="247" t="s">
        <v>3180</v>
      </c>
    </row>
    <row r="739" spans="1:8" ht="15" customHeight="1" x14ac:dyDescent="0.2">
      <c r="A739" s="41" t="s">
        <v>4103</v>
      </c>
      <c r="B739" s="266" t="s">
        <v>3314</v>
      </c>
      <c r="C739" s="247" t="s">
        <v>2843</v>
      </c>
      <c r="D739" s="247" t="s">
        <v>2842</v>
      </c>
      <c r="E739" s="247" t="s">
        <v>3196</v>
      </c>
      <c r="F739" s="247" t="s">
        <v>3178</v>
      </c>
      <c r="G739" s="247" t="s">
        <v>3179</v>
      </c>
      <c r="H739" s="247" t="s">
        <v>3180</v>
      </c>
    </row>
    <row r="740" spans="1:8" ht="15" customHeight="1" x14ac:dyDescent="0.2">
      <c r="A740" s="41" t="s">
        <v>4094</v>
      </c>
      <c r="B740" s="266" t="s">
        <v>3314</v>
      </c>
      <c r="C740" s="247" t="s">
        <v>2839</v>
      </c>
      <c r="D740" s="247" t="s">
        <v>2838</v>
      </c>
      <c r="E740" s="247" t="s">
        <v>3196</v>
      </c>
      <c r="F740" s="247" t="s">
        <v>3178</v>
      </c>
      <c r="G740" s="247" t="s">
        <v>3179</v>
      </c>
      <c r="H740" s="247" t="s">
        <v>3180</v>
      </c>
    </row>
    <row r="741" spans="1:8" ht="15" customHeight="1" x14ac:dyDescent="0.2">
      <c r="A741" s="41" t="s">
        <v>4174</v>
      </c>
      <c r="B741" s="266" t="s">
        <v>3314</v>
      </c>
      <c r="C741" s="247" t="s">
        <v>2892</v>
      </c>
      <c r="D741" s="247" t="s">
        <v>2891</v>
      </c>
      <c r="E741" s="247" t="s">
        <v>3196</v>
      </c>
      <c r="F741" s="247" t="s">
        <v>3178</v>
      </c>
      <c r="G741" s="247" t="s">
        <v>3179</v>
      </c>
      <c r="H741" s="247" t="s">
        <v>3180</v>
      </c>
    </row>
    <row r="742" spans="1:8" ht="15" customHeight="1" x14ac:dyDescent="0.2">
      <c r="A742" s="41" t="s">
        <v>4051</v>
      </c>
      <c r="B742" s="266" t="s">
        <v>3314</v>
      </c>
      <c r="C742" s="247" t="s">
        <v>2386</v>
      </c>
      <c r="D742" s="247" t="s">
        <v>2385</v>
      </c>
      <c r="E742" s="247" t="s">
        <v>3196</v>
      </c>
      <c r="F742" s="247" t="s">
        <v>3178</v>
      </c>
      <c r="G742" s="247" t="s">
        <v>3179</v>
      </c>
      <c r="H742" s="247" t="s">
        <v>3180</v>
      </c>
    </row>
    <row r="743" spans="1:8" ht="15" customHeight="1" x14ac:dyDescent="0.2">
      <c r="A743" s="41" t="s">
        <v>4164</v>
      </c>
      <c r="B743" s="266" t="s">
        <v>3314</v>
      </c>
      <c r="C743" s="247" t="s">
        <v>2537</v>
      </c>
      <c r="D743" s="247" t="s">
        <v>2536</v>
      </c>
      <c r="E743" s="247" t="s">
        <v>3196</v>
      </c>
      <c r="F743" s="247" t="s">
        <v>3178</v>
      </c>
      <c r="G743" s="247" t="s">
        <v>3179</v>
      </c>
      <c r="H743" s="247" t="s">
        <v>3180</v>
      </c>
    </row>
    <row r="744" spans="1:8" ht="15" customHeight="1" x14ac:dyDescent="0.2">
      <c r="A744" s="41" t="s">
        <v>4000</v>
      </c>
      <c r="B744" s="266" t="s">
        <v>3314</v>
      </c>
      <c r="C744" s="247" t="s">
        <v>2372</v>
      </c>
      <c r="D744" s="247" t="s">
        <v>2371</v>
      </c>
      <c r="E744" s="247" t="s">
        <v>3196</v>
      </c>
      <c r="F744" s="247" t="s">
        <v>3178</v>
      </c>
      <c r="G744" s="247" t="s">
        <v>3179</v>
      </c>
      <c r="H744" s="247" t="s">
        <v>3180</v>
      </c>
    </row>
    <row r="745" spans="1:8" ht="15" customHeight="1" x14ac:dyDescent="0.2">
      <c r="A745" s="41" t="s">
        <v>4237</v>
      </c>
      <c r="B745" s="266" t="s">
        <v>3314</v>
      </c>
      <c r="C745" s="247" t="s">
        <v>2932</v>
      </c>
      <c r="D745" s="247" t="s">
        <v>2931</v>
      </c>
      <c r="E745" s="247" t="s">
        <v>3196</v>
      </c>
      <c r="F745" s="247" t="s">
        <v>3178</v>
      </c>
      <c r="G745" s="247" t="s">
        <v>3179</v>
      </c>
      <c r="H745" s="247" t="s">
        <v>3180</v>
      </c>
    </row>
    <row r="746" spans="1:8" ht="15" customHeight="1" x14ac:dyDescent="0.2">
      <c r="A746" s="41" t="s">
        <v>4216</v>
      </c>
      <c r="B746" s="266" t="s">
        <v>3314</v>
      </c>
      <c r="C746" s="247" t="s">
        <v>2563</v>
      </c>
      <c r="D746" s="247" t="s">
        <v>3403</v>
      </c>
      <c r="E746" s="247" t="s">
        <v>3196</v>
      </c>
      <c r="F746" s="247" t="s">
        <v>3178</v>
      </c>
      <c r="G746" s="247" t="s">
        <v>3179</v>
      </c>
      <c r="H746" s="247" t="s">
        <v>3180</v>
      </c>
    </row>
    <row r="747" spans="1:8" ht="15" customHeight="1" x14ac:dyDescent="0.2">
      <c r="A747" s="41" t="s">
        <v>4043</v>
      </c>
      <c r="B747" s="266" t="s">
        <v>3314</v>
      </c>
      <c r="C747" s="247" t="s">
        <v>2301</v>
      </c>
      <c r="D747" s="247" t="s">
        <v>2300</v>
      </c>
      <c r="E747" s="247" t="s">
        <v>3196</v>
      </c>
      <c r="F747" s="247" t="s">
        <v>3178</v>
      </c>
      <c r="G747" s="247" t="s">
        <v>3179</v>
      </c>
      <c r="H747" s="247" t="s">
        <v>3180</v>
      </c>
    </row>
    <row r="748" spans="1:8" ht="15" customHeight="1" x14ac:dyDescent="0.2">
      <c r="A748" s="41" t="s">
        <v>4104</v>
      </c>
      <c r="B748" s="266" t="s">
        <v>3314</v>
      </c>
      <c r="C748" s="247" t="s">
        <v>2845</v>
      </c>
      <c r="D748" s="247" t="s">
        <v>2844</v>
      </c>
      <c r="E748" s="247" t="s">
        <v>3196</v>
      </c>
      <c r="F748" s="247" t="s">
        <v>3178</v>
      </c>
      <c r="G748" s="247" t="s">
        <v>3179</v>
      </c>
      <c r="H748" s="247" t="s">
        <v>3180</v>
      </c>
    </row>
    <row r="749" spans="1:8" ht="15" customHeight="1" x14ac:dyDescent="0.2">
      <c r="A749" s="41" t="s">
        <v>3988</v>
      </c>
      <c r="B749" s="266" t="s">
        <v>3314</v>
      </c>
      <c r="C749" s="247" t="s">
        <v>2283</v>
      </c>
      <c r="D749" s="247" t="s">
        <v>2282</v>
      </c>
      <c r="E749" s="247" t="s">
        <v>3196</v>
      </c>
      <c r="F749" s="247" t="s">
        <v>3178</v>
      </c>
      <c r="G749" s="247" t="s">
        <v>3179</v>
      </c>
      <c r="H749" s="247" t="s">
        <v>3180</v>
      </c>
    </row>
    <row r="750" spans="1:8" ht="15" customHeight="1" x14ac:dyDescent="0.2">
      <c r="A750" s="41" t="s">
        <v>4186</v>
      </c>
      <c r="B750" s="266" t="s">
        <v>3314</v>
      </c>
      <c r="C750" s="247" t="s">
        <v>2895</v>
      </c>
      <c r="D750" s="247" t="s">
        <v>3386</v>
      </c>
      <c r="E750" s="247" t="s">
        <v>3196</v>
      </c>
      <c r="F750" s="247" t="s">
        <v>3178</v>
      </c>
      <c r="G750" s="247" t="s">
        <v>3179</v>
      </c>
      <c r="H750" s="247" t="s">
        <v>3180</v>
      </c>
    </row>
    <row r="751" spans="1:8" ht="15" customHeight="1" x14ac:dyDescent="0.2">
      <c r="A751" s="41" t="s">
        <v>4132</v>
      </c>
      <c r="B751" s="266" t="s">
        <v>3314</v>
      </c>
      <c r="C751" s="247" t="s">
        <v>2864</v>
      </c>
      <c r="D751" s="247" t="s">
        <v>2863</v>
      </c>
      <c r="E751" s="247" t="s">
        <v>3196</v>
      </c>
      <c r="F751" s="247" t="s">
        <v>3178</v>
      </c>
      <c r="G751" s="247" t="s">
        <v>3179</v>
      </c>
      <c r="H751" s="247" t="s">
        <v>3180</v>
      </c>
    </row>
    <row r="752" spans="1:8" ht="15" customHeight="1" x14ac:dyDescent="0.2">
      <c r="A752" s="41" t="s">
        <v>4002</v>
      </c>
      <c r="B752" s="266" t="s">
        <v>3314</v>
      </c>
      <c r="C752" s="247" t="s">
        <v>2374</v>
      </c>
      <c r="D752" s="247" t="s">
        <v>2373</v>
      </c>
      <c r="E752" s="247" t="s">
        <v>3196</v>
      </c>
      <c r="F752" s="247" t="s">
        <v>3178</v>
      </c>
      <c r="G752" s="247" t="s">
        <v>3179</v>
      </c>
      <c r="H752" s="247" t="s">
        <v>3180</v>
      </c>
    </row>
    <row r="753" spans="1:8" ht="15" customHeight="1" x14ac:dyDescent="0.2">
      <c r="A753" s="41" t="s">
        <v>3968</v>
      </c>
      <c r="B753" s="266" t="s">
        <v>3314</v>
      </c>
      <c r="C753" s="247" t="s">
        <v>2160</v>
      </c>
      <c r="D753" s="247" t="s">
        <v>2159</v>
      </c>
      <c r="E753" s="247" t="s">
        <v>3196</v>
      </c>
      <c r="F753" s="247" t="s">
        <v>3178</v>
      </c>
      <c r="G753" s="247" t="s">
        <v>3179</v>
      </c>
      <c r="H753" s="247" t="s">
        <v>3180</v>
      </c>
    </row>
    <row r="754" spans="1:8" ht="15" customHeight="1" x14ac:dyDescent="0.2">
      <c r="A754" s="41" t="s">
        <v>4015</v>
      </c>
      <c r="B754" s="266" t="s">
        <v>3314</v>
      </c>
      <c r="C754" s="247" t="s">
        <v>2291</v>
      </c>
      <c r="D754" s="247" t="s">
        <v>2290</v>
      </c>
      <c r="E754" s="247" t="s">
        <v>3196</v>
      </c>
      <c r="F754" s="247" t="s">
        <v>3178</v>
      </c>
      <c r="G754" s="247" t="s">
        <v>3179</v>
      </c>
      <c r="H754" s="247" t="s">
        <v>3180</v>
      </c>
    </row>
    <row r="755" spans="1:8" ht="15" customHeight="1" x14ac:dyDescent="0.2">
      <c r="A755" s="41" t="s">
        <v>4232</v>
      </c>
      <c r="B755" s="266" t="s">
        <v>3314</v>
      </c>
      <c r="C755" s="247" t="s">
        <v>2924</v>
      </c>
      <c r="D755" s="247" t="s">
        <v>2923</v>
      </c>
      <c r="E755" s="247" t="s">
        <v>3196</v>
      </c>
      <c r="F755" s="247" t="s">
        <v>3178</v>
      </c>
      <c r="G755" s="247" t="s">
        <v>3179</v>
      </c>
      <c r="H755" s="247" t="s">
        <v>3180</v>
      </c>
    </row>
    <row r="756" spans="1:8" ht="15" customHeight="1" x14ac:dyDescent="0.2">
      <c r="A756" s="41" t="s">
        <v>4038</v>
      </c>
      <c r="B756" s="266" t="s">
        <v>3314</v>
      </c>
      <c r="C756" s="247" t="s">
        <v>2821</v>
      </c>
      <c r="D756" s="247" t="s">
        <v>2820</v>
      </c>
      <c r="E756" s="247" t="s">
        <v>3196</v>
      </c>
      <c r="F756" s="247" t="s">
        <v>3178</v>
      </c>
      <c r="G756" s="247" t="s">
        <v>3179</v>
      </c>
      <c r="H756" s="247" t="s">
        <v>3180</v>
      </c>
    </row>
    <row r="757" spans="1:8" ht="15" customHeight="1" x14ac:dyDescent="0.2">
      <c r="A757" s="41" t="s">
        <v>4244</v>
      </c>
      <c r="B757" s="266" t="s">
        <v>3314</v>
      </c>
      <c r="C757" s="247" t="s">
        <v>2945</v>
      </c>
      <c r="D757" s="247" t="s">
        <v>2944</v>
      </c>
      <c r="E757" s="247" t="s">
        <v>3196</v>
      </c>
      <c r="F757" s="247" t="s">
        <v>3178</v>
      </c>
      <c r="G757" s="247" t="s">
        <v>3179</v>
      </c>
      <c r="H757" s="247" t="s">
        <v>3180</v>
      </c>
    </row>
    <row r="758" spans="1:8" ht="15" customHeight="1" x14ac:dyDescent="0.2">
      <c r="A758" s="41" t="s">
        <v>4136</v>
      </c>
      <c r="B758" s="266" t="s">
        <v>3314</v>
      </c>
      <c r="C758" s="247" t="s">
        <v>2870</v>
      </c>
      <c r="D758" s="247" t="s">
        <v>2869</v>
      </c>
      <c r="E758" s="247" t="s">
        <v>3196</v>
      </c>
      <c r="F758" s="247" t="s">
        <v>3178</v>
      </c>
      <c r="G758" s="247" t="s">
        <v>3179</v>
      </c>
      <c r="H758" s="247" t="s">
        <v>3180</v>
      </c>
    </row>
    <row r="759" spans="1:8" ht="15" customHeight="1" x14ac:dyDescent="0.2">
      <c r="A759" s="41" t="s">
        <v>4127</v>
      </c>
      <c r="B759" s="266" t="s">
        <v>3314</v>
      </c>
      <c r="C759" s="247" t="s">
        <v>2856</v>
      </c>
      <c r="D759" s="247" t="s">
        <v>2855</v>
      </c>
      <c r="E759" s="247" t="s">
        <v>3196</v>
      </c>
      <c r="F759" s="247" t="s">
        <v>3178</v>
      </c>
      <c r="G759" s="247" t="s">
        <v>3179</v>
      </c>
      <c r="H759" s="247" t="s">
        <v>3180</v>
      </c>
    </row>
    <row r="760" spans="1:8" ht="15" customHeight="1" x14ac:dyDescent="0.2">
      <c r="A760" s="41" t="s">
        <v>4011</v>
      </c>
      <c r="B760" s="266" t="s">
        <v>3314</v>
      </c>
      <c r="C760" s="247" t="s">
        <v>2710</v>
      </c>
      <c r="D760" s="247" t="s">
        <v>3322</v>
      </c>
      <c r="E760" s="247" t="s">
        <v>3196</v>
      </c>
      <c r="F760" s="247" t="s">
        <v>3178</v>
      </c>
      <c r="G760" s="247" t="s">
        <v>3179</v>
      </c>
      <c r="H760" s="247" t="s">
        <v>3180</v>
      </c>
    </row>
    <row r="761" spans="1:8" ht="15" customHeight="1" x14ac:dyDescent="0.2">
      <c r="A761" s="41" t="s">
        <v>4078</v>
      </c>
      <c r="B761" s="266" t="s">
        <v>3314</v>
      </c>
      <c r="C761" s="247" t="s">
        <v>1979</v>
      </c>
      <c r="D761" s="247" t="s">
        <v>1978</v>
      </c>
      <c r="E761" s="247" t="s">
        <v>3196</v>
      </c>
      <c r="F761" s="247" t="s">
        <v>3178</v>
      </c>
      <c r="G761" s="247" t="s">
        <v>3179</v>
      </c>
      <c r="H761" s="247" t="s">
        <v>3180</v>
      </c>
    </row>
    <row r="762" spans="1:8" ht="15" customHeight="1" x14ac:dyDescent="0.2">
      <c r="A762" s="41" t="s">
        <v>4076</v>
      </c>
      <c r="B762" s="266" t="s">
        <v>3314</v>
      </c>
      <c r="C762" s="247" t="s">
        <v>2044</v>
      </c>
      <c r="D762" s="247" t="s">
        <v>2043</v>
      </c>
      <c r="E762" s="247" t="s">
        <v>3196</v>
      </c>
      <c r="F762" s="247" t="s">
        <v>3178</v>
      </c>
      <c r="G762" s="247" t="s">
        <v>3179</v>
      </c>
      <c r="H762" s="247" t="s">
        <v>3180</v>
      </c>
    </row>
    <row r="763" spans="1:8" ht="15" customHeight="1" x14ac:dyDescent="0.2">
      <c r="A763" s="41" t="s">
        <v>4009</v>
      </c>
      <c r="B763" s="266" t="s">
        <v>3314</v>
      </c>
      <c r="C763" s="247" t="s">
        <v>2708</v>
      </c>
      <c r="D763" s="247" t="s">
        <v>2707</v>
      </c>
      <c r="E763" s="247" t="s">
        <v>3196</v>
      </c>
      <c r="F763" s="247" t="s">
        <v>3178</v>
      </c>
      <c r="G763" s="247" t="s">
        <v>3179</v>
      </c>
      <c r="H763" s="247" t="s">
        <v>3180</v>
      </c>
    </row>
    <row r="764" spans="1:8" ht="15" customHeight="1" x14ac:dyDescent="0.2">
      <c r="A764" s="41" t="s">
        <v>4075</v>
      </c>
      <c r="B764" s="266" t="s">
        <v>3314</v>
      </c>
      <c r="C764" s="247" t="s">
        <v>1908</v>
      </c>
      <c r="D764" s="247" t="s">
        <v>1907</v>
      </c>
      <c r="E764" s="247" t="s">
        <v>3196</v>
      </c>
      <c r="F764" s="247" t="s">
        <v>3178</v>
      </c>
      <c r="G764" s="247" t="s">
        <v>3179</v>
      </c>
      <c r="H764" s="247" t="s">
        <v>3180</v>
      </c>
    </row>
    <row r="765" spans="1:8" ht="15" customHeight="1" x14ac:dyDescent="0.2">
      <c r="A765" s="41" t="s">
        <v>4033</v>
      </c>
      <c r="B765" s="266" t="s">
        <v>3314</v>
      </c>
      <c r="C765" s="247" t="s">
        <v>2512</v>
      </c>
      <c r="D765" s="247" t="s">
        <v>3327</v>
      </c>
      <c r="E765" s="247" t="s">
        <v>3196</v>
      </c>
      <c r="F765" s="247" t="s">
        <v>3178</v>
      </c>
      <c r="G765" s="247" t="s">
        <v>3179</v>
      </c>
      <c r="H765" s="247" t="s">
        <v>3180</v>
      </c>
    </row>
    <row r="766" spans="1:8" ht="15" customHeight="1" x14ac:dyDescent="0.2">
      <c r="A766" s="41" t="s">
        <v>4074</v>
      </c>
      <c r="B766" s="266" t="s">
        <v>3314</v>
      </c>
      <c r="C766" s="247" t="s">
        <v>1960</v>
      </c>
      <c r="D766" s="247" t="s">
        <v>1959</v>
      </c>
      <c r="E766" s="247" t="s">
        <v>3196</v>
      </c>
      <c r="F766" s="247" t="s">
        <v>3178</v>
      </c>
      <c r="G766" s="247" t="s">
        <v>3179</v>
      </c>
      <c r="H766" s="247" t="s">
        <v>3180</v>
      </c>
    </row>
    <row r="767" spans="1:8" ht="15" customHeight="1" x14ac:dyDescent="0.2">
      <c r="A767" s="41" t="s">
        <v>4010</v>
      </c>
      <c r="B767" s="266" t="s">
        <v>3314</v>
      </c>
      <c r="C767" s="247" t="s">
        <v>2709</v>
      </c>
      <c r="D767" s="247" t="s">
        <v>3321</v>
      </c>
      <c r="E767" s="247" t="s">
        <v>3196</v>
      </c>
      <c r="F767" s="247" t="s">
        <v>3178</v>
      </c>
      <c r="G767" s="247" t="s">
        <v>3179</v>
      </c>
      <c r="H767" s="247" t="s">
        <v>3180</v>
      </c>
    </row>
    <row r="768" spans="1:8" ht="15" customHeight="1" x14ac:dyDescent="0.2">
      <c r="A768" s="41" t="s">
        <v>4087</v>
      </c>
      <c r="B768" s="266" t="s">
        <v>3314</v>
      </c>
      <c r="C768" s="247" t="s">
        <v>2126</v>
      </c>
      <c r="D768" s="247" t="s">
        <v>2125</v>
      </c>
      <c r="E768" s="247" t="s">
        <v>3196</v>
      </c>
      <c r="F768" s="247" t="s">
        <v>3178</v>
      </c>
      <c r="G768" s="247" t="s">
        <v>3179</v>
      </c>
      <c r="H768" s="247" t="s">
        <v>3180</v>
      </c>
    </row>
    <row r="769" spans="1:8" ht="15" customHeight="1" x14ac:dyDescent="0.2">
      <c r="A769" s="41" t="s">
        <v>4242</v>
      </c>
      <c r="B769" s="266" t="s">
        <v>3314</v>
      </c>
      <c r="C769" s="247" t="s">
        <v>2941</v>
      </c>
      <c r="D769" s="247" t="s">
        <v>2940</v>
      </c>
      <c r="E769" s="247" t="s">
        <v>3196</v>
      </c>
      <c r="F769" s="247" t="s">
        <v>3178</v>
      </c>
      <c r="G769" s="247" t="s">
        <v>3179</v>
      </c>
      <c r="H769" s="247" t="s">
        <v>3180</v>
      </c>
    </row>
    <row r="770" spans="1:8" ht="15" customHeight="1" x14ac:dyDescent="0.2">
      <c r="A770" s="41" t="s">
        <v>3991</v>
      </c>
      <c r="B770" s="266" t="s">
        <v>3314</v>
      </c>
      <c r="C770" s="247" t="s">
        <v>2026</v>
      </c>
      <c r="D770" s="247" t="s">
        <v>2025</v>
      </c>
      <c r="E770" s="247" t="s">
        <v>3196</v>
      </c>
      <c r="F770" s="247" t="s">
        <v>3178</v>
      </c>
      <c r="G770" s="247" t="s">
        <v>3179</v>
      </c>
      <c r="H770" s="247" t="s">
        <v>3180</v>
      </c>
    </row>
    <row r="771" spans="1:8" ht="15" customHeight="1" x14ac:dyDescent="0.2">
      <c r="A771" s="41" t="s">
        <v>4014</v>
      </c>
      <c r="B771" s="266" t="s">
        <v>3314</v>
      </c>
      <c r="C771" s="247" t="s">
        <v>2507</v>
      </c>
      <c r="D771" s="247" t="s">
        <v>3324</v>
      </c>
      <c r="E771" s="247" t="s">
        <v>3196</v>
      </c>
      <c r="F771" s="247" t="s">
        <v>3178</v>
      </c>
      <c r="G771" s="247" t="s">
        <v>3179</v>
      </c>
      <c r="H771" s="247" t="s">
        <v>3180</v>
      </c>
    </row>
    <row r="772" spans="1:8" ht="15" customHeight="1" x14ac:dyDescent="0.2">
      <c r="A772" s="41" t="s">
        <v>4079</v>
      </c>
      <c r="B772" s="266" t="s">
        <v>3314</v>
      </c>
      <c r="C772" s="247" t="s">
        <v>1896</v>
      </c>
      <c r="D772" s="247" t="s">
        <v>1895</v>
      </c>
      <c r="E772" s="247" t="s">
        <v>3196</v>
      </c>
      <c r="F772" s="247" t="s">
        <v>3178</v>
      </c>
      <c r="G772" s="247" t="s">
        <v>3179</v>
      </c>
      <c r="H772" s="247" t="s">
        <v>3180</v>
      </c>
    </row>
    <row r="773" spans="1:8" ht="15" customHeight="1" x14ac:dyDescent="0.2">
      <c r="A773" s="41" t="s">
        <v>4073</v>
      </c>
      <c r="B773" s="266" t="s">
        <v>3314</v>
      </c>
      <c r="C773" s="247" t="s">
        <v>1958</v>
      </c>
      <c r="D773" s="247" t="s">
        <v>1957</v>
      </c>
      <c r="E773" s="247" t="s">
        <v>3196</v>
      </c>
      <c r="F773" s="247" t="s">
        <v>3178</v>
      </c>
      <c r="G773" s="247" t="s">
        <v>3179</v>
      </c>
      <c r="H773" s="247" t="s">
        <v>3180</v>
      </c>
    </row>
    <row r="774" spans="1:8" ht="15" customHeight="1" x14ac:dyDescent="0.2">
      <c r="A774" s="41" t="s">
        <v>4072</v>
      </c>
      <c r="B774" s="266" t="s">
        <v>3314</v>
      </c>
      <c r="C774" s="247" t="s">
        <v>2172</v>
      </c>
      <c r="D774" s="247" t="s">
        <v>2171</v>
      </c>
      <c r="E774" s="247" t="s">
        <v>3196</v>
      </c>
      <c r="F774" s="247" t="s">
        <v>3178</v>
      </c>
      <c r="G774" s="247" t="s">
        <v>3179</v>
      </c>
      <c r="H774" s="247" t="s">
        <v>3180</v>
      </c>
    </row>
    <row r="775" spans="1:8" ht="15" customHeight="1" x14ac:dyDescent="0.2">
      <c r="A775" s="41" t="s">
        <v>4017</v>
      </c>
      <c r="B775" s="266" t="s">
        <v>3314</v>
      </c>
      <c r="C775" s="247" t="s">
        <v>2509</v>
      </c>
      <c r="D775" s="247" t="s">
        <v>2508</v>
      </c>
      <c r="E775" s="247" t="s">
        <v>3196</v>
      </c>
      <c r="F775" s="247" t="s">
        <v>3178</v>
      </c>
      <c r="G775" s="247" t="s">
        <v>3179</v>
      </c>
      <c r="H775" s="247" t="s">
        <v>3180</v>
      </c>
    </row>
    <row r="776" spans="1:8" ht="15" customHeight="1" x14ac:dyDescent="0.2">
      <c r="A776" s="41" t="s">
        <v>4055</v>
      </c>
      <c r="B776" s="266" t="s">
        <v>3314</v>
      </c>
      <c r="C776" s="247" t="s">
        <v>1860</v>
      </c>
      <c r="D776" s="247" t="s">
        <v>1859</v>
      </c>
      <c r="E776" s="247" t="s">
        <v>3196</v>
      </c>
      <c r="F776" s="247" t="s">
        <v>3178</v>
      </c>
      <c r="G776" s="247" t="s">
        <v>3179</v>
      </c>
      <c r="H776" s="247" t="s">
        <v>3180</v>
      </c>
    </row>
    <row r="777" spans="1:8" ht="15" customHeight="1" x14ac:dyDescent="0.2">
      <c r="A777" s="41" t="s">
        <v>4235</v>
      </c>
      <c r="B777" s="266" t="s">
        <v>3314</v>
      </c>
      <c r="C777" s="247" t="s">
        <v>2928</v>
      </c>
      <c r="D777" s="247" t="s">
        <v>3413</v>
      </c>
      <c r="E777" s="247" t="s">
        <v>3196</v>
      </c>
      <c r="F777" s="247" t="s">
        <v>3178</v>
      </c>
      <c r="G777" s="247" t="s">
        <v>3179</v>
      </c>
      <c r="H777" s="247" t="s">
        <v>3180</v>
      </c>
    </row>
    <row r="778" spans="1:8" ht="15" customHeight="1" x14ac:dyDescent="0.2">
      <c r="A778" s="41" t="s">
        <v>4056</v>
      </c>
      <c r="B778" s="266" t="s">
        <v>3314</v>
      </c>
      <c r="C778" s="247" t="s">
        <v>1882</v>
      </c>
      <c r="D778" s="247" t="s">
        <v>1881</v>
      </c>
      <c r="E778" s="247" t="s">
        <v>3196</v>
      </c>
      <c r="F778" s="247" t="s">
        <v>3178</v>
      </c>
      <c r="G778" s="247" t="s">
        <v>3179</v>
      </c>
      <c r="H778" s="247" t="s">
        <v>3180</v>
      </c>
    </row>
    <row r="779" spans="1:8" ht="15" customHeight="1" x14ac:dyDescent="0.2">
      <c r="A779" s="41" t="s">
        <v>4057</v>
      </c>
      <c r="B779" s="266" t="s">
        <v>3314</v>
      </c>
      <c r="C779" s="247" t="s">
        <v>2077</v>
      </c>
      <c r="D779" s="247" t="s">
        <v>2076</v>
      </c>
      <c r="E779" s="247" t="s">
        <v>3196</v>
      </c>
      <c r="F779" s="247" t="s">
        <v>3178</v>
      </c>
      <c r="G779" s="247" t="s">
        <v>3179</v>
      </c>
      <c r="H779" s="247" t="s">
        <v>3180</v>
      </c>
    </row>
    <row r="780" spans="1:8" ht="15" customHeight="1" x14ac:dyDescent="0.2">
      <c r="A780" s="41" t="s">
        <v>4058</v>
      </c>
      <c r="B780" s="266" t="s">
        <v>3314</v>
      </c>
      <c r="C780" s="247" t="s">
        <v>2006</v>
      </c>
      <c r="D780" s="247" t="s">
        <v>2005</v>
      </c>
      <c r="E780" s="247" t="s">
        <v>3196</v>
      </c>
      <c r="F780" s="247" t="s">
        <v>3178</v>
      </c>
      <c r="G780" s="247" t="s">
        <v>3179</v>
      </c>
      <c r="H780" s="247" t="s">
        <v>3180</v>
      </c>
    </row>
    <row r="781" spans="1:8" ht="15" customHeight="1" x14ac:dyDescent="0.2">
      <c r="A781" s="41" t="s">
        <v>3994</v>
      </c>
      <c r="B781" s="266" t="s">
        <v>3314</v>
      </c>
      <c r="C781" s="247" t="s">
        <v>2706</v>
      </c>
      <c r="D781" s="247" t="s">
        <v>2705</v>
      </c>
      <c r="E781" s="247" t="s">
        <v>3196</v>
      </c>
      <c r="F781" s="247" t="s">
        <v>3178</v>
      </c>
      <c r="G781" s="247" t="s">
        <v>3179</v>
      </c>
      <c r="H781" s="247" t="s">
        <v>3180</v>
      </c>
    </row>
    <row r="782" spans="1:8" ht="15" customHeight="1" x14ac:dyDescent="0.2">
      <c r="A782" s="41" t="s">
        <v>4047</v>
      </c>
      <c r="B782" s="266" t="s">
        <v>3314</v>
      </c>
      <c r="C782" s="247" t="s">
        <v>2730</v>
      </c>
      <c r="D782" s="247" t="s">
        <v>2729</v>
      </c>
      <c r="E782" s="247" t="s">
        <v>3196</v>
      </c>
      <c r="F782" s="247" t="s">
        <v>3178</v>
      </c>
      <c r="G782" s="247" t="s">
        <v>3179</v>
      </c>
      <c r="H782" s="247" t="s">
        <v>3180</v>
      </c>
    </row>
    <row r="783" spans="1:8" ht="15" customHeight="1" x14ac:dyDescent="0.2">
      <c r="A783" s="41" t="s">
        <v>4165</v>
      </c>
      <c r="B783" s="266" t="s">
        <v>3314</v>
      </c>
      <c r="C783" s="247" t="s">
        <v>2889</v>
      </c>
      <c r="D783" s="247" t="s">
        <v>3371</v>
      </c>
      <c r="E783" s="247" t="s">
        <v>3196</v>
      </c>
      <c r="F783" s="247" t="s">
        <v>3178</v>
      </c>
      <c r="G783" s="247" t="s">
        <v>3179</v>
      </c>
      <c r="H783" s="247" t="s">
        <v>3180</v>
      </c>
    </row>
    <row r="784" spans="1:8" ht="15" customHeight="1" x14ac:dyDescent="0.2">
      <c r="A784" s="41" t="s">
        <v>3977</v>
      </c>
      <c r="B784" s="266" t="s">
        <v>3314</v>
      </c>
      <c r="C784" s="247" t="s">
        <v>1990</v>
      </c>
      <c r="D784" s="247" t="s">
        <v>1989</v>
      </c>
      <c r="E784" s="247" t="s">
        <v>3196</v>
      </c>
      <c r="F784" s="247" t="s">
        <v>3178</v>
      </c>
      <c r="G784" s="247" t="s">
        <v>3179</v>
      </c>
      <c r="H784" s="247" t="s">
        <v>3180</v>
      </c>
    </row>
    <row r="785" spans="1:8" ht="15" customHeight="1" x14ac:dyDescent="0.2">
      <c r="A785" s="41" t="s">
        <v>4230</v>
      </c>
      <c r="B785" s="266" t="s">
        <v>3314</v>
      </c>
      <c r="C785" s="247" t="s">
        <v>2921</v>
      </c>
      <c r="D785" s="247" t="s">
        <v>2920</v>
      </c>
      <c r="E785" s="247" t="s">
        <v>3196</v>
      </c>
      <c r="F785" s="247" t="s">
        <v>3178</v>
      </c>
      <c r="G785" s="247" t="s">
        <v>3179</v>
      </c>
      <c r="H785" s="247" t="s">
        <v>3180</v>
      </c>
    </row>
    <row r="786" spans="1:8" ht="15" customHeight="1" x14ac:dyDescent="0.2">
      <c r="A786" s="41" t="s">
        <v>4081</v>
      </c>
      <c r="B786" s="266" t="s">
        <v>3314</v>
      </c>
      <c r="C786" s="247" t="s">
        <v>1884</v>
      </c>
      <c r="D786" s="247" t="s">
        <v>1883</v>
      </c>
      <c r="E786" s="247" t="s">
        <v>3196</v>
      </c>
      <c r="F786" s="247" t="s">
        <v>3178</v>
      </c>
      <c r="G786" s="247" t="s">
        <v>3179</v>
      </c>
      <c r="H786" s="247" t="s">
        <v>3180</v>
      </c>
    </row>
    <row r="787" spans="1:8" ht="15" customHeight="1" x14ac:dyDescent="0.2">
      <c r="A787" s="41" t="s">
        <v>4086</v>
      </c>
      <c r="B787" s="266" t="s">
        <v>3314</v>
      </c>
      <c r="C787" s="247" t="s">
        <v>2032</v>
      </c>
      <c r="D787" s="247" t="s">
        <v>2031</v>
      </c>
      <c r="E787" s="247" t="s">
        <v>3196</v>
      </c>
      <c r="F787" s="247" t="s">
        <v>3178</v>
      </c>
      <c r="G787" s="247" t="s">
        <v>3179</v>
      </c>
      <c r="H787" s="247" t="s">
        <v>3180</v>
      </c>
    </row>
    <row r="788" spans="1:8" ht="15" customHeight="1" x14ac:dyDescent="0.2">
      <c r="A788" s="41" t="s">
        <v>4084</v>
      </c>
      <c r="B788" s="266" t="s">
        <v>3314</v>
      </c>
      <c r="C788" s="247" t="s">
        <v>2219</v>
      </c>
      <c r="D788" s="247" t="s">
        <v>2218</v>
      </c>
      <c r="E788" s="247" t="s">
        <v>3196</v>
      </c>
      <c r="F788" s="247" t="s">
        <v>3178</v>
      </c>
      <c r="G788" s="247" t="s">
        <v>3179</v>
      </c>
      <c r="H788" s="247" t="s">
        <v>3180</v>
      </c>
    </row>
    <row r="789" spans="1:8" ht="15" customHeight="1" x14ac:dyDescent="0.2">
      <c r="A789" s="41" t="s">
        <v>4050</v>
      </c>
      <c r="B789" s="266" t="s">
        <v>3314</v>
      </c>
      <c r="C789" s="247" t="s">
        <v>2384</v>
      </c>
      <c r="D789" s="247" t="s">
        <v>2383</v>
      </c>
      <c r="E789" s="247" t="s">
        <v>3196</v>
      </c>
      <c r="F789" s="247" t="s">
        <v>3178</v>
      </c>
      <c r="G789" s="247" t="s">
        <v>3179</v>
      </c>
      <c r="H789" s="247" t="s">
        <v>3180</v>
      </c>
    </row>
    <row r="790" spans="1:8" ht="15" customHeight="1" x14ac:dyDescent="0.2">
      <c r="A790" s="41" t="s">
        <v>4046</v>
      </c>
      <c r="B790" s="266" t="s">
        <v>3314</v>
      </c>
      <c r="C790" s="247" t="s">
        <v>2728</v>
      </c>
      <c r="D790" s="247" t="s">
        <v>2727</v>
      </c>
      <c r="E790" s="247" t="s">
        <v>3196</v>
      </c>
      <c r="F790" s="247" t="s">
        <v>3178</v>
      </c>
      <c r="G790" s="247" t="s">
        <v>3179</v>
      </c>
      <c r="H790" s="247" t="s">
        <v>3180</v>
      </c>
    </row>
    <row r="791" spans="1:8" ht="15" customHeight="1" x14ac:dyDescent="0.2">
      <c r="A791" s="41" t="s">
        <v>3999</v>
      </c>
      <c r="B791" s="266" t="s">
        <v>3314</v>
      </c>
      <c r="C791" s="247" t="s">
        <v>2370</v>
      </c>
      <c r="D791" s="247" t="s">
        <v>2369</v>
      </c>
      <c r="E791" s="247" t="s">
        <v>3196</v>
      </c>
      <c r="F791" s="247" t="s">
        <v>3178</v>
      </c>
      <c r="G791" s="247" t="s">
        <v>3179</v>
      </c>
      <c r="H791" s="247" t="s">
        <v>3180</v>
      </c>
    </row>
    <row r="792" spans="1:8" ht="15" customHeight="1" x14ac:dyDescent="0.2">
      <c r="A792" s="41" t="s">
        <v>3986</v>
      </c>
      <c r="B792" s="266" t="s">
        <v>3314</v>
      </c>
      <c r="C792" s="247" t="s">
        <v>1875</v>
      </c>
      <c r="D792" s="247" t="s">
        <v>1874</v>
      </c>
      <c r="E792" s="247" t="s">
        <v>3196</v>
      </c>
      <c r="F792" s="247" t="s">
        <v>3178</v>
      </c>
      <c r="G792" s="247" t="s">
        <v>3179</v>
      </c>
      <c r="H792" s="247" t="s">
        <v>3180</v>
      </c>
    </row>
    <row r="793" spans="1:8" ht="15" customHeight="1" x14ac:dyDescent="0.2">
      <c r="A793" s="41" t="s">
        <v>4157</v>
      </c>
      <c r="B793" s="266" t="s">
        <v>3314</v>
      </c>
      <c r="C793" s="247" t="s">
        <v>2885</v>
      </c>
      <c r="D793" s="247" t="s">
        <v>3366</v>
      </c>
      <c r="E793" s="247" t="s">
        <v>3196</v>
      </c>
      <c r="F793" s="247" t="s">
        <v>3178</v>
      </c>
      <c r="G793" s="247" t="s">
        <v>3179</v>
      </c>
      <c r="H793" s="247" t="s">
        <v>3180</v>
      </c>
    </row>
    <row r="794" spans="1:8" ht="15" customHeight="1" x14ac:dyDescent="0.2">
      <c r="A794" s="41" t="s">
        <v>4059</v>
      </c>
      <c r="B794" s="266" t="s">
        <v>3314</v>
      </c>
      <c r="C794" s="247" t="s">
        <v>1846</v>
      </c>
      <c r="D794" s="247" t="s">
        <v>1845</v>
      </c>
      <c r="E794" s="247" t="s">
        <v>3196</v>
      </c>
      <c r="F794" s="247" t="s">
        <v>3178</v>
      </c>
      <c r="G794" s="247" t="s">
        <v>3179</v>
      </c>
      <c r="H794" s="247" t="s">
        <v>3180</v>
      </c>
    </row>
    <row r="795" spans="1:8" ht="15" customHeight="1" x14ac:dyDescent="0.2">
      <c r="A795" s="41" t="s">
        <v>4090</v>
      </c>
      <c r="B795" s="266" t="s">
        <v>3314</v>
      </c>
      <c r="C795" s="247" t="s">
        <v>2835</v>
      </c>
      <c r="D795" s="247" t="s">
        <v>2834</v>
      </c>
      <c r="E795" s="247" t="s">
        <v>3196</v>
      </c>
      <c r="F795" s="247" t="s">
        <v>3178</v>
      </c>
      <c r="G795" s="247" t="s">
        <v>3179</v>
      </c>
      <c r="H795" s="247" t="s">
        <v>3180</v>
      </c>
    </row>
    <row r="796" spans="1:8" ht="15" customHeight="1" x14ac:dyDescent="0.2">
      <c r="A796" s="41" t="s">
        <v>4060</v>
      </c>
      <c r="B796" s="266" t="s">
        <v>3314</v>
      </c>
      <c r="C796" s="247" t="s">
        <v>1956</v>
      </c>
      <c r="D796" s="247" t="s">
        <v>1955</v>
      </c>
      <c r="E796" s="247" t="s">
        <v>3196</v>
      </c>
      <c r="F796" s="247" t="s">
        <v>3178</v>
      </c>
      <c r="G796" s="247" t="s">
        <v>3179</v>
      </c>
      <c r="H796" s="247" t="s">
        <v>3180</v>
      </c>
    </row>
    <row r="797" spans="1:8" ht="15" customHeight="1" x14ac:dyDescent="0.2">
      <c r="A797" s="41" t="s">
        <v>4061</v>
      </c>
      <c r="B797" s="266" t="s">
        <v>3314</v>
      </c>
      <c r="C797" s="247" t="s">
        <v>1880</v>
      </c>
      <c r="D797" s="247" t="s">
        <v>1879</v>
      </c>
      <c r="E797" s="247" t="s">
        <v>3196</v>
      </c>
      <c r="F797" s="247" t="s">
        <v>3178</v>
      </c>
      <c r="G797" s="247" t="s">
        <v>3179</v>
      </c>
      <c r="H797" s="247" t="s">
        <v>3180</v>
      </c>
    </row>
    <row r="798" spans="1:8" ht="15" customHeight="1" x14ac:dyDescent="0.2">
      <c r="A798" s="41" t="s">
        <v>4062</v>
      </c>
      <c r="B798" s="266" t="s">
        <v>3314</v>
      </c>
      <c r="C798" s="247" t="s">
        <v>2735</v>
      </c>
      <c r="D798" s="247" t="s">
        <v>2734</v>
      </c>
      <c r="E798" s="247" t="s">
        <v>3196</v>
      </c>
      <c r="F798" s="247" t="s">
        <v>3178</v>
      </c>
      <c r="G798" s="247" t="s">
        <v>3179</v>
      </c>
      <c r="H798" s="247" t="s">
        <v>3180</v>
      </c>
    </row>
    <row r="799" spans="1:8" ht="15" customHeight="1" x14ac:dyDescent="0.2">
      <c r="A799" s="41" t="s">
        <v>4153</v>
      </c>
      <c r="B799" s="266" t="s">
        <v>3314</v>
      </c>
      <c r="C799" s="247" t="s">
        <v>2882</v>
      </c>
      <c r="D799" s="247" t="s">
        <v>2881</v>
      </c>
      <c r="E799" s="247" t="s">
        <v>3196</v>
      </c>
      <c r="F799" s="247" t="s">
        <v>3178</v>
      </c>
      <c r="G799" s="247" t="s">
        <v>3179</v>
      </c>
      <c r="H799" s="247" t="s">
        <v>3180</v>
      </c>
    </row>
    <row r="800" spans="1:8" ht="15" customHeight="1" x14ac:dyDescent="0.2">
      <c r="A800" s="41" t="s">
        <v>4063</v>
      </c>
      <c r="B800" s="266" t="s">
        <v>3314</v>
      </c>
      <c r="C800" s="247" t="s">
        <v>2170</v>
      </c>
      <c r="D800" s="247" t="s">
        <v>2169</v>
      </c>
      <c r="E800" s="247" t="s">
        <v>3196</v>
      </c>
      <c r="F800" s="247" t="s">
        <v>3178</v>
      </c>
      <c r="G800" s="247" t="s">
        <v>3179</v>
      </c>
      <c r="H800" s="247" t="s">
        <v>3180</v>
      </c>
    </row>
    <row r="801" spans="1:8" ht="15" customHeight="1" x14ac:dyDescent="0.2">
      <c r="A801" s="41" t="s">
        <v>4042</v>
      </c>
      <c r="B801" s="266" t="s">
        <v>3314</v>
      </c>
      <c r="C801" s="247" t="s">
        <v>2829</v>
      </c>
      <c r="D801" s="247" t="s">
        <v>2828</v>
      </c>
      <c r="E801" s="247" t="s">
        <v>3196</v>
      </c>
      <c r="F801" s="247" t="s">
        <v>3178</v>
      </c>
      <c r="G801" s="247" t="s">
        <v>3179</v>
      </c>
      <c r="H801" s="247" t="s">
        <v>3180</v>
      </c>
    </row>
    <row r="802" spans="1:8" ht="15" customHeight="1" x14ac:dyDescent="0.2">
      <c r="A802" s="41" t="s">
        <v>4151</v>
      </c>
      <c r="B802" s="266" t="s">
        <v>3314</v>
      </c>
      <c r="C802" s="247" t="s">
        <v>2531</v>
      </c>
      <c r="D802" s="247" t="s">
        <v>2530</v>
      </c>
      <c r="E802" s="247" t="s">
        <v>3196</v>
      </c>
      <c r="F802" s="247" t="s">
        <v>3178</v>
      </c>
      <c r="G802" s="247" t="s">
        <v>3179</v>
      </c>
      <c r="H802" s="247" t="s">
        <v>3180</v>
      </c>
    </row>
    <row r="803" spans="1:8" ht="15" customHeight="1" x14ac:dyDescent="0.2">
      <c r="A803" s="41" t="s">
        <v>4167</v>
      </c>
      <c r="B803" s="266" t="s">
        <v>3314</v>
      </c>
      <c r="C803" s="247" t="s">
        <v>2890</v>
      </c>
      <c r="D803" s="247" t="s">
        <v>3373</v>
      </c>
      <c r="E803" s="247" t="s">
        <v>3196</v>
      </c>
      <c r="F803" s="247" t="s">
        <v>3178</v>
      </c>
      <c r="G803" s="247" t="s">
        <v>3179</v>
      </c>
      <c r="H803" s="247" t="s">
        <v>3180</v>
      </c>
    </row>
    <row r="804" spans="1:8" ht="15" customHeight="1" x14ac:dyDescent="0.2">
      <c r="A804" s="41" t="s">
        <v>4005</v>
      </c>
      <c r="B804" s="266" t="s">
        <v>3314</v>
      </c>
      <c r="C804" s="247" t="s">
        <v>2166</v>
      </c>
      <c r="D804" s="247" t="s">
        <v>2165</v>
      </c>
      <c r="E804" s="247" t="s">
        <v>3196</v>
      </c>
      <c r="F804" s="247" t="s">
        <v>3178</v>
      </c>
      <c r="G804" s="247" t="s">
        <v>3179</v>
      </c>
      <c r="H804" s="247" t="s">
        <v>3180</v>
      </c>
    </row>
    <row r="805" spans="1:8" ht="15" customHeight="1" x14ac:dyDescent="0.2">
      <c r="A805" s="41" t="s">
        <v>3985</v>
      </c>
      <c r="B805" s="266" t="s">
        <v>3314</v>
      </c>
      <c r="C805" s="247" t="s">
        <v>2024</v>
      </c>
      <c r="D805" s="247" t="s">
        <v>2023</v>
      </c>
      <c r="E805" s="247" t="s">
        <v>3196</v>
      </c>
      <c r="F805" s="247" t="s">
        <v>3178</v>
      </c>
      <c r="G805" s="247" t="s">
        <v>3179</v>
      </c>
      <c r="H805" s="247" t="s">
        <v>3180</v>
      </c>
    </row>
    <row r="806" spans="1:8" ht="15" customHeight="1" x14ac:dyDescent="0.2">
      <c r="A806" s="41" t="s">
        <v>4085</v>
      </c>
      <c r="B806" s="266" t="s">
        <v>3314</v>
      </c>
      <c r="C806" s="247" t="s">
        <v>1994</v>
      </c>
      <c r="D806" s="247" t="s">
        <v>1993</v>
      </c>
      <c r="E806" s="247" t="s">
        <v>3196</v>
      </c>
      <c r="F806" s="247" t="s">
        <v>3178</v>
      </c>
      <c r="G806" s="247" t="s">
        <v>3179</v>
      </c>
      <c r="H806" s="247" t="s">
        <v>3180</v>
      </c>
    </row>
    <row r="807" spans="1:8" ht="15" customHeight="1" x14ac:dyDescent="0.2">
      <c r="A807" s="41" t="s">
        <v>3972</v>
      </c>
      <c r="B807" s="266" t="s">
        <v>3314</v>
      </c>
      <c r="C807" s="247" t="s">
        <v>2020</v>
      </c>
      <c r="D807" s="247" t="s">
        <v>2019</v>
      </c>
      <c r="E807" s="247" t="s">
        <v>3196</v>
      </c>
      <c r="F807" s="247" t="s">
        <v>3178</v>
      </c>
      <c r="G807" s="247" t="s">
        <v>3179</v>
      </c>
      <c r="H807" s="247" t="s">
        <v>3180</v>
      </c>
    </row>
    <row r="808" spans="1:8" ht="15" customHeight="1" x14ac:dyDescent="0.2">
      <c r="A808" s="41" t="s">
        <v>4247</v>
      </c>
      <c r="B808" s="266" t="s">
        <v>3314</v>
      </c>
      <c r="C808" s="247" t="s">
        <v>2949</v>
      </c>
      <c r="D808" s="247" t="s">
        <v>2948</v>
      </c>
      <c r="E808" s="247" t="s">
        <v>3196</v>
      </c>
      <c r="F808" s="247" t="s">
        <v>3178</v>
      </c>
      <c r="G808" s="247" t="s">
        <v>3179</v>
      </c>
      <c r="H808" s="247" t="s">
        <v>3180</v>
      </c>
    </row>
    <row r="809" spans="1:8" ht="15" customHeight="1" x14ac:dyDescent="0.2">
      <c r="A809" s="41" t="s">
        <v>3974</v>
      </c>
      <c r="B809" s="266" t="s">
        <v>3314</v>
      </c>
      <c r="C809" s="247" t="s">
        <v>2200</v>
      </c>
      <c r="D809" s="247" t="s">
        <v>2199</v>
      </c>
      <c r="E809" s="247" t="s">
        <v>3196</v>
      </c>
      <c r="F809" s="247" t="s">
        <v>3178</v>
      </c>
      <c r="G809" s="247" t="s">
        <v>3179</v>
      </c>
      <c r="H809" s="247" t="s">
        <v>3180</v>
      </c>
    </row>
    <row r="810" spans="1:8" ht="15" customHeight="1" x14ac:dyDescent="0.2">
      <c r="A810" s="41" t="s">
        <v>4149</v>
      </c>
      <c r="B810" s="266" t="s">
        <v>3314</v>
      </c>
      <c r="C810" s="247" t="s">
        <v>2877</v>
      </c>
      <c r="D810" s="247" t="s">
        <v>2876</v>
      </c>
      <c r="E810" s="247" t="s">
        <v>3196</v>
      </c>
      <c r="F810" s="247" t="s">
        <v>3178</v>
      </c>
      <c r="G810" s="247" t="s">
        <v>3179</v>
      </c>
      <c r="H810" s="247" t="s">
        <v>3180</v>
      </c>
    </row>
    <row r="811" spans="1:8" ht="15" customHeight="1" x14ac:dyDescent="0.2">
      <c r="A811" s="41" t="s">
        <v>4324</v>
      </c>
      <c r="B811" s="266" t="s">
        <v>3450</v>
      </c>
      <c r="C811" s="247" t="s">
        <v>1839</v>
      </c>
      <c r="D811" s="247" t="s">
        <v>3457</v>
      </c>
      <c r="E811" s="247" t="s">
        <v>3196</v>
      </c>
      <c r="F811" s="247" t="s">
        <v>3182</v>
      </c>
      <c r="G811" s="247" t="s">
        <v>3179</v>
      </c>
      <c r="H811" s="247" t="s">
        <v>3185</v>
      </c>
    </row>
    <row r="812" spans="1:8" ht="15" customHeight="1" x14ac:dyDescent="0.2">
      <c r="A812" s="41" t="s">
        <v>4518</v>
      </c>
      <c r="B812" s="266" t="s">
        <v>3450</v>
      </c>
      <c r="C812" s="247" t="s">
        <v>3080</v>
      </c>
      <c r="D812" s="247" t="s">
        <v>3079</v>
      </c>
      <c r="E812" s="247" t="s">
        <v>3196</v>
      </c>
      <c r="F812" s="247" t="s">
        <v>3178</v>
      </c>
      <c r="G812" s="247" t="s">
        <v>3179</v>
      </c>
      <c r="H812" s="247" t="s">
        <v>3180</v>
      </c>
    </row>
    <row r="813" spans="1:8" ht="15" customHeight="1" x14ac:dyDescent="0.2">
      <c r="A813" s="41" t="s">
        <v>4501</v>
      </c>
      <c r="B813" s="266" t="s">
        <v>3450</v>
      </c>
      <c r="C813" s="247" t="s">
        <v>3055</v>
      </c>
      <c r="D813" s="247" t="s">
        <v>3054</v>
      </c>
      <c r="E813" s="247" t="s">
        <v>3196</v>
      </c>
      <c r="F813" s="247" t="s">
        <v>3178</v>
      </c>
      <c r="G813" s="247" t="s">
        <v>3179</v>
      </c>
      <c r="H813" s="247" t="s">
        <v>3180</v>
      </c>
    </row>
    <row r="814" spans="1:8" ht="15" customHeight="1" x14ac:dyDescent="0.2">
      <c r="A814" s="41" t="s">
        <v>4363</v>
      </c>
      <c r="B814" s="266" t="s">
        <v>3450</v>
      </c>
      <c r="C814" s="247" t="s">
        <v>2951</v>
      </c>
      <c r="D814" s="247" t="s">
        <v>3496</v>
      </c>
      <c r="E814" s="247" t="s">
        <v>3196</v>
      </c>
      <c r="F814" s="247" t="s">
        <v>3178</v>
      </c>
      <c r="G814" s="247" t="s">
        <v>3179</v>
      </c>
      <c r="H814" s="247" t="s">
        <v>3180</v>
      </c>
    </row>
    <row r="815" spans="1:8" ht="15" customHeight="1" x14ac:dyDescent="0.2">
      <c r="A815" s="41" t="s">
        <v>4372</v>
      </c>
      <c r="B815" s="266" t="s">
        <v>3450</v>
      </c>
      <c r="C815" s="247" t="s">
        <v>2424</v>
      </c>
      <c r="D815" s="247" t="s">
        <v>3505</v>
      </c>
      <c r="E815" s="247" t="s">
        <v>3196</v>
      </c>
      <c r="F815" s="247" t="s">
        <v>3178</v>
      </c>
      <c r="G815" s="247" t="s">
        <v>3179</v>
      </c>
      <c r="H815" s="247" t="s">
        <v>3180</v>
      </c>
    </row>
    <row r="816" spans="1:8" ht="15" customHeight="1" x14ac:dyDescent="0.2">
      <c r="A816" s="41" t="s">
        <v>4453</v>
      </c>
      <c r="B816" s="266" t="s">
        <v>3450</v>
      </c>
      <c r="C816" s="247" t="s">
        <v>3005</v>
      </c>
      <c r="D816" s="247" t="s">
        <v>3004</v>
      </c>
      <c r="E816" s="247" t="s">
        <v>3196</v>
      </c>
      <c r="F816" s="247" t="s">
        <v>3178</v>
      </c>
      <c r="G816" s="247" t="s">
        <v>3179</v>
      </c>
      <c r="H816" s="247" t="s">
        <v>3180</v>
      </c>
    </row>
    <row r="817" spans="1:8" ht="15" customHeight="1" x14ac:dyDescent="0.2">
      <c r="A817" s="41" t="s">
        <v>4494</v>
      </c>
      <c r="B817" s="266" t="s">
        <v>3450</v>
      </c>
      <c r="C817" s="247" t="s">
        <v>3042</v>
      </c>
      <c r="D817" s="247" t="s">
        <v>3041</v>
      </c>
      <c r="E817" s="247" t="s">
        <v>3196</v>
      </c>
      <c r="F817" s="247" t="s">
        <v>3178</v>
      </c>
      <c r="G817" s="247" t="s">
        <v>3179</v>
      </c>
      <c r="H817" s="247" t="s">
        <v>3180</v>
      </c>
    </row>
    <row r="818" spans="1:8" ht="15" customHeight="1" x14ac:dyDescent="0.2">
      <c r="A818" s="41" t="s">
        <v>4374</v>
      </c>
      <c r="B818" s="266" t="s">
        <v>3450</v>
      </c>
      <c r="C818" s="247" t="s">
        <v>2322</v>
      </c>
      <c r="D818" s="247" t="s">
        <v>3507</v>
      </c>
      <c r="E818" s="247" t="s">
        <v>3196</v>
      </c>
      <c r="F818" s="247" t="s">
        <v>3178</v>
      </c>
      <c r="G818" s="247" t="s">
        <v>3179</v>
      </c>
      <c r="H818" s="247" t="s">
        <v>3180</v>
      </c>
    </row>
    <row r="819" spans="1:8" ht="15" customHeight="1" x14ac:dyDescent="0.2">
      <c r="A819" s="41" t="s">
        <v>4352</v>
      </c>
      <c r="B819" s="266" t="s">
        <v>3450</v>
      </c>
      <c r="C819" s="247" t="s">
        <v>2601</v>
      </c>
      <c r="D819" s="247" t="s">
        <v>3485</v>
      </c>
      <c r="E819" s="247" t="s">
        <v>3196</v>
      </c>
      <c r="F819" s="247" t="s">
        <v>3178</v>
      </c>
      <c r="G819" s="247" t="s">
        <v>3179</v>
      </c>
      <c r="H819" s="247" t="s">
        <v>3180</v>
      </c>
    </row>
    <row r="820" spans="1:8" ht="15" customHeight="1" x14ac:dyDescent="0.2">
      <c r="A820" s="41" t="s">
        <v>4400</v>
      </c>
      <c r="B820" s="266" t="s">
        <v>3450</v>
      </c>
      <c r="C820" s="247" t="s">
        <v>2971</v>
      </c>
      <c r="D820" s="247" t="s">
        <v>3533</v>
      </c>
      <c r="E820" s="247" t="s">
        <v>3196</v>
      </c>
      <c r="F820" s="247" t="s">
        <v>3178</v>
      </c>
      <c r="G820" s="247" t="s">
        <v>3179</v>
      </c>
      <c r="H820" s="247" t="s">
        <v>3180</v>
      </c>
    </row>
    <row r="821" spans="1:8" ht="15" customHeight="1" x14ac:dyDescent="0.2">
      <c r="A821" s="41" t="s">
        <v>4351</v>
      </c>
      <c r="B821" s="266" t="s">
        <v>3450</v>
      </c>
      <c r="C821" s="247" t="s">
        <v>2757</v>
      </c>
      <c r="D821" s="247" t="s">
        <v>3484</v>
      </c>
      <c r="E821" s="247" t="s">
        <v>3196</v>
      </c>
      <c r="F821" s="247" t="s">
        <v>3178</v>
      </c>
      <c r="G821" s="247" t="s">
        <v>3179</v>
      </c>
      <c r="H821" s="247" t="s">
        <v>3180</v>
      </c>
    </row>
    <row r="822" spans="1:8" ht="15" customHeight="1" x14ac:dyDescent="0.2">
      <c r="A822" s="41" t="s">
        <v>4418</v>
      </c>
      <c r="B822" s="266" t="s">
        <v>3450</v>
      </c>
      <c r="C822" s="247" t="s">
        <v>2774</v>
      </c>
      <c r="D822" s="247" t="s">
        <v>3543</v>
      </c>
      <c r="E822" s="247" t="s">
        <v>3196</v>
      </c>
      <c r="F822" s="247" t="s">
        <v>3178</v>
      </c>
      <c r="G822" s="247" t="s">
        <v>3179</v>
      </c>
      <c r="H822" s="247" t="s">
        <v>3180</v>
      </c>
    </row>
    <row r="823" spans="1:8" ht="15" customHeight="1" x14ac:dyDescent="0.2">
      <c r="A823" s="41" t="s">
        <v>4361</v>
      </c>
      <c r="B823" s="266" t="s">
        <v>3450</v>
      </c>
      <c r="C823" s="247" t="s">
        <v>2762</v>
      </c>
      <c r="D823" s="247" t="s">
        <v>3494</v>
      </c>
      <c r="E823" s="247" t="s">
        <v>3196</v>
      </c>
      <c r="F823" s="247" t="s">
        <v>3178</v>
      </c>
      <c r="G823" s="247" t="s">
        <v>3179</v>
      </c>
      <c r="H823" s="247" t="s">
        <v>3180</v>
      </c>
    </row>
    <row r="824" spans="1:8" ht="15" customHeight="1" x14ac:dyDescent="0.2">
      <c r="A824" s="41" t="s">
        <v>4456</v>
      </c>
      <c r="B824" s="266" t="s">
        <v>3450</v>
      </c>
      <c r="C824" s="247" t="s">
        <v>2627</v>
      </c>
      <c r="D824" s="247" t="s">
        <v>3572</v>
      </c>
      <c r="E824" s="247" t="s">
        <v>3196</v>
      </c>
      <c r="F824" s="247" t="s">
        <v>3178</v>
      </c>
      <c r="G824" s="247" t="s">
        <v>3179</v>
      </c>
      <c r="H824" s="247" t="s">
        <v>3180</v>
      </c>
    </row>
    <row r="825" spans="1:8" ht="15" customHeight="1" x14ac:dyDescent="0.2">
      <c r="A825" s="41" t="s">
        <v>4451</v>
      </c>
      <c r="B825" s="266" t="s">
        <v>3450</v>
      </c>
      <c r="C825" s="247" t="s">
        <v>2625</v>
      </c>
      <c r="D825" s="247" t="s">
        <v>3569</v>
      </c>
      <c r="E825" s="247" t="s">
        <v>3196</v>
      </c>
      <c r="F825" s="247" t="s">
        <v>3178</v>
      </c>
      <c r="G825" s="247" t="s">
        <v>3179</v>
      </c>
      <c r="H825" s="247" t="s">
        <v>3180</v>
      </c>
    </row>
    <row r="826" spans="1:8" ht="15" customHeight="1" x14ac:dyDescent="0.2">
      <c r="A826" s="41" t="s">
        <v>4359</v>
      </c>
      <c r="B826" s="266" t="s">
        <v>3450</v>
      </c>
      <c r="C826" s="247" t="s">
        <v>2604</v>
      </c>
      <c r="D826" s="247" t="s">
        <v>3492</v>
      </c>
      <c r="E826" s="247" t="s">
        <v>3196</v>
      </c>
      <c r="F826" s="247" t="s">
        <v>3178</v>
      </c>
      <c r="G826" s="247" t="s">
        <v>3179</v>
      </c>
      <c r="H826" s="247" t="s">
        <v>3180</v>
      </c>
    </row>
    <row r="827" spans="1:8" ht="15" customHeight="1" x14ac:dyDescent="0.2">
      <c r="A827" s="41" t="s">
        <v>4437</v>
      </c>
      <c r="B827" s="266" t="s">
        <v>3450</v>
      </c>
      <c r="C827" s="247" t="s">
        <v>2622</v>
      </c>
      <c r="D827" s="247" t="s">
        <v>3561</v>
      </c>
      <c r="E827" s="247" t="s">
        <v>3196</v>
      </c>
      <c r="F827" s="247" t="s">
        <v>3178</v>
      </c>
      <c r="G827" s="247" t="s">
        <v>3179</v>
      </c>
      <c r="H827" s="247" t="s">
        <v>3180</v>
      </c>
    </row>
    <row r="828" spans="1:8" ht="15" customHeight="1" x14ac:dyDescent="0.2">
      <c r="A828" s="41" t="s">
        <v>4356</v>
      </c>
      <c r="B828" s="266" t="s">
        <v>3450</v>
      </c>
      <c r="C828" s="247" t="s">
        <v>2603</v>
      </c>
      <c r="D828" s="247" t="s">
        <v>3489</v>
      </c>
      <c r="E828" s="247" t="s">
        <v>3196</v>
      </c>
      <c r="F828" s="247" t="s">
        <v>3178</v>
      </c>
      <c r="G828" s="247" t="s">
        <v>3179</v>
      </c>
      <c r="H828" s="247" t="s">
        <v>3180</v>
      </c>
    </row>
    <row r="829" spans="1:8" ht="15" customHeight="1" x14ac:dyDescent="0.2">
      <c r="A829" s="41" t="s">
        <v>4426</v>
      </c>
      <c r="B829" s="266" t="s">
        <v>3450</v>
      </c>
      <c r="C829" s="247" t="s">
        <v>2616</v>
      </c>
      <c r="D829" s="247" t="s">
        <v>3551</v>
      </c>
      <c r="E829" s="247" t="s">
        <v>3196</v>
      </c>
      <c r="F829" s="247" t="s">
        <v>3178</v>
      </c>
      <c r="G829" s="247" t="s">
        <v>3179</v>
      </c>
      <c r="H829" s="247" t="s">
        <v>3180</v>
      </c>
    </row>
    <row r="830" spans="1:8" ht="15" customHeight="1" x14ac:dyDescent="0.2">
      <c r="A830" s="41" t="s">
        <v>4373</v>
      </c>
      <c r="B830" s="266" t="s">
        <v>3450</v>
      </c>
      <c r="C830" s="247" t="s">
        <v>2425</v>
      </c>
      <c r="D830" s="247" t="s">
        <v>3506</v>
      </c>
      <c r="E830" s="247" t="s">
        <v>3196</v>
      </c>
      <c r="F830" s="247" t="s">
        <v>3178</v>
      </c>
      <c r="G830" s="247" t="s">
        <v>3179</v>
      </c>
      <c r="H830" s="247" t="s">
        <v>3180</v>
      </c>
    </row>
    <row r="831" spans="1:8" ht="15" customHeight="1" x14ac:dyDescent="0.2">
      <c r="A831" s="41" t="s">
        <v>4427</v>
      </c>
      <c r="B831" s="266" t="s">
        <v>3450</v>
      </c>
      <c r="C831" s="247" t="s">
        <v>2617</v>
      </c>
      <c r="D831" s="247" t="s">
        <v>3552</v>
      </c>
      <c r="E831" s="247" t="s">
        <v>3196</v>
      </c>
      <c r="F831" s="247" t="s">
        <v>3178</v>
      </c>
      <c r="G831" s="247" t="s">
        <v>3179</v>
      </c>
      <c r="H831" s="247" t="s">
        <v>3180</v>
      </c>
    </row>
    <row r="832" spans="1:8" ht="15" customHeight="1" x14ac:dyDescent="0.2">
      <c r="A832" s="41" t="s">
        <v>4537</v>
      </c>
      <c r="B832" s="266" t="s">
        <v>3450</v>
      </c>
      <c r="C832" s="247" t="s">
        <v>2646</v>
      </c>
      <c r="D832" s="247" t="s">
        <v>3612</v>
      </c>
      <c r="E832" s="247" t="s">
        <v>3196</v>
      </c>
      <c r="F832" s="247" t="s">
        <v>3178</v>
      </c>
      <c r="G832" s="247" t="s">
        <v>3179</v>
      </c>
      <c r="H832" s="247" t="s">
        <v>3180</v>
      </c>
    </row>
    <row r="833" spans="1:8" ht="15" customHeight="1" x14ac:dyDescent="0.2">
      <c r="A833" s="41" t="s">
        <v>4444</v>
      </c>
      <c r="B833" s="266" t="s">
        <v>3450</v>
      </c>
      <c r="C833" s="247" t="s">
        <v>2780</v>
      </c>
      <c r="D833" s="247" t="s">
        <v>3563</v>
      </c>
      <c r="E833" s="247" t="s">
        <v>3196</v>
      </c>
      <c r="F833" s="247" t="s">
        <v>3178</v>
      </c>
      <c r="G833" s="247" t="s">
        <v>3179</v>
      </c>
      <c r="H833" s="247" t="s">
        <v>3180</v>
      </c>
    </row>
    <row r="834" spans="1:8" ht="15" customHeight="1" x14ac:dyDescent="0.2">
      <c r="A834" s="41" t="s">
        <v>4482</v>
      </c>
      <c r="B834" s="266" t="s">
        <v>3450</v>
      </c>
      <c r="C834" s="247" t="s">
        <v>3030</v>
      </c>
      <c r="D834" s="247" t="s">
        <v>3588</v>
      </c>
      <c r="E834" s="247" t="s">
        <v>3196</v>
      </c>
      <c r="F834" s="247" t="s">
        <v>3178</v>
      </c>
      <c r="G834" s="247" t="s">
        <v>3179</v>
      </c>
      <c r="H834" s="247" t="s">
        <v>3180</v>
      </c>
    </row>
    <row r="835" spans="1:8" ht="15" customHeight="1" x14ac:dyDescent="0.2">
      <c r="A835" s="41" t="s">
        <v>4461</v>
      </c>
      <c r="B835" s="266" t="s">
        <v>3450</v>
      </c>
      <c r="C835" s="247" t="s">
        <v>2628</v>
      </c>
      <c r="D835" s="247" t="s">
        <v>3575</v>
      </c>
      <c r="E835" s="247" t="s">
        <v>3196</v>
      </c>
      <c r="F835" s="247" t="s">
        <v>3178</v>
      </c>
      <c r="G835" s="247" t="s">
        <v>3179</v>
      </c>
      <c r="H835" s="247" t="s">
        <v>3180</v>
      </c>
    </row>
    <row r="836" spans="1:8" ht="15" customHeight="1" x14ac:dyDescent="0.2">
      <c r="A836" s="41" t="s">
        <v>4336</v>
      </c>
      <c r="B836" s="266" t="s">
        <v>3450</v>
      </c>
      <c r="C836" s="247" t="s">
        <v>2318</v>
      </c>
      <c r="D836" s="247" t="s">
        <v>3469</v>
      </c>
      <c r="E836" s="247" t="s">
        <v>3196</v>
      </c>
      <c r="F836" s="247" t="s">
        <v>3178</v>
      </c>
      <c r="G836" s="247" t="s">
        <v>3179</v>
      </c>
      <c r="H836" s="247" t="s">
        <v>3180</v>
      </c>
    </row>
    <row r="837" spans="1:8" ht="15" customHeight="1" x14ac:dyDescent="0.2">
      <c r="A837" s="41" t="s">
        <v>4478</v>
      </c>
      <c r="B837" s="266" t="s">
        <v>3450</v>
      </c>
      <c r="C837" s="247" t="s">
        <v>2634</v>
      </c>
      <c r="D837" s="247" t="s">
        <v>3586</v>
      </c>
      <c r="E837" s="247" t="s">
        <v>3196</v>
      </c>
      <c r="F837" s="247" t="s">
        <v>3178</v>
      </c>
      <c r="G837" s="247" t="s">
        <v>3179</v>
      </c>
      <c r="H837" s="247" t="s">
        <v>3180</v>
      </c>
    </row>
    <row r="838" spans="1:8" ht="15" customHeight="1" x14ac:dyDescent="0.2">
      <c r="A838" s="41" t="s">
        <v>4530</v>
      </c>
      <c r="B838" s="266" t="s">
        <v>3450</v>
      </c>
      <c r="C838" s="247" t="s">
        <v>3094</v>
      </c>
      <c r="D838" s="247" t="s">
        <v>3093</v>
      </c>
      <c r="E838" s="247" t="s">
        <v>3196</v>
      </c>
      <c r="F838" s="247" t="s">
        <v>3178</v>
      </c>
      <c r="G838" s="247" t="s">
        <v>3179</v>
      </c>
      <c r="H838" s="247" t="s">
        <v>3180</v>
      </c>
    </row>
    <row r="839" spans="1:8" ht="15" customHeight="1" x14ac:dyDescent="0.2">
      <c r="A839" s="41" t="s">
        <v>4433</v>
      </c>
      <c r="B839" s="266" t="s">
        <v>3450</v>
      </c>
      <c r="C839" s="247" t="s">
        <v>2431</v>
      </c>
      <c r="D839" s="247" t="s">
        <v>3557</v>
      </c>
      <c r="E839" s="247" t="s">
        <v>3196</v>
      </c>
      <c r="F839" s="247" t="s">
        <v>3178</v>
      </c>
      <c r="G839" s="247" t="s">
        <v>3179</v>
      </c>
      <c r="H839" s="247" t="s">
        <v>3180</v>
      </c>
    </row>
    <row r="840" spans="1:8" ht="15" customHeight="1" x14ac:dyDescent="0.2">
      <c r="A840" s="41" t="s">
        <v>4341</v>
      </c>
      <c r="B840" s="266" t="s">
        <v>3450</v>
      </c>
      <c r="C840" s="247" t="s">
        <v>2598</v>
      </c>
      <c r="D840" s="247" t="s">
        <v>3474</v>
      </c>
      <c r="E840" s="247" t="s">
        <v>3196</v>
      </c>
      <c r="F840" s="247" t="s">
        <v>3178</v>
      </c>
      <c r="G840" s="247" t="s">
        <v>3179</v>
      </c>
      <c r="H840" s="247" t="s">
        <v>3180</v>
      </c>
    </row>
    <row r="841" spans="1:8" ht="15" customHeight="1" x14ac:dyDescent="0.2">
      <c r="A841" s="41" t="s">
        <v>4370</v>
      </c>
      <c r="B841" s="266" t="s">
        <v>3450</v>
      </c>
      <c r="C841" s="247" t="s">
        <v>2958</v>
      </c>
      <c r="D841" s="247" t="s">
        <v>3503</v>
      </c>
      <c r="E841" s="247" t="s">
        <v>3196</v>
      </c>
      <c r="F841" s="247" t="s">
        <v>3178</v>
      </c>
      <c r="G841" s="247" t="s">
        <v>3179</v>
      </c>
      <c r="H841" s="247" t="s">
        <v>3180</v>
      </c>
    </row>
    <row r="842" spans="1:8" ht="15" customHeight="1" x14ac:dyDescent="0.2">
      <c r="A842" s="41" t="s">
        <v>4471</v>
      </c>
      <c r="B842" s="266" t="s">
        <v>3450</v>
      </c>
      <c r="C842" s="247" t="s">
        <v>3021</v>
      </c>
      <c r="D842" s="247" t="s">
        <v>3020</v>
      </c>
      <c r="E842" s="247" t="s">
        <v>3196</v>
      </c>
      <c r="F842" s="247" t="s">
        <v>3178</v>
      </c>
      <c r="G842" s="247" t="s">
        <v>3179</v>
      </c>
      <c r="H842" s="247" t="s">
        <v>3180</v>
      </c>
    </row>
    <row r="843" spans="1:8" ht="15" customHeight="1" x14ac:dyDescent="0.2">
      <c r="A843" s="41" t="s">
        <v>4507</v>
      </c>
      <c r="B843" s="266" t="s">
        <v>3450</v>
      </c>
      <c r="C843" s="247" t="s">
        <v>3065</v>
      </c>
      <c r="D843" s="247" t="s">
        <v>3064</v>
      </c>
      <c r="E843" s="247" t="s">
        <v>3196</v>
      </c>
      <c r="F843" s="247" t="s">
        <v>3178</v>
      </c>
      <c r="G843" s="247" t="s">
        <v>3179</v>
      </c>
      <c r="H843" s="247" t="s">
        <v>3180</v>
      </c>
    </row>
    <row r="844" spans="1:8" ht="15" customHeight="1" x14ac:dyDescent="0.2">
      <c r="A844" s="41" t="s">
        <v>4509</v>
      </c>
      <c r="B844" s="266" t="s">
        <v>3450</v>
      </c>
      <c r="C844" s="247" t="s">
        <v>3069</v>
      </c>
      <c r="D844" s="247" t="s">
        <v>3068</v>
      </c>
      <c r="E844" s="247" t="s">
        <v>3196</v>
      </c>
      <c r="F844" s="247" t="s">
        <v>3178</v>
      </c>
      <c r="G844" s="247" t="s">
        <v>3179</v>
      </c>
      <c r="H844" s="247" t="s">
        <v>3180</v>
      </c>
    </row>
    <row r="845" spans="1:8" ht="15" customHeight="1" x14ac:dyDescent="0.2">
      <c r="A845" s="41" t="s">
        <v>4377</v>
      </c>
      <c r="B845" s="266" t="s">
        <v>3450</v>
      </c>
      <c r="C845" s="247" t="s">
        <v>2961</v>
      </c>
      <c r="D845" s="247" t="s">
        <v>3510</v>
      </c>
      <c r="E845" s="247" t="s">
        <v>3196</v>
      </c>
      <c r="F845" s="247" t="s">
        <v>3178</v>
      </c>
      <c r="G845" s="247" t="s">
        <v>3179</v>
      </c>
      <c r="H845" s="247" t="s">
        <v>3180</v>
      </c>
    </row>
    <row r="846" spans="1:8" ht="15" customHeight="1" x14ac:dyDescent="0.2">
      <c r="A846" s="41" t="s">
        <v>4331</v>
      </c>
      <c r="B846" s="266" t="s">
        <v>3450</v>
      </c>
      <c r="C846" s="247" t="s">
        <v>2750</v>
      </c>
      <c r="D846" s="247" t="s">
        <v>3464</v>
      </c>
      <c r="E846" s="247" t="s">
        <v>3196</v>
      </c>
      <c r="F846" s="247" t="s">
        <v>3178</v>
      </c>
      <c r="G846" s="247" t="s">
        <v>3179</v>
      </c>
      <c r="H846" s="247" t="s">
        <v>3180</v>
      </c>
    </row>
    <row r="847" spans="1:8" ht="15" customHeight="1" x14ac:dyDescent="0.2">
      <c r="A847" s="41" t="s">
        <v>4431</v>
      </c>
      <c r="B847" s="266" t="s">
        <v>3450</v>
      </c>
      <c r="C847" s="247" t="s">
        <v>2619</v>
      </c>
      <c r="D847" s="247" t="s">
        <v>3555</v>
      </c>
      <c r="E847" s="247" t="s">
        <v>3196</v>
      </c>
      <c r="F847" s="247" t="s">
        <v>3178</v>
      </c>
      <c r="G847" s="247" t="s">
        <v>3179</v>
      </c>
      <c r="H847" s="247" t="s">
        <v>3180</v>
      </c>
    </row>
    <row r="848" spans="1:8" ht="15" customHeight="1" x14ac:dyDescent="0.2">
      <c r="A848" s="41" t="s">
        <v>4343</v>
      </c>
      <c r="B848" s="266" t="s">
        <v>3450</v>
      </c>
      <c r="C848" s="247" t="s">
        <v>2239</v>
      </c>
      <c r="D848" s="247" t="s">
        <v>3476</v>
      </c>
      <c r="E848" s="247" t="s">
        <v>3196</v>
      </c>
      <c r="F848" s="247" t="s">
        <v>3178</v>
      </c>
      <c r="G848" s="247" t="s">
        <v>3179</v>
      </c>
      <c r="H848" s="247" t="s">
        <v>3180</v>
      </c>
    </row>
    <row r="849" spans="1:8" ht="15" customHeight="1" x14ac:dyDescent="0.2">
      <c r="A849" s="41" t="s">
        <v>4335</v>
      </c>
      <c r="B849" s="266" t="s">
        <v>3450</v>
      </c>
      <c r="C849" s="247" t="s">
        <v>2751</v>
      </c>
      <c r="D849" s="247" t="s">
        <v>3468</v>
      </c>
      <c r="E849" s="247" t="s">
        <v>3196</v>
      </c>
      <c r="F849" s="247" t="s">
        <v>3178</v>
      </c>
      <c r="G849" s="247" t="s">
        <v>3179</v>
      </c>
      <c r="H849" s="247" t="s">
        <v>3180</v>
      </c>
    </row>
    <row r="850" spans="1:8" ht="15" customHeight="1" x14ac:dyDescent="0.2">
      <c r="A850" s="41" t="s">
        <v>4394</v>
      </c>
      <c r="B850" s="266" t="s">
        <v>3450</v>
      </c>
      <c r="C850" s="247" t="s">
        <v>2968</v>
      </c>
      <c r="D850" s="247" t="s">
        <v>3527</v>
      </c>
      <c r="E850" s="247" t="s">
        <v>3196</v>
      </c>
      <c r="F850" s="247" t="s">
        <v>3178</v>
      </c>
      <c r="G850" s="247" t="s">
        <v>3179</v>
      </c>
      <c r="H850" s="247" t="s">
        <v>3180</v>
      </c>
    </row>
    <row r="851" spans="1:8" ht="15" customHeight="1" x14ac:dyDescent="0.2">
      <c r="A851" s="41" t="s">
        <v>4380</v>
      </c>
      <c r="B851" s="266" t="s">
        <v>3450</v>
      </c>
      <c r="C851" s="247" t="s">
        <v>2606</v>
      </c>
      <c r="D851" s="247" t="s">
        <v>3513</v>
      </c>
      <c r="E851" s="247" t="s">
        <v>3196</v>
      </c>
      <c r="F851" s="247" t="s">
        <v>3178</v>
      </c>
      <c r="G851" s="247" t="s">
        <v>3179</v>
      </c>
      <c r="H851" s="247" t="s">
        <v>3180</v>
      </c>
    </row>
    <row r="852" spans="1:8" ht="15" customHeight="1" x14ac:dyDescent="0.2">
      <c r="A852" s="41" t="s">
        <v>4462</v>
      </c>
      <c r="B852" s="266" t="s">
        <v>3450</v>
      </c>
      <c r="C852" s="247" t="s">
        <v>2327</v>
      </c>
      <c r="D852" s="247" t="s">
        <v>3576</v>
      </c>
      <c r="E852" s="247" t="s">
        <v>3196</v>
      </c>
      <c r="F852" s="247" t="s">
        <v>3178</v>
      </c>
      <c r="G852" s="247" t="s">
        <v>3179</v>
      </c>
      <c r="H852" s="247" t="s">
        <v>3180</v>
      </c>
    </row>
    <row r="853" spans="1:8" ht="15" customHeight="1" x14ac:dyDescent="0.2">
      <c r="A853" s="41" t="s">
        <v>4397</v>
      </c>
      <c r="B853" s="266" t="s">
        <v>3450</v>
      </c>
      <c r="C853" s="247" t="s">
        <v>2970</v>
      </c>
      <c r="D853" s="247" t="s">
        <v>3530</v>
      </c>
      <c r="E853" s="247" t="s">
        <v>3196</v>
      </c>
      <c r="F853" s="247" t="s">
        <v>3178</v>
      </c>
      <c r="G853" s="247" t="s">
        <v>3179</v>
      </c>
      <c r="H853" s="247" t="s">
        <v>3180</v>
      </c>
    </row>
    <row r="854" spans="1:8" ht="15" customHeight="1" x14ac:dyDescent="0.2">
      <c r="A854" s="41" t="s">
        <v>4425</v>
      </c>
      <c r="B854" s="266" t="s">
        <v>3450</v>
      </c>
      <c r="C854" s="247" t="s">
        <v>2778</v>
      </c>
      <c r="D854" s="247" t="s">
        <v>3550</v>
      </c>
      <c r="E854" s="247" t="s">
        <v>3196</v>
      </c>
      <c r="F854" s="247" t="s">
        <v>3178</v>
      </c>
      <c r="G854" s="247" t="s">
        <v>3179</v>
      </c>
      <c r="H854" s="247" t="s">
        <v>3180</v>
      </c>
    </row>
    <row r="855" spans="1:8" ht="15" customHeight="1" x14ac:dyDescent="0.2">
      <c r="A855" s="41" t="s">
        <v>4345</v>
      </c>
      <c r="B855" s="266" t="s">
        <v>3450</v>
      </c>
      <c r="C855" s="247" t="s">
        <v>2319</v>
      </c>
      <c r="D855" s="247" t="s">
        <v>3478</v>
      </c>
      <c r="E855" s="247" t="s">
        <v>3196</v>
      </c>
      <c r="F855" s="247" t="s">
        <v>3178</v>
      </c>
      <c r="G855" s="247" t="s">
        <v>3179</v>
      </c>
      <c r="H855" s="247" t="s">
        <v>3180</v>
      </c>
    </row>
    <row r="856" spans="1:8" ht="15" customHeight="1" x14ac:dyDescent="0.2">
      <c r="A856" s="41" t="s">
        <v>4325</v>
      </c>
      <c r="B856" s="266" t="s">
        <v>3450</v>
      </c>
      <c r="C856" s="247" t="s">
        <v>2594</v>
      </c>
      <c r="D856" s="247" t="s">
        <v>3458</v>
      </c>
      <c r="E856" s="247" t="s">
        <v>3196</v>
      </c>
      <c r="F856" s="247" t="s">
        <v>3178</v>
      </c>
      <c r="G856" s="247" t="s">
        <v>3179</v>
      </c>
      <c r="H856" s="247" t="s">
        <v>3180</v>
      </c>
    </row>
    <row r="857" spans="1:8" ht="15" customHeight="1" x14ac:dyDescent="0.2">
      <c r="A857" s="41" t="s">
        <v>4337</v>
      </c>
      <c r="B857" s="266" t="s">
        <v>3450</v>
      </c>
      <c r="C857" s="247" t="s">
        <v>2597</v>
      </c>
      <c r="D857" s="247" t="s">
        <v>3470</v>
      </c>
      <c r="E857" s="247" t="s">
        <v>3196</v>
      </c>
      <c r="F857" s="247" t="s">
        <v>3178</v>
      </c>
      <c r="G857" s="247" t="s">
        <v>3179</v>
      </c>
      <c r="H857" s="247" t="s">
        <v>3180</v>
      </c>
    </row>
    <row r="858" spans="1:8" ht="15" customHeight="1" x14ac:dyDescent="0.2">
      <c r="A858" s="41" t="s">
        <v>4389</v>
      </c>
      <c r="B858" s="266" t="s">
        <v>3450</v>
      </c>
      <c r="C858" s="247" t="s">
        <v>2768</v>
      </c>
      <c r="D858" s="247" t="s">
        <v>3522</v>
      </c>
      <c r="E858" s="247" t="s">
        <v>3196</v>
      </c>
      <c r="F858" s="247" t="s">
        <v>3178</v>
      </c>
      <c r="G858" s="247" t="s">
        <v>3179</v>
      </c>
      <c r="H858" s="247" t="s">
        <v>3180</v>
      </c>
    </row>
    <row r="859" spans="1:8" ht="15" customHeight="1" x14ac:dyDescent="0.2">
      <c r="A859" s="41" t="s">
        <v>4321</v>
      </c>
      <c r="B859" s="266" t="s">
        <v>3450</v>
      </c>
      <c r="C859" s="247" t="s">
        <v>2238</v>
      </c>
      <c r="D859" s="247" t="s">
        <v>3454</v>
      </c>
      <c r="E859" s="247" t="s">
        <v>3196</v>
      </c>
      <c r="F859" s="247" t="s">
        <v>3178</v>
      </c>
      <c r="G859" s="247" t="s">
        <v>3179</v>
      </c>
      <c r="H859" s="247" t="s">
        <v>3180</v>
      </c>
    </row>
    <row r="860" spans="1:8" ht="15" customHeight="1" x14ac:dyDescent="0.2">
      <c r="A860" s="41" t="s">
        <v>4327</v>
      </c>
      <c r="B860" s="266" t="s">
        <v>3450</v>
      </c>
      <c r="C860" s="247" t="s">
        <v>2747</v>
      </c>
      <c r="D860" s="247" t="s">
        <v>3460</v>
      </c>
      <c r="E860" s="247" t="s">
        <v>3196</v>
      </c>
      <c r="F860" s="247" t="s">
        <v>3178</v>
      </c>
      <c r="G860" s="247" t="s">
        <v>3179</v>
      </c>
      <c r="H860" s="247" t="s">
        <v>3180</v>
      </c>
    </row>
    <row r="861" spans="1:8" ht="15" customHeight="1" x14ac:dyDescent="0.2">
      <c r="A861" s="41" t="s">
        <v>4340</v>
      </c>
      <c r="B861" s="266" t="s">
        <v>3450</v>
      </c>
      <c r="C861" s="247" t="s">
        <v>2754</v>
      </c>
      <c r="D861" s="247" t="s">
        <v>3473</v>
      </c>
      <c r="E861" s="247" t="s">
        <v>3196</v>
      </c>
      <c r="F861" s="247" t="s">
        <v>3178</v>
      </c>
      <c r="G861" s="247" t="s">
        <v>3179</v>
      </c>
      <c r="H861" s="247" t="s">
        <v>3180</v>
      </c>
    </row>
    <row r="862" spans="1:8" ht="15" customHeight="1" x14ac:dyDescent="0.2">
      <c r="A862" s="41" t="s">
        <v>4503</v>
      </c>
      <c r="B862" s="266" t="s">
        <v>3450</v>
      </c>
      <c r="C862" s="247" t="s">
        <v>3059</v>
      </c>
      <c r="D862" s="247" t="s">
        <v>3058</v>
      </c>
      <c r="E862" s="247" t="s">
        <v>3196</v>
      </c>
      <c r="F862" s="247" t="s">
        <v>3178</v>
      </c>
      <c r="G862" s="247" t="s">
        <v>3179</v>
      </c>
      <c r="H862" s="247" t="s">
        <v>3180</v>
      </c>
    </row>
    <row r="863" spans="1:8" ht="15" customHeight="1" x14ac:dyDescent="0.2">
      <c r="A863" s="41" t="s">
        <v>4504</v>
      </c>
      <c r="B863" s="266" t="s">
        <v>3450</v>
      </c>
      <c r="C863" s="247" t="s">
        <v>3061</v>
      </c>
      <c r="D863" s="247" t="s">
        <v>3060</v>
      </c>
      <c r="E863" s="247" t="s">
        <v>3196</v>
      </c>
      <c r="F863" s="247" t="s">
        <v>3178</v>
      </c>
      <c r="G863" s="247" t="s">
        <v>3179</v>
      </c>
      <c r="H863" s="247" t="s">
        <v>3180</v>
      </c>
    </row>
    <row r="864" spans="1:8" ht="15" customHeight="1" x14ac:dyDescent="0.2">
      <c r="A864" s="41" t="s">
        <v>4448</v>
      </c>
      <c r="B864" s="266" t="s">
        <v>3450</v>
      </c>
      <c r="C864" s="247" t="s">
        <v>2325</v>
      </c>
      <c r="D864" s="247" t="s">
        <v>3567</v>
      </c>
      <c r="E864" s="247" t="s">
        <v>3196</v>
      </c>
      <c r="F864" s="247" t="s">
        <v>3178</v>
      </c>
      <c r="G864" s="247" t="s">
        <v>3179</v>
      </c>
      <c r="H864" s="247" t="s">
        <v>3180</v>
      </c>
    </row>
    <row r="865" spans="1:8" ht="15" customHeight="1" x14ac:dyDescent="0.2">
      <c r="A865" s="41" t="s">
        <v>4392</v>
      </c>
      <c r="B865" s="266" t="s">
        <v>3450</v>
      </c>
      <c r="C865" s="247" t="s">
        <v>2966</v>
      </c>
      <c r="D865" s="247" t="s">
        <v>3525</v>
      </c>
      <c r="E865" s="247" t="s">
        <v>3196</v>
      </c>
      <c r="F865" s="247" t="s">
        <v>3178</v>
      </c>
      <c r="G865" s="247" t="s">
        <v>3179</v>
      </c>
      <c r="H865" s="247" t="s">
        <v>3180</v>
      </c>
    </row>
    <row r="866" spans="1:8" ht="15" customHeight="1" x14ac:dyDescent="0.2">
      <c r="A866" s="41" t="s">
        <v>4353</v>
      </c>
      <c r="B866" s="266" t="s">
        <v>3450</v>
      </c>
      <c r="C866" s="247" t="s">
        <v>2602</v>
      </c>
      <c r="D866" s="247" t="s">
        <v>3486</v>
      </c>
      <c r="E866" s="247" t="s">
        <v>3196</v>
      </c>
      <c r="F866" s="247" t="s">
        <v>3178</v>
      </c>
      <c r="G866" s="247" t="s">
        <v>3179</v>
      </c>
      <c r="H866" s="247" t="s">
        <v>3180</v>
      </c>
    </row>
    <row r="867" spans="1:8" ht="15" customHeight="1" x14ac:dyDescent="0.2">
      <c r="A867" s="41" t="s">
        <v>4396</v>
      </c>
      <c r="B867" s="266" t="s">
        <v>3450</v>
      </c>
      <c r="C867" s="247" t="s">
        <v>2323</v>
      </c>
      <c r="D867" s="247" t="s">
        <v>3529</v>
      </c>
      <c r="E867" s="247" t="s">
        <v>3196</v>
      </c>
      <c r="F867" s="247" t="s">
        <v>3178</v>
      </c>
      <c r="G867" s="247" t="s">
        <v>3179</v>
      </c>
      <c r="H867" s="247" t="s">
        <v>3180</v>
      </c>
    </row>
    <row r="868" spans="1:8" ht="15" customHeight="1" x14ac:dyDescent="0.2">
      <c r="A868" s="41" t="s">
        <v>4318</v>
      </c>
      <c r="B868" s="266" t="s">
        <v>3450</v>
      </c>
      <c r="C868" s="247" t="s">
        <v>2592</v>
      </c>
      <c r="D868" s="247" t="s">
        <v>3451</v>
      </c>
      <c r="E868" s="247" t="s">
        <v>3196</v>
      </c>
      <c r="F868" s="247" t="s">
        <v>3178</v>
      </c>
      <c r="G868" s="247" t="s">
        <v>3179</v>
      </c>
      <c r="H868" s="247" t="s">
        <v>3180</v>
      </c>
    </row>
    <row r="869" spans="1:8" ht="15" customHeight="1" x14ac:dyDescent="0.2">
      <c r="A869" s="41" t="s">
        <v>4459</v>
      </c>
      <c r="B869" s="266" t="s">
        <v>3450</v>
      </c>
      <c r="C869" s="247" t="s">
        <v>3012</v>
      </c>
      <c r="D869" s="247" t="s">
        <v>3011</v>
      </c>
      <c r="E869" s="247" t="s">
        <v>3196</v>
      </c>
      <c r="F869" s="247" t="s">
        <v>3178</v>
      </c>
      <c r="G869" s="247" t="s">
        <v>3179</v>
      </c>
      <c r="H869" s="247" t="s">
        <v>3180</v>
      </c>
    </row>
    <row r="870" spans="1:8" ht="15" customHeight="1" x14ac:dyDescent="0.2">
      <c r="A870" s="41" t="s">
        <v>4355</v>
      </c>
      <c r="B870" s="266" t="s">
        <v>3450</v>
      </c>
      <c r="C870" s="247" t="s">
        <v>2758</v>
      </c>
      <c r="D870" s="247" t="s">
        <v>3488</v>
      </c>
      <c r="E870" s="247" t="s">
        <v>3196</v>
      </c>
      <c r="F870" s="247" t="s">
        <v>3178</v>
      </c>
      <c r="G870" s="247" t="s">
        <v>3179</v>
      </c>
      <c r="H870" s="247" t="s">
        <v>3180</v>
      </c>
    </row>
    <row r="871" spans="1:8" ht="15" customHeight="1" x14ac:dyDescent="0.2">
      <c r="A871" s="41" t="s">
        <v>4332</v>
      </c>
      <c r="B871" s="266" t="s">
        <v>3450</v>
      </c>
      <c r="C871" s="247" t="s">
        <v>2178</v>
      </c>
      <c r="D871" s="247" t="s">
        <v>3465</v>
      </c>
      <c r="E871" s="247" t="s">
        <v>3196</v>
      </c>
      <c r="F871" s="247" t="s">
        <v>3178</v>
      </c>
      <c r="G871" s="247" t="s">
        <v>3179</v>
      </c>
      <c r="H871" s="247" t="s">
        <v>3180</v>
      </c>
    </row>
    <row r="872" spans="1:8" ht="15" customHeight="1" x14ac:dyDescent="0.2">
      <c r="A872" s="41" t="s">
        <v>4339</v>
      </c>
      <c r="B872" s="266" t="s">
        <v>3450</v>
      </c>
      <c r="C872" s="247" t="s">
        <v>2753</v>
      </c>
      <c r="D872" s="247" t="s">
        <v>3472</v>
      </c>
      <c r="E872" s="247" t="s">
        <v>3196</v>
      </c>
      <c r="F872" s="247" t="s">
        <v>3178</v>
      </c>
      <c r="G872" s="247" t="s">
        <v>3179</v>
      </c>
      <c r="H872" s="247" t="s">
        <v>3180</v>
      </c>
    </row>
    <row r="873" spans="1:8" ht="15" customHeight="1" x14ac:dyDescent="0.2">
      <c r="A873" s="41" t="s">
        <v>4506</v>
      </c>
      <c r="B873" s="266" t="s">
        <v>3450</v>
      </c>
      <c r="C873" s="247" t="s">
        <v>2639</v>
      </c>
      <c r="D873" s="247" t="s">
        <v>3597</v>
      </c>
      <c r="E873" s="247" t="s">
        <v>3196</v>
      </c>
      <c r="F873" s="247" t="s">
        <v>3178</v>
      </c>
      <c r="G873" s="247" t="s">
        <v>3179</v>
      </c>
      <c r="H873" s="247" t="s">
        <v>3180</v>
      </c>
    </row>
    <row r="874" spans="1:8" ht="15" customHeight="1" x14ac:dyDescent="0.2">
      <c r="A874" s="41" t="s">
        <v>4348</v>
      </c>
      <c r="B874" s="266" t="s">
        <v>3450</v>
      </c>
      <c r="C874" s="247" t="s">
        <v>2320</v>
      </c>
      <c r="D874" s="247" t="s">
        <v>3481</v>
      </c>
      <c r="E874" s="247" t="s">
        <v>3196</v>
      </c>
      <c r="F874" s="247" t="s">
        <v>3178</v>
      </c>
      <c r="G874" s="247" t="s">
        <v>3179</v>
      </c>
      <c r="H874" s="247" t="s">
        <v>3180</v>
      </c>
    </row>
    <row r="875" spans="1:8" ht="15" customHeight="1" x14ac:dyDescent="0.2">
      <c r="A875" s="41" t="s">
        <v>4428</v>
      </c>
      <c r="B875" s="266" t="s">
        <v>3450</v>
      </c>
      <c r="C875" s="247" t="s">
        <v>2618</v>
      </c>
      <c r="D875" s="247" t="s">
        <v>3553</v>
      </c>
      <c r="E875" s="247" t="s">
        <v>3196</v>
      </c>
      <c r="F875" s="247" t="s">
        <v>3178</v>
      </c>
      <c r="G875" s="247" t="s">
        <v>3179</v>
      </c>
      <c r="H875" s="247" t="s">
        <v>3180</v>
      </c>
    </row>
    <row r="876" spans="1:8" ht="15" customHeight="1" x14ac:dyDescent="0.2">
      <c r="A876" s="41" t="s">
        <v>4319</v>
      </c>
      <c r="B876" s="266" t="s">
        <v>3450</v>
      </c>
      <c r="C876" s="247" t="s">
        <v>2421</v>
      </c>
      <c r="D876" s="247" t="s">
        <v>3452</v>
      </c>
      <c r="E876" s="247" t="s">
        <v>3196</v>
      </c>
      <c r="F876" s="247" t="s">
        <v>3178</v>
      </c>
      <c r="G876" s="247" t="s">
        <v>3179</v>
      </c>
      <c r="H876" s="247" t="s">
        <v>3180</v>
      </c>
    </row>
    <row r="877" spans="1:8" ht="15" customHeight="1" x14ac:dyDescent="0.2">
      <c r="A877" s="41" t="s">
        <v>4354</v>
      </c>
      <c r="B877" s="266" t="s">
        <v>3450</v>
      </c>
      <c r="C877" s="247" t="s">
        <v>2036</v>
      </c>
      <c r="D877" s="247" t="s">
        <v>3487</v>
      </c>
      <c r="E877" s="247" t="s">
        <v>3196</v>
      </c>
      <c r="F877" s="247" t="s">
        <v>3178</v>
      </c>
      <c r="G877" s="247" t="s">
        <v>3179</v>
      </c>
      <c r="H877" s="247" t="s">
        <v>3180</v>
      </c>
    </row>
    <row r="878" spans="1:8" ht="15" customHeight="1" x14ac:dyDescent="0.2">
      <c r="A878" s="41" t="s">
        <v>4513</v>
      </c>
      <c r="B878" s="266" t="s">
        <v>3450</v>
      </c>
      <c r="C878" s="247" t="s">
        <v>2642</v>
      </c>
      <c r="D878" s="247" t="s">
        <v>3600</v>
      </c>
      <c r="E878" s="247" t="s">
        <v>3196</v>
      </c>
      <c r="F878" s="247" t="s">
        <v>3178</v>
      </c>
      <c r="G878" s="247" t="s">
        <v>3179</v>
      </c>
      <c r="H878" s="247" t="s">
        <v>3180</v>
      </c>
    </row>
    <row r="879" spans="1:8" ht="15" customHeight="1" x14ac:dyDescent="0.2">
      <c r="A879" s="41" t="s">
        <v>4398</v>
      </c>
      <c r="B879" s="266" t="s">
        <v>3450</v>
      </c>
      <c r="C879" s="247" t="s">
        <v>2610</v>
      </c>
      <c r="D879" s="247" t="s">
        <v>3531</v>
      </c>
      <c r="E879" s="247" t="s">
        <v>3196</v>
      </c>
      <c r="F879" s="247" t="s">
        <v>3178</v>
      </c>
      <c r="G879" s="247" t="s">
        <v>3179</v>
      </c>
      <c r="H879" s="247" t="s">
        <v>3180</v>
      </c>
    </row>
    <row r="880" spans="1:8" ht="15" customHeight="1" x14ac:dyDescent="0.2">
      <c r="A880" s="41" t="s">
        <v>4510</v>
      </c>
      <c r="B880" s="266" t="s">
        <v>3450</v>
      </c>
      <c r="C880" s="247" t="s">
        <v>2640</v>
      </c>
      <c r="D880" s="247" t="s">
        <v>3598</v>
      </c>
      <c r="E880" s="247" t="s">
        <v>3196</v>
      </c>
      <c r="F880" s="247" t="s">
        <v>3178</v>
      </c>
      <c r="G880" s="247" t="s">
        <v>3179</v>
      </c>
      <c r="H880" s="247" t="s">
        <v>3180</v>
      </c>
    </row>
    <row r="881" spans="1:8" ht="15" customHeight="1" x14ac:dyDescent="0.2">
      <c r="A881" s="41" t="s">
        <v>4424</v>
      </c>
      <c r="B881" s="266" t="s">
        <v>3450</v>
      </c>
      <c r="C881" s="247" t="s">
        <v>2777</v>
      </c>
      <c r="D881" s="247" t="s">
        <v>3549</v>
      </c>
      <c r="E881" s="247" t="s">
        <v>3196</v>
      </c>
      <c r="F881" s="247" t="s">
        <v>3178</v>
      </c>
      <c r="G881" s="247" t="s">
        <v>3179</v>
      </c>
      <c r="H881" s="247" t="s">
        <v>3180</v>
      </c>
    </row>
    <row r="882" spans="1:8" ht="15" customHeight="1" x14ac:dyDescent="0.2">
      <c r="A882" s="41" t="s">
        <v>4333</v>
      </c>
      <c r="B882" s="266" t="s">
        <v>3450</v>
      </c>
      <c r="C882" s="247" t="s">
        <v>2950</v>
      </c>
      <c r="D882" s="247" t="s">
        <v>3466</v>
      </c>
      <c r="E882" s="247" t="s">
        <v>3196</v>
      </c>
      <c r="F882" s="247" t="s">
        <v>3178</v>
      </c>
      <c r="G882" s="247" t="s">
        <v>3179</v>
      </c>
      <c r="H882" s="247" t="s">
        <v>3180</v>
      </c>
    </row>
    <row r="883" spans="1:8" ht="15" customHeight="1" x14ac:dyDescent="0.2">
      <c r="A883" s="41" t="s">
        <v>4330</v>
      </c>
      <c r="B883" s="266" t="s">
        <v>3450</v>
      </c>
      <c r="C883" s="247" t="s">
        <v>2595</v>
      </c>
      <c r="D883" s="247" t="s">
        <v>3463</v>
      </c>
      <c r="E883" s="247" t="s">
        <v>3196</v>
      </c>
      <c r="F883" s="247" t="s">
        <v>3178</v>
      </c>
      <c r="G883" s="247" t="s">
        <v>3179</v>
      </c>
      <c r="H883" s="247" t="s">
        <v>3180</v>
      </c>
    </row>
    <row r="884" spans="1:8" ht="15" customHeight="1" x14ac:dyDescent="0.2">
      <c r="A884" s="41" t="s">
        <v>4402</v>
      </c>
      <c r="B884" s="266" t="s">
        <v>3450</v>
      </c>
      <c r="C884" s="247" t="s">
        <v>2769</v>
      </c>
      <c r="D884" s="247" t="s">
        <v>3534</v>
      </c>
      <c r="E884" s="247" t="s">
        <v>3196</v>
      </c>
      <c r="F884" s="247" t="s">
        <v>3178</v>
      </c>
      <c r="G884" s="247" t="s">
        <v>3179</v>
      </c>
      <c r="H884" s="247" t="s">
        <v>3180</v>
      </c>
    </row>
    <row r="885" spans="1:8" ht="15" customHeight="1" x14ac:dyDescent="0.2">
      <c r="A885" s="41" t="s">
        <v>4531</v>
      </c>
      <c r="B885" s="266" t="s">
        <v>3450</v>
      </c>
      <c r="C885" s="247" t="s">
        <v>3096</v>
      </c>
      <c r="D885" s="247" t="s">
        <v>3095</v>
      </c>
      <c r="E885" s="247" t="s">
        <v>3196</v>
      </c>
      <c r="F885" s="247" t="s">
        <v>3178</v>
      </c>
      <c r="G885" s="247" t="s">
        <v>3179</v>
      </c>
      <c r="H885" s="247" t="s">
        <v>3180</v>
      </c>
    </row>
    <row r="886" spans="1:8" ht="15" customHeight="1" x14ac:dyDescent="0.2">
      <c r="A886" s="41" t="s">
        <v>4347</v>
      </c>
      <c r="B886" s="266" t="s">
        <v>3450</v>
      </c>
      <c r="C886" s="247" t="s">
        <v>2756</v>
      </c>
      <c r="D886" s="247" t="s">
        <v>3480</v>
      </c>
      <c r="E886" s="247" t="s">
        <v>3196</v>
      </c>
      <c r="F886" s="247" t="s">
        <v>3178</v>
      </c>
      <c r="G886" s="247" t="s">
        <v>3179</v>
      </c>
      <c r="H886" s="247" t="s">
        <v>3180</v>
      </c>
    </row>
    <row r="887" spans="1:8" ht="15" customHeight="1" x14ac:dyDescent="0.2">
      <c r="A887" s="41" t="s">
        <v>4423</v>
      </c>
      <c r="B887" s="266" t="s">
        <v>3450</v>
      </c>
      <c r="C887" s="247" t="s">
        <v>2428</v>
      </c>
      <c r="D887" s="247" t="s">
        <v>3548</v>
      </c>
      <c r="E887" s="247" t="s">
        <v>3196</v>
      </c>
      <c r="F887" s="247" t="s">
        <v>3178</v>
      </c>
      <c r="G887" s="247" t="s">
        <v>3179</v>
      </c>
      <c r="H887" s="247" t="s">
        <v>3180</v>
      </c>
    </row>
    <row r="888" spans="1:8" ht="15" customHeight="1" x14ac:dyDescent="0.2">
      <c r="A888" s="41" t="s">
        <v>4383</v>
      </c>
      <c r="B888" s="266" t="s">
        <v>3450</v>
      </c>
      <c r="C888" s="247" t="s">
        <v>2763</v>
      </c>
      <c r="D888" s="247" t="s">
        <v>3516</v>
      </c>
      <c r="E888" s="247" t="s">
        <v>3196</v>
      </c>
      <c r="F888" s="247" t="s">
        <v>3178</v>
      </c>
      <c r="G888" s="247" t="s">
        <v>3179</v>
      </c>
      <c r="H888" s="247" t="s">
        <v>3180</v>
      </c>
    </row>
    <row r="889" spans="1:8" ht="15" customHeight="1" x14ac:dyDescent="0.2">
      <c r="A889" s="41" t="s">
        <v>4360</v>
      </c>
      <c r="B889" s="266" t="s">
        <v>3450</v>
      </c>
      <c r="C889" s="247" t="s">
        <v>2761</v>
      </c>
      <c r="D889" s="247" t="s">
        <v>3493</v>
      </c>
      <c r="E889" s="247" t="s">
        <v>3196</v>
      </c>
      <c r="F889" s="247" t="s">
        <v>3178</v>
      </c>
      <c r="G889" s="247" t="s">
        <v>3179</v>
      </c>
      <c r="H889" s="247" t="s">
        <v>3180</v>
      </c>
    </row>
    <row r="890" spans="1:8" ht="15" customHeight="1" x14ac:dyDescent="0.2">
      <c r="A890" s="41" t="s">
        <v>4391</v>
      </c>
      <c r="B890" s="266" t="s">
        <v>3450</v>
      </c>
      <c r="C890" s="247" t="s">
        <v>2965</v>
      </c>
      <c r="D890" s="247" t="s">
        <v>3524</v>
      </c>
      <c r="E890" s="247" t="s">
        <v>3196</v>
      </c>
      <c r="F890" s="247" t="s">
        <v>3178</v>
      </c>
      <c r="G890" s="247" t="s">
        <v>3179</v>
      </c>
      <c r="H890" s="247" t="s">
        <v>3180</v>
      </c>
    </row>
    <row r="891" spans="1:8" ht="15" customHeight="1" x14ac:dyDescent="0.2">
      <c r="A891" s="41" t="s">
        <v>4393</v>
      </c>
      <c r="B891" s="266" t="s">
        <v>3450</v>
      </c>
      <c r="C891" s="247" t="s">
        <v>2967</v>
      </c>
      <c r="D891" s="247" t="s">
        <v>3526</v>
      </c>
      <c r="E891" s="247" t="s">
        <v>3196</v>
      </c>
      <c r="F891" s="247" t="s">
        <v>3178</v>
      </c>
      <c r="G891" s="247" t="s">
        <v>3179</v>
      </c>
      <c r="H891" s="247" t="s">
        <v>3180</v>
      </c>
    </row>
    <row r="892" spans="1:8" ht="15" customHeight="1" x14ac:dyDescent="0.2">
      <c r="A892" s="41" t="s">
        <v>4422</v>
      </c>
      <c r="B892" s="266" t="s">
        <v>3450</v>
      </c>
      <c r="C892" s="247" t="s">
        <v>2776</v>
      </c>
      <c r="D892" s="247" t="s">
        <v>3547</v>
      </c>
      <c r="E892" s="247" t="s">
        <v>3196</v>
      </c>
      <c r="F892" s="247" t="s">
        <v>3178</v>
      </c>
      <c r="G892" s="247" t="s">
        <v>3179</v>
      </c>
      <c r="H892" s="247" t="s">
        <v>3180</v>
      </c>
    </row>
    <row r="893" spans="1:8" ht="15" customHeight="1" x14ac:dyDescent="0.2">
      <c r="A893" s="41" t="s">
        <v>4515</v>
      </c>
      <c r="B893" s="266" t="s">
        <v>3450</v>
      </c>
      <c r="C893" s="247" t="s">
        <v>3074</v>
      </c>
      <c r="D893" s="247" t="s">
        <v>3073</v>
      </c>
      <c r="E893" s="247" t="s">
        <v>3196</v>
      </c>
      <c r="F893" s="247" t="s">
        <v>3178</v>
      </c>
      <c r="G893" s="247" t="s">
        <v>3179</v>
      </c>
      <c r="H893" s="247" t="s">
        <v>3180</v>
      </c>
    </row>
    <row r="894" spans="1:8" ht="15" customHeight="1" x14ac:dyDescent="0.2">
      <c r="A894" s="41" t="s">
        <v>4516</v>
      </c>
      <c r="B894" s="266" t="s">
        <v>3450</v>
      </c>
      <c r="C894" s="247" t="s">
        <v>3078</v>
      </c>
      <c r="D894" s="247" t="s">
        <v>3077</v>
      </c>
      <c r="E894" s="247" t="s">
        <v>3196</v>
      </c>
      <c r="F894" s="247" t="s">
        <v>3178</v>
      </c>
      <c r="G894" s="247" t="s">
        <v>3179</v>
      </c>
      <c r="H894" s="247" t="s">
        <v>3180</v>
      </c>
    </row>
    <row r="895" spans="1:8" ht="15" customHeight="1" x14ac:dyDescent="0.2">
      <c r="A895" s="41" t="s">
        <v>4520</v>
      </c>
      <c r="B895" s="266" t="s">
        <v>3450</v>
      </c>
      <c r="C895" s="247" t="s">
        <v>3081</v>
      </c>
      <c r="D895" s="247" t="s">
        <v>3603</v>
      </c>
      <c r="E895" s="247" t="s">
        <v>3196</v>
      </c>
      <c r="F895" s="247" t="s">
        <v>3178</v>
      </c>
      <c r="G895" s="247" t="s">
        <v>3179</v>
      </c>
      <c r="H895" s="247" t="s">
        <v>3180</v>
      </c>
    </row>
    <row r="896" spans="1:8" ht="15" customHeight="1" x14ac:dyDescent="0.2">
      <c r="A896" s="41" t="s">
        <v>4350</v>
      </c>
      <c r="B896" s="266" t="s">
        <v>3450</v>
      </c>
      <c r="C896" s="247" t="s">
        <v>2321</v>
      </c>
      <c r="D896" s="247" t="s">
        <v>3483</v>
      </c>
      <c r="E896" s="247" t="s">
        <v>3196</v>
      </c>
      <c r="F896" s="247" t="s">
        <v>3178</v>
      </c>
      <c r="G896" s="247" t="s">
        <v>3179</v>
      </c>
      <c r="H896" s="247" t="s">
        <v>3180</v>
      </c>
    </row>
    <row r="897" spans="1:8" ht="15" customHeight="1" x14ac:dyDescent="0.2">
      <c r="A897" s="41" t="s">
        <v>4322</v>
      </c>
      <c r="B897" s="266" t="s">
        <v>3450</v>
      </c>
      <c r="C897" s="247" t="s">
        <v>2177</v>
      </c>
      <c r="D897" s="247" t="s">
        <v>3455</v>
      </c>
      <c r="E897" s="247" t="s">
        <v>3196</v>
      </c>
      <c r="F897" s="247" t="s">
        <v>3178</v>
      </c>
      <c r="G897" s="247" t="s">
        <v>3179</v>
      </c>
      <c r="H897" s="247" t="s">
        <v>3180</v>
      </c>
    </row>
    <row r="898" spans="1:8" ht="15" customHeight="1" x14ac:dyDescent="0.2">
      <c r="A898" s="41" t="s">
        <v>4349</v>
      </c>
      <c r="B898" s="266" t="s">
        <v>3450</v>
      </c>
      <c r="C898" s="247" t="s">
        <v>2422</v>
      </c>
      <c r="D898" s="247" t="s">
        <v>3482</v>
      </c>
      <c r="E898" s="247" t="s">
        <v>3196</v>
      </c>
      <c r="F898" s="247" t="s">
        <v>3178</v>
      </c>
      <c r="G898" s="247" t="s">
        <v>3179</v>
      </c>
      <c r="H898" s="247" t="s">
        <v>3180</v>
      </c>
    </row>
    <row r="899" spans="1:8" ht="15" customHeight="1" x14ac:dyDescent="0.2">
      <c r="A899" s="41" t="s">
        <v>4344</v>
      </c>
      <c r="B899" s="266" t="s">
        <v>3450</v>
      </c>
      <c r="C899" s="247" t="s">
        <v>2600</v>
      </c>
      <c r="D899" s="247" t="s">
        <v>3477</v>
      </c>
      <c r="E899" s="247" t="s">
        <v>3196</v>
      </c>
      <c r="F899" s="247" t="s">
        <v>3178</v>
      </c>
      <c r="G899" s="247" t="s">
        <v>3179</v>
      </c>
      <c r="H899" s="247" t="s">
        <v>3180</v>
      </c>
    </row>
    <row r="900" spans="1:8" ht="15" customHeight="1" x14ac:dyDescent="0.2">
      <c r="A900" s="41" t="s">
        <v>4479</v>
      </c>
      <c r="B900" s="266" t="s">
        <v>3450</v>
      </c>
      <c r="C900" s="247" t="s">
        <v>3027</v>
      </c>
      <c r="D900" s="247" t="s">
        <v>3026</v>
      </c>
      <c r="E900" s="247" t="s">
        <v>3196</v>
      </c>
      <c r="F900" s="247" t="s">
        <v>3178</v>
      </c>
      <c r="G900" s="247" t="s">
        <v>3179</v>
      </c>
      <c r="H900" s="247" t="s">
        <v>3180</v>
      </c>
    </row>
    <row r="901" spans="1:8" ht="15" customHeight="1" x14ac:dyDescent="0.2">
      <c r="A901" s="41" t="s">
        <v>4382</v>
      </c>
      <c r="B901" s="266" t="s">
        <v>3450</v>
      </c>
      <c r="C901" s="247" t="s">
        <v>2608</v>
      </c>
      <c r="D901" s="247" t="s">
        <v>3515</v>
      </c>
      <c r="E901" s="247" t="s">
        <v>3196</v>
      </c>
      <c r="F901" s="247" t="s">
        <v>3178</v>
      </c>
      <c r="G901" s="247" t="s">
        <v>3179</v>
      </c>
      <c r="H901" s="247" t="s">
        <v>3180</v>
      </c>
    </row>
    <row r="902" spans="1:8" ht="15" customHeight="1" x14ac:dyDescent="0.2">
      <c r="A902" s="41" t="s">
        <v>4528</v>
      </c>
      <c r="B902" s="266" t="s">
        <v>3450</v>
      </c>
      <c r="C902" s="247" t="s">
        <v>3091</v>
      </c>
      <c r="D902" s="247" t="s">
        <v>3609</v>
      </c>
      <c r="E902" s="247" t="s">
        <v>3196</v>
      </c>
      <c r="F902" s="247" t="s">
        <v>3178</v>
      </c>
      <c r="G902" s="247" t="s">
        <v>3179</v>
      </c>
      <c r="H902" s="247" t="s">
        <v>3180</v>
      </c>
    </row>
    <row r="903" spans="1:8" ht="15" customHeight="1" x14ac:dyDescent="0.2">
      <c r="A903" s="41" t="s">
        <v>4434</v>
      </c>
      <c r="B903" s="266" t="s">
        <v>3450</v>
      </c>
      <c r="C903" s="247" t="s">
        <v>2779</v>
      </c>
      <c r="D903" s="247" t="s">
        <v>3558</v>
      </c>
      <c r="E903" s="247" t="s">
        <v>3196</v>
      </c>
      <c r="F903" s="247" t="s">
        <v>3178</v>
      </c>
      <c r="G903" s="247" t="s">
        <v>3179</v>
      </c>
      <c r="H903" s="247" t="s">
        <v>3180</v>
      </c>
    </row>
    <row r="904" spans="1:8" ht="15" customHeight="1" x14ac:dyDescent="0.2">
      <c r="A904" s="41" t="s">
        <v>4346</v>
      </c>
      <c r="B904" s="266" t="s">
        <v>3450</v>
      </c>
      <c r="C904" s="247" t="s">
        <v>2755</v>
      </c>
      <c r="D904" s="247" t="s">
        <v>3479</v>
      </c>
      <c r="E904" s="247" t="s">
        <v>3196</v>
      </c>
      <c r="F904" s="247" t="s">
        <v>3178</v>
      </c>
      <c r="G904" s="247" t="s">
        <v>3179</v>
      </c>
      <c r="H904" s="247" t="s">
        <v>3180</v>
      </c>
    </row>
    <row r="905" spans="1:8" ht="15" customHeight="1" x14ac:dyDescent="0.2">
      <c r="A905" s="41" t="s">
        <v>4358</v>
      </c>
      <c r="B905" s="266" t="s">
        <v>3450</v>
      </c>
      <c r="C905" s="247" t="s">
        <v>2760</v>
      </c>
      <c r="D905" s="247" t="s">
        <v>3491</v>
      </c>
      <c r="E905" s="247" t="s">
        <v>3196</v>
      </c>
      <c r="F905" s="247" t="s">
        <v>3178</v>
      </c>
      <c r="G905" s="247" t="s">
        <v>3179</v>
      </c>
      <c r="H905" s="247" t="s">
        <v>3180</v>
      </c>
    </row>
    <row r="906" spans="1:8" ht="15" customHeight="1" x14ac:dyDescent="0.2">
      <c r="A906" s="41" t="s">
        <v>4328</v>
      </c>
      <c r="B906" s="266" t="s">
        <v>3450</v>
      </c>
      <c r="C906" s="247" t="s">
        <v>2748</v>
      </c>
      <c r="D906" s="247" t="s">
        <v>3461</v>
      </c>
      <c r="E906" s="247" t="s">
        <v>3196</v>
      </c>
      <c r="F906" s="247" t="s">
        <v>3178</v>
      </c>
      <c r="G906" s="247" t="s">
        <v>3179</v>
      </c>
      <c r="H906" s="247" t="s">
        <v>3180</v>
      </c>
    </row>
    <row r="907" spans="1:8" ht="15" customHeight="1" x14ac:dyDescent="0.2">
      <c r="A907" s="41" t="s">
        <v>4508</v>
      </c>
      <c r="B907" s="266" t="s">
        <v>3450</v>
      </c>
      <c r="C907" s="247" t="s">
        <v>3067</v>
      </c>
      <c r="D907" s="247" t="s">
        <v>3066</v>
      </c>
      <c r="E907" s="247" t="s">
        <v>3196</v>
      </c>
      <c r="F907" s="247" t="s">
        <v>3178</v>
      </c>
      <c r="G907" s="247" t="s">
        <v>3179</v>
      </c>
      <c r="H907" s="247" t="s">
        <v>3180</v>
      </c>
    </row>
    <row r="908" spans="1:8" ht="15" customHeight="1" x14ac:dyDescent="0.2">
      <c r="A908" s="41" t="s">
        <v>4390</v>
      </c>
      <c r="B908" s="266" t="s">
        <v>3450</v>
      </c>
      <c r="C908" s="247" t="s">
        <v>2964</v>
      </c>
      <c r="D908" s="247" t="s">
        <v>3523</v>
      </c>
      <c r="E908" s="247" t="s">
        <v>3196</v>
      </c>
      <c r="F908" s="247" t="s">
        <v>3178</v>
      </c>
      <c r="G908" s="247" t="s">
        <v>3179</v>
      </c>
      <c r="H908" s="247" t="s">
        <v>3180</v>
      </c>
    </row>
    <row r="909" spans="1:8" ht="15" customHeight="1" x14ac:dyDescent="0.2">
      <c r="A909" s="41" t="s">
        <v>4364</v>
      </c>
      <c r="B909" s="266" t="s">
        <v>3450</v>
      </c>
      <c r="C909" s="247" t="s">
        <v>2952</v>
      </c>
      <c r="D909" s="247" t="s">
        <v>3497</v>
      </c>
      <c r="E909" s="247" t="s">
        <v>3196</v>
      </c>
      <c r="F909" s="247" t="s">
        <v>3178</v>
      </c>
      <c r="G909" s="247" t="s">
        <v>3179</v>
      </c>
      <c r="H909" s="247" t="s">
        <v>3180</v>
      </c>
    </row>
    <row r="910" spans="1:8" ht="15" customHeight="1" x14ac:dyDescent="0.2">
      <c r="A910" s="41" t="s">
        <v>4368</v>
      </c>
      <c r="B910" s="266" t="s">
        <v>3450</v>
      </c>
      <c r="C910" s="247" t="s">
        <v>2956</v>
      </c>
      <c r="D910" s="247" t="s">
        <v>3501</v>
      </c>
      <c r="E910" s="247" t="s">
        <v>3196</v>
      </c>
      <c r="F910" s="247" t="s">
        <v>3178</v>
      </c>
      <c r="G910" s="247" t="s">
        <v>3179</v>
      </c>
      <c r="H910" s="247" t="s">
        <v>3180</v>
      </c>
    </row>
    <row r="911" spans="1:8" ht="15" customHeight="1" x14ac:dyDescent="0.2">
      <c r="A911" s="41" t="s">
        <v>4376</v>
      </c>
      <c r="B911" s="266" t="s">
        <v>3450</v>
      </c>
      <c r="C911" s="247" t="s">
        <v>2960</v>
      </c>
      <c r="D911" s="247" t="s">
        <v>3509</v>
      </c>
      <c r="E911" s="247" t="s">
        <v>3196</v>
      </c>
      <c r="F911" s="247" t="s">
        <v>3178</v>
      </c>
      <c r="G911" s="247" t="s">
        <v>3179</v>
      </c>
      <c r="H911" s="247" t="s">
        <v>3180</v>
      </c>
    </row>
    <row r="912" spans="1:8" ht="15" customHeight="1" x14ac:dyDescent="0.2">
      <c r="A912" s="41" t="s">
        <v>4367</v>
      </c>
      <c r="B912" s="266" t="s">
        <v>3450</v>
      </c>
      <c r="C912" s="247" t="s">
        <v>2955</v>
      </c>
      <c r="D912" s="247" t="s">
        <v>3500</v>
      </c>
      <c r="E912" s="247" t="s">
        <v>3196</v>
      </c>
      <c r="F912" s="247" t="s">
        <v>3178</v>
      </c>
      <c r="G912" s="247" t="s">
        <v>3179</v>
      </c>
      <c r="H912" s="247" t="s">
        <v>3180</v>
      </c>
    </row>
    <row r="913" spans="1:8" ht="15" customHeight="1" x14ac:dyDescent="0.2">
      <c r="A913" s="41" t="s">
        <v>4384</v>
      </c>
      <c r="B913" s="266" t="s">
        <v>3450</v>
      </c>
      <c r="C913" s="247" t="s">
        <v>2764</v>
      </c>
      <c r="D913" s="247" t="s">
        <v>3517</v>
      </c>
      <c r="E913" s="247" t="s">
        <v>3196</v>
      </c>
      <c r="F913" s="247" t="s">
        <v>3178</v>
      </c>
      <c r="G913" s="247" t="s">
        <v>3179</v>
      </c>
      <c r="H913" s="247" t="s">
        <v>3180</v>
      </c>
    </row>
    <row r="914" spans="1:8" ht="15" customHeight="1" x14ac:dyDescent="0.2">
      <c r="A914" s="41" t="s">
        <v>4421</v>
      </c>
      <c r="B914" s="266" t="s">
        <v>3450</v>
      </c>
      <c r="C914" s="247" t="s">
        <v>2775</v>
      </c>
      <c r="D914" s="247" t="s">
        <v>3546</v>
      </c>
      <c r="E914" s="247" t="s">
        <v>3196</v>
      </c>
      <c r="F914" s="247" t="s">
        <v>3178</v>
      </c>
      <c r="G914" s="247" t="s">
        <v>3179</v>
      </c>
      <c r="H914" s="247" t="s">
        <v>3180</v>
      </c>
    </row>
    <row r="915" spans="1:8" ht="15" customHeight="1" x14ac:dyDescent="0.2">
      <c r="A915" s="41" t="s">
        <v>4454</v>
      </c>
      <c r="B915" s="266" t="s">
        <v>3450</v>
      </c>
      <c r="C915" s="247" t="s">
        <v>3007</v>
      </c>
      <c r="D915" s="247" t="s">
        <v>3006</v>
      </c>
      <c r="E915" s="247" t="s">
        <v>3196</v>
      </c>
      <c r="F915" s="247" t="s">
        <v>3178</v>
      </c>
      <c r="G915" s="247" t="s">
        <v>3179</v>
      </c>
      <c r="H915" s="247" t="s">
        <v>3180</v>
      </c>
    </row>
    <row r="916" spans="1:8" ht="15" customHeight="1" x14ac:dyDescent="0.2">
      <c r="A916" s="41" t="s">
        <v>4407</v>
      </c>
      <c r="B916" s="266" t="s">
        <v>3450</v>
      </c>
      <c r="C916" s="247" t="s">
        <v>2179</v>
      </c>
      <c r="D916" s="247" t="s">
        <v>3538</v>
      </c>
      <c r="E916" s="247" t="s">
        <v>3196</v>
      </c>
      <c r="F916" s="247" t="s">
        <v>3178</v>
      </c>
      <c r="G916" s="247" t="s">
        <v>3179</v>
      </c>
      <c r="H916" s="247" t="s">
        <v>3180</v>
      </c>
    </row>
    <row r="917" spans="1:8" ht="15" customHeight="1" x14ac:dyDescent="0.2">
      <c r="A917" s="41" t="s">
        <v>4334</v>
      </c>
      <c r="B917" s="266" t="s">
        <v>3450</v>
      </c>
      <c r="C917" s="247" t="s">
        <v>2596</v>
      </c>
      <c r="D917" s="247" t="s">
        <v>3467</v>
      </c>
      <c r="E917" s="247" t="s">
        <v>3196</v>
      </c>
      <c r="F917" s="247" t="s">
        <v>3178</v>
      </c>
      <c r="G917" s="247" t="s">
        <v>3179</v>
      </c>
      <c r="H917" s="247" t="s">
        <v>3180</v>
      </c>
    </row>
    <row r="918" spans="1:8" ht="15" customHeight="1" x14ac:dyDescent="0.2">
      <c r="A918" s="41" t="s">
        <v>4323</v>
      </c>
      <c r="B918" s="266" t="s">
        <v>3450</v>
      </c>
      <c r="C918" s="247" t="s">
        <v>2745</v>
      </c>
      <c r="D918" s="247" t="s">
        <v>3456</v>
      </c>
      <c r="E918" s="247" t="s">
        <v>3196</v>
      </c>
      <c r="F918" s="247" t="s">
        <v>3178</v>
      </c>
      <c r="G918" s="247" t="s">
        <v>3179</v>
      </c>
      <c r="H918" s="247" t="s">
        <v>3180</v>
      </c>
    </row>
    <row r="919" spans="1:8" ht="15" customHeight="1" x14ac:dyDescent="0.2">
      <c r="A919" s="41" t="s">
        <v>4381</v>
      </c>
      <c r="B919" s="266" t="s">
        <v>3450</v>
      </c>
      <c r="C919" s="247" t="s">
        <v>2607</v>
      </c>
      <c r="D919" s="247" t="s">
        <v>3514</v>
      </c>
      <c r="E919" s="247" t="s">
        <v>3196</v>
      </c>
      <c r="F919" s="247" t="s">
        <v>3178</v>
      </c>
      <c r="G919" s="247" t="s">
        <v>3179</v>
      </c>
      <c r="H919" s="247" t="s">
        <v>3180</v>
      </c>
    </row>
    <row r="920" spans="1:8" ht="15" customHeight="1" x14ac:dyDescent="0.2">
      <c r="A920" s="41" t="s">
        <v>4464</v>
      </c>
      <c r="B920" s="266" t="s">
        <v>3450</v>
      </c>
      <c r="C920" s="247" t="s">
        <v>3014</v>
      </c>
      <c r="D920" s="247" t="s">
        <v>3013</v>
      </c>
      <c r="E920" s="247" t="s">
        <v>3196</v>
      </c>
      <c r="F920" s="247" t="s">
        <v>3178</v>
      </c>
      <c r="G920" s="247" t="s">
        <v>3179</v>
      </c>
      <c r="H920" s="247" t="s">
        <v>3180</v>
      </c>
    </row>
    <row r="921" spans="1:8" ht="15" customHeight="1" x14ac:dyDescent="0.2">
      <c r="A921" s="41" t="s">
        <v>4395</v>
      </c>
      <c r="B921" s="266" t="s">
        <v>3450</v>
      </c>
      <c r="C921" s="247" t="s">
        <v>2969</v>
      </c>
      <c r="D921" s="247" t="s">
        <v>3528</v>
      </c>
      <c r="E921" s="247" t="s">
        <v>3196</v>
      </c>
      <c r="F921" s="247" t="s">
        <v>3178</v>
      </c>
      <c r="G921" s="247" t="s">
        <v>3179</v>
      </c>
      <c r="H921" s="247" t="s">
        <v>3180</v>
      </c>
    </row>
    <row r="922" spans="1:8" ht="15" customHeight="1" x14ac:dyDescent="0.2">
      <c r="A922" s="41" t="s">
        <v>4338</v>
      </c>
      <c r="B922" s="266" t="s">
        <v>3450</v>
      </c>
      <c r="C922" s="247" t="s">
        <v>2752</v>
      </c>
      <c r="D922" s="247" t="s">
        <v>3471</v>
      </c>
      <c r="E922" s="247" t="s">
        <v>3196</v>
      </c>
      <c r="F922" s="247" t="s">
        <v>3178</v>
      </c>
      <c r="G922" s="247" t="s">
        <v>3179</v>
      </c>
      <c r="H922" s="247" t="s">
        <v>3180</v>
      </c>
    </row>
    <row r="923" spans="1:8" ht="15" customHeight="1" x14ac:dyDescent="0.2">
      <c r="A923" s="41" t="s">
        <v>4385</v>
      </c>
      <c r="B923" s="266" t="s">
        <v>3450</v>
      </c>
      <c r="C923" s="247" t="s">
        <v>2609</v>
      </c>
      <c r="D923" s="247" t="s">
        <v>3518</v>
      </c>
      <c r="E923" s="247" t="s">
        <v>3196</v>
      </c>
      <c r="F923" s="247" t="s">
        <v>3178</v>
      </c>
      <c r="G923" s="247" t="s">
        <v>3179</v>
      </c>
      <c r="H923" s="247" t="s">
        <v>3180</v>
      </c>
    </row>
    <row r="924" spans="1:8" ht="15" customHeight="1" x14ac:dyDescent="0.2">
      <c r="A924" s="41" t="s">
        <v>4403</v>
      </c>
      <c r="B924" s="266" t="s">
        <v>3450</v>
      </c>
      <c r="C924" s="247" t="s">
        <v>2973</v>
      </c>
      <c r="D924" s="247" t="s">
        <v>2972</v>
      </c>
      <c r="E924" s="247" t="s">
        <v>3196</v>
      </c>
      <c r="F924" s="247" t="s">
        <v>3178</v>
      </c>
      <c r="G924" s="247" t="s">
        <v>3179</v>
      </c>
      <c r="H924" s="247" t="s">
        <v>3180</v>
      </c>
    </row>
    <row r="925" spans="1:8" ht="15" customHeight="1" x14ac:dyDescent="0.2">
      <c r="A925" s="41" t="s">
        <v>4527</v>
      </c>
      <c r="B925" s="266" t="s">
        <v>3450</v>
      </c>
      <c r="C925" s="247" t="s">
        <v>3090</v>
      </c>
      <c r="D925" s="247" t="s">
        <v>3608</v>
      </c>
      <c r="E925" s="247" t="s">
        <v>3196</v>
      </c>
      <c r="F925" s="247" t="s">
        <v>3178</v>
      </c>
      <c r="G925" s="247" t="s">
        <v>3179</v>
      </c>
      <c r="H925" s="247" t="s">
        <v>3180</v>
      </c>
    </row>
    <row r="926" spans="1:8" ht="15" customHeight="1" x14ac:dyDescent="0.2">
      <c r="A926" s="41" t="s">
        <v>4442</v>
      </c>
      <c r="B926" s="266" t="s">
        <v>3450</v>
      </c>
      <c r="C926" s="247" t="s">
        <v>2997</v>
      </c>
      <c r="D926" s="247" t="s">
        <v>2996</v>
      </c>
      <c r="E926" s="247" t="s">
        <v>3196</v>
      </c>
      <c r="F926" s="247" t="s">
        <v>3178</v>
      </c>
      <c r="G926" s="247" t="s">
        <v>3179</v>
      </c>
      <c r="H926" s="247" t="s">
        <v>3180</v>
      </c>
    </row>
    <row r="927" spans="1:8" ht="15" customHeight="1" x14ac:dyDescent="0.2">
      <c r="A927" s="41" t="s">
        <v>4369</v>
      </c>
      <c r="B927" s="266" t="s">
        <v>3450</v>
      </c>
      <c r="C927" s="247" t="s">
        <v>2957</v>
      </c>
      <c r="D927" s="247" t="s">
        <v>3502</v>
      </c>
      <c r="E927" s="247" t="s">
        <v>3196</v>
      </c>
      <c r="F927" s="247" t="s">
        <v>3178</v>
      </c>
      <c r="G927" s="247" t="s">
        <v>3179</v>
      </c>
      <c r="H927" s="247" t="s">
        <v>3180</v>
      </c>
    </row>
    <row r="928" spans="1:8" ht="15" customHeight="1" x14ac:dyDescent="0.2">
      <c r="A928" s="41" t="s">
        <v>4365</v>
      </c>
      <c r="B928" s="266" t="s">
        <v>3450</v>
      </c>
      <c r="C928" s="247" t="s">
        <v>2953</v>
      </c>
      <c r="D928" s="247" t="s">
        <v>3498</v>
      </c>
      <c r="E928" s="247" t="s">
        <v>3196</v>
      </c>
      <c r="F928" s="247" t="s">
        <v>3178</v>
      </c>
      <c r="G928" s="247" t="s">
        <v>3179</v>
      </c>
      <c r="H928" s="247" t="s">
        <v>3180</v>
      </c>
    </row>
    <row r="929" spans="1:8" ht="15" customHeight="1" x14ac:dyDescent="0.2">
      <c r="A929" s="41" t="s">
        <v>4388</v>
      </c>
      <c r="B929" s="266" t="s">
        <v>3450</v>
      </c>
      <c r="C929" s="247" t="s">
        <v>2767</v>
      </c>
      <c r="D929" s="247" t="s">
        <v>3521</v>
      </c>
      <c r="E929" s="247" t="s">
        <v>3196</v>
      </c>
      <c r="F929" s="247" t="s">
        <v>3178</v>
      </c>
      <c r="G929" s="247" t="s">
        <v>3179</v>
      </c>
      <c r="H929" s="247" t="s">
        <v>3180</v>
      </c>
    </row>
    <row r="930" spans="1:8" ht="15" customHeight="1" x14ac:dyDescent="0.2">
      <c r="A930" s="41" t="s">
        <v>4329</v>
      </c>
      <c r="B930" s="266" t="s">
        <v>3450</v>
      </c>
      <c r="C930" s="247" t="s">
        <v>2749</v>
      </c>
      <c r="D930" s="247" t="s">
        <v>3462</v>
      </c>
      <c r="E930" s="247" t="s">
        <v>3196</v>
      </c>
      <c r="F930" s="247" t="s">
        <v>3178</v>
      </c>
      <c r="G930" s="247" t="s">
        <v>3179</v>
      </c>
      <c r="H930" s="247" t="s">
        <v>3180</v>
      </c>
    </row>
    <row r="931" spans="1:8" ht="15" customHeight="1" x14ac:dyDescent="0.2">
      <c r="A931" s="41" t="s">
        <v>4378</v>
      </c>
      <c r="B931" s="266" t="s">
        <v>3450</v>
      </c>
      <c r="C931" s="247" t="s">
        <v>2962</v>
      </c>
      <c r="D931" s="247" t="s">
        <v>3511</v>
      </c>
      <c r="E931" s="247" t="s">
        <v>3196</v>
      </c>
      <c r="F931" s="247" t="s">
        <v>3178</v>
      </c>
      <c r="G931" s="247" t="s">
        <v>3179</v>
      </c>
      <c r="H931" s="247" t="s">
        <v>3180</v>
      </c>
    </row>
    <row r="932" spans="1:8" ht="15" customHeight="1" x14ac:dyDescent="0.2">
      <c r="A932" s="41" t="s">
        <v>4342</v>
      </c>
      <c r="B932" s="266" t="s">
        <v>3450</v>
      </c>
      <c r="C932" s="247" t="s">
        <v>2599</v>
      </c>
      <c r="D932" s="247" t="s">
        <v>3475</v>
      </c>
      <c r="E932" s="247" t="s">
        <v>3196</v>
      </c>
      <c r="F932" s="247" t="s">
        <v>3178</v>
      </c>
      <c r="G932" s="247" t="s">
        <v>3179</v>
      </c>
      <c r="H932" s="247" t="s">
        <v>3180</v>
      </c>
    </row>
    <row r="933" spans="1:8" ht="15" customHeight="1" x14ac:dyDescent="0.2">
      <c r="A933" s="41" t="s">
        <v>4320</v>
      </c>
      <c r="B933" s="266" t="s">
        <v>3450</v>
      </c>
      <c r="C933" s="247" t="s">
        <v>2593</v>
      </c>
      <c r="D933" s="247" t="s">
        <v>3453</v>
      </c>
      <c r="E933" s="247" t="s">
        <v>3196</v>
      </c>
      <c r="F933" s="247" t="s">
        <v>3178</v>
      </c>
      <c r="G933" s="247" t="s">
        <v>3179</v>
      </c>
      <c r="H933" s="247" t="s">
        <v>3180</v>
      </c>
    </row>
    <row r="934" spans="1:8" ht="15" customHeight="1" x14ac:dyDescent="0.2">
      <c r="A934" s="41" t="s">
        <v>4362</v>
      </c>
      <c r="B934" s="266" t="s">
        <v>3450</v>
      </c>
      <c r="C934" s="247" t="s">
        <v>2423</v>
      </c>
      <c r="D934" s="247" t="s">
        <v>3495</v>
      </c>
      <c r="E934" s="247" t="s">
        <v>3196</v>
      </c>
      <c r="F934" s="247" t="s">
        <v>3178</v>
      </c>
      <c r="G934" s="247" t="s">
        <v>3179</v>
      </c>
      <c r="H934" s="247" t="s">
        <v>3180</v>
      </c>
    </row>
    <row r="935" spans="1:8" ht="15" customHeight="1" x14ac:dyDescent="0.2">
      <c r="A935" s="41" t="s">
        <v>4476</v>
      </c>
      <c r="B935" s="266" t="s">
        <v>3450</v>
      </c>
      <c r="C935" s="247" t="s">
        <v>3025</v>
      </c>
      <c r="D935" s="247" t="s">
        <v>3024</v>
      </c>
      <c r="E935" s="247" t="s">
        <v>3196</v>
      </c>
      <c r="F935" s="247" t="s">
        <v>3178</v>
      </c>
      <c r="G935" s="247" t="s">
        <v>3179</v>
      </c>
      <c r="H935" s="247" t="s">
        <v>3180</v>
      </c>
    </row>
    <row r="936" spans="1:8" ht="15" customHeight="1" x14ac:dyDescent="0.2">
      <c r="A936" s="41" t="s">
        <v>4379</v>
      </c>
      <c r="B936" s="266" t="s">
        <v>3450</v>
      </c>
      <c r="C936" s="247" t="s">
        <v>2963</v>
      </c>
      <c r="D936" s="247" t="s">
        <v>3512</v>
      </c>
      <c r="E936" s="247" t="s">
        <v>3196</v>
      </c>
      <c r="F936" s="247" t="s">
        <v>3178</v>
      </c>
      <c r="G936" s="247" t="s">
        <v>3179</v>
      </c>
      <c r="H936" s="247" t="s">
        <v>3180</v>
      </c>
    </row>
    <row r="937" spans="1:8" ht="15" customHeight="1" x14ac:dyDescent="0.2">
      <c r="A937" s="41" t="s">
        <v>4399</v>
      </c>
      <c r="B937" s="266" t="s">
        <v>3450</v>
      </c>
      <c r="C937" s="247" t="s">
        <v>2611</v>
      </c>
      <c r="D937" s="247" t="s">
        <v>3532</v>
      </c>
      <c r="E937" s="247" t="s">
        <v>3196</v>
      </c>
      <c r="F937" s="247" t="s">
        <v>3178</v>
      </c>
      <c r="G937" s="247" t="s">
        <v>3179</v>
      </c>
      <c r="H937" s="247" t="s">
        <v>3180</v>
      </c>
    </row>
    <row r="938" spans="1:8" ht="15" customHeight="1" x14ac:dyDescent="0.2">
      <c r="A938" s="41" t="s">
        <v>4386</v>
      </c>
      <c r="B938" s="266" t="s">
        <v>3450</v>
      </c>
      <c r="C938" s="247" t="s">
        <v>2765</v>
      </c>
      <c r="D938" s="247" t="s">
        <v>3519</v>
      </c>
      <c r="E938" s="247" t="s">
        <v>3196</v>
      </c>
      <c r="F938" s="247" t="s">
        <v>3178</v>
      </c>
      <c r="G938" s="247" t="s">
        <v>3179</v>
      </c>
      <c r="H938" s="247" t="s">
        <v>3180</v>
      </c>
    </row>
    <row r="939" spans="1:8" ht="15" customHeight="1" x14ac:dyDescent="0.2">
      <c r="A939" s="41" t="s">
        <v>4387</v>
      </c>
      <c r="B939" s="266" t="s">
        <v>3450</v>
      </c>
      <c r="C939" s="247" t="s">
        <v>2766</v>
      </c>
      <c r="D939" s="247" t="s">
        <v>3520</v>
      </c>
      <c r="E939" s="247" t="s">
        <v>3196</v>
      </c>
      <c r="F939" s="247" t="s">
        <v>3178</v>
      </c>
      <c r="G939" s="247" t="s">
        <v>3179</v>
      </c>
      <c r="H939" s="247" t="s">
        <v>3180</v>
      </c>
    </row>
    <row r="940" spans="1:8" ht="15" customHeight="1" x14ac:dyDescent="0.2">
      <c r="A940" s="41" t="s">
        <v>4533</v>
      </c>
      <c r="B940" s="266" t="s">
        <v>3450</v>
      </c>
      <c r="C940" s="247" t="s">
        <v>3099</v>
      </c>
      <c r="D940" s="247" t="s">
        <v>3098</v>
      </c>
      <c r="E940" s="247" t="s">
        <v>3196</v>
      </c>
      <c r="F940" s="247" t="s">
        <v>3178</v>
      </c>
      <c r="G940" s="247" t="s">
        <v>3179</v>
      </c>
      <c r="H940" s="247" t="s">
        <v>3180</v>
      </c>
    </row>
    <row r="941" spans="1:8" ht="15" customHeight="1" x14ac:dyDescent="0.2">
      <c r="A941" s="41" t="s">
        <v>4357</v>
      </c>
      <c r="B941" s="266" t="s">
        <v>3450</v>
      </c>
      <c r="C941" s="247" t="s">
        <v>2759</v>
      </c>
      <c r="D941" s="247" t="s">
        <v>3490</v>
      </c>
      <c r="E941" s="247" t="s">
        <v>3196</v>
      </c>
      <c r="F941" s="247" t="s">
        <v>3178</v>
      </c>
      <c r="G941" s="247" t="s">
        <v>3179</v>
      </c>
      <c r="H941" s="247" t="s">
        <v>3180</v>
      </c>
    </row>
    <row r="942" spans="1:8" ht="15" customHeight="1" x14ac:dyDescent="0.2">
      <c r="A942" s="41" t="s">
        <v>4517</v>
      </c>
      <c r="B942" s="266" t="s">
        <v>3450</v>
      </c>
      <c r="C942" s="247" t="s">
        <v>2643</v>
      </c>
      <c r="D942" s="247" t="s">
        <v>3602</v>
      </c>
      <c r="E942" s="247" t="s">
        <v>3196</v>
      </c>
      <c r="F942" s="247" t="s">
        <v>3178</v>
      </c>
      <c r="G942" s="247" t="s">
        <v>3179</v>
      </c>
      <c r="H942" s="247" t="s">
        <v>3180</v>
      </c>
    </row>
    <row r="943" spans="1:8" ht="15" customHeight="1" x14ac:dyDescent="0.2">
      <c r="A943" s="41" t="s">
        <v>4534</v>
      </c>
      <c r="B943" s="266" t="s">
        <v>3450</v>
      </c>
      <c r="C943" s="247" t="s">
        <v>3101</v>
      </c>
      <c r="D943" s="247" t="s">
        <v>3100</v>
      </c>
      <c r="E943" s="247" t="s">
        <v>3196</v>
      </c>
      <c r="F943" s="247" t="s">
        <v>3178</v>
      </c>
      <c r="G943" s="247" t="s">
        <v>3179</v>
      </c>
      <c r="H943" s="247" t="s">
        <v>3180</v>
      </c>
    </row>
    <row r="944" spans="1:8" ht="15" customHeight="1" x14ac:dyDescent="0.2">
      <c r="A944" s="41" t="s">
        <v>4489</v>
      </c>
      <c r="B944" s="266" t="s">
        <v>3450</v>
      </c>
      <c r="C944" s="247" t="s">
        <v>2434</v>
      </c>
      <c r="D944" s="247" t="s">
        <v>3594</v>
      </c>
      <c r="E944" s="247" t="s">
        <v>3196</v>
      </c>
      <c r="F944" s="247" t="s">
        <v>3178</v>
      </c>
      <c r="G944" s="247" t="s">
        <v>3179</v>
      </c>
      <c r="H944" s="247" t="s">
        <v>3180</v>
      </c>
    </row>
    <row r="945" spans="1:8" ht="15" customHeight="1" x14ac:dyDescent="0.2">
      <c r="A945" s="41" t="s">
        <v>4488</v>
      </c>
      <c r="B945" s="266" t="s">
        <v>3450</v>
      </c>
      <c r="C945" s="247" t="s">
        <v>2433</v>
      </c>
      <c r="D945" s="247" t="s">
        <v>3593</v>
      </c>
      <c r="E945" s="247" t="s">
        <v>3196</v>
      </c>
      <c r="F945" s="247" t="s">
        <v>3178</v>
      </c>
      <c r="G945" s="247" t="s">
        <v>3179</v>
      </c>
      <c r="H945" s="247" t="s">
        <v>3180</v>
      </c>
    </row>
    <row r="946" spans="1:8" ht="15" customHeight="1" x14ac:dyDescent="0.2">
      <c r="A946" s="41" t="s">
        <v>4375</v>
      </c>
      <c r="B946" s="266" t="s">
        <v>3450</v>
      </c>
      <c r="C946" s="247" t="s">
        <v>2959</v>
      </c>
      <c r="D946" s="247" t="s">
        <v>3508</v>
      </c>
      <c r="E946" s="247" t="s">
        <v>3196</v>
      </c>
      <c r="F946" s="247" t="s">
        <v>3178</v>
      </c>
      <c r="G946" s="247" t="s">
        <v>3179</v>
      </c>
      <c r="H946" s="247" t="s">
        <v>3180</v>
      </c>
    </row>
    <row r="947" spans="1:8" ht="15" customHeight="1" x14ac:dyDescent="0.2">
      <c r="A947" s="41" t="s">
        <v>4526</v>
      </c>
      <c r="B947" s="266" t="s">
        <v>3450</v>
      </c>
      <c r="C947" s="247" t="s">
        <v>3089</v>
      </c>
      <c r="D947" s="247" t="s">
        <v>3607</v>
      </c>
      <c r="E947" s="247" t="s">
        <v>3196</v>
      </c>
      <c r="F947" s="247" t="s">
        <v>3178</v>
      </c>
      <c r="G947" s="247" t="s">
        <v>3179</v>
      </c>
      <c r="H947" s="247" t="s">
        <v>3180</v>
      </c>
    </row>
    <row r="948" spans="1:8" ht="15" customHeight="1" x14ac:dyDescent="0.2">
      <c r="A948" s="41" t="s">
        <v>4458</v>
      </c>
      <c r="B948" s="266" t="s">
        <v>3450</v>
      </c>
      <c r="C948" s="247" t="s">
        <v>3010</v>
      </c>
      <c r="D948" s="247" t="s">
        <v>3009</v>
      </c>
      <c r="E948" s="247" t="s">
        <v>3196</v>
      </c>
      <c r="F948" s="247" t="s">
        <v>3178</v>
      </c>
      <c r="G948" s="247" t="s">
        <v>3179</v>
      </c>
      <c r="H948" s="247" t="s">
        <v>3180</v>
      </c>
    </row>
    <row r="949" spans="1:8" ht="15" customHeight="1" x14ac:dyDescent="0.2">
      <c r="A949" s="41" t="s">
        <v>4401</v>
      </c>
      <c r="B949" s="266" t="s">
        <v>3450</v>
      </c>
      <c r="C949" s="247" t="s">
        <v>2613</v>
      </c>
      <c r="D949" s="247" t="s">
        <v>2612</v>
      </c>
      <c r="E949" s="247" t="s">
        <v>3196</v>
      </c>
      <c r="F949" s="247" t="s">
        <v>3178</v>
      </c>
      <c r="G949" s="247" t="s">
        <v>3179</v>
      </c>
      <c r="H949" s="247" t="s">
        <v>3180</v>
      </c>
    </row>
    <row r="950" spans="1:8" ht="15" customHeight="1" x14ac:dyDescent="0.2">
      <c r="A950" s="41" t="s">
        <v>4525</v>
      </c>
      <c r="B950" s="266" t="s">
        <v>3450</v>
      </c>
      <c r="C950" s="247" t="s">
        <v>3088</v>
      </c>
      <c r="D950" s="247" t="s">
        <v>3606</v>
      </c>
      <c r="E950" s="247" t="s">
        <v>3196</v>
      </c>
      <c r="F950" s="247" t="s">
        <v>3178</v>
      </c>
      <c r="G950" s="247" t="s">
        <v>3179</v>
      </c>
      <c r="H950" s="247" t="s">
        <v>3180</v>
      </c>
    </row>
    <row r="951" spans="1:8" ht="15" customHeight="1" x14ac:dyDescent="0.2">
      <c r="A951" s="41" t="s">
        <v>4457</v>
      </c>
      <c r="B951" s="266" t="s">
        <v>3450</v>
      </c>
      <c r="C951" s="247" t="s">
        <v>3008</v>
      </c>
      <c r="D951" s="247" t="s">
        <v>3573</v>
      </c>
      <c r="E951" s="247" t="s">
        <v>3196</v>
      </c>
      <c r="F951" s="247" t="s">
        <v>3178</v>
      </c>
      <c r="G951" s="247" t="s">
        <v>3179</v>
      </c>
      <c r="H951" s="247" t="s">
        <v>3180</v>
      </c>
    </row>
    <row r="952" spans="1:8" ht="15" customHeight="1" x14ac:dyDescent="0.2">
      <c r="A952" s="41" t="s">
        <v>4522</v>
      </c>
      <c r="B952" s="266" t="s">
        <v>3450</v>
      </c>
      <c r="C952" s="247" t="s">
        <v>3083</v>
      </c>
      <c r="D952" s="247" t="s">
        <v>3605</v>
      </c>
      <c r="E952" s="247" t="s">
        <v>3196</v>
      </c>
      <c r="F952" s="247" t="s">
        <v>3178</v>
      </c>
      <c r="G952" s="247" t="s">
        <v>3179</v>
      </c>
      <c r="H952" s="247" t="s">
        <v>3180</v>
      </c>
    </row>
    <row r="953" spans="1:8" ht="15" customHeight="1" x14ac:dyDescent="0.2">
      <c r="A953" s="41" t="s">
        <v>4249</v>
      </c>
      <c r="B953" s="266" t="s">
        <v>3314</v>
      </c>
      <c r="C953" s="247" t="s">
        <v>3076</v>
      </c>
      <c r="D953" s="247" t="s">
        <v>3075</v>
      </c>
      <c r="E953" s="247" t="s">
        <v>3196</v>
      </c>
      <c r="F953" s="247" t="s">
        <v>3178</v>
      </c>
      <c r="G953" s="247" t="s">
        <v>3179</v>
      </c>
      <c r="H953" s="247" t="s">
        <v>3180</v>
      </c>
    </row>
    <row r="954" spans="1:8" ht="15" customHeight="1" x14ac:dyDescent="0.2">
      <c r="A954" s="41" t="s">
        <v>4519</v>
      </c>
      <c r="B954" s="266" t="s">
        <v>3450</v>
      </c>
      <c r="C954" s="247" t="s">
        <v>2645</v>
      </c>
      <c r="D954" s="247" t="s">
        <v>2644</v>
      </c>
      <c r="E954" s="247" t="s">
        <v>3196</v>
      </c>
      <c r="F954" s="247" t="s">
        <v>3178</v>
      </c>
      <c r="G954" s="247" t="s">
        <v>3179</v>
      </c>
      <c r="H954" s="247" t="s">
        <v>3180</v>
      </c>
    </row>
    <row r="955" spans="1:8" ht="15" customHeight="1" x14ac:dyDescent="0.2">
      <c r="A955" s="41" t="s">
        <v>4521</v>
      </c>
      <c r="B955" s="266" t="s">
        <v>3450</v>
      </c>
      <c r="C955" s="247" t="s">
        <v>3082</v>
      </c>
      <c r="D955" s="247" t="s">
        <v>3604</v>
      </c>
      <c r="E955" s="247" t="s">
        <v>3196</v>
      </c>
      <c r="F955" s="247" t="s">
        <v>3178</v>
      </c>
      <c r="G955" s="247" t="s">
        <v>3179</v>
      </c>
      <c r="H955" s="247" t="s">
        <v>3180</v>
      </c>
    </row>
    <row r="956" spans="1:8" ht="15" customHeight="1" x14ac:dyDescent="0.2">
      <c r="A956" s="41" t="s">
        <v>4366</v>
      </c>
      <c r="B956" s="266" t="s">
        <v>3450</v>
      </c>
      <c r="C956" s="247" t="s">
        <v>2954</v>
      </c>
      <c r="D956" s="247" t="s">
        <v>3499</v>
      </c>
      <c r="E956" s="247" t="s">
        <v>3196</v>
      </c>
      <c r="F956" s="247" t="s">
        <v>3178</v>
      </c>
      <c r="G956" s="247" t="s">
        <v>3179</v>
      </c>
      <c r="H956" s="247" t="s">
        <v>3180</v>
      </c>
    </row>
    <row r="957" spans="1:8" ht="15" customHeight="1" x14ac:dyDescent="0.2">
      <c r="A957" s="41" t="s">
        <v>4326</v>
      </c>
      <c r="B957" s="266" t="s">
        <v>3450</v>
      </c>
      <c r="C957" s="247" t="s">
        <v>2746</v>
      </c>
      <c r="D957" s="247" t="s">
        <v>3459</v>
      </c>
      <c r="E957" s="247" t="s">
        <v>3196</v>
      </c>
      <c r="F957" s="247" t="s">
        <v>3178</v>
      </c>
      <c r="G957" s="247" t="s">
        <v>3179</v>
      </c>
      <c r="H957" s="247" t="s">
        <v>3180</v>
      </c>
    </row>
    <row r="958" spans="1:8" ht="15" customHeight="1" x14ac:dyDescent="0.2">
      <c r="A958" s="41" t="s">
        <v>4449</v>
      </c>
      <c r="B958" s="266" t="s">
        <v>3450</v>
      </c>
      <c r="C958" s="247" t="s">
        <v>3000</v>
      </c>
      <c r="D958" s="247" t="s">
        <v>3568</v>
      </c>
      <c r="E958" s="247" t="s">
        <v>3196</v>
      </c>
      <c r="F958" s="247" t="s">
        <v>3178</v>
      </c>
      <c r="G958" s="247" t="s">
        <v>3179</v>
      </c>
      <c r="H958" s="247" t="s">
        <v>3180</v>
      </c>
    </row>
    <row r="959" spans="1:8" ht="15" customHeight="1" x14ac:dyDescent="0.2">
      <c r="A959" s="41" t="s">
        <v>4493</v>
      </c>
      <c r="B959" s="266" t="s">
        <v>3450</v>
      </c>
      <c r="C959" s="247" t="s">
        <v>3040</v>
      </c>
      <c r="D959" s="247" t="s">
        <v>3039</v>
      </c>
      <c r="E959" s="247" t="s">
        <v>3196</v>
      </c>
      <c r="F959" s="247" t="s">
        <v>3178</v>
      </c>
      <c r="G959" s="247" t="s">
        <v>3179</v>
      </c>
      <c r="H959" s="247" t="s">
        <v>3180</v>
      </c>
    </row>
    <row r="960" spans="1:8" ht="15" customHeight="1" x14ac:dyDescent="0.2">
      <c r="A960" s="41" t="s">
        <v>4497</v>
      </c>
      <c r="B960" s="266" t="s">
        <v>3450</v>
      </c>
      <c r="C960" s="247" t="s">
        <v>3048</v>
      </c>
      <c r="D960" s="247" t="s">
        <v>3047</v>
      </c>
      <c r="E960" s="247" t="s">
        <v>3196</v>
      </c>
      <c r="F960" s="247" t="s">
        <v>3178</v>
      </c>
      <c r="G960" s="247" t="s">
        <v>3179</v>
      </c>
      <c r="H960" s="247" t="s">
        <v>3180</v>
      </c>
    </row>
    <row r="961" spans="1:8" ht="15" customHeight="1" x14ac:dyDescent="0.2">
      <c r="A961" s="41" t="s">
        <v>4455</v>
      </c>
      <c r="B961" s="266" t="s">
        <v>3450</v>
      </c>
      <c r="C961" s="247" t="s">
        <v>2626</v>
      </c>
      <c r="D961" s="247" t="s">
        <v>3571</v>
      </c>
      <c r="E961" s="247" t="s">
        <v>3196</v>
      </c>
      <c r="F961" s="247" t="s">
        <v>3178</v>
      </c>
      <c r="G961" s="247" t="s">
        <v>3179</v>
      </c>
      <c r="H961" s="247" t="s">
        <v>3180</v>
      </c>
    </row>
    <row r="962" spans="1:8" ht="15" customHeight="1" x14ac:dyDescent="0.2">
      <c r="A962" s="41" t="s">
        <v>4490</v>
      </c>
      <c r="B962" s="266" t="s">
        <v>3450</v>
      </c>
      <c r="C962" s="247" t="s">
        <v>3035</v>
      </c>
      <c r="D962" s="247" t="s">
        <v>3034</v>
      </c>
      <c r="E962" s="247" t="s">
        <v>3196</v>
      </c>
      <c r="F962" s="247" t="s">
        <v>3178</v>
      </c>
      <c r="G962" s="247" t="s">
        <v>3179</v>
      </c>
      <c r="H962" s="247" t="s">
        <v>3180</v>
      </c>
    </row>
    <row r="963" spans="1:8" ht="15" customHeight="1" x14ac:dyDescent="0.2">
      <c r="A963" s="41" t="s">
        <v>4371</v>
      </c>
      <c r="B963" s="266" t="s">
        <v>3450</v>
      </c>
      <c r="C963" s="247" t="s">
        <v>2605</v>
      </c>
      <c r="D963" s="247" t="s">
        <v>3504</v>
      </c>
      <c r="E963" s="247" t="s">
        <v>3196</v>
      </c>
      <c r="F963" s="247" t="s">
        <v>3178</v>
      </c>
      <c r="G963" s="247" t="s">
        <v>3179</v>
      </c>
      <c r="H963" s="247" t="s">
        <v>3180</v>
      </c>
    </row>
    <row r="964" spans="1:8" ht="15" customHeight="1" x14ac:dyDescent="0.2">
      <c r="A964" s="41" t="s">
        <v>4472</v>
      </c>
      <c r="B964" s="266" t="s">
        <v>3450</v>
      </c>
      <c r="C964" s="247" t="s">
        <v>2632</v>
      </c>
      <c r="D964" s="247" t="s">
        <v>3583</v>
      </c>
      <c r="E964" s="247" t="s">
        <v>3196</v>
      </c>
      <c r="F964" s="247" t="s">
        <v>3178</v>
      </c>
      <c r="G964" s="247" t="s">
        <v>3179</v>
      </c>
      <c r="H964" s="247" t="s">
        <v>3180</v>
      </c>
    </row>
    <row r="965" spans="1:8" ht="15" customHeight="1" x14ac:dyDescent="0.2">
      <c r="A965" s="41" t="s">
        <v>4483</v>
      </c>
      <c r="B965" s="266" t="s">
        <v>3450</v>
      </c>
      <c r="C965" s="247" t="s">
        <v>2636</v>
      </c>
      <c r="D965" s="247" t="s">
        <v>3589</v>
      </c>
      <c r="E965" s="247" t="s">
        <v>3196</v>
      </c>
      <c r="F965" s="247" t="s">
        <v>3178</v>
      </c>
      <c r="G965" s="247" t="s">
        <v>3179</v>
      </c>
      <c r="H965" s="247" t="s">
        <v>3180</v>
      </c>
    </row>
    <row r="966" spans="1:8" ht="15" customHeight="1" x14ac:dyDescent="0.2">
      <c r="A966" s="41" t="s">
        <v>3776</v>
      </c>
      <c r="B966" s="266" t="s">
        <v>3193</v>
      </c>
      <c r="C966" s="247" t="s">
        <v>2149</v>
      </c>
      <c r="D966" s="247" t="s">
        <v>2148</v>
      </c>
      <c r="E966" s="247" t="s">
        <v>3196</v>
      </c>
      <c r="F966" s="247" t="s">
        <v>3182</v>
      </c>
      <c r="G966" s="247" t="s">
        <v>3179</v>
      </c>
      <c r="H966" s="247" t="s">
        <v>3180</v>
      </c>
    </row>
    <row r="967" spans="1:8" ht="15" customHeight="1" x14ac:dyDescent="0.2">
      <c r="A967" s="41" t="s">
        <v>3770</v>
      </c>
      <c r="B967" s="266" t="s">
        <v>3193</v>
      </c>
      <c r="C967" s="247" t="s">
        <v>1685</v>
      </c>
      <c r="D967" s="247" t="s">
        <v>1684</v>
      </c>
      <c r="E967" s="247" t="s">
        <v>3196</v>
      </c>
      <c r="F967" s="247" t="s">
        <v>3178</v>
      </c>
      <c r="G967" s="247" t="s">
        <v>3179</v>
      </c>
      <c r="H967" s="247" t="s">
        <v>3180</v>
      </c>
    </row>
    <row r="968" spans="1:8" ht="15" customHeight="1" x14ac:dyDescent="0.2">
      <c r="A968" s="41" t="s">
        <v>3771</v>
      </c>
      <c r="B968" s="266" t="s">
        <v>3193</v>
      </c>
      <c r="C968" s="247" t="s">
        <v>1697</v>
      </c>
      <c r="D968" s="247" t="s">
        <v>1696</v>
      </c>
      <c r="E968" s="247" t="s">
        <v>3196</v>
      </c>
      <c r="F968" s="247" t="s">
        <v>3178</v>
      </c>
      <c r="G968" s="247" t="s">
        <v>3179</v>
      </c>
      <c r="H968" s="247" t="s">
        <v>3180</v>
      </c>
    </row>
    <row r="969" spans="1:8" ht="15" customHeight="1" x14ac:dyDescent="0.2">
      <c r="A969" s="41" t="s">
        <v>4610</v>
      </c>
      <c r="B969" s="266" t="s">
        <v>3647</v>
      </c>
      <c r="C969" s="247" t="s">
        <v>1851</v>
      </c>
      <c r="D969" s="247" t="s">
        <v>3661</v>
      </c>
      <c r="E969" s="247" t="s">
        <v>3213</v>
      </c>
      <c r="F969" s="247" t="s">
        <v>3178</v>
      </c>
      <c r="G969" s="247" t="s">
        <v>3651</v>
      </c>
      <c r="H969" s="247" t="s">
        <v>3185</v>
      </c>
    </row>
    <row r="970" spans="1:8" ht="15" customHeight="1" x14ac:dyDescent="0.2">
      <c r="A970" s="41" t="s">
        <v>4660</v>
      </c>
      <c r="B970" s="266" t="s">
        <v>3662</v>
      </c>
      <c r="C970" s="247" t="s">
        <v>2096</v>
      </c>
      <c r="D970" s="247" t="s">
        <v>3675</v>
      </c>
      <c r="E970" s="247" t="s">
        <v>3208</v>
      </c>
      <c r="F970" s="247" t="s">
        <v>3182</v>
      </c>
      <c r="G970" s="247" t="s">
        <v>3179</v>
      </c>
      <c r="H970" s="247" t="s">
        <v>3180</v>
      </c>
    </row>
    <row r="971" spans="1:8" ht="15" customHeight="1" x14ac:dyDescent="0.2">
      <c r="A971" s="41" t="s">
        <v>4572</v>
      </c>
      <c r="B971" s="266" t="s">
        <v>3637</v>
      </c>
      <c r="C971" s="247" t="s">
        <v>2087</v>
      </c>
      <c r="D971" s="247" t="s">
        <v>2086</v>
      </c>
      <c r="E971" s="247" t="s">
        <v>3208</v>
      </c>
      <c r="F971" s="247" t="s">
        <v>3178</v>
      </c>
      <c r="G971" s="247" t="s">
        <v>3179</v>
      </c>
      <c r="H971" s="247" t="s">
        <v>3180</v>
      </c>
    </row>
    <row r="972" spans="1:8" ht="15" customHeight="1" x14ac:dyDescent="0.2">
      <c r="A972" s="41" t="s">
        <v>4571</v>
      </c>
      <c r="B972" s="266" t="s">
        <v>3637</v>
      </c>
      <c r="C972" s="247" t="s">
        <v>2782</v>
      </c>
      <c r="D972" s="247" t="s">
        <v>2781</v>
      </c>
      <c r="E972" s="247" t="s">
        <v>3208</v>
      </c>
      <c r="F972" s="247" t="s">
        <v>3178</v>
      </c>
      <c r="G972" s="247" t="s">
        <v>3179</v>
      </c>
      <c r="H972" s="247" t="s">
        <v>3180</v>
      </c>
    </row>
    <row r="973" spans="1:8" ht="15" customHeight="1" x14ac:dyDescent="0.2">
      <c r="A973" s="41" t="s">
        <v>4309</v>
      </c>
      <c r="B973" s="266" t="s">
        <v>3438</v>
      </c>
      <c r="C973" s="247" t="s">
        <v>1779</v>
      </c>
      <c r="D973" s="247" t="s">
        <v>3442</v>
      </c>
      <c r="E973" s="247" t="s">
        <v>3196</v>
      </c>
      <c r="F973" s="247" t="s">
        <v>3178</v>
      </c>
      <c r="G973" s="247" t="s">
        <v>3179</v>
      </c>
      <c r="H973" s="247" t="s">
        <v>3180</v>
      </c>
    </row>
    <row r="974" spans="1:8" ht="15" customHeight="1" x14ac:dyDescent="0.2">
      <c r="A974" s="41" t="s">
        <v>4600</v>
      </c>
      <c r="B974" s="266" t="s">
        <v>3647</v>
      </c>
      <c r="C974" s="247" t="s">
        <v>2057</v>
      </c>
      <c r="D974" s="247" t="s">
        <v>2056</v>
      </c>
      <c r="E974" s="247" t="s">
        <v>3213</v>
      </c>
      <c r="F974" s="247" t="s">
        <v>3182</v>
      </c>
      <c r="G974" s="247" t="s">
        <v>3179</v>
      </c>
      <c r="H974" s="247" t="s">
        <v>3180</v>
      </c>
    </row>
    <row r="975" spans="1:8" ht="15" customHeight="1" x14ac:dyDescent="0.2">
      <c r="A975" s="41" t="s">
        <v>3876</v>
      </c>
      <c r="B975" s="266" t="s">
        <v>3250</v>
      </c>
      <c r="C975" s="247" t="s">
        <v>1799</v>
      </c>
      <c r="D975" s="247" t="s">
        <v>1798</v>
      </c>
      <c r="E975" s="247" t="s">
        <v>3196</v>
      </c>
      <c r="F975" s="247" t="s">
        <v>3182</v>
      </c>
      <c r="G975" s="247" t="s">
        <v>3179</v>
      </c>
      <c r="H975" s="247" t="s">
        <v>3185</v>
      </c>
    </row>
    <row r="976" spans="1:8" ht="15" customHeight="1" x14ac:dyDescent="0.2">
      <c r="A976" s="41" t="s">
        <v>3795</v>
      </c>
      <c r="B976" s="266" t="s">
        <v>3212</v>
      </c>
      <c r="C976" s="247" t="s">
        <v>1802</v>
      </c>
      <c r="D976" s="247" t="s">
        <v>1798</v>
      </c>
      <c r="E976" s="247" t="s">
        <v>3213</v>
      </c>
      <c r="F976" s="247" t="s">
        <v>3182</v>
      </c>
      <c r="G976" s="247" t="s">
        <v>3179</v>
      </c>
      <c r="H976" s="247" t="s">
        <v>3180</v>
      </c>
    </row>
    <row r="977" spans="1:8" ht="15" customHeight="1" x14ac:dyDescent="0.2">
      <c r="A977" s="41" t="s">
        <v>4576</v>
      </c>
      <c r="B977" s="266" t="s">
        <v>3637</v>
      </c>
      <c r="C977" s="247" t="s">
        <v>1737</v>
      </c>
      <c r="D977" s="247" t="s">
        <v>3639</v>
      </c>
      <c r="E977" s="247" t="s">
        <v>3208</v>
      </c>
      <c r="F977" s="247" t="s">
        <v>3178</v>
      </c>
      <c r="G977" s="247" t="s">
        <v>3179</v>
      </c>
      <c r="H977" s="247" t="s">
        <v>3180</v>
      </c>
    </row>
    <row r="978" spans="1:8" ht="15" customHeight="1" x14ac:dyDescent="0.2">
      <c r="A978" s="41" t="s">
        <v>4577</v>
      </c>
      <c r="B978" s="266" t="s">
        <v>3637</v>
      </c>
      <c r="C978" s="247" t="s">
        <v>1791</v>
      </c>
      <c r="D978" s="247" t="s">
        <v>3640</v>
      </c>
      <c r="E978" s="247" t="s">
        <v>3208</v>
      </c>
      <c r="F978" s="247" t="s">
        <v>3178</v>
      </c>
      <c r="G978" s="247" t="s">
        <v>3179</v>
      </c>
      <c r="H978" s="247" t="s">
        <v>3180</v>
      </c>
    </row>
    <row r="979" spans="1:8" ht="15" customHeight="1" x14ac:dyDescent="0.2">
      <c r="A979" s="41" t="s">
        <v>4578</v>
      </c>
      <c r="B979" s="266" t="s">
        <v>3637</v>
      </c>
      <c r="C979" s="247" t="s">
        <v>1831</v>
      </c>
      <c r="D979" s="247" t="s">
        <v>3641</v>
      </c>
      <c r="E979" s="247" t="s">
        <v>3208</v>
      </c>
      <c r="F979" s="247" t="s">
        <v>3178</v>
      </c>
      <c r="G979" s="247" t="s">
        <v>3179</v>
      </c>
      <c r="H979" s="247" t="s">
        <v>3180</v>
      </c>
    </row>
    <row r="980" spans="1:8" ht="15" customHeight="1" x14ac:dyDescent="0.2">
      <c r="A980" s="41" t="s">
        <v>3697</v>
      </c>
      <c r="B980" s="266" t="s">
        <v>3176</v>
      </c>
      <c r="C980" s="247" t="s">
        <v>2784</v>
      </c>
      <c r="D980" s="247" t="s">
        <v>2783</v>
      </c>
      <c r="E980" s="247" t="s">
        <v>3177</v>
      </c>
      <c r="F980" s="247" t="s">
        <v>3178</v>
      </c>
      <c r="G980" s="247" t="s">
        <v>3179</v>
      </c>
      <c r="H980" s="247" t="s">
        <v>3180</v>
      </c>
    </row>
    <row r="981" spans="1:8" ht="15" customHeight="1" x14ac:dyDescent="0.2">
      <c r="A981" s="41" t="s">
        <v>3698</v>
      </c>
      <c r="B981" s="266" t="s">
        <v>3176</v>
      </c>
      <c r="C981" s="247" t="s">
        <v>2786</v>
      </c>
      <c r="D981" s="247" t="s">
        <v>2785</v>
      </c>
      <c r="E981" s="247" t="s">
        <v>3177</v>
      </c>
      <c r="F981" s="247" t="s">
        <v>3178</v>
      </c>
      <c r="G981" s="247" t="s">
        <v>3179</v>
      </c>
      <c r="H981" s="247" t="s">
        <v>3180</v>
      </c>
    </row>
    <row r="982" spans="1:8" ht="15" customHeight="1" x14ac:dyDescent="0.2">
      <c r="A982" s="41" t="s">
        <v>3699</v>
      </c>
      <c r="B982" s="266" t="s">
        <v>3176</v>
      </c>
      <c r="C982" s="247" t="s">
        <v>2788</v>
      </c>
      <c r="D982" s="247" t="s">
        <v>2787</v>
      </c>
      <c r="E982" s="247" t="s">
        <v>3177</v>
      </c>
      <c r="F982" s="247" t="s">
        <v>3178</v>
      </c>
      <c r="G982" s="247" t="s">
        <v>3179</v>
      </c>
      <c r="H982" s="247" t="s">
        <v>3180</v>
      </c>
    </row>
    <row r="983" spans="1:8" ht="15" customHeight="1" x14ac:dyDescent="0.2">
      <c r="A983" s="41" t="s">
        <v>3700</v>
      </c>
      <c r="B983" s="266" t="s">
        <v>3176</v>
      </c>
      <c r="C983" s="247" t="s">
        <v>2790</v>
      </c>
      <c r="D983" s="247" t="s">
        <v>2789</v>
      </c>
      <c r="E983" s="247" t="s">
        <v>3177</v>
      </c>
      <c r="F983" s="247" t="s">
        <v>3178</v>
      </c>
      <c r="G983" s="247" t="s">
        <v>3179</v>
      </c>
      <c r="H983" s="247" t="s">
        <v>3180</v>
      </c>
    </row>
    <row r="984" spans="1:8" ht="15" customHeight="1" x14ac:dyDescent="0.2">
      <c r="A984" s="41" t="s">
        <v>3701</v>
      </c>
      <c r="B984" s="266" t="s">
        <v>3176</v>
      </c>
      <c r="C984" s="247" t="s">
        <v>2339</v>
      </c>
      <c r="D984" s="247" t="s">
        <v>2338</v>
      </c>
      <c r="E984" s="247" t="s">
        <v>3177</v>
      </c>
      <c r="F984" s="247" t="s">
        <v>3178</v>
      </c>
      <c r="G984" s="247" t="s">
        <v>3179</v>
      </c>
      <c r="H984" s="247" t="s">
        <v>3180</v>
      </c>
    </row>
    <row r="985" spans="1:8" ht="15" customHeight="1" x14ac:dyDescent="0.2">
      <c r="A985" s="41" t="s">
        <v>3710</v>
      </c>
      <c r="B985" s="266" t="s">
        <v>3176</v>
      </c>
      <c r="C985" s="247" t="s">
        <v>2794</v>
      </c>
      <c r="D985" s="247" t="s">
        <v>2793</v>
      </c>
      <c r="E985" s="247" t="s">
        <v>3177</v>
      </c>
      <c r="F985" s="247" t="s">
        <v>3178</v>
      </c>
      <c r="G985" s="247" t="s">
        <v>3179</v>
      </c>
      <c r="H985" s="247" t="s">
        <v>3180</v>
      </c>
    </row>
    <row r="986" spans="1:8" ht="15" customHeight="1" x14ac:dyDescent="0.2">
      <c r="A986" s="41" t="s">
        <v>3695</v>
      </c>
      <c r="B986" s="266" t="s">
        <v>3176</v>
      </c>
      <c r="C986" s="247" t="s">
        <v>2255</v>
      </c>
      <c r="D986" s="247" t="s">
        <v>2254</v>
      </c>
      <c r="E986" s="247" t="s">
        <v>3177</v>
      </c>
      <c r="F986" s="247" t="s">
        <v>3178</v>
      </c>
      <c r="G986" s="247" t="s">
        <v>3179</v>
      </c>
      <c r="H986" s="247" t="s">
        <v>3180</v>
      </c>
    </row>
    <row r="987" spans="1:8" ht="15" customHeight="1" x14ac:dyDescent="0.2">
      <c r="A987" s="41" t="s">
        <v>3696</v>
      </c>
      <c r="B987" s="266" t="s">
        <v>3176</v>
      </c>
      <c r="C987" s="247" t="s">
        <v>2459</v>
      </c>
      <c r="D987" s="247" t="s">
        <v>2458</v>
      </c>
      <c r="E987" s="247" t="s">
        <v>3177</v>
      </c>
      <c r="F987" s="247" t="s">
        <v>3178</v>
      </c>
      <c r="G987" s="247" t="s">
        <v>3179</v>
      </c>
      <c r="H987" s="247" t="s">
        <v>3180</v>
      </c>
    </row>
    <row r="988" spans="1:8" ht="15" customHeight="1" x14ac:dyDescent="0.2">
      <c r="A988" s="41" t="s">
        <v>4596</v>
      </c>
      <c r="B988" s="266" t="s">
        <v>3647</v>
      </c>
      <c r="C988" s="247" t="s">
        <v>2651</v>
      </c>
      <c r="D988" s="247" t="s">
        <v>2650</v>
      </c>
      <c r="E988" s="247" t="s">
        <v>3213</v>
      </c>
      <c r="F988" s="247" t="s">
        <v>3182</v>
      </c>
      <c r="G988" s="247" t="s">
        <v>3179</v>
      </c>
      <c r="H988" s="247" t="s">
        <v>3180</v>
      </c>
    </row>
    <row r="989" spans="1:8" ht="15" customHeight="1" x14ac:dyDescent="0.2">
      <c r="A989" s="41" t="s">
        <v>4598</v>
      </c>
      <c r="B989" s="266" t="s">
        <v>3647</v>
      </c>
      <c r="C989" s="247" t="s">
        <v>2246</v>
      </c>
      <c r="D989" s="247" t="s">
        <v>2245</v>
      </c>
      <c r="E989" s="247" t="s">
        <v>3213</v>
      </c>
      <c r="F989" s="247" t="s">
        <v>3182</v>
      </c>
      <c r="G989" s="247" t="s">
        <v>3179</v>
      </c>
      <c r="H989" s="247" t="s">
        <v>3180</v>
      </c>
    </row>
    <row r="990" spans="1:8" ht="15" customHeight="1" x14ac:dyDescent="0.2">
      <c r="A990" s="41" t="s">
        <v>4607</v>
      </c>
      <c r="B990" s="266" t="s">
        <v>3647</v>
      </c>
      <c r="C990" s="247" t="s">
        <v>1910</v>
      </c>
      <c r="D990" s="247" t="s">
        <v>1909</v>
      </c>
      <c r="E990" s="247" t="s">
        <v>3213</v>
      </c>
      <c r="F990" s="247" t="s">
        <v>3182</v>
      </c>
      <c r="G990" s="247" t="s">
        <v>3179</v>
      </c>
      <c r="H990" s="247" t="s">
        <v>3180</v>
      </c>
    </row>
  </sheetData>
  <sheetProtection algorithmName="SHA-512" hashValue="raip8WSDva1/Mp9BJFZO4tDpaHTAYznflzc5AFH26Fe61EkxvVTwJ+KhMnqOtos7v4NJcCBRfT6Y88C+QIQWPg==" saltValue="zoQ2PC0iGimWmq3IZR9/WQ==" spinCount="100000" sheet="1" objects="1" scenarios="1"/>
  <sortState xmlns:xlrd2="http://schemas.microsoft.com/office/spreadsheetml/2017/richdata2" ref="A2:H990">
    <sortCondition ref="A2:A990"/>
  </sortState>
  <conditionalFormatting sqref="C2:C990">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Y119"/>
  <sheetViews>
    <sheetView tabSelected="1" topLeftCell="A11" zoomScaleNormal="100" workbookViewId="0">
      <selection activeCell="G2" sqref="G2:O2"/>
    </sheetView>
  </sheetViews>
  <sheetFormatPr defaultRowHeight="12.75" x14ac:dyDescent="0.2"/>
  <cols>
    <col min="1" max="4" width="3.140625" customWidth="1"/>
    <col min="5" max="5" width="4.5703125" customWidth="1"/>
    <col min="6" max="11" width="3.140625" customWidth="1"/>
    <col min="12" max="12" width="6.7109375" customWidth="1"/>
    <col min="13" max="14" width="3.140625" customWidth="1"/>
    <col min="15" max="15" width="12.5703125" customWidth="1"/>
    <col min="16"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14.5703125" customWidth="1"/>
    <col min="28" max="28" width="8.7109375" customWidth="1"/>
    <col min="29" max="29" width="3.42578125" customWidth="1"/>
    <col min="30" max="42" width="3.42578125" hidden="1" customWidth="1"/>
    <col min="43" max="43" width="22.42578125" hidden="1" customWidth="1"/>
    <col min="44" max="44" width="21.42578125" hidden="1" customWidth="1"/>
    <col min="45" max="50" width="3.42578125" hidden="1" customWidth="1"/>
    <col min="51" max="55" width="3.42578125" style="118" hidden="1" customWidth="1"/>
    <col min="56" max="59" width="8.28515625" style="118" hidden="1" customWidth="1"/>
    <col min="60" max="60" width="0.140625" style="118" hidden="1" customWidth="1"/>
    <col min="61" max="61" width="8.28515625" style="118" hidden="1" customWidth="1"/>
    <col min="62" max="62" width="1.7109375" style="118" hidden="1" customWidth="1"/>
    <col min="63" max="63" width="0.140625" style="118" customWidth="1"/>
    <col min="64" max="67" width="8.28515625" style="118" customWidth="1"/>
    <col min="68" max="103" width="9.140625" style="118"/>
  </cols>
  <sheetData>
    <row r="1" spans="1:103" ht="16.5" thickBot="1" x14ac:dyDescent="0.3">
      <c r="A1" s="787" t="s">
        <v>134</v>
      </c>
      <c r="B1" s="788"/>
      <c r="C1" s="788"/>
      <c r="D1" s="788"/>
      <c r="E1" s="788"/>
      <c r="F1" s="788"/>
      <c r="G1" s="788"/>
      <c r="H1" s="788"/>
      <c r="I1" s="788"/>
      <c r="J1" s="788"/>
      <c r="K1" s="788"/>
      <c r="L1" s="788"/>
      <c r="M1" s="788"/>
      <c r="N1" s="788"/>
      <c r="O1" s="788"/>
      <c r="P1" s="788"/>
      <c r="Q1" s="788"/>
      <c r="R1" s="788"/>
      <c r="S1" s="788"/>
      <c r="T1" s="788"/>
      <c r="U1" s="788"/>
      <c r="V1" s="788"/>
      <c r="W1" s="788"/>
      <c r="X1" s="788"/>
      <c r="Y1" s="788"/>
      <c r="Z1" s="788"/>
      <c r="AA1" s="788"/>
      <c r="AB1" s="788"/>
      <c r="AC1" s="789"/>
      <c r="AD1" s="9"/>
      <c r="AY1"/>
      <c r="AZ1"/>
      <c r="BA1"/>
      <c r="BB1"/>
      <c r="BC1"/>
      <c r="BD1"/>
      <c r="BE1"/>
      <c r="BF1"/>
      <c r="BG1"/>
      <c r="BH1"/>
      <c r="BI1"/>
      <c r="BJ1"/>
      <c r="BK1"/>
    </row>
    <row r="2" spans="1:103" ht="12.6" customHeight="1" thickBot="1" x14ac:dyDescent="0.25">
      <c r="A2" s="648" t="s">
        <v>135</v>
      </c>
      <c r="B2" s="294"/>
      <c r="C2" s="294"/>
      <c r="D2" s="294"/>
      <c r="E2" s="294"/>
      <c r="F2" s="294"/>
      <c r="G2" s="657"/>
      <c r="H2" s="657"/>
      <c r="I2" s="657"/>
      <c r="J2" s="657"/>
      <c r="K2" s="657"/>
      <c r="L2" s="657"/>
      <c r="M2" s="657"/>
      <c r="N2" s="657"/>
      <c r="O2" s="657"/>
      <c r="P2" s="651"/>
      <c r="Q2" s="651"/>
      <c r="R2" s="651"/>
      <c r="S2" s="651"/>
      <c r="T2" s="651"/>
      <c r="U2" s="651"/>
      <c r="V2" s="652"/>
      <c r="W2" s="653"/>
      <c r="X2" s="653"/>
      <c r="Y2" s="653"/>
      <c r="Z2" s="653"/>
      <c r="AA2" s="653"/>
      <c r="AB2" s="653"/>
      <c r="AC2" s="654"/>
      <c r="AG2" s="4"/>
      <c r="AY2"/>
      <c r="AZ2"/>
      <c r="BA2"/>
      <c r="BB2"/>
      <c r="BC2"/>
      <c r="BD2"/>
      <c r="BE2"/>
      <c r="BF2"/>
      <c r="BG2"/>
      <c r="BH2"/>
      <c r="BI2"/>
      <c r="BJ2"/>
      <c r="BK2"/>
    </row>
    <row r="3" spans="1:103" ht="12.6" customHeight="1" thickBot="1" x14ac:dyDescent="0.25">
      <c r="A3" s="659" t="s">
        <v>136</v>
      </c>
      <c r="B3" s="296"/>
      <c r="C3" s="296"/>
      <c r="D3" s="296"/>
      <c r="E3" s="296"/>
      <c r="F3" s="296"/>
      <c r="G3" s="658"/>
      <c r="H3" s="658"/>
      <c r="I3" s="658"/>
      <c r="J3" s="658"/>
      <c r="K3" s="658"/>
      <c r="L3" s="658"/>
      <c r="M3" s="658"/>
      <c r="N3" s="658"/>
      <c r="O3" s="658"/>
      <c r="P3" s="296" t="s">
        <v>139</v>
      </c>
      <c r="Q3" s="296"/>
      <c r="R3" s="296"/>
      <c r="S3" s="296"/>
      <c r="T3" s="296"/>
      <c r="U3" s="296"/>
      <c r="V3" s="351"/>
      <c r="W3" s="351"/>
      <c r="X3" s="351"/>
      <c r="Y3" s="351"/>
      <c r="Z3" s="351"/>
      <c r="AA3" s="351"/>
      <c r="AB3" s="351"/>
      <c r="AC3" s="352"/>
      <c r="AG3" s="4"/>
      <c r="AQ3" s="24" t="s">
        <v>137</v>
      </c>
      <c r="AR3" s="22" t="str">
        <f>G6&amp;L6</f>
        <v/>
      </c>
      <c r="AY3"/>
      <c r="AZ3"/>
      <c r="BA3"/>
      <c r="BB3"/>
      <c r="BC3"/>
      <c r="BD3"/>
      <c r="BE3"/>
      <c r="BF3"/>
      <c r="BG3"/>
      <c r="BH3"/>
      <c r="BI3"/>
      <c r="BJ3"/>
      <c r="BK3"/>
    </row>
    <row r="4" spans="1:103" ht="12.6" customHeight="1" thickBot="1" x14ac:dyDescent="0.25">
      <c r="A4" s="659" t="s">
        <v>138</v>
      </c>
      <c r="B4" s="296"/>
      <c r="C4" s="296"/>
      <c r="D4" s="296"/>
      <c r="E4" s="296"/>
      <c r="F4" s="296"/>
      <c r="G4" s="658"/>
      <c r="H4" s="658"/>
      <c r="I4" s="658"/>
      <c r="J4" s="658"/>
      <c r="K4" s="658"/>
      <c r="L4" s="658"/>
      <c r="M4" s="658"/>
      <c r="N4" s="658"/>
      <c r="O4" s="658"/>
      <c r="P4" s="663" t="s">
        <v>143</v>
      </c>
      <c r="Q4" s="663"/>
      <c r="R4" s="663"/>
      <c r="S4" s="663"/>
      <c r="T4" s="663"/>
      <c r="U4" s="663"/>
      <c r="V4" s="655" t="s">
        <v>1584</v>
      </c>
      <c r="W4" s="655"/>
      <c r="X4" s="655"/>
      <c r="Y4" s="655"/>
      <c r="Z4" s="655"/>
      <c r="AA4" s="655"/>
      <c r="AB4" s="655"/>
      <c r="AC4" s="656"/>
      <c r="AG4" s="4"/>
      <c r="AQ4" s="24" t="s">
        <v>141</v>
      </c>
      <c r="AR4" s="22">
        <f>V6</f>
        <v>0</v>
      </c>
      <c r="AY4"/>
      <c r="AZ4"/>
      <c r="BA4"/>
      <c r="BB4"/>
      <c r="BC4"/>
      <c r="BD4"/>
      <c r="BE4"/>
      <c r="BF4"/>
      <c r="BG4"/>
      <c r="BH4"/>
      <c r="BI4"/>
      <c r="BJ4"/>
      <c r="BK4"/>
    </row>
    <row r="5" spans="1:103" ht="12.6" customHeight="1" thickBot="1" x14ac:dyDescent="0.25">
      <c r="A5" s="659" t="s">
        <v>142</v>
      </c>
      <c r="B5" s="296"/>
      <c r="C5" s="296"/>
      <c r="D5" s="296"/>
      <c r="E5" s="296"/>
      <c r="F5" s="296"/>
      <c r="G5" s="658"/>
      <c r="H5" s="658"/>
      <c r="I5" s="658"/>
      <c r="J5" s="658"/>
      <c r="K5" s="658"/>
      <c r="L5" s="658"/>
      <c r="M5" s="658"/>
      <c r="N5" s="658"/>
      <c r="O5" s="658"/>
      <c r="P5" s="296" t="s">
        <v>145</v>
      </c>
      <c r="Q5" s="296"/>
      <c r="R5" s="296"/>
      <c r="S5" s="296"/>
      <c r="T5" s="296"/>
      <c r="U5" s="296"/>
      <c r="V5" s="295" t="str">
        <f>IF(OR(AK5="305 Base Patching",AK5="501 QC/QA PCCP",AK5="502 Standard Strength",AK5="502 High Early Strength",AK5="502 High Early Strength Modified",AK5="506 Full Depth",AK5="506 Partial Depth",AK5="706 Moment Slab",AK5="722 Silica Fume Overlay",AK5="728 Drilled Shaft",AK5=""),"Mix ID Required","Mix ID Not Required")</f>
        <v>Mix ID Required</v>
      </c>
      <c r="W5" s="296"/>
      <c r="X5" s="296"/>
      <c r="Y5" s="296"/>
      <c r="Z5" s="296"/>
      <c r="AA5" s="665"/>
      <c r="AB5" s="665"/>
      <c r="AC5" s="666"/>
      <c r="AD5" s="4"/>
      <c r="AG5" s="4"/>
      <c r="AQ5" s="24" t="s">
        <v>135</v>
      </c>
      <c r="AR5" s="28">
        <f>G2</f>
        <v>0</v>
      </c>
      <c r="AY5"/>
      <c r="AZ5"/>
      <c r="BA5"/>
      <c r="BB5"/>
      <c r="BC5"/>
      <c r="BD5"/>
      <c r="BE5"/>
      <c r="BF5"/>
      <c r="BG5"/>
      <c r="BH5"/>
      <c r="BI5"/>
      <c r="BJ5"/>
      <c r="BK5"/>
    </row>
    <row r="6" spans="1:103" ht="15.75" customHeight="1" thickBot="1" x14ac:dyDescent="0.25">
      <c r="A6" s="790" t="s">
        <v>3157</v>
      </c>
      <c r="B6" s="791"/>
      <c r="C6" s="791"/>
      <c r="D6" s="791"/>
      <c r="E6" s="791"/>
      <c r="F6" s="791"/>
      <c r="G6" s="791"/>
      <c r="H6" s="791"/>
      <c r="I6" s="791"/>
      <c r="J6" s="791"/>
      <c r="K6" s="791"/>
      <c r="L6" s="791"/>
      <c r="M6" s="791"/>
      <c r="N6" s="791"/>
      <c r="O6" s="791"/>
      <c r="P6" s="791"/>
      <c r="Q6" s="791"/>
      <c r="R6" s="791"/>
      <c r="S6" s="791"/>
      <c r="T6" s="791"/>
      <c r="U6" s="792"/>
      <c r="V6" s="785"/>
      <c r="W6" s="785"/>
      <c r="X6" s="785"/>
      <c r="Y6" s="785"/>
      <c r="Z6" s="785"/>
      <c r="AA6" s="785"/>
      <c r="AB6" s="785"/>
      <c r="AC6" s="786"/>
      <c r="AG6" s="4"/>
      <c r="AQ6" s="25" t="s">
        <v>149</v>
      </c>
      <c r="AR6" s="28">
        <f>G5</f>
        <v>0</v>
      </c>
      <c r="AY6" s="4" t="s">
        <v>150</v>
      </c>
      <c r="AZ6"/>
      <c r="BA6"/>
      <c r="BB6"/>
      <c r="BC6"/>
      <c r="BD6"/>
      <c r="BE6"/>
      <c r="BF6"/>
      <c r="BG6"/>
      <c r="BH6"/>
      <c r="BI6"/>
      <c r="BJ6"/>
      <c r="BK6"/>
    </row>
    <row r="7" spans="1:103" ht="28.5" customHeight="1" thickBot="1" x14ac:dyDescent="0.25">
      <c r="A7" s="660" t="s">
        <v>151</v>
      </c>
      <c r="B7" s="661"/>
      <c r="C7" s="661"/>
      <c r="D7" s="661"/>
      <c r="E7" s="661"/>
      <c r="F7" s="661"/>
      <c r="G7" s="661"/>
      <c r="H7" s="661"/>
      <c r="I7" s="661"/>
      <c r="J7" s="661"/>
      <c r="K7" s="661"/>
      <c r="L7" s="661"/>
      <c r="M7" s="661"/>
      <c r="N7" s="661"/>
      <c r="O7" s="661"/>
      <c r="P7" s="661"/>
      <c r="Q7" s="661"/>
      <c r="R7" s="661"/>
      <c r="S7" s="661"/>
      <c r="T7" s="661"/>
      <c r="U7" s="661"/>
      <c r="V7" s="661"/>
      <c r="W7" s="661"/>
      <c r="X7" s="661"/>
      <c r="Y7" s="661"/>
      <c r="Z7" s="661"/>
      <c r="AA7" s="661"/>
      <c r="AB7" s="661"/>
      <c r="AC7" s="662"/>
      <c r="AD7" s="109"/>
      <c r="AG7" s="4"/>
      <c r="AQ7" s="25" t="s">
        <v>136</v>
      </c>
      <c r="AR7" s="28">
        <f>G3</f>
        <v>0</v>
      </c>
      <c r="AY7"/>
      <c r="AZ7"/>
      <c r="BA7"/>
      <c r="BB7"/>
      <c r="BC7"/>
      <c r="BD7"/>
      <c r="BE7"/>
      <c r="BF7"/>
      <c r="BG7"/>
      <c r="BH7"/>
      <c r="BI7"/>
      <c r="BJ7"/>
      <c r="BK7"/>
    </row>
    <row r="8" spans="1:103" ht="58.5" customHeight="1" thickBot="1" x14ac:dyDescent="0.25">
      <c r="A8" s="664" t="s">
        <v>153</v>
      </c>
      <c r="B8" s="296"/>
      <c r="C8" s="296"/>
      <c r="D8" s="681" t="s">
        <v>154</v>
      </c>
      <c r="E8" s="682"/>
      <c r="F8" s="682"/>
      <c r="G8" s="682"/>
      <c r="H8" s="682"/>
      <c r="I8" s="682"/>
      <c r="J8" s="682"/>
      <c r="K8" s="682"/>
      <c r="L8" s="682"/>
      <c r="M8" s="682"/>
      <c r="N8" s="682"/>
      <c r="O8" s="683"/>
      <c r="P8" s="684" t="s">
        <v>155</v>
      </c>
      <c r="Q8" s="685"/>
      <c r="R8" s="686"/>
      <c r="S8" s="296" t="s">
        <v>156</v>
      </c>
      <c r="T8" s="296"/>
      <c r="U8" s="296"/>
      <c r="V8" s="296" t="s">
        <v>157</v>
      </c>
      <c r="W8" s="296"/>
      <c r="X8" s="296"/>
      <c r="Y8" s="296" t="s">
        <v>158</v>
      </c>
      <c r="Z8" s="296"/>
      <c r="AA8" s="473" t="s">
        <v>159</v>
      </c>
      <c r="AB8" s="473"/>
      <c r="AC8" s="709"/>
      <c r="AG8" s="4"/>
      <c r="AP8" s="34"/>
      <c r="AQ8" s="23" t="s">
        <v>161</v>
      </c>
      <c r="AR8" s="28">
        <f>V2</f>
        <v>0</v>
      </c>
      <c r="AY8"/>
      <c r="AZ8"/>
      <c r="BA8"/>
      <c r="BB8"/>
      <c r="BC8"/>
      <c r="BD8"/>
      <c r="BE8"/>
      <c r="BF8"/>
      <c r="BG8"/>
      <c r="BH8"/>
      <c r="BI8"/>
      <c r="BJ8"/>
      <c r="BK8"/>
    </row>
    <row r="9" spans="1:103" ht="12.6" customHeight="1" thickBot="1" x14ac:dyDescent="0.25">
      <c r="A9" s="634" t="e">
        <f>VLOOKUP(D9,'AGG SOURCES'!A1:D500,2,FALSE)</f>
        <v>#N/A</v>
      </c>
      <c r="B9" s="576"/>
      <c r="C9" s="576"/>
      <c r="D9" s="712"/>
      <c r="E9" s="713"/>
      <c r="F9" s="713"/>
      <c r="G9" s="713"/>
      <c r="H9" s="713"/>
      <c r="I9" s="713"/>
      <c r="J9" s="713"/>
      <c r="K9" s="713"/>
      <c r="L9" s="713"/>
      <c r="M9" s="713"/>
      <c r="N9" s="713"/>
      <c r="O9" s="714"/>
      <c r="P9" s="722"/>
      <c r="Q9" s="723"/>
      <c r="R9" s="724"/>
      <c r="S9" s="649"/>
      <c r="T9" s="649"/>
      <c r="U9" s="649"/>
      <c r="V9" s="649"/>
      <c r="W9" s="649"/>
      <c r="X9" s="649"/>
      <c r="Y9" s="649"/>
      <c r="Z9" s="649"/>
      <c r="AA9" s="687"/>
      <c r="AB9" s="687"/>
      <c r="AC9" s="688"/>
      <c r="AG9" s="4"/>
      <c r="AQ9" s="23" t="s">
        <v>163</v>
      </c>
      <c r="AR9" s="22">
        <f>V3</f>
        <v>0</v>
      </c>
      <c r="AU9" s="4"/>
      <c r="AY9"/>
      <c r="AZ9"/>
      <c r="BA9"/>
      <c r="BB9"/>
      <c r="BC9"/>
      <c r="BD9"/>
      <c r="BE9"/>
      <c r="BF9"/>
      <c r="BG9"/>
      <c r="BH9"/>
      <c r="BI9"/>
      <c r="BJ9"/>
      <c r="BK9"/>
    </row>
    <row r="10" spans="1:103" ht="12.6" customHeight="1" thickBot="1" x14ac:dyDescent="0.25">
      <c r="A10" s="634" t="e">
        <f>VLOOKUP(D10,'AGG SOURCES'!A1:D500,2,FALSE)</f>
        <v>#N/A</v>
      </c>
      <c r="B10" s="576"/>
      <c r="C10" s="576"/>
      <c r="D10" s="712"/>
      <c r="E10" s="715"/>
      <c r="F10" s="715"/>
      <c r="G10" s="715"/>
      <c r="H10" s="715"/>
      <c r="I10" s="715"/>
      <c r="J10" s="715"/>
      <c r="K10" s="715"/>
      <c r="L10" s="715"/>
      <c r="M10" s="715"/>
      <c r="N10" s="715"/>
      <c r="O10" s="716"/>
      <c r="P10" s="722"/>
      <c r="Q10" s="723"/>
      <c r="R10" s="724"/>
      <c r="S10" s="649"/>
      <c r="T10" s="649"/>
      <c r="U10" s="649"/>
      <c r="V10" s="649"/>
      <c r="W10" s="649"/>
      <c r="X10" s="649"/>
      <c r="Y10" s="649"/>
      <c r="Z10" s="649"/>
      <c r="AA10" s="687"/>
      <c r="AB10" s="687"/>
      <c r="AC10" s="688"/>
      <c r="AG10" s="4"/>
      <c r="AQ10" s="23" t="s">
        <v>139</v>
      </c>
      <c r="AR10" s="22" t="str">
        <f>V4</f>
        <v>CMDS</v>
      </c>
      <c r="AY10"/>
      <c r="AZ10"/>
      <c r="BA10"/>
      <c r="BB10"/>
      <c r="BC10"/>
      <c r="BD10"/>
      <c r="BE10"/>
      <c r="BF10"/>
      <c r="BG10"/>
      <c r="BH10"/>
      <c r="BI10"/>
      <c r="BJ10"/>
      <c r="BK10"/>
    </row>
    <row r="11" spans="1:103" ht="12.6" customHeight="1" thickBot="1" x14ac:dyDescent="0.25">
      <c r="A11" s="710" t="e">
        <f>VLOOKUP(D11,'AGG SOURCES'!A1:D500,2,FALSE)</f>
        <v>#N/A</v>
      </c>
      <c r="B11" s="711"/>
      <c r="C11" s="711"/>
      <c r="D11" s="754"/>
      <c r="E11" s="755"/>
      <c r="F11" s="755"/>
      <c r="G11" s="755"/>
      <c r="H11" s="755"/>
      <c r="I11" s="755"/>
      <c r="J11" s="755"/>
      <c r="K11" s="755"/>
      <c r="L11" s="755"/>
      <c r="M11" s="755"/>
      <c r="N11" s="755"/>
      <c r="O11" s="756"/>
      <c r="P11" s="729"/>
      <c r="Q11" s="730"/>
      <c r="R11" s="731"/>
      <c r="S11" s="689"/>
      <c r="T11" s="689"/>
      <c r="U11" s="690"/>
      <c r="V11" s="650"/>
      <c r="W11" s="650"/>
      <c r="X11" s="650"/>
      <c r="Y11" s="650"/>
      <c r="Z11" s="650"/>
      <c r="AA11" s="691"/>
      <c r="AB11" s="691"/>
      <c r="AC11" s="691"/>
      <c r="AG11" s="4"/>
      <c r="AQ11" s="26" t="s">
        <v>166</v>
      </c>
      <c r="AR11" s="124" t="e">
        <f>A9</f>
        <v>#N/A</v>
      </c>
      <c r="AY11"/>
      <c r="AZ11"/>
      <c r="BA11"/>
      <c r="BB11"/>
      <c r="BC11"/>
      <c r="BD11"/>
      <c r="BE11"/>
      <c r="BF11"/>
      <c r="BG11"/>
      <c r="BH11"/>
      <c r="BI11"/>
      <c r="BJ11"/>
      <c r="BK11"/>
    </row>
    <row r="12" spans="1:103" ht="12.6" customHeight="1" thickBo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G12" s="4"/>
      <c r="AQ12" s="26" t="s">
        <v>168</v>
      </c>
      <c r="AR12" s="32">
        <f>D9</f>
        <v>0</v>
      </c>
      <c r="AY12"/>
      <c r="AZ12"/>
      <c r="BA12"/>
      <c r="BB12"/>
      <c r="BC12"/>
      <c r="BD12"/>
      <c r="BE12"/>
      <c r="BF12"/>
      <c r="BG12"/>
      <c r="BH12"/>
      <c r="BI12"/>
      <c r="BJ12"/>
      <c r="BK12"/>
    </row>
    <row r="13" spans="1:103" ht="18" customHeight="1" thickBot="1" x14ac:dyDescent="0.25">
      <c r="A13" s="706" t="s">
        <v>169</v>
      </c>
      <c r="B13" s="707"/>
      <c r="C13" s="707"/>
      <c r="D13" s="707"/>
      <c r="E13" s="707"/>
      <c r="F13" s="707"/>
      <c r="G13" s="707"/>
      <c r="H13" s="707"/>
      <c r="I13" s="707"/>
      <c r="J13" s="707"/>
      <c r="K13" s="707"/>
      <c r="L13" s="707"/>
      <c r="M13" s="707"/>
      <c r="N13" s="707"/>
      <c r="O13" s="707"/>
      <c r="P13" s="707"/>
      <c r="Q13" s="707"/>
      <c r="R13" s="707"/>
      <c r="S13" s="707"/>
      <c r="T13" s="707"/>
      <c r="U13" s="707"/>
      <c r="V13" s="707"/>
      <c r="W13" s="707"/>
      <c r="X13" s="707"/>
      <c r="Y13" s="708"/>
      <c r="AA13" s="732" t="s">
        <v>170</v>
      </c>
      <c r="AB13" s="733"/>
      <c r="AC13" s="734"/>
      <c r="AG13" s="4"/>
      <c r="AQ13" s="26" t="s">
        <v>172</v>
      </c>
      <c r="AR13" s="22">
        <f>S9</f>
        <v>0</v>
      </c>
      <c r="AY13"/>
      <c r="AZ13"/>
      <c r="BA13"/>
      <c r="BB13"/>
      <c r="BC13"/>
      <c r="BD13"/>
      <c r="BE13"/>
      <c r="BF13"/>
      <c r="BG13"/>
      <c r="BH13"/>
      <c r="BI13"/>
      <c r="BJ13"/>
      <c r="BK13"/>
    </row>
    <row r="14" spans="1:103" ht="16.5" customHeight="1" thickTop="1" thickBot="1" x14ac:dyDescent="0.25">
      <c r="A14" s="750" t="s">
        <v>173</v>
      </c>
      <c r="B14" s="742"/>
      <c r="C14" s="743"/>
      <c r="D14" s="741" t="s">
        <v>174</v>
      </c>
      <c r="E14" s="742"/>
      <c r="F14" s="742"/>
      <c r="G14" s="742"/>
      <c r="H14" s="742"/>
      <c r="I14" s="742"/>
      <c r="J14" s="742"/>
      <c r="K14" s="742"/>
      <c r="L14" s="742"/>
      <c r="M14" s="742"/>
      <c r="N14" s="742"/>
      <c r="O14" s="742"/>
      <c r="P14" s="742"/>
      <c r="Q14" s="742"/>
      <c r="R14" s="742"/>
      <c r="S14" s="742"/>
      <c r="T14" s="743"/>
      <c r="U14" s="318" t="s">
        <v>175</v>
      </c>
      <c r="V14" s="319"/>
      <c r="W14" s="319"/>
      <c r="X14" s="319"/>
      <c r="Y14" s="346"/>
      <c r="Z14" s="1"/>
      <c r="AA14" s="674" t="s">
        <v>176</v>
      </c>
      <c r="AB14" s="675"/>
      <c r="AC14" s="676"/>
      <c r="AG14" s="4"/>
      <c r="AQ14" s="27" t="s">
        <v>178</v>
      </c>
      <c r="AR14" s="22">
        <f>V9</f>
        <v>0</v>
      </c>
      <c r="AY14"/>
      <c r="AZ14"/>
      <c r="BA14"/>
      <c r="BB14"/>
      <c r="BC14"/>
      <c r="BD14"/>
      <c r="BE14"/>
      <c r="BF14"/>
      <c r="BG14"/>
      <c r="BH14"/>
      <c r="BI14"/>
      <c r="BJ14"/>
      <c r="BK14"/>
    </row>
    <row r="15" spans="1:103" s="34" customFormat="1" ht="12.6" customHeight="1" thickBot="1" x14ac:dyDescent="0.25">
      <c r="A15" s="751" t="e">
        <f>VLOOKUP(D15,'CEMENT &amp; POZZOLAN SOURCES'!A1:B88,2,FALSE)</f>
        <v>#N/A</v>
      </c>
      <c r="B15" s="752"/>
      <c r="C15" s="753"/>
      <c r="D15" s="701"/>
      <c r="E15" s="702"/>
      <c r="F15" s="702"/>
      <c r="G15" s="702"/>
      <c r="H15" s="702"/>
      <c r="I15" s="702"/>
      <c r="J15" s="702"/>
      <c r="K15" s="702"/>
      <c r="L15" s="702"/>
      <c r="M15" s="702"/>
      <c r="N15" s="702"/>
      <c r="O15" s="702"/>
      <c r="P15" s="702"/>
      <c r="Q15" s="702"/>
      <c r="R15" s="702"/>
      <c r="S15" s="702"/>
      <c r="T15" s="703"/>
      <c r="U15" s="677"/>
      <c r="V15" s="677"/>
      <c r="W15" s="677"/>
      <c r="X15" s="677"/>
      <c r="Y15" s="678"/>
      <c r="AA15" s="668"/>
      <c r="AB15" s="669"/>
      <c r="AC15" s="670"/>
      <c r="AG15" s="4"/>
      <c r="AJ15"/>
      <c r="AK15"/>
      <c r="AL15"/>
      <c r="AM15"/>
      <c r="AN15"/>
      <c r="AO15"/>
      <c r="AP15"/>
      <c r="AQ15" s="35" t="s">
        <v>182</v>
      </c>
      <c r="AR15" s="36">
        <f>Y9</f>
        <v>0</v>
      </c>
      <c r="BL15" s="119"/>
      <c r="BM15" s="119"/>
      <c r="BN15" s="119">
        <f>IF(U15="Type 1L Cement",1,0)</f>
        <v>0</v>
      </c>
      <c r="BO15" s="119">
        <f>SUM(BN15:BN17)</f>
        <v>0</v>
      </c>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row>
    <row r="16" spans="1:103" s="34" customFormat="1" ht="12.6" customHeight="1" thickBot="1" x14ac:dyDescent="0.25">
      <c r="A16" s="751" t="e">
        <f>VLOOKUP(D16,'CEMENT &amp; POZZOLAN SOURCES'!A1:B88,2,FALSE)</f>
        <v>#N/A</v>
      </c>
      <c r="B16" s="752"/>
      <c r="C16" s="753"/>
      <c r="D16" s="701"/>
      <c r="E16" s="702"/>
      <c r="F16" s="702"/>
      <c r="G16" s="702"/>
      <c r="H16" s="702"/>
      <c r="I16" s="702"/>
      <c r="J16" s="702"/>
      <c r="K16" s="702"/>
      <c r="L16" s="702"/>
      <c r="M16" s="702"/>
      <c r="N16" s="702"/>
      <c r="O16" s="702"/>
      <c r="P16" s="702"/>
      <c r="Q16" s="702"/>
      <c r="R16" s="702"/>
      <c r="S16" s="702"/>
      <c r="T16" s="703"/>
      <c r="U16" s="677"/>
      <c r="V16" s="677"/>
      <c r="W16" s="677"/>
      <c r="X16" s="677"/>
      <c r="Y16" s="678"/>
      <c r="AA16" s="674" t="s">
        <v>183</v>
      </c>
      <c r="AB16" s="675"/>
      <c r="AC16" s="676"/>
      <c r="AG16" s="4"/>
      <c r="AQ16" s="35" t="s">
        <v>184</v>
      </c>
      <c r="AR16" s="37">
        <f>AA9</f>
        <v>0</v>
      </c>
      <c r="BL16" s="119"/>
      <c r="BM16" s="119"/>
      <c r="BN16" s="119">
        <f t="shared" ref="BN16:BN17" si="0">IF(U16="Type 1L Cement",1,0)</f>
        <v>0</v>
      </c>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row>
    <row r="17" spans="1:103" s="34" customFormat="1" ht="12.6" customHeight="1" thickBot="1" x14ac:dyDescent="0.25">
      <c r="A17" s="717" t="e">
        <f>VLOOKUP(D17,'CEMENT &amp; POZZOLAN SOURCES'!A1:B88,2,FALSE)</f>
        <v>#N/A</v>
      </c>
      <c r="B17" s="718"/>
      <c r="C17" s="719"/>
      <c r="D17" s="698"/>
      <c r="E17" s="699"/>
      <c r="F17" s="699"/>
      <c r="G17" s="699"/>
      <c r="H17" s="699"/>
      <c r="I17" s="699"/>
      <c r="J17" s="699"/>
      <c r="K17" s="699"/>
      <c r="L17" s="699"/>
      <c r="M17" s="699"/>
      <c r="N17" s="699"/>
      <c r="O17" s="699"/>
      <c r="P17" s="699"/>
      <c r="Q17" s="699"/>
      <c r="R17" s="699"/>
      <c r="S17" s="699"/>
      <c r="T17" s="700"/>
      <c r="U17" s="679"/>
      <c r="V17" s="679"/>
      <c r="W17" s="679"/>
      <c r="X17" s="679"/>
      <c r="Y17" s="680"/>
      <c r="Z17" s="243"/>
      <c r="AA17" s="671"/>
      <c r="AB17" s="672"/>
      <c r="AC17" s="673"/>
      <c r="AG17" s="4"/>
      <c r="AQ17" s="38" t="s">
        <v>186</v>
      </c>
      <c r="AR17" s="126" t="e">
        <f>A10</f>
        <v>#N/A</v>
      </c>
      <c r="BL17" s="119"/>
      <c r="BM17" s="119"/>
      <c r="BN17" s="119">
        <f t="shared" si="0"/>
        <v>0</v>
      </c>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row>
    <row r="18" spans="1:103" ht="27" customHeight="1" thickBot="1" x14ac:dyDescent="0.25">
      <c r="A18" s="747" t="s">
        <v>187</v>
      </c>
      <c r="B18" s="748"/>
      <c r="C18" s="748"/>
      <c r="D18" s="748"/>
      <c r="E18" s="748"/>
      <c r="F18" s="748"/>
      <c r="G18" s="748"/>
      <c r="H18" s="748"/>
      <c r="I18" s="748"/>
      <c r="J18" s="748"/>
      <c r="K18" s="748"/>
      <c r="L18" s="748"/>
      <c r="M18" s="748"/>
      <c r="N18" s="748"/>
      <c r="O18" s="748"/>
      <c r="P18" s="748"/>
      <c r="Q18" s="748"/>
      <c r="R18" s="748"/>
      <c r="S18" s="748"/>
      <c r="T18" s="748"/>
      <c r="U18" s="748"/>
      <c r="V18" s="748"/>
      <c r="W18" s="748"/>
      <c r="X18" s="748"/>
      <c r="Y18" s="748"/>
      <c r="Z18" s="748"/>
      <c r="AA18" s="748"/>
      <c r="AB18" s="748"/>
      <c r="AC18" s="749"/>
      <c r="AG18" s="4"/>
      <c r="AI18" s="34"/>
      <c r="AJ18" s="34"/>
      <c r="AK18" s="34"/>
      <c r="AL18" s="34"/>
      <c r="AM18" s="34"/>
      <c r="AN18" s="34"/>
      <c r="AO18" s="34"/>
      <c r="AQ18" s="26" t="s">
        <v>188</v>
      </c>
      <c r="AR18" s="32">
        <f>D10</f>
        <v>0</v>
      </c>
      <c r="AY18"/>
      <c r="AZ18"/>
      <c r="BA18"/>
      <c r="BB18"/>
      <c r="BC18"/>
      <c r="BD18"/>
      <c r="BE18"/>
      <c r="BF18"/>
      <c r="BG18"/>
      <c r="BH18"/>
      <c r="BI18"/>
      <c r="BJ18"/>
      <c r="BK18"/>
    </row>
    <row r="19" spans="1:103" ht="18" customHeight="1" thickTop="1" thickBot="1" x14ac:dyDescent="0.25">
      <c r="A19" s="648" t="s">
        <v>189</v>
      </c>
      <c r="B19" s="294"/>
      <c r="C19" s="294"/>
      <c r="D19" s="318" t="s">
        <v>190</v>
      </c>
      <c r="E19" s="319"/>
      <c r="F19" s="319"/>
      <c r="G19" s="319"/>
      <c r="H19" s="319"/>
      <c r="I19" s="319"/>
      <c r="J19" s="319"/>
      <c r="K19" s="319"/>
      <c r="L19" s="319"/>
      <c r="M19" s="318" t="s">
        <v>191</v>
      </c>
      <c r="N19" s="319"/>
      <c r="O19" s="319"/>
      <c r="P19" s="319"/>
      <c r="Q19" s="319"/>
      <c r="R19" s="319"/>
      <c r="S19" s="319"/>
      <c r="T19" s="391"/>
      <c r="U19" s="294" t="s">
        <v>157</v>
      </c>
      <c r="V19" s="294"/>
      <c r="W19" s="294"/>
      <c r="X19" s="720" t="s">
        <v>192</v>
      </c>
      <c r="Y19" s="294"/>
      <c r="Z19" s="294"/>
      <c r="AA19" s="294"/>
      <c r="AB19" s="294"/>
      <c r="AC19" s="721"/>
      <c r="AD19" s="13"/>
      <c r="AG19" s="4"/>
      <c r="AQ19" s="26" t="s">
        <v>193</v>
      </c>
      <c r="AR19" s="22">
        <f>S10</f>
        <v>0</v>
      </c>
      <c r="AY19"/>
      <c r="AZ19"/>
      <c r="BA19"/>
      <c r="BB19"/>
      <c r="BC19"/>
      <c r="BD19"/>
      <c r="BE19"/>
      <c r="BF19"/>
      <c r="BG19"/>
      <c r="BH19"/>
      <c r="BI19"/>
      <c r="BJ19"/>
      <c r="BK19"/>
    </row>
    <row r="20" spans="1:103" ht="13.5" customHeight="1" thickBot="1" x14ac:dyDescent="0.25">
      <c r="A20" s="704" t="e">
        <f>VLOOKUP(M20,ADMIXTURES!A1:F308,2,FALSE)</f>
        <v>#N/A</v>
      </c>
      <c r="B20" s="705"/>
      <c r="C20" s="705"/>
      <c r="D20" s="692" t="e">
        <f>VLOOKUP(M20,ADMIXTURES!A1:F308,4,FALSE)</f>
        <v>#N/A</v>
      </c>
      <c r="E20" s="693"/>
      <c r="F20" s="693"/>
      <c r="G20" s="693"/>
      <c r="H20" s="693"/>
      <c r="I20" s="693"/>
      <c r="J20" s="693"/>
      <c r="K20" s="693"/>
      <c r="L20" s="693"/>
      <c r="M20" s="695"/>
      <c r="N20" s="696"/>
      <c r="O20" s="696"/>
      <c r="P20" s="696"/>
      <c r="Q20" s="696"/>
      <c r="R20" s="696"/>
      <c r="S20" s="696"/>
      <c r="T20" s="697"/>
      <c r="U20" s="694" t="str">
        <f>IF(M20="","",VLOOKUP(M20,ADMIXTURES!$A1:$F308,5,FALSE))</f>
        <v/>
      </c>
      <c r="V20" s="576"/>
      <c r="W20" s="576"/>
      <c r="X20" s="480" t="e">
        <f>VLOOKUP(M20,ADMIXTURES!A1:F308,6,FALSE)</f>
        <v>#N/A</v>
      </c>
      <c r="Y20" s="576"/>
      <c r="Z20" s="576"/>
      <c r="AA20" s="576"/>
      <c r="AB20" s="576"/>
      <c r="AC20" s="667"/>
      <c r="AD20" s="51"/>
      <c r="AE20" s="65"/>
      <c r="AF20" s="65"/>
      <c r="AG20" s="4"/>
      <c r="AH20" s="65"/>
      <c r="AQ20" s="27" t="s">
        <v>196</v>
      </c>
      <c r="AR20" s="22">
        <f>V10</f>
        <v>0</v>
      </c>
      <c r="AY20"/>
      <c r="AZ20"/>
      <c r="BA20"/>
      <c r="BB20"/>
      <c r="BC20"/>
      <c r="BD20"/>
      <c r="BE20"/>
      <c r="BF20"/>
      <c r="BG20"/>
      <c r="BH20"/>
      <c r="BI20"/>
      <c r="BJ20"/>
      <c r="BK20"/>
    </row>
    <row r="21" spans="1:103" ht="12.6" customHeight="1" thickBot="1" x14ac:dyDescent="0.25">
      <c r="A21" s="704" t="e">
        <f>VLOOKUP(M21,ADMIXTURES!A1:F308,2,FALSE)</f>
        <v>#N/A</v>
      </c>
      <c r="B21" s="705"/>
      <c r="C21" s="705"/>
      <c r="D21" s="692" t="e">
        <f>VLOOKUP(M21,ADMIXTURES!A1:F308,4,FALSE)</f>
        <v>#N/A</v>
      </c>
      <c r="E21" s="693"/>
      <c r="F21" s="693"/>
      <c r="G21" s="693"/>
      <c r="H21" s="693"/>
      <c r="I21" s="693"/>
      <c r="J21" s="693"/>
      <c r="K21" s="693"/>
      <c r="L21" s="693"/>
      <c r="M21" s="695"/>
      <c r="N21" s="696"/>
      <c r="O21" s="696"/>
      <c r="P21" s="696"/>
      <c r="Q21" s="696"/>
      <c r="R21" s="696"/>
      <c r="S21" s="696"/>
      <c r="T21" s="697"/>
      <c r="U21" s="694" t="str">
        <f>IF(M21="","",VLOOKUP(M21,ADMIXTURES!$A2:$F309,5,FALSE))</f>
        <v/>
      </c>
      <c r="V21" s="576"/>
      <c r="W21" s="576"/>
      <c r="X21" s="480" t="e">
        <f>VLOOKUP(M21,ADMIXTURES!A1:F308,6,FALSE)</f>
        <v>#N/A</v>
      </c>
      <c r="Y21" s="576"/>
      <c r="Z21" s="576"/>
      <c r="AA21" s="576"/>
      <c r="AB21" s="576"/>
      <c r="AC21" s="667"/>
      <c r="AD21" s="51"/>
      <c r="AE21" s="65"/>
      <c r="AF21" s="65"/>
      <c r="AG21" s="4"/>
      <c r="AH21" s="65"/>
      <c r="AQ21" s="27" t="s">
        <v>198</v>
      </c>
      <c r="AR21" s="22">
        <f>Y10</f>
        <v>0</v>
      </c>
      <c r="AY21"/>
      <c r="AZ21"/>
      <c r="BA21"/>
      <c r="BB21"/>
      <c r="BC21"/>
      <c r="BD21"/>
      <c r="BE21"/>
      <c r="BF21"/>
      <c r="BG21"/>
      <c r="BH21"/>
      <c r="BI21"/>
      <c r="BJ21"/>
      <c r="BK21"/>
    </row>
    <row r="22" spans="1:103" ht="12.6" customHeight="1" thickBot="1" x14ac:dyDescent="0.25">
      <c r="A22" s="704" t="e">
        <f>VLOOKUP(M22,ADMIXTURES!A1:F308,2,FALSE)</f>
        <v>#N/A</v>
      </c>
      <c r="B22" s="705"/>
      <c r="C22" s="705"/>
      <c r="D22" s="692" t="e">
        <f>VLOOKUP(M22,ADMIXTURES!A1:F308,4,FALSE)</f>
        <v>#N/A</v>
      </c>
      <c r="E22" s="693"/>
      <c r="F22" s="693"/>
      <c r="G22" s="693"/>
      <c r="H22" s="693"/>
      <c r="I22" s="693"/>
      <c r="J22" s="693"/>
      <c r="K22" s="693"/>
      <c r="L22" s="693"/>
      <c r="M22" s="695"/>
      <c r="N22" s="696"/>
      <c r="O22" s="696"/>
      <c r="P22" s="696"/>
      <c r="Q22" s="696"/>
      <c r="R22" s="696"/>
      <c r="S22" s="696"/>
      <c r="T22" s="697"/>
      <c r="U22" s="694" t="str">
        <f>IF(M22="","",VLOOKUP(M22,ADMIXTURES!$A3:$F310,5,FALSE))</f>
        <v/>
      </c>
      <c r="V22" s="576"/>
      <c r="W22" s="576"/>
      <c r="X22" s="480" t="e">
        <f>VLOOKUP(M22,ADMIXTURES!A1:F308,6,FALSE)</f>
        <v>#N/A</v>
      </c>
      <c r="Y22" s="576"/>
      <c r="Z22" s="576"/>
      <c r="AA22" s="576"/>
      <c r="AB22" s="576"/>
      <c r="AC22" s="667"/>
      <c r="AD22" s="51"/>
      <c r="AE22" s="65"/>
      <c r="AF22" s="65"/>
      <c r="AG22" s="4"/>
      <c r="AH22" s="65"/>
      <c r="AQ22" s="27" t="s">
        <v>201</v>
      </c>
      <c r="AR22" s="28">
        <f>AA10</f>
        <v>0</v>
      </c>
      <c r="AY22"/>
      <c r="AZ22"/>
      <c r="BA22"/>
      <c r="BB22"/>
      <c r="BC22"/>
      <c r="BD22"/>
      <c r="BE22"/>
      <c r="BF22"/>
      <c r="BG22"/>
      <c r="BH22"/>
      <c r="BI22"/>
      <c r="BJ22"/>
      <c r="BK22"/>
    </row>
    <row r="23" spans="1:103" ht="12.6" customHeight="1" thickBot="1" x14ac:dyDescent="0.25">
      <c r="A23" s="704" t="e">
        <f>VLOOKUP(M23,ADMIXTURES!A1:F308,2,FALSE)</f>
        <v>#N/A</v>
      </c>
      <c r="B23" s="705"/>
      <c r="C23" s="705"/>
      <c r="D23" s="692" t="e">
        <f>VLOOKUP(M23,ADMIXTURES!A1:F308,4,FALSE)</f>
        <v>#N/A</v>
      </c>
      <c r="E23" s="693"/>
      <c r="F23" s="693"/>
      <c r="G23" s="693"/>
      <c r="H23" s="693"/>
      <c r="I23" s="693"/>
      <c r="J23" s="693"/>
      <c r="K23" s="693"/>
      <c r="L23" s="693"/>
      <c r="M23" s="695"/>
      <c r="N23" s="696"/>
      <c r="O23" s="696"/>
      <c r="P23" s="696"/>
      <c r="Q23" s="696"/>
      <c r="R23" s="696"/>
      <c r="S23" s="696"/>
      <c r="T23" s="697"/>
      <c r="U23" s="694" t="str">
        <f>IF(M23="","",VLOOKUP(M23,ADMIXTURES!$A4:$F311,5,FALSE))</f>
        <v/>
      </c>
      <c r="V23" s="576"/>
      <c r="W23" s="576"/>
      <c r="X23" s="480" t="e">
        <f>VLOOKUP(M23,ADMIXTURES!A1:F308,6,FALSE)</f>
        <v>#N/A</v>
      </c>
      <c r="Y23" s="576"/>
      <c r="Z23" s="576"/>
      <c r="AA23" s="576"/>
      <c r="AB23" s="576"/>
      <c r="AC23" s="667"/>
      <c r="AD23" s="51"/>
      <c r="AE23" s="65"/>
      <c r="AF23" s="65"/>
      <c r="AG23" s="34" t="s">
        <v>180</v>
      </c>
      <c r="AH23" s="65"/>
      <c r="AI23" s="65"/>
      <c r="AJ23" s="65"/>
      <c r="AK23" s="65"/>
      <c r="AL23" s="65"/>
      <c r="AM23" s="65"/>
      <c r="AQ23" s="27"/>
      <c r="AR23" s="28"/>
      <c r="AY23"/>
      <c r="AZ23"/>
      <c r="BA23"/>
      <c r="BB23"/>
      <c r="BC23"/>
      <c r="BD23"/>
      <c r="BE23"/>
      <c r="BF23"/>
      <c r="BG23"/>
      <c r="BH23"/>
      <c r="BI23"/>
      <c r="BJ23"/>
      <c r="BK23"/>
    </row>
    <row r="24" spans="1:103" ht="12.6" customHeight="1" thickBot="1" x14ac:dyDescent="0.25">
      <c r="A24" s="704" t="e">
        <f>VLOOKUP(M24,ADMIXTURES!A1:F308,2,FALSE)</f>
        <v>#N/A</v>
      </c>
      <c r="B24" s="705"/>
      <c r="C24" s="705"/>
      <c r="D24" s="692" t="e">
        <f>VLOOKUP(M24,ADMIXTURES!A1:F308,4,FALSE)</f>
        <v>#N/A</v>
      </c>
      <c r="E24" s="693"/>
      <c r="F24" s="693"/>
      <c r="G24" s="693"/>
      <c r="H24" s="693"/>
      <c r="I24" s="693"/>
      <c r="J24" s="693"/>
      <c r="K24" s="693"/>
      <c r="L24" s="693"/>
      <c r="M24" s="695"/>
      <c r="N24" s="696"/>
      <c r="O24" s="696"/>
      <c r="P24" s="696"/>
      <c r="Q24" s="696"/>
      <c r="R24" s="696"/>
      <c r="S24" s="696"/>
      <c r="T24" s="697"/>
      <c r="U24" s="694" t="str">
        <f>IF(M24="","",VLOOKUP(M24,ADMIXTURES!$A5:$F312,5,FALSE))</f>
        <v/>
      </c>
      <c r="V24" s="576"/>
      <c r="W24" s="576"/>
      <c r="X24" s="480" t="e">
        <f>VLOOKUP(M24,ADMIXTURES!A1:F308,6,FALSE)</f>
        <v>#N/A</v>
      </c>
      <c r="Y24" s="576"/>
      <c r="Z24" s="576"/>
      <c r="AA24" s="576"/>
      <c r="AB24" s="576"/>
      <c r="AC24" s="667"/>
      <c r="AD24" s="51"/>
      <c r="AE24" s="65"/>
      <c r="AF24" s="65"/>
      <c r="AG24" s="34" t="s">
        <v>195</v>
      </c>
      <c r="AH24" s="65"/>
      <c r="AI24" s="65"/>
      <c r="AJ24" s="65"/>
      <c r="AK24" s="65"/>
      <c r="AL24" s="65"/>
      <c r="AM24" s="65"/>
      <c r="AQ24" s="27"/>
      <c r="AR24" s="28"/>
      <c r="AY24"/>
      <c r="AZ24"/>
      <c r="BA24"/>
      <c r="BB24"/>
      <c r="BC24"/>
      <c r="BD24"/>
      <c r="BE24"/>
      <c r="BF24"/>
      <c r="BG24"/>
      <c r="BH24"/>
      <c r="BI24"/>
      <c r="BJ24"/>
      <c r="BK24"/>
    </row>
    <row r="25" spans="1:103" ht="12.6" customHeight="1" thickBot="1" x14ac:dyDescent="0.25">
      <c r="A25" s="745"/>
      <c r="B25" s="746"/>
      <c r="C25" s="746"/>
      <c r="D25" s="809"/>
      <c r="E25" s="810"/>
      <c r="F25" s="810"/>
      <c r="G25" s="810"/>
      <c r="H25" s="810"/>
      <c r="I25" s="810"/>
      <c r="J25" s="810"/>
      <c r="K25" s="810"/>
      <c r="L25" s="810"/>
      <c r="M25" s="809"/>
      <c r="N25" s="810"/>
      <c r="O25" s="810"/>
      <c r="P25" s="810"/>
      <c r="Q25" s="810"/>
      <c r="R25" s="810"/>
      <c r="S25" s="810"/>
      <c r="T25" s="757"/>
      <c r="U25" s="738"/>
      <c r="V25" s="739"/>
      <c r="W25" s="740"/>
      <c r="X25" s="757"/>
      <c r="Y25" s="746"/>
      <c r="Z25" s="746"/>
      <c r="AA25" s="746"/>
      <c r="AB25" s="746"/>
      <c r="AC25" s="758"/>
      <c r="AD25" s="13"/>
      <c r="AF25" s="4"/>
      <c r="AG25" s="34" t="s">
        <v>197</v>
      </c>
      <c r="AH25" s="65"/>
      <c r="AI25" s="65"/>
      <c r="AJ25" s="65"/>
      <c r="AK25" s="65"/>
      <c r="AL25" s="65"/>
      <c r="AM25" s="65"/>
      <c r="AQ25" s="26" t="s">
        <v>205</v>
      </c>
      <c r="AR25" s="22" t="e">
        <f>A11</f>
        <v>#N/A</v>
      </c>
      <c r="AY25"/>
      <c r="AZ25"/>
      <c r="BA25"/>
      <c r="BB25"/>
      <c r="BC25"/>
      <c r="BD25"/>
      <c r="BE25"/>
      <c r="BF25"/>
      <c r="BG25"/>
      <c r="BH25"/>
      <c r="BI25"/>
      <c r="BJ25"/>
      <c r="BK25"/>
    </row>
    <row r="26" spans="1:103" ht="12.6" customHeight="1" thickBot="1" x14ac:dyDescent="0.25">
      <c r="A26" s="735" t="str">
        <f>IF(OR(U25="CaCl₂"),"concentration of CaCl₂ is"," ")</f>
        <v xml:space="preserve"> </v>
      </c>
      <c r="B26" s="735"/>
      <c r="C26" s="735"/>
      <c r="D26" s="735"/>
      <c r="E26" s="735"/>
      <c r="F26" s="735"/>
      <c r="G26" s="735"/>
      <c r="H26" s="735"/>
      <c r="I26" s="735"/>
      <c r="J26" s="736"/>
      <c r="K26" s="736"/>
      <c r="L26" s="725" t="str">
        <f>IF(OR(U25="CaCl₂"),"solution density is"," ")</f>
        <v xml:space="preserve"> </v>
      </c>
      <c r="M26" s="427"/>
      <c r="N26" s="427"/>
      <c r="O26" s="427"/>
      <c r="P26" s="427"/>
      <c r="Q26" s="737"/>
      <c r="R26" s="737"/>
      <c r="S26" s="728" t="str">
        <f>IF(OR(U25="CaCl₂"),"lbs /gal"," ")</f>
        <v xml:space="preserve"> </v>
      </c>
      <c r="T26" s="728"/>
      <c r="U26" s="728"/>
      <c r="V26" s="744" t="str">
        <f>IF(OR(U25="CaCl₂"),"water portion is"," ")</f>
        <v xml:space="preserve"> </v>
      </c>
      <c r="W26" s="744"/>
      <c r="X26" s="744"/>
      <c r="Y26" s="744"/>
      <c r="Z26" s="784" t="str">
        <f>IF(OR(U25="CaCl₂" ), Q26*(1-J26)," ")</f>
        <v xml:space="preserve"> </v>
      </c>
      <c r="AA26" s="784"/>
      <c r="AB26" s="725" t="str">
        <f>IF(OR(U25="CaCl₂"),"lbs/gal"," ")</f>
        <v xml:space="preserve"> </v>
      </c>
      <c r="AC26" s="725"/>
      <c r="AF26" s="4"/>
      <c r="AG26" s="34" t="s">
        <v>200</v>
      </c>
      <c r="AH26" s="65"/>
      <c r="AI26" s="65"/>
      <c r="AJ26" s="65"/>
      <c r="AK26" s="65"/>
      <c r="AL26" s="65"/>
      <c r="AM26" s="65"/>
      <c r="AQ26" s="26" t="s">
        <v>207</v>
      </c>
      <c r="AR26" s="32">
        <f>D11</f>
        <v>0</v>
      </c>
      <c r="AY26"/>
      <c r="AZ26"/>
      <c r="BA26"/>
      <c r="BB26"/>
      <c r="BC26"/>
      <c r="BD26"/>
      <c r="BE26"/>
      <c r="BF26"/>
      <c r="BG26"/>
      <c r="BH26"/>
      <c r="BI26"/>
      <c r="BJ26"/>
      <c r="BK26"/>
    </row>
    <row r="27" spans="1:103" ht="15.75" customHeight="1" thickBot="1" x14ac:dyDescent="0.25">
      <c r="A27" s="726" t="s">
        <v>208</v>
      </c>
      <c r="B27" s="531"/>
      <c r="C27" s="531"/>
      <c r="D27" s="531"/>
      <c r="E27" s="531"/>
      <c r="F27" s="531"/>
      <c r="G27" s="531"/>
      <c r="H27" s="531"/>
      <c r="I27" s="531"/>
      <c r="J27" s="531"/>
      <c r="K27" s="531"/>
      <c r="L27" s="531"/>
      <c r="M27" s="531"/>
      <c r="N27" s="531"/>
      <c r="O27" s="531"/>
      <c r="P27" s="727"/>
      <c r="S27" s="726" t="s">
        <v>209</v>
      </c>
      <c r="T27" s="531"/>
      <c r="U27" s="531"/>
      <c r="V27" s="531"/>
      <c r="W27" s="531"/>
      <c r="X27" s="531"/>
      <c r="Y27" s="531"/>
      <c r="Z27" s="531"/>
      <c r="AA27" s="531"/>
      <c r="AB27" s="531"/>
      <c r="AC27" s="727"/>
      <c r="AF27" s="4"/>
      <c r="AG27" s="34" t="s">
        <v>203</v>
      </c>
      <c r="AI27" s="65"/>
      <c r="AJ27" s="65"/>
      <c r="AK27" s="65"/>
      <c r="AL27" s="65"/>
      <c r="AM27" s="65"/>
      <c r="AQ27" s="26" t="s">
        <v>211</v>
      </c>
      <c r="AR27" s="22">
        <f>S11</f>
        <v>0</v>
      </c>
      <c r="AY27"/>
      <c r="AZ27"/>
      <c r="BA27"/>
      <c r="BB27"/>
      <c r="BC27"/>
      <c r="BD27"/>
      <c r="BE27"/>
      <c r="BF27"/>
      <c r="BG27"/>
      <c r="BH27"/>
      <c r="BI27"/>
      <c r="BJ27"/>
      <c r="BK27"/>
    </row>
    <row r="28" spans="1:103" ht="20.25" customHeight="1" thickTop="1" thickBot="1" x14ac:dyDescent="0.25">
      <c r="A28" s="777" t="s">
        <v>212</v>
      </c>
      <c r="B28" s="778"/>
      <c r="C28" s="778"/>
      <c r="D28" s="779"/>
      <c r="E28" s="316" t="s">
        <v>213</v>
      </c>
      <c r="F28" s="316"/>
      <c r="G28" s="317"/>
      <c r="H28" s="372" t="s">
        <v>214</v>
      </c>
      <c r="I28" s="316"/>
      <c r="J28" s="317"/>
      <c r="K28" s="372" t="s">
        <v>215</v>
      </c>
      <c r="L28" s="316"/>
      <c r="M28" s="317"/>
      <c r="N28" s="372" t="s">
        <v>216</v>
      </c>
      <c r="O28" s="316"/>
      <c r="P28" s="472"/>
      <c r="S28" s="544" t="s">
        <v>217</v>
      </c>
      <c r="T28" s="545"/>
      <c r="U28" s="545"/>
      <c r="V28" s="545"/>
      <c r="W28" s="545"/>
      <c r="X28" s="545"/>
      <c r="Y28" s="545"/>
      <c r="Z28" s="546"/>
      <c r="AA28" s="552" t="str">
        <f>IF(Sheet2!J7=2,(SUM(E31:G33)/SUM(E30:G33)*100),"")</f>
        <v/>
      </c>
      <c r="AB28" s="552"/>
      <c r="AC28" s="553"/>
      <c r="AF28" s="4"/>
      <c r="AG28" s="240" t="s">
        <v>204</v>
      </c>
      <c r="AQ28" s="27" t="s">
        <v>219</v>
      </c>
      <c r="AR28" s="22">
        <f>V11</f>
        <v>0</v>
      </c>
      <c r="AY28"/>
      <c r="AZ28"/>
      <c r="BA28"/>
      <c r="BB28"/>
      <c r="BC28"/>
      <c r="BD28"/>
      <c r="BE28"/>
      <c r="BF28"/>
      <c r="BG28"/>
      <c r="BH28"/>
      <c r="BI28"/>
      <c r="BJ28"/>
      <c r="BK28"/>
    </row>
    <row r="29" spans="1:103" ht="14.25" customHeight="1" thickBot="1" x14ac:dyDescent="0.25">
      <c r="A29" s="780"/>
      <c r="B29" s="781"/>
      <c r="C29" s="781"/>
      <c r="D29" s="782"/>
      <c r="E29" s="319" t="s">
        <v>72</v>
      </c>
      <c r="F29" s="319"/>
      <c r="G29" s="391"/>
      <c r="H29" s="318" t="s">
        <v>220</v>
      </c>
      <c r="I29" s="319"/>
      <c r="J29" s="391"/>
      <c r="K29" s="318" t="s">
        <v>221</v>
      </c>
      <c r="L29" s="319"/>
      <c r="M29" s="391"/>
      <c r="N29" s="318" t="s">
        <v>222</v>
      </c>
      <c r="O29" s="319"/>
      <c r="P29" s="346"/>
      <c r="R29" s="3"/>
      <c r="S29" s="544" t="s">
        <v>223</v>
      </c>
      <c r="T29" s="545"/>
      <c r="U29" s="545"/>
      <c r="V29" s="545"/>
      <c r="W29" s="545"/>
      <c r="X29" s="545"/>
      <c r="Y29" s="545"/>
      <c r="Z29" s="546"/>
      <c r="AA29" s="552" t="str">
        <f>IF(Sheet2!J7=3,(SUM(E31:G33)/SUM(E30:G33)*100),"")</f>
        <v/>
      </c>
      <c r="AB29" s="552"/>
      <c r="AC29" s="553"/>
      <c r="AF29" s="4"/>
      <c r="AG29" s="240" t="s">
        <v>206</v>
      </c>
      <c r="AP29" s="123"/>
      <c r="AQ29" s="27" t="s">
        <v>225</v>
      </c>
      <c r="AR29" s="22">
        <f>Y11</f>
        <v>0</v>
      </c>
      <c r="AY29"/>
      <c r="AZ29"/>
      <c r="BA29"/>
      <c r="BB29"/>
      <c r="BC29"/>
      <c r="BD29"/>
      <c r="BE29"/>
      <c r="BF29"/>
      <c r="BG29"/>
      <c r="BH29"/>
      <c r="BI29"/>
      <c r="BJ29"/>
      <c r="BK29"/>
    </row>
    <row r="30" spans="1:103" ht="12.6" customHeight="1" thickBot="1" x14ac:dyDescent="0.25">
      <c r="A30" s="634" t="s">
        <v>75</v>
      </c>
      <c r="B30" s="576"/>
      <c r="C30" s="576"/>
      <c r="D30" s="576"/>
      <c r="E30" s="568"/>
      <c r="F30" s="569"/>
      <c r="G30" s="570"/>
      <c r="H30" s="571"/>
      <c r="I30" s="571"/>
      <c r="J30" s="572"/>
      <c r="K30" s="565"/>
      <c r="L30" s="565"/>
      <c r="M30" s="565"/>
      <c r="N30" s="627">
        <f>IF(E30=0,0,ROUND(E30/H30/62.4,2))</f>
        <v>0</v>
      </c>
      <c r="O30" s="627"/>
      <c r="P30" s="628"/>
      <c r="R30" s="3"/>
      <c r="S30" s="543" t="s">
        <v>226</v>
      </c>
      <c r="T30" s="479"/>
      <c r="U30" s="479"/>
      <c r="V30" s="479"/>
      <c r="W30" s="479"/>
      <c r="X30" s="479"/>
      <c r="Y30" s="479"/>
      <c r="Z30" s="480"/>
      <c r="AA30" s="549">
        <f>SUM(E30:G33)</f>
        <v>0</v>
      </c>
      <c r="AB30" s="550"/>
      <c r="AC30" s="551"/>
      <c r="AF30" s="4"/>
      <c r="AG30" s="240" t="s">
        <v>210</v>
      </c>
      <c r="AQ30" s="27" t="s">
        <v>228</v>
      </c>
      <c r="AR30" s="28">
        <f>AA11</f>
        <v>0</v>
      </c>
      <c r="AY30"/>
      <c r="AZ30"/>
      <c r="BA30"/>
      <c r="BB30"/>
      <c r="BC30"/>
      <c r="BD30"/>
      <c r="BE30"/>
      <c r="BF30"/>
      <c r="BG30"/>
      <c r="BH30"/>
      <c r="BI30"/>
      <c r="BJ30"/>
      <c r="BK30"/>
    </row>
    <row r="31" spans="1:103" ht="12.6" customHeight="1" thickBot="1" x14ac:dyDescent="0.25">
      <c r="A31" s="575" t="s">
        <v>77</v>
      </c>
      <c r="B31" s="576"/>
      <c r="C31" s="576"/>
      <c r="D31" s="576"/>
      <c r="E31" s="623"/>
      <c r="F31" s="624"/>
      <c r="G31" s="783"/>
      <c r="H31" s="554"/>
      <c r="I31" s="554"/>
      <c r="J31" s="555"/>
      <c r="K31" s="565"/>
      <c r="L31" s="565"/>
      <c r="M31" s="565"/>
      <c r="N31" s="627">
        <f>IF(OR(E31=0,H31=0),0,ROUND(E31/H31/62.4,2))</f>
        <v>0</v>
      </c>
      <c r="O31" s="627"/>
      <c r="P31" s="628"/>
      <c r="R31" s="3"/>
      <c r="S31" s="543" t="s">
        <v>229</v>
      </c>
      <c r="T31" s="479"/>
      <c r="U31" s="479"/>
      <c r="V31" s="479"/>
      <c r="W31" s="479"/>
      <c r="X31" s="479"/>
      <c r="Y31" s="479"/>
      <c r="Z31" s="480"/>
      <c r="AA31" s="547" t="str">
        <f>IF(Sheet2!G18=TRUE,Sheet2!G19,IF(Sheet2!G29=TRUE,Sheet2!G30,IF(Sheet2!G36=TRUE,Sheet2!G37,"")))</f>
        <v/>
      </c>
      <c r="AB31" s="548"/>
      <c r="AC31" s="66" t="str">
        <f>IF(AA31="","",":1")</f>
        <v/>
      </c>
      <c r="AG31" s="240" t="s">
        <v>218</v>
      </c>
      <c r="AQ31" s="27" t="s">
        <v>231</v>
      </c>
      <c r="AR31" s="22" t="e">
        <f>A15</f>
        <v>#N/A</v>
      </c>
      <c r="AY31"/>
      <c r="AZ31"/>
      <c r="BA31"/>
      <c r="BB31"/>
      <c r="BC31"/>
      <c r="BD31"/>
      <c r="BE31"/>
      <c r="BF31"/>
      <c r="BG31"/>
      <c r="BH31"/>
      <c r="BI31"/>
      <c r="BJ31"/>
      <c r="BK31"/>
    </row>
    <row r="32" spans="1:103" ht="12.6" customHeight="1" thickBot="1" x14ac:dyDescent="0.25">
      <c r="A32" s="575" t="s">
        <v>78</v>
      </c>
      <c r="B32" s="576"/>
      <c r="C32" s="576"/>
      <c r="D32" s="576"/>
      <c r="E32" s="774"/>
      <c r="F32" s="775"/>
      <c r="G32" s="776"/>
      <c r="H32" s="573"/>
      <c r="I32" s="573"/>
      <c r="J32" s="574"/>
      <c r="K32" s="565"/>
      <c r="L32" s="565"/>
      <c r="M32" s="565"/>
      <c r="N32" s="627">
        <f>IF(OR(E32=0,H32=0),0,ROUND(E32/H32/62.4,2))</f>
        <v>0</v>
      </c>
      <c r="O32" s="627"/>
      <c r="P32" s="628"/>
      <c r="R32" s="3"/>
      <c r="S32" s="543" t="s">
        <v>232</v>
      </c>
      <c r="T32" s="479"/>
      <c r="U32" s="479"/>
      <c r="V32" s="479"/>
      <c r="W32" s="479"/>
      <c r="X32" s="479"/>
      <c r="Y32" s="479"/>
      <c r="Z32" s="480"/>
      <c r="AA32" s="547" t="str">
        <f>IF(Sheet2!G20=TRUE,Sheet2!G21,IF(Sheet2!G31=TRUE,Sheet2!G32,IF(Sheet2!G38=TRUE,Sheet2!G39,"")))</f>
        <v/>
      </c>
      <c r="AB32" s="548"/>
      <c r="AC32" s="66" t="str">
        <f>IF(AA32="","",":1")</f>
        <v/>
      </c>
      <c r="AG32" s="240" t="s">
        <v>224</v>
      </c>
      <c r="AQ32" s="27" t="s">
        <v>234</v>
      </c>
      <c r="AR32" s="125">
        <f>D15</f>
        <v>0</v>
      </c>
      <c r="AY32"/>
      <c r="AZ32"/>
      <c r="BA32"/>
      <c r="BB32"/>
      <c r="BC32"/>
      <c r="BD32"/>
      <c r="BE32"/>
      <c r="BF32"/>
      <c r="BG32"/>
      <c r="BH32"/>
      <c r="BI32"/>
      <c r="BJ32"/>
      <c r="BK32"/>
    </row>
    <row r="33" spans="1:63" ht="12.6" customHeight="1" thickBot="1" x14ac:dyDescent="0.25">
      <c r="A33" s="634" t="s">
        <v>235</v>
      </c>
      <c r="B33" s="576"/>
      <c r="C33" s="576"/>
      <c r="D33" s="576"/>
      <c r="E33" s="623"/>
      <c r="F33" s="624"/>
      <c r="G33" s="783"/>
      <c r="H33" s="554"/>
      <c r="I33" s="554"/>
      <c r="J33" s="555"/>
      <c r="K33" s="565"/>
      <c r="L33" s="565"/>
      <c r="M33" s="565"/>
      <c r="N33" s="627">
        <f>IF(OR(E33=0,H33=0),0,ROUND(E33/H33/62.4,2))</f>
        <v>0</v>
      </c>
      <c r="O33" s="627"/>
      <c r="P33" s="628"/>
      <c r="R33" s="3"/>
      <c r="S33" s="543" t="s">
        <v>236</v>
      </c>
      <c r="T33" s="479"/>
      <c r="U33" s="479"/>
      <c r="V33" s="479"/>
      <c r="W33" s="479"/>
      <c r="X33" s="479"/>
      <c r="Y33" s="479"/>
      <c r="Z33" s="480"/>
      <c r="AA33" s="627" t="str">
        <f>IF(Sheet2!G16=TRUE,Sheet2!G17,IF(Sheet2!G27=TRUE,Sheet2!G28,IF(Sheet2!G34=TRUE,Sheet2!G35,"")))</f>
        <v/>
      </c>
      <c r="AB33" s="627"/>
      <c r="AC33" s="628"/>
      <c r="AG33" s="240" t="s">
        <v>227</v>
      </c>
      <c r="AQ33" s="27" t="s">
        <v>238</v>
      </c>
      <c r="AR33" s="22">
        <f>U15</f>
        <v>0</v>
      </c>
      <c r="AY33"/>
      <c r="AZ33"/>
      <c r="BA33"/>
      <c r="BB33"/>
      <c r="BC33"/>
      <c r="BD33"/>
      <c r="BE33"/>
      <c r="BF33"/>
      <c r="BG33"/>
      <c r="BH33"/>
      <c r="BI33"/>
      <c r="BJ33"/>
      <c r="BK33"/>
    </row>
    <row r="34" spans="1:63" ht="12.6" customHeight="1" thickBot="1" x14ac:dyDescent="0.25">
      <c r="A34" s="634" t="s">
        <v>239</v>
      </c>
      <c r="B34" s="576"/>
      <c r="C34" s="576"/>
      <c r="D34" s="576"/>
      <c r="E34" s="562"/>
      <c r="F34" s="563"/>
      <c r="G34" s="564"/>
      <c r="H34" s="554"/>
      <c r="I34" s="554"/>
      <c r="J34" s="555"/>
      <c r="K34" s="565"/>
      <c r="L34" s="565"/>
      <c r="M34" s="565"/>
      <c r="N34" s="627">
        <f>IF(OR(E34=0,H34=0),0,ROUND(E34/H34/62.4,2))</f>
        <v>0</v>
      </c>
      <c r="O34" s="627"/>
      <c r="P34" s="628"/>
      <c r="R34" s="3"/>
      <c r="S34" s="543" t="s">
        <v>240</v>
      </c>
      <c r="T34" s="479"/>
      <c r="U34" s="479"/>
      <c r="V34" s="479"/>
      <c r="W34" s="479"/>
      <c r="X34" s="479"/>
      <c r="Y34" s="479"/>
      <c r="Z34" s="480"/>
      <c r="AA34" s="541" t="str">
        <f>IFERROR((E31/E30)*100,"")</f>
        <v/>
      </c>
      <c r="AB34" s="541"/>
      <c r="AC34" s="542"/>
      <c r="AG34" s="240" t="s">
        <v>230</v>
      </c>
      <c r="AQ34" s="27" t="s">
        <v>242</v>
      </c>
      <c r="AR34" s="22" t="e">
        <f>A16</f>
        <v>#N/A</v>
      </c>
      <c r="AY34"/>
      <c r="AZ34"/>
      <c r="BA34"/>
      <c r="BB34"/>
      <c r="BC34"/>
      <c r="BD34"/>
      <c r="BE34"/>
      <c r="BF34"/>
      <c r="BG34"/>
      <c r="BH34"/>
      <c r="BI34"/>
      <c r="BJ34"/>
      <c r="BK34"/>
    </row>
    <row r="35" spans="1:63" ht="12.6" customHeight="1" thickBot="1" x14ac:dyDescent="0.25">
      <c r="A35" s="583" t="s">
        <v>81</v>
      </c>
      <c r="B35" s="798" t="s">
        <v>82</v>
      </c>
      <c r="C35" s="479"/>
      <c r="D35" s="480"/>
      <c r="E35" s="568"/>
      <c r="F35" s="569"/>
      <c r="G35" s="570"/>
      <c r="H35" s="571"/>
      <c r="I35" s="571"/>
      <c r="J35" s="572"/>
      <c r="K35" s="645"/>
      <c r="L35" s="645"/>
      <c r="M35" s="646"/>
      <c r="N35" s="627">
        <f>IF(OR(E35=0,H35=0,K35=0),0,ROUND(E35/H35/62.4,2))</f>
        <v>0</v>
      </c>
      <c r="O35" s="627"/>
      <c r="P35" s="628"/>
      <c r="R35" s="3"/>
      <c r="S35" s="575" t="s">
        <v>243</v>
      </c>
      <c r="T35" s="576"/>
      <c r="U35" s="576"/>
      <c r="V35" s="576"/>
      <c r="W35" s="576"/>
      <c r="X35" s="576"/>
      <c r="Y35" s="576"/>
      <c r="Z35" s="576"/>
      <c r="AA35" s="541" t="str">
        <f>IF(Sheet2!G44=TRUE,Sheet2!G45,IF(Sheet2!G23=TRUE,Sheet2!G25,""))</f>
        <v/>
      </c>
      <c r="AB35" s="541"/>
      <c r="AC35" s="542"/>
      <c r="AG35" s="240" t="s">
        <v>233</v>
      </c>
      <c r="AQ35" s="27" t="s">
        <v>244</v>
      </c>
      <c r="AR35" s="28">
        <f>D16</f>
        <v>0</v>
      </c>
      <c r="AY35"/>
      <c r="AZ35"/>
      <c r="BA35"/>
      <c r="BB35"/>
      <c r="BC35"/>
      <c r="BD35"/>
      <c r="BE35"/>
      <c r="BF35"/>
      <c r="BG35"/>
      <c r="BH35"/>
      <c r="BI35"/>
      <c r="BJ35"/>
      <c r="BK35"/>
    </row>
    <row r="36" spans="1:63" ht="12.6" customHeight="1" thickBot="1" x14ac:dyDescent="0.25">
      <c r="A36" s="584"/>
      <c r="B36" s="798" t="s">
        <v>245</v>
      </c>
      <c r="C36" s="479"/>
      <c r="D36" s="480"/>
      <c r="E36" s="568"/>
      <c r="F36" s="569"/>
      <c r="G36" s="570"/>
      <c r="H36" s="571"/>
      <c r="I36" s="571"/>
      <c r="J36" s="572"/>
      <c r="K36" s="645"/>
      <c r="L36" s="645"/>
      <c r="M36" s="646"/>
      <c r="N36" s="627">
        <f>IF(OR(E36=0,H36=0,K36=0),0,ROUND(E36/H36/62.4,2))</f>
        <v>0</v>
      </c>
      <c r="O36" s="627"/>
      <c r="P36" s="628"/>
      <c r="R36" s="3"/>
      <c r="S36" s="634" t="s">
        <v>246</v>
      </c>
      <c r="T36" s="576"/>
      <c r="U36" s="576"/>
      <c r="V36" s="576"/>
      <c r="W36" s="576"/>
      <c r="X36" s="576"/>
      <c r="Y36" s="576"/>
      <c r="Z36" s="576"/>
      <c r="AA36" s="632" t="str">
        <f>IFERROR(IF(AND(Gradation!R19=0,Gradation!AC43=0),"Yes","No"),"")</f>
        <v/>
      </c>
      <c r="AB36" s="632"/>
      <c r="AC36" s="633"/>
      <c r="AG36" s="240" t="s">
        <v>237</v>
      </c>
      <c r="AQ36" s="27" t="s">
        <v>247</v>
      </c>
      <c r="AR36" s="22">
        <f>U16</f>
        <v>0</v>
      </c>
      <c r="AY36"/>
      <c r="AZ36"/>
      <c r="BA36"/>
      <c r="BB36"/>
      <c r="BC36"/>
      <c r="BD36"/>
      <c r="BE36"/>
      <c r="BF36"/>
      <c r="BG36"/>
      <c r="BH36"/>
      <c r="BI36"/>
      <c r="BJ36"/>
      <c r="BK36"/>
    </row>
    <row r="37" spans="1:63" ht="12.6" customHeight="1" thickBot="1" x14ac:dyDescent="0.25">
      <c r="A37" s="584"/>
      <c r="B37" s="808"/>
      <c r="C37" s="490"/>
      <c r="D37" s="491"/>
      <c r="E37" s="580"/>
      <c r="F37" s="581"/>
      <c r="G37" s="582"/>
      <c r="H37" s="577"/>
      <c r="I37" s="578"/>
      <c r="J37" s="579"/>
      <c r="K37" s="280"/>
      <c r="L37" s="647"/>
      <c r="M37" s="281"/>
      <c r="N37" s="635"/>
      <c r="O37" s="490"/>
      <c r="P37" s="636"/>
      <c r="R37" s="3"/>
      <c r="S37" s="634" t="s">
        <v>248</v>
      </c>
      <c r="T37" s="576"/>
      <c r="U37" s="576"/>
      <c r="V37" s="576"/>
      <c r="W37" s="576"/>
      <c r="X37" s="576"/>
      <c r="Y37" s="576"/>
      <c r="Z37" s="576"/>
      <c r="AA37" s="639" t="str">
        <f>IFERROR(IF(AND(Gradation!R19=0,Gradation!AC44=0),"Yes","No"),"")</f>
        <v/>
      </c>
      <c r="AB37" s="640"/>
      <c r="AC37" s="773"/>
      <c r="AG37" s="240" t="s">
        <v>241</v>
      </c>
      <c r="AQ37" s="27"/>
      <c r="AR37" s="22"/>
      <c r="AY37"/>
      <c r="AZ37"/>
      <c r="BA37"/>
      <c r="BB37"/>
      <c r="BC37"/>
      <c r="BD37"/>
      <c r="BE37"/>
      <c r="BF37"/>
      <c r="BG37"/>
      <c r="BH37"/>
      <c r="BI37"/>
      <c r="BJ37"/>
      <c r="BK37"/>
    </row>
    <row r="38" spans="1:63" ht="12.6" customHeight="1" thickBot="1" x14ac:dyDescent="0.25">
      <c r="A38" s="585"/>
      <c r="B38" s="798" t="s">
        <v>249</v>
      </c>
      <c r="C38" s="479"/>
      <c r="D38" s="480"/>
      <c r="E38" s="580"/>
      <c r="F38" s="581"/>
      <c r="G38" s="582"/>
      <c r="H38" s="577"/>
      <c r="I38" s="578"/>
      <c r="J38" s="579"/>
      <c r="K38" s="280"/>
      <c r="L38" s="647"/>
      <c r="M38" s="281"/>
      <c r="N38" s="627">
        <f>IF(OR(E38=0,H38=0,K38=0),0,ROUND(E38/H38/62.4,2))</f>
        <v>0</v>
      </c>
      <c r="O38" s="627"/>
      <c r="P38" s="628"/>
      <c r="R38" s="3"/>
      <c r="S38" s="575" t="s">
        <v>250</v>
      </c>
      <c r="T38" s="576"/>
      <c r="U38" s="576"/>
      <c r="V38" s="576"/>
      <c r="W38" s="576"/>
      <c r="X38" s="576"/>
      <c r="Y38" s="576"/>
      <c r="Z38" s="576"/>
      <c r="AA38" s="796" t="str">
        <f>IFERROR((E39+E41)/(E30+E31+E32+E33),"")</f>
        <v/>
      </c>
      <c r="AB38" s="796"/>
      <c r="AC38" s="797"/>
      <c r="AG38" s="240" t="s">
        <v>79</v>
      </c>
      <c r="AQ38" s="27" t="s">
        <v>251</v>
      </c>
      <c r="AR38" s="22" t="e">
        <f>A17</f>
        <v>#N/A</v>
      </c>
      <c r="AY38"/>
      <c r="AZ38"/>
      <c r="BA38"/>
      <c r="BB38"/>
      <c r="BC38"/>
      <c r="BD38"/>
      <c r="BE38"/>
      <c r="BF38"/>
      <c r="BG38"/>
      <c r="BH38"/>
      <c r="BI38"/>
      <c r="BJ38"/>
      <c r="BK38"/>
    </row>
    <row r="39" spans="1:63" ht="12.6" customHeight="1" thickBot="1" x14ac:dyDescent="0.25">
      <c r="A39" s="759" t="s">
        <v>252</v>
      </c>
      <c r="B39" s="760"/>
      <c r="C39" s="760"/>
      <c r="D39" s="761"/>
      <c r="E39" s="799"/>
      <c r="F39" s="800"/>
      <c r="G39" s="801"/>
      <c r="H39" s="805">
        <v>1</v>
      </c>
      <c r="I39" s="768"/>
      <c r="J39" s="806"/>
      <c r="K39" s="556"/>
      <c r="L39" s="557"/>
      <c r="M39" s="558"/>
      <c r="N39" s="767">
        <f>IF(E39=0,0,ROUND(E39/H39/62.4,2))</f>
        <v>0</v>
      </c>
      <c r="O39" s="768"/>
      <c r="P39" s="769"/>
      <c r="R39" s="3"/>
      <c r="S39" s="543" t="s">
        <v>253</v>
      </c>
      <c r="T39" s="479"/>
      <c r="U39" s="479"/>
      <c r="V39" s="479"/>
      <c r="W39" s="479"/>
      <c r="X39" s="479"/>
      <c r="Y39" s="479"/>
      <c r="Z39" s="480"/>
      <c r="AA39" s="642" t="str">
        <f>IF(N44="ERROR!","ERROR!",E43/N43)</f>
        <v>ERROR!</v>
      </c>
      <c r="AB39" s="643"/>
      <c r="AC39" s="644"/>
      <c r="AQ39" s="27" t="s">
        <v>255</v>
      </c>
      <c r="AR39" s="125">
        <f>D17</f>
        <v>0</v>
      </c>
      <c r="AY39"/>
      <c r="AZ39"/>
      <c r="BA39"/>
      <c r="BB39"/>
      <c r="BC39"/>
      <c r="BD39"/>
      <c r="BE39"/>
      <c r="BF39"/>
      <c r="BG39"/>
      <c r="BH39"/>
      <c r="BI39"/>
      <c r="BJ39"/>
      <c r="BK39"/>
    </row>
    <row r="40" spans="1:63" ht="12.6" customHeight="1" thickBot="1" x14ac:dyDescent="0.25">
      <c r="A40" s="762"/>
      <c r="B40" s="763"/>
      <c r="C40" s="763"/>
      <c r="D40" s="764"/>
      <c r="E40" s="802"/>
      <c r="F40" s="803"/>
      <c r="G40" s="804"/>
      <c r="H40" s="770"/>
      <c r="I40" s="771"/>
      <c r="J40" s="807"/>
      <c r="K40" s="559"/>
      <c r="L40" s="560"/>
      <c r="M40" s="561"/>
      <c r="N40" s="770"/>
      <c r="O40" s="771"/>
      <c r="P40" s="772"/>
      <c r="R40" s="3"/>
      <c r="S40" s="637" t="s">
        <v>256</v>
      </c>
      <c r="T40" s="638"/>
      <c r="U40" s="638"/>
      <c r="V40" s="638"/>
      <c r="W40" s="638"/>
      <c r="X40" s="638"/>
      <c r="Y40" s="638"/>
      <c r="Z40" s="638"/>
      <c r="AA40" s="765" t="str">
        <f>IFERROR(E35/(E35+E36+E38)*100,"")</f>
        <v/>
      </c>
      <c r="AB40" s="765"/>
      <c r="AC40" s="766"/>
      <c r="AQ40" s="27" t="s">
        <v>257</v>
      </c>
      <c r="AR40" s="22">
        <f>U17</f>
        <v>0</v>
      </c>
      <c r="AY40"/>
      <c r="AZ40"/>
      <c r="BA40"/>
      <c r="BB40"/>
      <c r="BC40"/>
      <c r="BD40"/>
      <c r="BE40"/>
      <c r="BF40"/>
      <c r="BG40"/>
      <c r="BH40"/>
      <c r="BI40"/>
      <c r="BJ40"/>
      <c r="BK40"/>
    </row>
    <row r="41" spans="1:63" ht="12.6" customHeight="1" thickBot="1" x14ac:dyDescent="0.25">
      <c r="A41" s="575" t="s">
        <v>258</v>
      </c>
      <c r="B41" s="576"/>
      <c r="C41" s="576"/>
      <c r="D41" s="576"/>
      <c r="E41" s="623"/>
      <c r="F41" s="624"/>
      <c r="G41" s="625"/>
      <c r="H41" s="626">
        <v>1</v>
      </c>
      <c r="I41" s="626"/>
      <c r="J41" s="626"/>
      <c r="K41" s="565"/>
      <c r="L41" s="565"/>
      <c r="M41" s="565"/>
      <c r="N41" s="627">
        <f>IF(E41=0,0,ROUND(E41/H41/62.4,2))</f>
        <v>0</v>
      </c>
      <c r="O41" s="627"/>
      <c r="P41" s="628"/>
      <c r="R41" s="3"/>
      <c r="S41" s="575" t="s">
        <v>259</v>
      </c>
      <c r="T41" s="576"/>
      <c r="U41" s="576"/>
      <c r="V41" s="576"/>
      <c r="W41" s="576"/>
      <c r="X41" s="576"/>
      <c r="Y41" s="576"/>
      <c r="Z41" s="576"/>
      <c r="AA41" s="541" t="str">
        <f>IFERROR(N35*100/SUM(N35:N38),"")</f>
        <v/>
      </c>
      <c r="AB41" s="541"/>
      <c r="AC41" s="542"/>
      <c r="AG41" s="4" t="s">
        <v>254</v>
      </c>
      <c r="AQ41" s="27" t="s">
        <v>260</v>
      </c>
      <c r="AR41" s="22">
        <f>AA15</f>
        <v>0</v>
      </c>
      <c r="AY41"/>
      <c r="AZ41"/>
      <c r="BA41"/>
      <c r="BB41"/>
      <c r="BC41"/>
      <c r="BD41"/>
      <c r="BE41"/>
      <c r="BF41"/>
      <c r="BG41"/>
      <c r="BH41"/>
      <c r="BI41"/>
      <c r="BJ41"/>
      <c r="BK41"/>
    </row>
    <row r="42" spans="1:63" ht="12.6" customHeight="1" thickBot="1" x14ac:dyDescent="0.25">
      <c r="A42" s="566" t="s">
        <v>261</v>
      </c>
      <c r="B42" s="480"/>
      <c r="C42" s="567">
        <f>IF(V6="309 Lean Concrete Base",13,IF(COUNTIF(V6,"501*"),7,6.5))</f>
        <v>6.5</v>
      </c>
      <c r="D42" s="567"/>
      <c r="E42" s="620"/>
      <c r="F42" s="621"/>
      <c r="G42" s="622"/>
      <c r="H42" s="626">
        <v>0</v>
      </c>
      <c r="I42" s="626"/>
      <c r="J42" s="626"/>
      <c r="K42" s="565"/>
      <c r="L42" s="565"/>
      <c r="M42" s="565"/>
      <c r="N42" s="627">
        <f>(C42/100)*27</f>
        <v>1.7550000000000001</v>
      </c>
      <c r="O42" s="627"/>
      <c r="P42" s="628"/>
      <c r="R42" s="3"/>
      <c r="S42" s="543" t="s">
        <v>4677</v>
      </c>
      <c r="T42" s="479"/>
      <c r="U42" s="479"/>
      <c r="V42" s="479"/>
      <c r="W42" s="479"/>
      <c r="X42" s="479"/>
      <c r="Y42" s="479"/>
      <c r="Z42" s="480"/>
      <c r="AA42" s="639" t="str">
        <f>IFERROR(Gradation!$J$18,"")</f>
        <v/>
      </c>
      <c r="AB42" s="640"/>
      <c r="AC42" s="641"/>
      <c r="AG42" s="4"/>
      <c r="AQ42" s="27" t="s">
        <v>262</v>
      </c>
      <c r="AR42" s="22">
        <f>AA17</f>
        <v>0</v>
      </c>
      <c r="AY42"/>
      <c r="AZ42"/>
      <c r="BA42"/>
      <c r="BB42"/>
      <c r="BC42"/>
      <c r="BD42"/>
      <c r="BE42"/>
      <c r="BF42"/>
      <c r="BG42"/>
      <c r="BH42"/>
      <c r="BI42"/>
      <c r="BJ42"/>
      <c r="BK42"/>
    </row>
    <row r="43" spans="1:63" ht="12.6" customHeight="1" thickBot="1" x14ac:dyDescent="0.25">
      <c r="A43" s="575" t="s">
        <v>263</v>
      </c>
      <c r="B43" s="576"/>
      <c r="C43" s="576"/>
      <c r="D43" s="576"/>
      <c r="E43" s="611">
        <f>SUM(E30:E42)</f>
        <v>0</v>
      </c>
      <c r="F43" s="612"/>
      <c r="G43" s="613"/>
      <c r="H43" s="565"/>
      <c r="I43" s="565"/>
      <c r="J43" s="565"/>
      <c r="K43" s="565"/>
      <c r="L43" s="565"/>
      <c r="M43" s="565"/>
      <c r="N43" s="627">
        <f>ROUND(SUM(N30:N42),2)</f>
        <v>1.76</v>
      </c>
      <c r="O43" s="627"/>
      <c r="P43" s="628"/>
      <c r="R43" s="3"/>
      <c r="S43" s="614" t="s">
        <v>266</v>
      </c>
      <c r="T43" s="615"/>
      <c r="U43" s="615"/>
      <c r="V43" s="615"/>
      <c r="W43" s="615"/>
      <c r="X43" s="615"/>
      <c r="Y43" s="615"/>
      <c r="Z43" s="616"/>
      <c r="AA43" s="617">
        <f>(($N$30+$N$31+$N$32+$N$33+$N$39+$N$41+$N$42)/$N$43)*100</f>
        <v>99.715909090909093</v>
      </c>
      <c r="AB43" s="618"/>
      <c r="AC43" s="619"/>
      <c r="AG43" s="4" t="s">
        <v>37</v>
      </c>
      <c r="AQ43" s="27" t="s">
        <v>264</v>
      </c>
      <c r="AR43" s="127" t="e">
        <f>A20</f>
        <v>#N/A</v>
      </c>
      <c r="AY43"/>
      <c r="AZ43"/>
      <c r="BA43"/>
      <c r="BB43"/>
      <c r="BC43"/>
      <c r="BD43"/>
      <c r="BE43"/>
      <c r="BF43"/>
      <c r="BG43"/>
      <c r="BH43"/>
      <c r="BI43"/>
      <c r="BJ43"/>
      <c r="BK43"/>
    </row>
    <row r="44" spans="1:63" ht="18" customHeight="1" thickBot="1" x14ac:dyDescent="0.25">
      <c r="A44" s="589"/>
      <c r="B44" s="590"/>
      <c r="C44" s="590"/>
      <c r="D44" s="590"/>
      <c r="E44" s="590"/>
      <c r="F44" s="590"/>
      <c r="G44" s="590"/>
      <c r="H44" s="590"/>
      <c r="I44" s="590"/>
      <c r="J44" s="454" t="s">
        <v>265</v>
      </c>
      <c r="K44" s="454"/>
      <c r="L44" s="454"/>
      <c r="M44" s="591"/>
      <c r="N44" s="594" t="str">
        <f>IF(OR(N43&gt;27,N43&lt;27),"ERROR!","Correct")</f>
        <v>ERROR!</v>
      </c>
      <c r="O44" s="595"/>
      <c r="P44" s="596"/>
      <c r="S44" s="605" t="s">
        <v>268</v>
      </c>
      <c r="T44" s="606"/>
      <c r="U44" s="606"/>
      <c r="V44" s="606"/>
      <c r="W44" s="606"/>
      <c r="X44" s="606"/>
      <c r="Y44" s="606"/>
      <c r="Z44" s="594"/>
      <c r="AA44" s="629"/>
      <c r="AB44" s="630"/>
      <c r="AC44" s="631"/>
      <c r="AG44" s="4" t="s">
        <v>40</v>
      </c>
      <c r="AQ44" s="31" t="s">
        <v>267</v>
      </c>
      <c r="AR44" s="125" t="e">
        <f>D20</f>
        <v>#N/A</v>
      </c>
      <c r="AY44"/>
      <c r="AZ44"/>
      <c r="BA44"/>
      <c r="BB44"/>
      <c r="BC44"/>
      <c r="BD44"/>
      <c r="BE44"/>
      <c r="BF44"/>
      <c r="BG44"/>
      <c r="BH44"/>
      <c r="BI44"/>
      <c r="BJ44"/>
      <c r="BK44"/>
    </row>
    <row r="45" spans="1:63" ht="6.6" customHeight="1" thickBot="1" x14ac:dyDescent="0.25">
      <c r="A45" s="174"/>
      <c r="B45" s="174"/>
      <c r="C45" s="174"/>
      <c r="D45" s="174"/>
      <c r="E45" s="174"/>
      <c r="F45" s="174"/>
      <c r="G45" s="174"/>
      <c r="H45" s="174"/>
      <c r="I45" s="174"/>
      <c r="J45" s="67"/>
      <c r="K45" s="67"/>
      <c r="L45" s="67"/>
      <c r="M45" s="67"/>
      <c r="N45" s="172"/>
      <c r="O45" s="172"/>
      <c r="P45" s="172"/>
      <c r="S45" s="254"/>
      <c r="T45" s="254"/>
      <c r="U45" s="254"/>
      <c r="V45" s="254"/>
      <c r="W45" s="254"/>
      <c r="X45" s="254"/>
      <c r="Y45" s="254"/>
      <c r="Z45" s="254"/>
      <c r="AA45" s="257"/>
      <c r="AB45" s="257"/>
      <c r="AC45" s="173"/>
      <c r="AG45" s="4" t="s">
        <v>42</v>
      </c>
      <c r="AQ45" s="255"/>
      <c r="AR45" s="125"/>
      <c r="AY45"/>
      <c r="AZ45"/>
      <c r="BA45"/>
      <c r="BB45"/>
      <c r="BC45"/>
      <c r="BD45"/>
      <c r="BE45"/>
      <c r="BF45"/>
      <c r="BG45"/>
      <c r="BH45"/>
      <c r="BI45"/>
      <c r="BJ45"/>
      <c r="BK45"/>
    </row>
    <row r="46" spans="1:63" ht="16.5" customHeight="1" thickBot="1" x14ac:dyDescent="0.25">
      <c r="A46" s="600" t="s">
        <v>3167</v>
      </c>
      <c r="B46" s="601"/>
      <c r="C46" s="601"/>
      <c r="D46" s="601"/>
      <c r="E46" s="601"/>
      <c r="F46" s="601"/>
      <c r="G46" s="601"/>
      <c r="H46" s="601"/>
      <c r="I46" s="601"/>
      <c r="J46" s="601"/>
      <c r="K46" s="601"/>
      <c r="L46" s="602"/>
      <c r="M46" s="252" t="str">
        <f>IF(V6="501 QC/QA PCCP","***501 QC/QA PCCP MUST HAVE A POZZOLAN***"," ")</f>
        <v xml:space="preserve"> </v>
      </c>
      <c r="N46" s="253"/>
      <c r="O46" s="253"/>
      <c r="P46" s="253"/>
      <c r="Q46" s="253"/>
      <c r="R46" s="253"/>
      <c r="S46" s="253"/>
      <c r="T46" s="253"/>
      <c r="U46" s="253"/>
      <c r="V46" s="253"/>
      <c r="W46" s="253"/>
      <c r="X46" s="253"/>
      <c r="Y46" s="253"/>
      <c r="Z46" s="253"/>
      <c r="AA46" s="253"/>
      <c r="AB46" s="253"/>
      <c r="AC46" s="253"/>
      <c r="AG46" s="4" t="s">
        <v>45</v>
      </c>
      <c r="AQ46" s="31" t="s">
        <v>270</v>
      </c>
      <c r="AR46" s="32">
        <f>M20</f>
        <v>0</v>
      </c>
      <c r="AY46"/>
      <c r="AZ46"/>
      <c r="BA46"/>
      <c r="BB46"/>
      <c r="BC46"/>
      <c r="BD46"/>
      <c r="BE46"/>
      <c r="BF46"/>
      <c r="BG46"/>
      <c r="BH46"/>
      <c r="BI46"/>
      <c r="BJ46"/>
      <c r="BK46"/>
    </row>
    <row r="47" spans="1:63" ht="16.899999999999999" customHeight="1" thickBot="1" x14ac:dyDescent="0.25">
      <c r="A47" s="67"/>
      <c r="B47" s="67"/>
      <c r="C47" s="67"/>
      <c r="D47" s="67"/>
      <c r="E47" s="67"/>
      <c r="F47" s="67"/>
      <c r="G47" s="67"/>
      <c r="H47" s="67"/>
      <c r="I47" s="67"/>
      <c r="J47" s="67"/>
      <c r="K47" s="67"/>
      <c r="L47" s="67"/>
      <c r="M47" s="67"/>
      <c r="N47" s="172"/>
      <c r="O47" s="172"/>
      <c r="P47" s="172"/>
      <c r="S47" s="256"/>
      <c r="T47" s="256"/>
      <c r="U47" s="256"/>
      <c r="V47" s="256"/>
      <c r="W47" s="256"/>
      <c r="X47" s="256"/>
      <c r="Y47" s="256"/>
      <c r="Z47" s="256"/>
      <c r="AA47" s="257"/>
      <c r="AB47" s="257"/>
      <c r="AC47" s="173"/>
      <c r="AD47" s="5"/>
      <c r="AG47" s="4" t="s">
        <v>47</v>
      </c>
      <c r="AP47" s="3"/>
      <c r="AQ47" s="31" t="s">
        <v>178</v>
      </c>
      <c r="AR47" s="125" t="str">
        <f>U20</f>
        <v/>
      </c>
      <c r="AY47"/>
      <c r="AZ47"/>
      <c r="BA47"/>
      <c r="BB47"/>
      <c r="BC47"/>
      <c r="BD47"/>
      <c r="BE47"/>
      <c r="BF47"/>
      <c r="BG47"/>
      <c r="BH47"/>
      <c r="BI47"/>
      <c r="BJ47"/>
      <c r="BK47"/>
    </row>
    <row r="48" spans="1:63" ht="16.5" customHeight="1" thickBot="1" x14ac:dyDescent="0.25">
      <c r="A48" s="2"/>
      <c r="B48" s="2"/>
      <c r="E48" s="4" t="s">
        <v>271</v>
      </c>
      <c r="M48" s="609"/>
      <c r="N48" s="609"/>
      <c r="O48" s="609"/>
      <c r="P48" s="609"/>
      <c r="Q48" s="609"/>
      <c r="R48" s="609"/>
      <c r="S48" s="609"/>
      <c r="T48" s="609"/>
      <c r="U48" s="609"/>
      <c r="V48" s="609"/>
      <c r="W48" s="609"/>
      <c r="X48" s="316" t="s">
        <v>272</v>
      </c>
      <c r="Y48" s="316"/>
      <c r="Z48" s="610"/>
      <c r="AA48" s="609"/>
      <c r="AB48" s="609"/>
      <c r="AC48" s="609"/>
      <c r="AD48" s="33"/>
      <c r="AG48" s="4" t="s">
        <v>50</v>
      </c>
      <c r="AP48" s="3"/>
      <c r="AQ48" s="31" t="s">
        <v>275</v>
      </c>
      <c r="AR48" s="125" t="e">
        <f>X20</f>
        <v>#N/A</v>
      </c>
      <c r="AY48"/>
      <c r="AZ48"/>
      <c r="BA48"/>
      <c r="BB48"/>
      <c r="BC48"/>
      <c r="BD48"/>
      <c r="BE48"/>
      <c r="BF48"/>
      <c r="BG48"/>
      <c r="BH48"/>
      <c r="BI48"/>
      <c r="BJ48"/>
      <c r="BK48"/>
    </row>
    <row r="49" spans="1:63" ht="16.5" customHeight="1" thickBot="1" x14ac:dyDescent="0.25">
      <c r="A49" s="203"/>
      <c r="M49" s="40"/>
      <c r="N49" s="592" t="s">
        <v>274</v>
      </c>
      <c r="O49" s="592"/>
      <c r="P49" s="592"/>
      <c r="Q49" s="592"/>
      <c r="R49" s="592"/>
      <c r="S49" s="592"/>
      <c r="T49" s="592"/>
      <c r="U49" s="592"/>
      <c r="V49" s="592"/>
      <c r="W49" s="592"/>
      <c r="X49" s="592"/>
      <c r="Y49" s="592"/>
      <c r="Z49" s="482"/>
      <c r="AA49" s="482"/>
      <c r="AB49" s="482"/>
      <c r="AC49" s="482"/>
      <c r="AD49" s="33"/>
      <c r="AG49" s="4" t="s">
        <v>273</v>
      </c>
      <c r="AO49" s="121"/>
      <c r="AP49" s="122"/>
      <c r="AQ49" s="31" t="s">
        <v>278</v>
      </c>
      <c r="AR49" s="127" t="e">
        <f>A21</f>
        <v>#N/A</v>
      </c>
      <c r="AY49"/>
      <c r="AZ49"/>
      <c r="BA49"/>
      <c r="BB49"/>
      <c r="BC49"/>
      <c r="BD49"/>
      <c r="BE49"/>
      <c r="BF49"/>
      <c r="BG49"/>
      <c r="BH49"/>
      <c r="BI49"/>
      <c r="BJ49"/>
      <c r="BK49"/>
    </row>
    <row r="50" spans="1:63" ht="13.5" customHeight="1" thickBot="1" x14ac:dyDescent="0.25">
      <c r="A50" s="203"/>
      <c r="M50" s="40"/>
      <c r="N50" s="205"/>
      <c r="O50" s="205"/>
      <c r="P50" s="592" t="s">
        <v>276</v>
      </c>
      <c r="Q50" s="592"/>
      <c r="R50" s="592"/>
      <c r="S50" s="592"/>
      <c r="T50" s="592"/>
      <c r="U50" s="592"/>
      <c r="V50" s="592"/>
      <c r="W50" s="592"/>
      <c r="X50" s="592"/>
      <c r="Y50" s="592"/>
      <c r="Z50" s="593"/>
      <c r="AA50" s="593"/>
      <c r="AB50" s="593"/>
      <c r="AC50" s="593"/>
      <c r="AD50" s="33"/>
      <c r="AG50" s="4"/>
      <c r="AP50" s="3"/>
      <c r="AQ50" s="31" t="s">
        <v>280</v>
      </c>
      <c r="AR50" s="22" t="e">
        <f>D20</f>
        <v>#N/A</v>
      </c>
      <c r="AY50"/>
      <c r="AZ50"/>
      <c r="BA50"/>
      <c r="BB50"/>
      <c r="BC50"/>
      <c r="BD50"/>
      <c r="BE50"/>
      <c r="BF50"/>
      <c r="BG50"/>
      <c r="BH50"/>
      <c r="BI50"/>
      <c r="BJ50"/>
      <c r="BK50"/>
    </row>
    <row r="51" spans="1:63" ht="13.15" customHeight="1" thickBot="1" x14ac:dyDescent="0.25">
      <c r="A51" s="316" t="s">
        <v>279</v>
      </c>
      <c r="B51" s="316"/>
      <c r="C51" s="316"/>
      <c r="D51" s="316"/>
      <c r="E51" s="316"/>
      <c r="F51" s="316"/>
      <c r="G51" s="607"/>
      <c r="H51" s="608"/>
      <c r="I51" s="608"/>
      <c r="J51" s="608"/>
      <c r="K51" s="608"/>
      <c r="L51" s="608"/>
      <c r="M51" s="608"/>
      <c r="N51" s="608"/>
      <c r="O51" s="608"/>
      <c r="P51" s="608"/>
      <c r="Q51" s="608"/>
      <c r="R51" s="608"/>
      <c r="S51" s="608"/>
      <c r="T51" s="608"/>
      <c r="U51" s="608"/>
      <c r="V51" s="608"/>
      <c r="W51" s="608"/>
      <c r="X51" s="608"/>
      <c r="Y51" s="608"/>
      <c r="Z51" s="608"/>
      <c r="AA51" s="608"/>
      <c r="AB51" s="608"/>
      <c r="AC51" s="608"/>
      <c r="AD51" s="108"/>
      <c r="AG51" s="4" t="s">
        <v>3168</v>
      </c>
      <c r="AQ51" s="31" t="s">
        <v>281</v>
      </c>
      <c r="AR51" s="32">
        <f>M21</f>
        <v>0</v>
      </c>
      <c r="AY51"/>
      <c r="AZ51"/>
      <c r="BA51"/>
      <c r="BB51"/>
      <c r="BC51"/>
      <c r="BD51"/>
      <c r="BE51"/>
      <c r="BF51"/>
      <c r="BG51"/>
      <c r="BH51"/>
      <c r="BI51"/>
      <c r="BJ51"/>
      <c r="BK51"/>
    </row>
    <row r="52" spans="1:63" ht="13.15" customHeight="1" thickBot="1" x14ac:dyDescent="0.25">
      <c r="A52" s="597"/>
      <c r="B52" s="597"/>
      <c r="C52" s="597"/>
      <c r="D52" s="597"/>
      <c r="E52" s="597"/>
      <c r="F52" s="597"/>
      <c r="G52" s="597"/>
      <c r="H52" s="597"/>
      <c r="I52" s="597"/>
      <c r="J52" s="597"/>
      <c r="K52" s="597"/>
      <c r="L52" s="597"/>
      <c r="M52" s="597"/>
      <c r="N52" s="597"/>
      <c r="O52" s="597"/>
      <c r="P52" s="597"/>
      <c r="Q52" s="597"/>
      <c r="R52" s="597"/>
      <c r="S52" s="597"/>
      <c r="T52" s="597"/>
      <c r="U52" s="597"/>
      <c r="V52" s="597"/>
      <c r="W52" s="597"/>
      <c r="X52" s="597"/>
      <c r="Y52" s="597"/>
      <c r="Z52" s="597"/>
      <c r="AA52" s="597"/>
      <c r="AB52" s="597"/>
      <c r="AC52" s="597"/>
      <c r="AD52" s="108"/>
      <c r="AQ52" s="31" t="s">
        <v>282</v>
      </c>
      <c r="AR52" s="22" t="str">
        <f>U21</f>
        <v/>
      </c>
      <c r="AY52"/>
      <c r="AZ52"/>
      <c r="BA52"/>
      <c r="BB52"/>
      <c r="BC52"/>
      <c r="BD52"/>
      <c r="BE52"/>
      <c r="BF52"/>
      <c r="BG52"/>
      <c r="BH52"/>
      <c r="BI52"/>
      <c r="BJ52"/>
      <c r="BK52"/>
    </row>
    <row r="53" spans="1:63" ht="13.15" customHeight="1" thickBot="1" x14ac:dyDescent="0.25">
      <c r="A53" s="597"/>
      <c r="B53" s="597"/>
      <c r="C53" s="597"/>
      <c r="D53" s="597"/>
      <c r="E53" s="597"/>
      <c r="F53" s="597"/>
      <c r="G53" s="597"/>
      <c r="H53" s="597"/>
      <c r="I53" s="597"/>
      <c r="J53" s="597"/>
      <c r="K53" s="597"/>
      <c r="L53" s="597"/>
      <c r="M53" s="597"/>
      <c r="N53" s="597"/>
      <c r="O53" s="597"/>
      <c r="P53" s="597"/>
      <c r="Q53" s="597"/>
      <c r="R53" s="597"/>
      <c r="S53" s="597"/>
      <c r="T53" s="597"/>
      <c r="U53" s="597"/>
      <c r="V53" s="597"/>
      <c r="W53" s="597"/>
      <c r="X53" s="597"/>
      <c r="Y53" s="597"/>
      <c r="Z53" s="597"/>
      <c r="AA53" s="597"/>
      <c r="AB53" s="597"/>
      <c r="AC53" s="597"/>
      <c r="AD53" s="108"/>
      <c r="AQ53" s="31" t="s">
        <v>284</v>
      </c>
      <c r="AR53" s="28" t="e">
        <f>X21</f>
        <v>#N/A</v>
      </c>
      <c r="AY53"/>
      <c r="AZ53"/>
      <c r="BA53"/>
      <c r="BB53"/>
      <c r="BC53"/>
      <c r="BD53"/>
      <c r="BE53"/>
      <c r="BF53"/>
      <c r="BG53"/>
      <c r="BH53"/>
      <c r="BI53"/>
      <c r="BJ53"/>
      <c r="BK53"/>
    </row>
    <row r="54" spans="1:63" ht="13.15" customHeight="1" thickBot="1" x14ac:dyDescent="0.25">
      <c r="A54" s="586"/>
      <c r="B54" s="586"/>
      <c r="C54" s="586"/>
      <c r="D54" s="586"/>
      <c r="E54" s="586"/>
      <c r="F54" s="586"/>
      <c r="G54" s="586"/>
      <c r="H54" s="586"/>
      <c r="I54" s="586"/>
      <c r="J54" s="586"/>
      <c r="K54" s="586"/>
      <c r="L54" s="586"/>
      <c r="M54" s="586"/>
      <c r="N54" s="586"/>
      <c r="O54" s="586"/>
      <c r="P54" s="586"/>
      <c r="Q54" s="586"/>
      <c r="R54" s="586"/>
      <c r="S54" s="586"/>
      <c r="T54" s="586"/>
      <c r="U54" s="586"/>
      <c r="V54" s="586"/>
      <c r="W54" s="586"/>
      <c r="X54" s="586"/>
      <c r="Y54" s="586"/>
      <c r="Z54" s="586"/>
      <c r="AA54" s="586"/>
      <c r="AB54" s="586"/>
      <c r="AC54" s="586"/>
      <c r="AD54" s="17"/>
      <c r="AQ54" s="31" t="s">
        <v>285</v>
      </c>
      <c r="AR54" s="127" t="e">
        <f>A22</f>
        <v>#N/A</v>
      </c>
      <c r="AY54"/>
      <c r="AZ54"/>
      <c r="BA54"/>
      <c r="BB54"/>
      <c r="BC54"/>
      <c r="BD54"/>
      <c r="BE54"/>
      <c r="BF54"/>
      <c r="BG54"/>
      <c r="BH54"/>
      <c r="BI54"/>
      <c r="BJ54"/>
      <c r="BK54"/>
    </row>
    <row r="55" spans="1:63" ht="13.15" customHeight="1" thickBot="1" x14ac:dyDescent="0.25">
      <c r="A55" s="316" t="s">
        <v>283</v>
      </c>
      <c r="B55" s="316"/>
      <c r="C55" s="316"/>
      <c r="D55" s="316"/>
      <c r="E55" s="586"/>
      <c r="F55" s="587"/>
      <c r="G55" s="587"/>
      <c r="H55" s="587"/>
      <c r="I55" s="587"/>
      <c r="J55" s="587"/>
      <c r="K55" s="587"/>
      <c r="L55" s="587"/>
      <c r="M55" s="587"/>
      <c r="N55" s="587"/>
      <c r="O55" s="587"/>
      <c r="P55" s="587"/>
      <c r="Q55" s="587"/>
      <c r="R55" s="587"/>
      <c r="S55" s="587"/>
      <c r="T55" s="587"/>
      <c r="U55" s="587"/>
      <c r="V55" s="587"/>
      <c r="W55" s="587"/>
      <c r="X55" s="587"/>
      <c r="Y55" s="587"/>
      <c r="Z55" s="587"/>
      <c r="AA55" s="587"/>
      <c r="AB55" s="587"/>
      <c r="AC55" s="587"/>
      <c r="AD55" s="17"/>
      <c r="AQ55" s="31" t="s">
        <v>286</v>
      </c>
      <c r="AR55" s="22" t="e">
        <f>D22</f>
        <v>#N/A</v>
      </c>
      <c r="AY55"/>
      <c r="AZ55"/>
      <c r="BA55"/>
      <c r="BB55"/>
      <c r="BC55"/>
      <c r="BD55"/>
      <c r="BE55"/>
      <c r="BF55"/>
      <c r="BG55"/>
      <c r="BH55"/>
      <c r="BI55"/>
      <c r="BJ55"/>
      <c r="BK55"/>
    </row>
    <row r="56" spans="1:63" ht="13.15" customHeight="1" thickBot="1" x14ac:dyDescent="0.25">
      <c r="A56" s="598"/>
      <c r="B56" s="599"/>
      <c r="C56" s="599"/>
      <c r="D56" s="599"/>
      <c r="E56" s="599"/>
      <c r="F56" s="599"/>
      <c r="G56" s="599"/>
      <c r="H56" s="599"/>
      <c r="I56" s="599"/>
      <c r="J56" s="599"/>
      <c r="K56" s="599"/>
      <c r="L56" s="599"/>
      <c r="M56" s="599"/>
      <c r="N56" s="599"/>
      <c r="O56" s="599"/>
      <c r="P56" s="599"/>
      <c r="Q56" s="599"/>
      <c r="R56" s="599"/>
      <c r="S56" s="599"/>
      <c r="T56" s="599"/>
      <c r="U56" s="599"/>
      <c r="V56" s="599"/>
      <c r="W56" s="599"/>
      <c r="X56" s="599"/>
      <c r="Y56" s="599"/>
      <c r="Z56" s="599"/>
      <c r="AA56" s="599"/>
      <c r="AB56" s="599"/>
      <c r="AC56" s="599"/>
      <c r="AD56" s="17"/>
      <c r="AQ56" s="31" t="s">
        <v>287</v>
      </c>
      <c r="AR56" s="28">
        <f>M22</f>
        <v>0</v>
      </c>
      <c r="AY56"/>
      <c r="AZ56"/>
      <c r="BA56"/>
      <c r="BB56"/>
      <c r="BC56"/>
      <c r="BD56"/>
      <c r="BE56"/>
      <c r="BF56"/>
      <c r="BG56"/>
      <c r="BH56"/>
      <c r="BI56"/>
      <c r="BJ56"/>
      <c r="BK56"/>
    </row>
    <row r="57" spans="1:63" ht="13.15" customHeight="1" thickBot="1" x14ac:dyDescent="0.25">
      <c r="A57" s="598"/>
      <c r="B57" s="599"/>
      <c r="C57" s="599"/>
      <c r="D57" s="599"/>
      <c r="E57" s="599"/>
      <c r="F57" s="599"/>
      <c r="G57" s="599"/>
      <c r="H57" s="599"/>
      <c r="I57" s="599"/>
      <c r="J57" s="599"/>
      <c r="K57" s="599"/>
      <c r="L57" s="599"/>
      <c r="M57" s="599"/>
      <c r="N57" s="599"/>
      <c r="O57" s="599"/>
      <c r="P57" s="599"/>
      <c r="Q57" s="599"/>
      <c r="R57" s="599"/>
      <c r="S57" s="599"/>
      <c r="T57" s="599"/>
      <c r="U57" s="599"/>
      <c r="V57" s="599"/>
      <c r="W57" s="599"/>
      <c r="X57" s="599"/>
      <c r="Y57" s="599"/>
      <c r="Z57" s="599"/>
      <c r="AA57" s="599"/>
      <c r="AB57" s="599"/>
      <c r="AC57" s="599"/>
      <c r="AD57" s="242"/>
      <c r="AQ57" s="31" t="s">
        <v>288</v>
      </c>
      <c r="AR57" s="22" t="str">
        <f>U22</f>
        <v/>
      </c>
      <c r="AY57"/>
      <c r="AZ57"/>
      <c r="BA57"/>
      <c r="BB57"/>
      <c r="BC57"/>
      <c r="BD57"/>
      <c r="BE57"/>
      <c r="BF57"/>
      <c r="BG57"/>
      <c r="BH57"/>
      <c r="BI57"/>
      <c r="BJ57"/>
      <c r="BK57"/>
    </row>
    <row r="58" spans="1:63" s="118" customFormat="1" ht="13.15" customHeight="1" thickBot="1" x14ac:dyDescent="0.25">
      <c r="A58" s="603"/>
      <c r="B58" s="604"/>
      <c r="C58" s="604"/>
      <c r="D58" s="604"/>
      <c r="E58" s="604"/>
      <c r="F58" s="604"/>
      <c r="G58" s="604"/>
      <c r="H58" s="604"/>
      <c r="I58" s="604"/>
      <c r="J58" s="604"/>
      <c r="K58" s="604"/>
      <c r="L58" s="604"/>
      <c r="M58" s="604"/>
      <c r="N58" s="604"/>
      <c r="O58" s="604"/>
      <c r="P58" s="604"/>
      <c r="Q58" s="604"/>
      <c r="R58" s="604"/>
      <c r="S58" s="604"/>
      <c r="T58" s="604"/>
      <c r="U58" s="604"/>
      <c r="V58" s="604"/>
      <c r="W58" s="604"/>
      <c r="X58" s="604"/>
      <c r="Y58" s="604"/>
      <c r="Z58" s="604"/>
      <c r="AA58" s="604"/>
      <c r="AB58" s="604"/>
      <c r="AC58" s="604"/>
      <c r="AQ58" s="129" t="s">
        <v>289</v>
      </c>
      <c r="AR58" s="130" t="e">
        <f>X22</f>
        <v>#N/A</v>
      </c>
    </row>
    <row r="59" spans="1:63" s="118" customFormat="1" ht="13.15" customHeight="1" thickBot="1" x14ac:dyDescent="0.25">
      <c r="A59" s="603"/>
      <c r="B59" s="604"/>
      <c r="C59" s="604"/>
      <c r="D59" s="604"/>
      <c r="E59" s="604"/>
      <c r="F59" s="604"/>
      <c r="G59" s="604"/>
      <c r="H59" s="604"/>
      <c r="I59" s="604"/>
      <c r="J59" s="604"/>
      <c r="K59" s="604"/>
      <c r="L59" s="604"/>
      <c r="M59" s="604"/>
      <c r="N59" s="604"/>
      <c r="O59" s="604"/>
      <c r="P59" s="604"/>
      <c r="Q59" s="604"/>
      <c r="R59" s="604"/>
      <c r="S59" s="604"/>
      <c r="T59" s="604"/>
      <c r="U59" s="604"/>
      <c r="V59" s="604"/>
      <c r="W59" s="604"/>
      <c r="X59" s="604"/>
      <c r="Y59" s="604"/>
      <c r="Z59" s="604"/>
      <c r="AA59" s="604"/>
      <c r="AB59" s="604"/>
      <c r="AC59" s="604"/>
      <c r="AQ59" s="131" t="s">
        <v>290</v>
      </c>
      <c r="AR59" s="132" t="e">
        <f>A24</f>
        <v>#N/A</v>
      </c>
    </row>
    <row r="60" spans="1:63" s="118" customFormat="1" ht="13.15" customHeight="1" thickBot="1" x14ac:dyDescent="0.25">
      <c r="A60" s="586"/>
      <c r="B60" s="587"/>
      <c r="C60" s="587"/>
      <c r="D60" s="587"/>
      <c r="E60" s="587"/>
      <c r="F60" s="587"/>
      <c r="G60" s="587"/>
      <c r="H60" s="587"/>
      <c r="I60" s="587"/>
      <c r="J60" s="587"/>
      <c r="K60" s="587"/>
      <c r="L60" s="587"/>
      <c r="M60" s="587"/>
      <c r="N60" s="587"/>
      <c r="O60" s="587"/>
      <c r="P60" s="587"/>
      <c r="Q60" s="587"/>
      <c r="R60" s="587"/>
      <c r="S60" s="587"/>
      <c r="T60" s="587"/>
      <c r="U60" s="587"/>
      <c r="V60" s="587"/>
      <c r="W60" s="587"/>
      <c r="X60" s="587"/>
      <c r="Y60" s="587"/>
      <c r="Z60" s="588"/>
      <c r="AA60" s="793" t="s">
        <v>5015</v>
      </c>
      <c r="AB60" s="794"/>
      <c r="AC60" s="795"/>
      <c r="AQ60" s="131" t="s">
        <v>291</v>
      </c>
      <c r="AR60" s="133" t="e">
        <f>D24</f>
        <v>#N/A</v>
      </c>
    </row>
    <row r="61" spans="1:63" s="118" customFormat="1" ht="24.75" thickBot="1" x14ac:dyDescent="0.25">
      <c r="AQ61" s="131" t="s">
        <v>292</v>
      </c>
      <c r="AR61" s="130">
        <f>M24</f>
        <v>0</v>
      </c>
    </row>
    <row r="62" spans="1:63" s="118" customFormat="1" ht="13.5" thickBot="1" x14ac:dyDescent="0.25">
      <c r="AQ62" s="131" t="s">
        <v>293</v>
      </c>
      <c r="AR62" s="133" t="str">
        <f>U24</f>
        <v/>
      </c>
    </row>
    <row r="63" spans="1:63" s="118" customFormat="1" ht="24.75" thickBot="1" x14ac:dyDescent="0.25">
      <c r="AQ63" s="129" t="s">
        <v>294</v>
      </c>
      <c r="AR63" s="134" t="e">
        <f>X24</f>
        <v>#N/A</v>
      </c>
    </row>
    <row r="64" spans="1:63" s="118" customFormat="1" ht="13.5" thickBot="1" x14ac:dyDescent="0.25">
      <c r="AQ64" s="131" t="s">
        <v>295</v>
      </c>
      <c r="AR64" s="132">
        <f>A25</f>
        <v>0</v>
      </c>
    </row>
    <row r="65" spans="43:45" s="118" customFormat="1" ht="24.75" thickBot="1" x14ac:dyDescent="0.25">
      <c r="AQ65" s="131" t="s">
        <v>296</v>
      </c>
      <c r="AR65" s="130">
        <f>D25</f>
        <v>0</v>
      </c>
    </row>
    <row r="66" spans="43:45" s="118" customFormat="1" ht="24.75" thickBot="1" x14ac:dyDescent="0.25">
      <c r="AQ66" s="131" t="s">
        <v>297</v>
      </c>
      <c r="AR66" s="135">
        <f>M25</f>
        <v>0</v>
      </c>
      <c r="AS66" s="136"/>
    </row>
    <row r="67" spans="43:45" s="118" customFormat="1" ht="13.5" thickBot="1" x14ac:dyDescent="0.25">
      <c r="AQ67" s="131" t="s">
        <v>298</v>
      </c>
      <c r="AR67" s="133">
        <f>U25</f>
        <v>0</v>
      </c>
      <c r="AS67" s="136"/>
    </row>
    <row r="68" spans="43:45" s="118" customFormat="1" ht="24.75" thickBot="1" x14ac:dyDescent="0.25">
      <c r="AQ68" s="129" t="s">
        <v>299</v>
      </c>
      <c r="AR68" s="135">
        <f>X25</f>
        <v>0</v>
      </c>
      <c r="AS68" s="137"/>
    </row>
    <row r="69" spans="43:45" s="118" customFormat="1" ht="13.5" thickBot="1" x14ac:dyDescent="0.25">
      <c r="AQ69" s="138" t="s">
        <v>300</v>
      </c>
      <c r="AR69" s="139">
        <f>E30</f>
        <v>0</v>
      </c>
      <c r="AS69" s="137"/>
    </row>
    <row r="70" spans="43:45" s="118" customFormat="1" ht="13.5" thickBot="1" x14ac:dyDescent="0.25">
      <c r="AQ70" s="138" t="s">
        <v>301</v>
      </c>
      <c r="AR70" s="140">
        <f>H30</f>
        <v>0</v>
      </c>
      <c r="AS70" s="136"/>
    </row>
    <row r="71" spans="43:45" s="118" customFormat="1" ht="13.5" thickBot="1" x14ac:dyDescent="0.25">
      <c r="AQ71" s="141" t="s">
        <v>302</v>
      </c>
      <c r="AR71" s="140">
        <f>N30</f>
        <v>0</v>
      </c>
      <c r="AS71" s="136"/>
    </row>
    <row r="72" spans="43:45" s="118" customFormat="1" ht="15.75" customHeight="1" thickBot="1" x14ac:dyDescent="0.25">
      <c r="AQ72" s="141" t="s">
        <v>303</v>
      </c>
      <c r="AR72" s="139">
        <f>E31</f>
        <v>0</v>
      </c>
      <c r="AS72" s="136"/>
    </row>
    <row r="73" spans="43:45" s="118" customFormat="1" ht="20.25" customHeight="1" thickBot="1" x14ac:dyDescent="0.25">
      <c r="AQ73" s="141" t="s">
        <v>304</v>
      </c>
      <c r="AR73" s="140">
        <f>H31</f>
        <v>0</v>
      </c>
    </row>
    <row r="74" spans="43:45" s="118" customFormat="1" ht="12.75" customHeight="1" thickBot="1" x14ac:dyDescent="0.25">
      <c r="AQ74" s="141" t="s">
        <v>305</v>
      </c>
      <c r="AR74" s="142">
        <f>N31</f>
        <v>0</v>
      </c>
    </row>
    <row r="75" spans="43:45" s="118" customFormat="1" ht="16.5" customHeight="1" thickBot="1" x14ac:dyDescent="0.25">
      <c r="AQ75" s="141" t="s">
        <v>306</v>
      </c>
      <c r="AR75" s="140">
        <f>E32</f>
        <v>0</v>
      </c>
    </row>
    <row r="76" spans="43:45" s="118" customFormat="1" ht="26.25" customHeight="1" thickBot="1" x14ac:dyDescent="0.25">
      <c r="AQ76" s="141" t="s">
        <v>307</v>
      </c>
      <c r="AR76" s="142">
        <f>H32</f>
        <v>0</v>
      </c>
    </row>
    <row r="77" spans="43:45" s="118" customFormat="1" ht="18" customHeight="1" thickBot="1" x14ac:dyDescent="0.25">
      <c r="AQ77" s="141" t="s">
        <v>308</v>
      </c>
      <c r="AR77" s="140">
        <f>N32</f>
        <v>0</v>
      </c>
    </row>
    <row r="78" spans="43:45" s="118" customFormat="1" ht="15.75" customHeight="1" thickBot="1" x14ac:dyDescent="0.25">
      <c r="AQ78" s="141" t="s">
        <v>309</v>
      </c>
      <c r="AR78" s="143">
        <f>E33</f>
        <v>0</v>
      </c>
    </row>
    <row r="79" spans="43:45" s="118" customFormat="1" ht="25.5" customHeight="1" thickBot="1" x14ac:dyDescent="0.25">
      <c r="AQ79" s="141" t="s">
        <v>310</v>
      </c>
      <c r="AR79" s="140">
        <f>H33</f>
        <v>0</v>
      </c>
    </row>
    <row r="80" spans="43:45" s="118" customFormat="1" ht="30.75" customHeight="1" thickBot="1" x14ac:dyDescent="0.25">
      <c r="AQ80" s="141" t="s">
        <v>311</v>
      </c>
      <c r="AR80" s="140">
        <f>N33</f>
        <v>0</v>
      </c>
    </row>
    <row r="81" spans="43:45" s="118" customFormat="1" ht="31.5" customHeight="1" thickBot="1" x14ac:dyDescent="0.25">
      <c r="AQ81" s="141" t="s">
        <v>312</v>
      </c>
      <c r="AR81" s="140">
        <f>E34</f>
        <v>0</v>
      </c>
    </row>
    <row r="82" spans="43:45" s="118" customFormat="1" ht="26.25" customHeight="1" thickBot="1" x14ac:dyDescent="0.25">
      <c r="AQ82" s="141" t="s">
        <v>313</v>
      </c>
      <c r="AR82" s="140">
        <f>H34</f>
        <v>0</v>
      </c>
    </row>
    <row r="83" spans="43:45" s="118" customFormat="1" ht="30.75" customHeight="1" thickBot="1" x14ac:dyDescent="0.25">
      <c r="AQ83" s="141" t="s">
        <v>314</v>
      </c>
      <c r="AR83" s="144">
        <f>N34</f>
        <v>0</v>
      </c>
    </row>
    <row r="84" spans="43:45" s="118" customFormat="1" ht="32.25" customHeight="1" thickBot="1" x14ac:dyDescent="0.25">
      <c r="AQ84" s="141" t="s">
        <v>315</v>
      </c>
      <c r="AR84" s="139">
        <f>E35</f>
        <v>0</v>
      </c>
    </row>
    <row r="85" spans="43:45" s="118" customFormat="1" ht="36" customHeight="1" thickBot="1" x14ac:dyDescent="0.25">
      <c r="AQ85" s="145" t="s">
        <v>316</v>
      </c>
      <c r="AR85" s="144">
        <f>H35</f>
        <v>0</v>
      </c>
    </row>
    <row r="86" spans="43:45" s="118" customFormat="1" ht="24.75" thickBot="1" x14ac:dyDescent="0.25">
      <c r="AQ86" s="131" t="s">
        <v>317</v>
      </c>
      <c r="AR86" s="140">
        <f>K35</f>
        <v>0</v>
      </c>
    </row>
    <row r="87" spans="43:45" s="118" customFormat="1" ht="24.75" customHeight="1" thickBot="1" x14ac:dyDescent="0.25">
      <c r="AQ87" s="146" t="s">
        <v>318</v>
      </c>
      <c r="AR87" s="140">
        <f>N35</f>
        <v>0</v>
      </c>
    </row>
    <row r="88" spans="43:45" s="118" customFormat="1" ht="15" customHeight="1" thickBot="1" x14ac:dyDescent="0.25">
      <c r="AQ88" s="146" t="s">
        <v>319</v>
      </c>
      <c r="AR88" s="139">
        <f>E36</f>
        <v>0</v>
      </c>
    </row>
    <row r="89" spans="43:45" s="118" customFormat="1" ht="27" customHeight="1" thickBot="1" x14ac:dyDescent="0.25">
      <c r="AQ89" s="131" t="s">
        <v>320</v>
      </c>
      <c r="AR89" s="144">
        <f>H36</f>
        <v>0</v>
      </c>
    </row>
    <row r="90" spans="43:45" s="118" customFormat="1" ht="33" customHeight="1" thickBot="1" x14ac:dyDescent="0.25">
      <c r="AQ90" s="146" t="s">
        <v>321</v>
      </c>
      <c r="AR90" s="140">
        <f>K36</f>
        <v>0</v>
      </c>
    </row>
    <row r="91" spans="43:45" s="118" customFormat="1" ht="33.75" customHeight="1" thickBot="1" x14ac:dyDescent="0.25">
      <c r="AQ91" s="146" t="s">
        <v>322</v>
      </c>
      <c r="AR91" s="140">
        <f>N36</f>
        <v>0</v>
      </c>
      <c r="AS91" s="147"/>
    </row>
    <row r="92" spans="43:45" s="118" customFormat="1" ht="26.25" thickBot="1" x14ac:dyDescent="0.25">
      <c r="AQ92" s="146" t="s">
        <v>323</v>
      </c>
      <c r="AR92" s="139">
        <f>E38</f>
        <v>0</v>
      </c>
    </row>
    <row r="93" spans="43:45" s="118" customFormat="1" ht="24.75" thickBot="1" x14ac:dyDescent="0.25">
      <c r="AQ93" s="131" t="s">
        <v>320</v>
      </c>
      <c r="AR93" s="144">
        <f>H38</f>
        <v>0</v>
      </c>
    </row>
    <row r="94" spans="43:45" s="118" customFormat="1" ht="24.75" thickBot="1" x14ac:dyDescent="0.25">
      <c r="AQ94" s="131" t="s">
        <v>321</v>
      </c>
      <c r="AR94" s="140">
        <f>K38</f>
        <v>0</v>
      </c>
    </row>
    <row r="95" spans="43:45" s="118" customFormat="1" ht="24.75" thickBot="1" x14ac:dyDescent="0.25">
      <c r="AQ95" s="131" t="s">
        <v>324</v>
      </c>
      <c r="AR95" s="140">
        <f>N38</f>
        <v>0</v>
      </c>
    </row>
    <row r="96" spans="43:45" s="118" customFormat="1" ht="24.75" thickBot="1" x14ac:dyDescent="0.25">
      <c r="AQ96" s="131" t="s">
        <v>325</v>
      </c>
      <c r="AR96" s="148">
        <f>E39</f>
        <v>0</v>
      </c>
    </row>
    <row r="97" spans="43:44" s="118" customFormat="1" ht="24.75" thickBot="1" x14ac:dyDescent="0.25">
      <c r="AQ97" s="131" t="s">
        <v>326</v>
      </c>
      <c r="AR97" s="144">
        <f>N39</f>
        <v>0</v>
      </c>
    </row>
    <row r="98" spans="43:44" s="118" customFormat="1" ht="13.5" thickBot="1" x14ac:dyDescent="0.25">
      <c r="AQ98" s="146" t="s">
        <v>327</v>
      </c>
      <c r="AR98" s="148">
        <f>E41</f>
        <v>0</v>
      </c>
    </row>
    <row r="99" spans="43:44" s="118" customFormat="1" ht="13.5" thickBot="1" x14ac:dyDescent="0.25">
      <c r="AQ99" s="146" t="s">
        <v>328</v>
      </c>
      <c r="AR99" s="140">
        <f>N41</f>
        <v>0</v>
      </c>
    </row>
    <row r="100" spans="43:44" s="118" customFormat="1" ht="13.5" thickBot="1" x14ac:dyDescent="0.25">
      <c r="AQ100" s="146" t="s">
        <v>329</v>
      </c>
      <c r="AR100" s="140">
        <f>N42</f>
        <v>1.7550000000000001</v>
      </c>
    </row>
    <row r="101" spans="43:44" s="118" customFormat="1" ht="13.5" thickBot="1" x14ac:dyDescent="0.25">
      <c r="AQ101" s="146" t="str">
        <f>A43</f>
        <v>∑</v>
      </c>
      <c r="AR101" s="139">
        <f>E43</f>
        <v>0</v>
      </c>
    </row>
    <row r="102" spans="43:44" s="118" customFormat="1" ht="13.5" thickBot="1" x14ac:dyDescent="0.25">
      <c r="AQ102" s="146" t="s">
        <v>330</v>
      </c>
      <c r="AR102" s="140">
        <f>N43</f>
        <v>1.76</v>
      </c>
    </row>
    <row r="103" spans="43:44" s="118" customFormat="1" ht="13.5" thickBot="1" x14ac:dyDescent="0.25">
      <c r="AQ103" s="138" t="s">
        <v>331</v>
      </c>
      <c r="AR103" s="148" t="str">
        <f>AA28</f>
        <v/>
      </c>
    </row>
    <row r="104" spans="43:44" s="118" customFormat="1" ht="13.5" thickBot="1" x14ac:dyDescent="0.25">
      <c r="AQ104" s="138" t="s">
        <v>332</v>
      </c>
      <c r="AR104" s="148" t="str">
        <f>AA29</f>
        <v/>
      </c>
    </row>
    <row r="105" spans="43:44" s="118" customFormat="1" ht="13.5" thickBot="1" x14ac:dyDescent="0.25">
      <c r="AQ105" s="138" t="s">
        <v>333</v>
      </c>
      <c r="AR105" s="139">
        <f>AA30</f>
        <v>0</v>
      </c>
    </row>
    <row r="106" spans="43:44" s="118" customFormat="1" ht="13.5" thickBot="1" x14ac:dyDescent="0.25">
      <c r="AQ106" s="138" t="s">
        <v>334</v>
      </c>
      <c r="AR106" s="140" t="str">
        <f>AA31&amp;AC31</f>
        <v/>
      </c>
    </row>
    <row r="107" spans="43:44" s="118" customFormat="1" ht="13.5" thickBot="1" x14ac:dyDescent="0.25">
      <c r="AQ107" s="138" t="s">
        <v>335</v>
      </c>
      <c r="AR107" s="140" t="str">
        <f>AA32&amp;AC32</f>
        <v/>
      </c>
    </row>
    <row r="108" spans="43:44" s="118" customFormat="1" ht="13.5" thickBot="1" x14ac:dyDescent="0.25">
      <c r="AQ108" s="138" t="s">
        <v>336</v>
      </c>
      <c r="AR108" s="140" t="str">
        <f>AA33</f>
        <v/>
      </c>
    </row>
    <row r="109" spans="43:44" s="118" customFormat="1" ht="13.5" thickBot="1" x14ac:dyDescent="0.25">
      <c r="AQ109" s="138" t="s">
        <v>240</v>
      </c>
      <c r="AR109" s="139" t="str">
        <f t="shared" ref="AR109:AR111" si="1">AA34</f>
        <v/>
      </c>
    </row>
    <row r="110" spans="43:44" s="118" customFormat="1" ht="13.5" thickBot="1" x14ac:dyDescent="0.25">
      <c r="AQ110" s="138" t="s">
        <v>337</v>
      </c>
      <c r="AR110" s="139" t="str">
        <f t="shared" si="1"/>
        <v/>
      </c>
    </row>
    <row r="111" spans="43:44" s="118" customFormat="1" ht="13.5" thickBot="1" x14ac:dyDescent="0.25">
      <c r="AQ111" s="138" t="s">
        <v>338</v>
      </c>
      <c r="AR111" s="148" t="str">
        <f t="shared" si="1"/>
        <v/>
      </c>
    </row>
    <row r="112" spans="43:44" s="118" customFormat="1" ht="13.5" thickBot="1" x14ac:dyDescent="0.25">
      <c r="AQ112" s="138" t="s">
        <v>250</v>
      </c>
      <c r="AR112" s="144" t="str">
        <f t="shared" ref="AR112:AR117" si="2">AA38</f>
        <v/>
      </c>
    </row>
    <row r="113" spans="1:44" s="118" customFormat="1" ht="13.5" thickBot="1" x14ac:dyDescent="0.25">
      <c r="AQ113" s="138" t="s">
        <v>253</v>
      </c>
      <c r="AR113" s="148" t="str">
        <f t="shared" si="2"/>
        <v>ERROR!</v>
      </c>
    </row>
    <row r="114" spans="1:44" s="118" customFormat="1" ht="13.5" thickBot="1" x14ac:dyDescent="0.25">
      <c r="AQ114" s="138" t="s">
        <v>256</v>
      </c>
      <c r="AR114" s="139" t="str">
        <f t="shared" si="2"/>
        <v/>
      </c>
    </row>
    <row r="115" spans="1:44" ht="13.5" thickBot="1" x14ac:dyDescent="0.25">
      <c r="A115" s="118"/>
      <c r="B115" s="118"/>
      <c r="C115" s="118"/>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G115" s="118"/>
      <c r="AH115" s="118"/>
      <c r="AI115" s="118"/>
      <c r="AJ115" s="118"/>
      <c r="AK115" s="118"/>
      <c r="AL115" s="118"/>
      <c r="AM115" s="118"/>
      <c r="AN115" s="118"/>
      <c r="AO115" s="118"/>
      <c r="AP115" s="118"/>
      <c r="AQ115" s="202" t="s">
        <v>259</v>
      </c>
      <c r="AR115" s="29" t="str">
        <f t="shared" si="2"/>
        <v/>
      </c>
    </row>
    <row r="116" spans="1:44" ht="13.5" thickBot="1" x14ac:dyDescent="0.25">
      <c r="A116" s="118"/>
      <c r="B116" s="118"/>
      <c r="C116" s="118"/>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G116" s="118"/>
      <c r="AH116" s="118"/>
      <c r="AI116" s="118"/>
      <c r="AJ116" s="118"/>
      <c r="AK116" s="118"/>
      <c r="AL116" s="118"/>
      <c r="AM116" s="118"/>
      <c r="AN116" s="118"/>
      <c r="AO116" s="118"/>
      <c r="AP116" s="118"/>
      <c r="AQ116" s="202" t="str">
        <f>IF(OR(AS73=501,AS73="730*"),"*** % Passing 1 inch sieve","% Passing 1 inch sieve")</f>
        <v>% Passing 1 inch sieve</v>
      </c>
      <c r="AR116" s="29" t="str">
        <f t="shared" si="2"/>
        <v/>
      </c>
    </row>
    <row r="117" spans="1:44" ht="13.5" thickBot="1" x14ac:dyDescent="0.25">
      <c r="A117" s="118"/>
      <c r="B117" s="118"/>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G117" s="118"/>
      <c r="AI117" s="118"/>
      <c r="AJ117" s="118"/>
      <c r="AK117" s="118"/>
      <c r="AL117" s="118"/>
      <c r="AM117" s="118"/>
      <c r="AN117" s="118"/>
      <c r="AO117" s="118"/>
      <c r="AP117" s="118"/>
      <c r="AQ117" s="202" t="str">
        <f>IF(OR(AS73=501,AS73="730*"), "** % Passing No. 200 sieve","% Passing No. 200 sieve")</f>
        <v>% Passing No. 200 sieve</v>
      </c>
      <c r="AR117" s="30">
        <f t="shared" si="2"/>
        <v>99.715909090909093</v>
      </c>
    </row>
    <row r="118" spans="1:44" x14ac:dyDescent="0.2">
      <c r="AG118" s="118"/>
    </row>
    <row r="119" spans="1:44" x14ac:dyDescent="0.2">
      <c r="AG119" s="118"/>
    </row>
  </sheetData>
  <sheetProtection algorithmName="SHA-512" hashValue="XEE1YDKoV4IgrdkOAgdaApMx6884vBgONd0GoWH9emYnNNSn1pjsI6+y21hJoVFtBsTOk5NAz7F+Kw/RjRKYkw==" saltValue="/pXcFnJgderMP1QlPfWeYw==" spinCount="100000" sheet="1" selectLockedCells="1"/>
  <dataConsolidate/>
  <mergeCells count="247">
    <mergeCell ref="A52:AC52"/>
    <mergeCell ref="V6:AC6"/>
    <mergeCell ref="A1:AC1"/>
    <mergeCell ref="A6:U6"/>
    <mergeCell ref="AA60:AC60"/>
    <mergeCell ref="AA38:AC38"/>
    <mergeCell ref="B38:D38"/>
    <mergeCell ref="E39:G40"/>
    <mergeCell ref="H39:J40"/>
    <mergeCell ref="E36:G36"/>
    <mergeCell ref="A30:D30"/>
    <mergeCell ref="A15:C15"/>
    <mergeCell ref="D15:T15"/>
    <mergeCell ref="B37:D37"/>
    <mergeCell ref="B35:D35"/>
    <mergeCell ref="E31:G31"/>
    <mergeCell ref="B36:D36"/>
    <mergeCell ref="A34:D34"/>
    <mergeCell ref="E37:G37"/>
    <mergeCell ref="H37:J37"/>
    <mergeCell ref="K38:M38"/>
    <mergeCell ref="D25:L25"/>
    <mergeCell ref="M25:T25"/>
    <mergeCell ref="N33:P33"/>
    <mergeCell ref="S39:Z39"/>
    <mergeCell ref="N38:P38"/>
    <mergeCell ref="D11:O11"/>
    <mergeCell ref="N29:P29"/>
    <mergeCell ref="N31:P31"/>
    <mergeCell ref="X25:AC25"/>
    <mergeCell ref="A39:D40"/>
    <mergeCell ref="AA40:AC40"/>
    <mergeCell ref="K35:M35"/>
    <mergeCell ref="H36:J36"/>
    <mergeCell ref="AA14:AC14"/>
    <mergeCell ref="E29:G29"/>
    <mergeCell ref="N39:P40"/>
    <mergeCell ref="AA37:AC37"/>
    <mergeCell ref="E32:G32"/>
    <mergeCell ref="H29:J29"/>
    <mergeCell ref="H28:J28"/>
    <mergeCell ref="A28:D29"/>
    <mergeCell ref="A33:D33"/>
    <mergeCell ref="E33:G33"/>
    <mergeCell ref="E28:G28"/>
    <mergeCell ref="E30:G30"/>
    <mergeCell ref="K29:M29"/>
    <mergeCell ref="Z26:AA26"/>
    <mergeCell ref="P10:R10"/>
    <mergeCell ref="P11:R11"/>
    <mergeCell ref="AA13:AC13"/>
    <mergeCell ref="A9:C9"/>
    <mergeCell ref="M21:T21"/>
    <mergeCell ref="A22:C22"/>
    <mergeCell ref="D22:L22"/>
    <mergeCell ref="A26:I26"/>
    <mergeCell ref="J26:K26"/>
    <mergeCell ref="Q26:R26"/>
    <mergeCell ref="U25:W25"/>
    <mergeCell ref="S9:U9"/>
    <mergeCell ref="U20:W20"/>
    <mergeCell ref="D14:T14"/>
    <mergeCell ref="V26:Y26"/>
    <mergeCell ref="A25:C25"/>
    <mergeCell ref="A18:AC18"/>
    <mergeCell ref="A19:C19"/>
    <mergeCell ref="D19:L19"/>
    <mergeCell ref="A21:C21"/>
    <mergeCell ref="D21:L21"/>
    <mergeCell ref="D20:L20"/>
    <mergeCell ref="A14:C14"/>
    <mergeCell ref="A16:C16"/>
    <mergeCell ref="N30:P30"/>
    <mergeCell ref="AB26:AC26"/>
    <mergeCell ref="L26:P26"/>
    <mergeCell ref="K28:M28"/>
    <mergeCell ref="N28:P28"/>
    <mergeCell ref="A27:P27"/>
    <mergeCell ref="S27:AC27"/>
    <mergeCell ref="S26:U26"/>
    <mergeCell ref="U24:W24"/>
    <mergeCell ref="X21:AC21"/>
    <mergeCell ref="D16:T16"/>
    <mergeCell ref="A24:C24"/>
    <mergeCell ref="D24:L24"/>
    <mergeCell ref="M24:T24"/>
    <mergeCell ref="A20:C20"/>
    <mergeCell ref="X20:AC20"/>
    <mergeCell ref="V8:X8"/>
    <mergeCell ref="A13:Y13"/>
    <mergeCell ref="V9:X9"/>
    <mergeCell ref="AA8:AC8"/>
    <mergeCell ref="A11:C11"/>
    <mergeCell ref="D9:O9"/>
    <mergeCell ref="D10:O10"/>
    <mergeCell ref="A23:C23"/>
    <mergeCell ref="A17:C17"/>
    <mergeCell ref="U16:Y16"/>
    <mergeCell ref="M19:T19"/>
    <mergeCell ref="U19:W19"/>
    <mergeCell ref="X19:AC19"/>
    <mergeCell ref="Y9:Z9"/>
    <mergeCell ref="S10:U10"/>
    <mergeCell ref="AA9:AC9"/>
    <mergeCell ref="P9:R9"/>
    <mergeCell ref="Y8:Z8"/>
    <mergeCell ref="V5:AC5"/>
    <mergeCell ref="X24:AC24"/>
    <mergeCell ref="AA15:AC15"/>
    <mergeCell ref="AA17:AC17"/>
    <mergeCell ref="AA16:AC16"/>
    <mergeCell ref="U15:Y15"/>
    <mergeCell ref="U17:Y17"/>
    <mergeCell ref="D8:O8"/>
    <mergeCell ref="P8:R8"/>
    <mergeCell ref="AA10:AC10"/>
    <mergeCell ref="S11:U11"/>
    <mergeCell ref="U14:Y14"/>
    <mergeCell ref="AA11:AC11"/>
    <mergeCell ref="D23:L23"/>
    <mergeCell ref="U23:W23"/>
    <mergeCell ref="X23:AC23"/>
    <mergeCell ref="M23:T23"/>
    <mergeCell ref="M20:T20"/>
    <mergeCell ref="D17:T17"/>
    <mergeCell ref="M22:T22"/>
    <mergeCell ref="U22:W22"/>
    <mergeCell ref="X22:AC22"/>
    <mergeCell ref="U21:W21"/>
    <mergeCell ref="N32:P32"/>
    <mergeCell ref="A2:F2"/>
    <mergeCell ref="Y10:Z10"/>
    <mergeCell ref="Y11:Z11"/>
    <mergeCell ref="V10:X10"/>
    <mergeCell ref="P2:U2"/>
    <mergeCell ref="V2:AC2"/>
    <mergeCell ref="V3:AC3"/>
    <mergeCell ref="V4:AC4"/>
    <mergeCell ref="G2:O2"/>
    <mergeCell ref="G3:O3"/>
    <mergeCell ref="A3:F3"/>
    <mergeCell ref="P3:U3"/>
    <mergeCell ref="V11:X11"/>
    <mergeCell ref="A7:AC7"/>
    <mergeCell ref="G4:O4"/>
    <mergeCell ref="G5:O5"/>
    <mergeCell ref="A5:F5"/>
    <mergeCell ref="P4:U4"/>
    <mergeCell ref="A4:F4"/>
    <mergeCell ref="P5:U5"/>
    <mergeCell ref="A8:C8"/>
    <mergeCell ref="S8:U8"/>
    <mergeCell ref="A10:C10"/>
    <mergeCell ref="AA44:AC44"/>
    <mergeCell ref="AA36:AC36"/>
    <mergeCell ref="S32:Z32"/>
    <mergeCell ref="N35:P35"/>
    <mergeCell ref="S37:Z37"/>
    <mergeCell ref="N37:P37"/>
    <mergeCell ref="N36:P36"/>
    <mergeCell ref="AA35:AC35"/>
    <mergeCell ref="K43:M43"/>
    <mergeCell ref="N43:P43"/>
    <mergeCell ref="S40:Z40"/>
    <mergeCell ref="AA42:AC42"/>
    <mergeCell ref="K42:M42"/>
    <mergeCell ref="S35:Z35"/>
    <mergeCell ref="S36:Z36"/>
    <mergeCell ref="S38:Z38"/>
    <mergeCell ref="AA39:AC39"/>
    <mergeCell ref="N41:P41"/>
    <mergeCell ref="K36:M36"/>
    <mergeCell ref="K37:M37"/>
    <mergeCell ref="K32:M32"/>
    <mergeCell ref="N34:P34"/>
    <mergeCell ref="AA33:AC33"/>
    <mergeCell ref="AA32:AB32"/>
    <mergeCell ref="E43:G43"/>
    <mergeCell ref="H43:J43"/>
    <mergeCell ref="S43:Z43"/>
    <mergeCell ref="AA43:AC43"/>
    <mergeCell ref="A43:D43"/>
    <mergeCell ref="AA41:AC41"/>
    <mergeCell ref="S41:Z41"/>
    <mergeCell ref="S42:Z42"/>
    <mergeCell ref="E42:G42"/>
    <mergeCell ref="E41:G41"/>
    <mergeCell ref="H41:J41"/>
    <mergeCell ref="H42:J42"/>
    <mergeCell ref="A41:D41"/>
    <mergeCell ref="N42:P42"/>
    <mergeCell ref="A60:Z60"/>
    <mergeCell ref="A44:G44"/>
    <mergeCell ref="J44:M44"/>
    <mergeCell ref="H44:I44"/>
    <mergeCell ref="Z49:AC49"/>
    <mergeCell ref="A51:F51"/>
    <mergeCell ref="A55:D55"/>
    <mergeCell ref="N49:Y49"/>
    <mergeCell ref="P50:Y50"/>
    <mergeCell ref="Z50:AC50"/>
    <mergeCell ref="N44:P44"/>
    <mergeCell ref="A53:AC53"/>
    <mergeCell ref="A54:AC54"/>
    <mergeCell ref="E55:AC55"/>
    <mergeCell ref="A57:AC57"/>
    <mergeCell ref="A46:L46"/>
    <mergeCell ref="A58:AC58"/>
    <mergeCell ref="A59:AC59"/>
    <mergeCell ref="S44:Z44"/>
    <mergeCell ref="G51:AC51"/>
    <mergeCell ref="M48:W48"/>
    <mergeCell ref="Z48:AC48"/>
    <mergeCell ref="X48:Y48"/>
    <mergeCell ref="A56:AC56"/>
    <mergeCell ref="H33:J33"/>
    <mergeCell ref="K39:M40"/>
    <mergeCell ref="E34:G34"/>
    <mergeCell ref="H34:J34"/>
    <mergeCell ref="K34:M34"/>
    <mergeCell ref="K30:M30"/>
    <mergeCell ref="A42:B42"/>
    <mergeCell ref="C42:D42"/>
    <mergeCell ref="K41:M41"/>
    <mergeCell ref="E35:G35"/>
    <mergeCell ref="H30:J30"/>
    <mergeCell ref="K33:M33"/>
    <mergeCell ref="H32:J32"/>
    <mergeCell ref="A31:D31"/>
    <mergeCell ref="A32:D32"/>
    <mergeCell ref="K31:M31"/>
    <mergeCell ref="H31:J31"/>
    <mergeCell ref="H38:J38"/>
    <mergeCell ref="E38:G38"/>
    <mergeCell ref="A35:A38"/>
    <mergeCell ref="H35:J35"/>
    <mergeCell ref="AA34:AC34"/>
    <mergeCell ref="S33:Z33"/>
    <mergeCell ref="S30:Z30"/>
    <mergeCell ref="S31:Z31"/>
    <mergeCell ref="S29:Z29"/>
    <mergeCell ref="AA31:AB31"/>
    <mergeCell ref="AA30:AC30"/>
    <mergeCell ref="AA29:AC29"/>
    <mergeCell ref="AA28:AC28"/>
    <mergeCell ref="S28:Z28"/>
    <mergeCell ref="S34:Z34"/>
  </mergeCells>
  <phoneticPr fontId="9" type="noConversion"/>
  <conditionalFormatting sqref="A15:A17 AD20:AF24 AH20:AH26 AI23:AM27 AG28:AG38">
    <cfRule type="containsErrors" dxfId="55" priority="89" stopIfTrue="1">
      <formula>ISERROR(A15)</formula>
    </cfRule>
  </conditionalFormatting>
  <conditionalFormatting sqref="A9:D11">
    <cfRule type="containsErrors" dxfId="54" priority="8">
      <formula>ISERROR(A9)</formula>
    </cfRule>
  </conditionalFormatting>
  <conditionalFormatting sqref="A20:L24">
    <cfRule type="containsErrors" dxfId="53" priority="50">
      <formula>ISERROR(A20)</formula>
    </cfRule>
  </conditionalFormatting>
  <conditionalFormatting sqref="E42:G42">
    <cfRule type="cellIs" dxfId="52" priority="108" stopIfTrue="1" operator="between">
      <formula>0.45</formula>
      <formula>0.439</formula>
    </cfRule>
  </conditionalFormatting>
  <conditionalFormatting sqref="J26:K26">
    <cfRule type="expression" dxfId="51" priority="40">
      <formula>$A$26="concentration of CaCl₂ is"</formula>
    </cfRule>
  </conditionalFormatting>
  <conditionalFormatting sqref="N30:P36 N37 N38:P42">
    <cfRule type="cellIs" dxfId="50" priority="38" operator="equal">
      <formula>0</formula>
    </cfRule>
  </conditionalFormatting>
  <conditionalFormatting sqref="N43:P43">
    <cfRule type="cellIs" dxfId="49" priority="90" stopIfTrue="1" operator="lessThan">
      <formula>27</formula>
    </cfRule>
    <cfRule type="cellIs" dxfId="48" priority="92" stopIfTrue="1" operator="greaterThan">
      <formula>27</formula>
    </cfRule>
  </conditionalFormatting>
  <conditionalFormatting sqref="N44:P45">
    <cfRule type="containsText" dxfId="47" priority="93" stopIfTrue="1" operator="containsText" text="ERROR!">
      <formula>NOT(ISERROR(SEARCH("ERROR!",N44)))</formula>
    </cfRule>
    <cfRule type="containsText" dxfId="46" priority="94" stopIfTrue="1" operator="containsText" text="Correct">
      <formula>NOT(ISERROR(SEARCH("Correct",N44)))</formula>
    </cfRule>
  </conditionalFormatting>
  <conditionalFormatting sqref="N47:P47">
    <cfRule type="containsText" dxfId="45" priority="6" stopIfTrue="1" operator="containsText" text="ERROR!">
      <formula>NOT(ISERROR(SEARCH("ERROR!",N47)))</formula>
    </cfRule>
    <cfRule type="containsText" dxfId="44" priority="7" stopIfTrue="1" operator="containsText" text="Correct">
      <formula>NOT(ISERROR(SEARCH("Correct",N47)))</formula>
    </cfRule>
  </conditionalFormatting>
  <conditionalFormatting sqref="Q26:R26">
    <cfRule type="expression" dxfId="43" priority="39">
      <formula>$A$26="concentration of CaCl₂ is"</formula>
    </cfRule>
  </conditionalFormatting>
  <conditionalFormatting sqref="U20:AC24">
    <cfRule type="containsErrors" dxfId="42" priority="16">
      <formula>ISERROR(U20)</formula>
    </cfRule>
  </conditionalFormatting>
  <conditionalFormatting sqref="V5:AC5">
    <cfRule type="containsText" dxfId="41" priority="19" operator="containsText" text="Mix ID Required">
      <formula>NOT(ISERROR(SEARCH("Mix ID Required",V5)))</formula>
    </cfRule>
  </conditionalFormatting>
  <conditionalFormatting sqref="V6:AC6">
    <cfRule type="containsText" dxfId="40" priority="18" stopIfTrue="1" operator="containsText" text="502 High Early Strength Modified">
      <formula>NOT(ISERROR(SEARCH("502 High Early Strength Modified",V6)))</formula>
    </cfRule>
  </conditionalFormatting>
  <conditionalFormatting sqref="AA37:AB37">
    <cfRule type="cellIs" dxfId="38" priority="22" operator="equal">
      <formula>"Yes"</formula>
    </cfRule>
    <cfRule type="cellIs" dxfId="37" priority="23" operator="equal">
      <formula>"No"</formula>
    </cfRule>
  </conditionalFormatting>
  <conditionalFormatting sqref="AA36:AC36">
    <cfRule type="cellIs" dxfId="36" priority="21" operator="equal">
      <formula>"Yes"</formula>
    </cfRule>
    <cfRule type="cellIs" dxfId="35" priority="24" operator="equal">
      <formula>"No"</formula>
    </cfRule>
  </conditionalFormatting>
  <conditionalFormatting sqref="AA40:AC40">
    <cfRule type="cellIs" dxfId="33" priority="1" stopIfTrue="1" operator="between">
      <formula>IF($V$6&lt;&gt;"728 Drilled Shaft",39.5,"")</formula>
      <formula>IF($V$6&lt;&gt;"728 Drilled Shaft",45.49,"")</formula>
    </cfRule>
    <cfRule type="cellIs" dxfId="32" priority="2" operator="notBetween">
      <formula>IF($V$6="728 Drilled Shaft",34.5,"")</formula>
      <formula>IF($V$6="728 Drilled Shaft",50.49,"")</formula>
    </cfRule>
    <cfRule type="cellIs" dxfId="31" priority="13" operator="equal">
      <formula>""</formula>
    </cfRule>
  </conditionalFormatting>
  <dataValidations count="15">
    <dataValidation type="list" allowBlank="1" showInputMessage="1" showErrorMessage="1" sqref="AA15:AC15" xr:uid="{00000000-0002-0000-0100-000000000000}">
      <formula1>"pub. utility, well, pond"</formula1>
    </dataValidation>
    <dataValidation type="list" allowBlank="1" showInputMessage="1" showErrorMessage="1" sqref="AA17:AC17" xr:uid="{00000000-0002-0000-0100-000001000000}">
      <formula1>"potable, non-potable"</formula1>
    </dataValidation>
    <dataValidation allowBlank="1" sqref="N44:P45 N47:P47" xr:uid="{00000000-0002-0000-0100-000002000000}"/>
    <dataValidation type="list" allowBlank="1" showInputMessage="1" showErrorMessage="1" sqref="V4:AC4" xr:uid="{00000000-0002-0000-0100-000004000000}">
      <formula1>"CMDS,CMDP,CMDS(2),CMDP(2),CMDS(3),CMDP(3),CMDS(4),CMDP(4)"</formula1>
    </dataValidation>
    <dataValidation type="list" allowBlank="1" showInputMessage="1" showErrorMessage="1" sqref="V9:X11" xr:uid="{EFA7B3C8-CC28-4B9B-BE61-2E2E960251AD}">
      <formula1>"CS, Gvl, CGvl, BF, NS"</formula1>
    </dataValidation>
    <dataValidation type="list" allowBlank="1" showInputMessage="1" showErrorMessage="1" sqref="Y9:Z11" xr:uid="{8AAB677D-6678-46E8-B86A-615EDFB9CFC7}">
      <formula1>"AP, A"</formula1>
    </dataValidation>
    <dataValidation allowBlank="1" showInputMessage="1" showErrorMessage="1" promptTitle="INDOT Approved Ledges" prompt="This cell is applicable to AP Quality coarse aggregate only. Please insert the location of the mining operations for the coarse aggregate (e.g. ledges, levels, areas)." sqref="AA11:AC11" xr:uid="{82FCC69E-9B2F-4A8A-BA92-2D156A2B3D26}"/>
    <dataValidation allowBlank="1" showInputMessage="1" showErrorMessage="1" promptTitle="Dosage Range" prompt="The dosage range for AEA or chemical admixtures may not exceed what is stated on the approved list of PCC Admixtures and Admixture Systems. Use of CaCl solution must also be indicated in units of fluid oz. / cwt. " sqref="X25:AC25" xr:uid="{00000000-0002-0000-0100-00000B000000}"/>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0:AC24" xr:uid="{00000000-0002-0000-0100-00000C000000}"/>
    <dataValidation allowBlank="1" showInputMessage="1" showErrorMessage="1" promptTitle="Entry Applies to 506 Concrete" prompt="Enter the concentration  of the CaCl solution as a percentage." sqref="J26:K26" xr:uid="{00000000-0002-0000-0100-00000D000000}"/>
    <dataValidation allowBlank="1" showInputMessage="1" showErrorMessage="1" promptTitle="Entry Applies to 506 Concrete" prompt="Enter the weight of the CaCl Type L in lbs/gallon. This weight is based on the concentration of the solution." sqref="Q26" xr:uid="{00000000-0002-0000-0100-00000E000000}"/>
    <dataValidation type="date" operator="lessThan" allowBlank="1" showInputMessage="1" showErrorMessage="1" sqref="P11:R11" xr:uid="{F3AAA8DC-526D-461E-9E99-BEEC48B7874A}">
      <formula1>54877</formula1>
    </dataValidation>
    <dataValidation type="list" allowBlank="1" showInputMessage="1" showErrorMessage="1" sqref="S9:U11" xr:uid="{AAAC6884-22E0-426E-89D9-639789D40DE9}">
      <formula1>"#8, #11,#12, #23, QA#3, QA#4, QA#5"</formula1>
    </dataValidation>
    <dataValidation type="list" allowBlank="1" showInputMessage="1" showErrorMessage="1" sqref="V3:AB3" xr:uid="{3437026F-38C0-43FB-B713-3BD8BD3BB7F8}">
      <formula1>"Crawfordsville, Fort Wayne, Greenfield, LaPorte, Seymour, Vincennes"</formula1>
    </dataValidation>
    <dataValidation type="list" allowBlank="1" showInputMessage="1" showErrorMessage="1" sqref="U15:Y17" xr:uid="{4A7F48A6-E78F-4878-A327-7A6F9365A2B8}">
      <formula1>$AG$23:$AG$38</formula1>
    </dataValidation>
  </dataValidations>
  <printOptions horizontalCentered="1" verticalCentered="1"/>
  <pageMargins left="0.25" right="0.25" top="0.75" bottom="0.75" header="0.3" footer="0.3"/>
  <pageSetup scale="79" orientation="portrait" r:id="rId1"/>
  <headerFooter alignWithMargins="0"/>
  <ignoredErrors>
    <ignoredError sqref="B26:I26 T26:U26 W26:AC26 B11:C11 A16 AB28:AC28 B22:C22 B20:C20 B21:D21 E20:L20 E24:L24 B24:C24 A21 A24 A22 D24 A20 E21:L21 D20 AB39:AC39 AB40:AC40 Y22:AC22 Y20:AC20 Y21:AC21 X20 X24:AC24 X21 X22 AB36:AC36 AB37:AC37 AB38:AC38 A23:L23 B10:C10 X23:AC23" evalError="1"/>
    <ignoredError sqref="A15:C15 A17:C17 B16:C16" evalError="1" unlockedFormula="1"/>
  </ignoredErrors>
  <extLst>
    <ext xmlns:x14="http://schemas.microsoft.com/office/spreadsheetml/2009/9/main" uri="{78C0D931-6437-407d-A8EE-F0AAD7539E65}">
      <x14:conditionalFormattings>
        <x14:conditionalFormatting xmlns:xm="http://schemas.microsoft.com/office/excel/2006/main">
          <x14:cfRule type="cellIs" priority="9" operator="notBetween" id="{6ECACD68-1324-4D02-A8B5-3ECC36FAEA02}">
            <xm:f>VLOOKUP($V$6,'Water-Cem Ratio &amp; Slump Limits'!$A$5:$G$26,4,FALSE)</xm:f>
            <xm:f>VLOOKUP($V$6,'Water-Cem Ratio &amp; Slump Limits'!$A$5:$G$26,5,FALSE)</xm:f>
            <x14:dxf>
              <font>
                <color auto="1"/>
              </font>
              <fill>
                <patternFill>
                  <bgColor rgb="FFFF0000"/>
                </patternFill>
              </fill>
            </x14:dxf>
          </x14:cfRule>
          <xm:sqref>AA44</xm:sqref>
        </x14:conditionalFormatting>
        <x14:conditionalFormatting xmlns:xm="http://schemas.microsoft.com/office/excel/2006/main">
          <x14:cfRule type="cellIs" priority="5" operator="notBetween" id="{F59B5075-E864-4362-9EAE-BD0BB92F4099}">
            <xm:f>IF($BO$15&gt;0,VLOOKUP($V$6,'Water-Cem Ratio &amp; Slump Limits'!$A$5:$G$26,2,FALSE),IF($BO$15=0, VLOOKUP($V$6,'Water-Cem Ratio &amp; Slump Limits'!$A$5:$G$26,4,FALSE)))</xm:f>
            <xm:f>IF($BN$15=1,VLOOKUP($V$6,'Water-Cem Ratio &amp; Slump Limits'!$A$5:$G$26,3,FALSE),IF($BN$15=0, VLOOKUP($V$6,'Water-Cem Ratio &amp; Slump Limits'!$A$5:$G$26,5,FALSE)))</xm:f>
            <x14:dxf>
              <font>
                <color auto="1"/>
              </font>
              <fill>
                <patternFill>
                  <bgColor rgb="FFFF0000"/>
                </patternFill>
              </fill>
            </x14:dxf>
          </x14:cfRule>
          <xm:sqref>AA38:AC38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20F932B9-5E1C-4C0B-BCD3-AE1480C16335}">
          <x14:formula1>
            <xm:f>'Water-Cem Ratio &amp; Slump Limits'!$A$4:$A$26</xm:f>
          </x14:formula1>
          <xm:sqref>V6:AC6</xm:sqref>
        </x14:dataValidation>
        <x14:dataValidation type="list" allowBlank="1" showInputMessage="1" showErrorMessage="1" xr:uid="{00000000-0002-0000-0100-000013000000}">
          <x14:formula1>
            <xm:f>Sheet2!$L$47:$L$48</xm:f>
          </x14:formula1>
          <xm:sqref>U25:W25</xm:sqref>
        </x14:dataValidation>
        <x14:dataValidation type="list" allowBlank="1" showInputMessage="1" showErrorMessage="1" xr:uid="{00000000-0002-0000-0100-000015000000}">
          <x14:formula1>
            <xm:f>Sheet2!$H$47:$H$48</xm:f>
          </x14:formula1>
          <xm:sqref>C42:D42</xm:sqref>
        </x14:dataValidation>
        <x14:dataValidation type="list" allowBlank="1" showInputMessage="1" showErrorMessage="1" xr:uid="{789D1623-94D8-468E-9926-34CA0A6B3EC1}">
          <x14:formula1>
            <xm:f>'AGG SOURCES'!$A$1:$A$500</xm:f>
          </x14:formula1>
          <xm:sqref>D9:O11</xm:sqref>
        </x14:dataValidation>
        <x14:dataValidation type="list" allowBlank="1" showInputMessage="1" showErrorMessage="1" xr:uid="{00000000-0002-0000-0100-000017000000}">
          <x14:formula1>
            <xm:f>'CEMENT &amp; POZZOLAN SOURCES'!$A$1:$A$88</xm:f>
          </x14:formula1>
          <xm:sqref>D15:T17</xm:sqref>
        </x14:dataValidation>
        <x14:dataValidation type="list" allowBlank="1" showInputMessage="1" showErrorMessage="1" xr:uid="{00000000-0002-0000-0100-000016000000}">
          <x14:formula1>
            <xm:f>ADMIXTURES!$A$1:$A$308</xm:f>
          </x14:formula1>
          <xm:sqref>M20:T24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28C34-A2DE-4293-B463-EA4AF3965767}">
  <sheetPr codeName="Sheet3">
    <pageSetUpPr fitToPage="1"/>
  </sheetPr>
  <dimension ref="A1:CY117"/>
  <sheetViews>
    <sheetView topLeftCell="A16" workbookViewId="0">
      <selection activeCell="D9" sqref="D9:O9"/>
    </sheetView>
  </sheetViews>
  <sheetFormatPr defaultRowHeight="12.75" x14ac:dyDescent="0.2"/>
  <cols>
    <col min="1" max="4" width="3.140625" customWidth="1"/>
    <col min="5" max="5" width="4.5703125" customWidth="1"/>
    <col min="6" max="11" width="3.140625" customWidth="1"/>
    <col min="12" max="12" width="6.7109375" customWidth="1"/>
    <col min="13" max="14" width="3.140625" customWidth="1"/>
    <col min="15" max="15" width="12.5703125" customWidth="1"/>
    <col min="16"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14.5703125" customWidth="1"/>
    <col min="28" max="28" width="8.7109375" customWidth="1"/>
    <col min="29" max="29" width="3.5703125" hidden="1" customWidth="1"/>
    <col min="30" max="42" width="3.42578125" hidden="1" customWidth="1"/>
    <col min="43" max="43" width="22.42578125" hidden="1" customWidth="1"/>
    <col min="44" max="44" width="21.42578125" hidden="1" customWidth="1"/>
    <col min="45" max="50" width="3.42578125" hidden="1" customWidth="1"/>
    <col min="51" max="55" width="3.42578125" style="118" hidden="1" customWidth="1"/>
    <col min="56" max="59" width="8.28515625" style="118" hidden="1" customWidth="1"/>
    <col min="60" max="61" width="0.140625" style="118" customWidth="1"/>
    <col min="62" max="62" width="1.7109375" style="118" hidden="1" customWidth="1"/>
    <col min="63" max="63" width="0.140625" style="118" hidden="1" customWidth="1"/>
    <col min="64" max="67" width="8.28515625" style="118" customWidth="1"/>
    <col min="68" max="103" width="9.140625" style="118"/>
  </cols>
  <sheetData>
    <row r="1" spans="1:103" ht="15.75" x14ac:dyDescent="0.25">
      <c r="A1" s="815" t="s">
        <v>1602</v>
      </c>
      <c r="B1" s="815"/>
      <c r="C1" s="815"/>
      <c r="D1" s="815"/>
      <c r="E1" s="815"/>
      <c r="F1" s="815"/>
      <c r="G1" s="815"/>
      <c r="H1" s="815"/>
      <c r="I1" s="815"/>
      <c r="J1" s="815"/>
      <c r="K1" s="815"/>
      <c r="L1" s="815"/>
      <c r="M1" s="815"/>
      <c r="N1" s="815"/>
      <c r="O1" s="815"/>
      <c r="P1" s="815"/>
      <c r="Q1" s="815"/>
      <c r="R1" s="815"/>
      <c r="S1" s="815"/>
      <c r="T1" s="815"/>
      <c r="U1" s="815"/>
      <c r="V1" s="815"/>
      <c r="W1" s="815"/>
      <c r="X1" s="815"/>
      <c r="Y1" s="815"/>
      <c r="Z1" s="815"/>
      <c r="AA1" s="815"/>
      <c r="AB1" s="815"/>
      <c r="AC1" s="815"/>
      <c r="AD1" s="815"/>
      <c r="AY1"/>
      <c r="AZ1"/>
      <c r="BA1"/>
      <c r="BB1"/>
      <c r="BC1"/>
      <c r="BD1"/>
      <c r="BE1"/>
      <c r="BF1"/>
      <c r="BG1"/>
      <c r="BH1"/>
      <c r="BI1"/>
      <c r="BJ1"/>
      <c r="BK1"/>
    </row>
    <row r="2" spans="1:103" ht="12.6" customHeight="1" thickBot="1" x14ac:dyDescent="0.25">
      <c r="A2" s="316" t="s">
        <v>135</v>
      </c>
      <c r="B2" s="316"/>
      <c r="C2" s="316"/>
      <c r="D2" s="316"/>
      <c r="E2" s="316"/>
      <c r="F2" s="316"/>
      <c r="G2" s="816"/>
      <c r="H2" s="816"/>
      <c r="I2" s="816"/>
      <c r="J2" s="816"/>
      <c r="K2" s="816"/>
      <c r="L2" s="816"/>
      <c r="M2" s="816"/>
      <c r="N2" s="816"/>
      <c r="O2" s="816"/>
      <c r="P2" s="316"/>
      <c r="Q2" s="316"/>
      <c r="R2" s="316"/>
      <c r="S2" s="316"/>
      <c r="T2" s="316"/>
      <c r="U2" s="316"/>
      <c r="V2" s="316"/>
      <c r="W2" s="316"/>
      <c r="X2" s="316"/>
      <c r="Y2" s="316"/>
      <c r="Z2" s="316"/>
      <c r="AA2" s="316"/>
      <c r="AB2" s="316"/>
      <c r="AC2" s="316"/>
      <c r="AY2"/>
      <c r="AZ2"/>
      <c r="BA2"/>
      <c r="BB2"/>
      <c r="BC2"/>
      <c r="BD2"/>
      <c r="BE2"/>
      <c r="BF2"/>
      <c r="BG2"/>
      <c r="BH2"/>
      <c r="BI2"/>
      <c r="BJ2"/>
      <c r="BK2"/>
    </row>
    <row r="3" spans="1:103" ht="12.6" customHeight="1" thickBot="1" x14ac:dyDescent="0.25">
      <c r="A3" s="316" t="s">
        <v>136</v>
      </c>
      <c r="B3" s="316"/>
      <c r="C3" s="316"/>
      <c r="D3" s="316"/>
      <c r="E3" s="316"/>
      <c r="F3" s="316"/>
      <c r="G3" s="816"/>
      <c r="H3" s="816"/>
      <c r="I3" s="816"/>
      <c r="J3" s="816"/>
      <c r="K3" s="816"/>
      <c r="L3" s="816"/>
      <c r="M3" s="816"/>
      <c r="N3" s="816"/>
      <c r="O3" s="816"/>
      <c r="P3" s="316"/>
      <c r="Q3" s="316"/>
      <c r="R3" s="316"/>
      <c r="S3" s="316"/>
      <c r="T3" s="316"/>
      <c r="U3" s="316"/>
      <c r="V3" s="316"/>
      <c r="W3" s="316"/>
      <c r="X3" s="316"/>
      <c r="Y3" s="316"/>
      <c r="Z3" s="316"/>
      <c r="AA3" s="316"/>
      <c r="AB3" s="316"/>
      <c r="AC3" s="316"/>
      <c r="AQ3" s="24" t="s">
        <v>137</v>
      </c>
      <c r="AR3" s="22" t="str">
        <f>G6&amp;L6</f>
        <v>Mix ID Not Required</v>
      </c>
      <c r="AY3"/>
      <c r="AZ3"/>
      <c r="BA3"/>
      <c r="BB3"/>
      <c r="BC3"/>
      <c r="BD3"/>
      <c r="BE3"/>
      <c r="BF3"/>
      <c r="BG3"/>
      <c r="BH3"/>
      <c r="BI3"/>
      <c r="BJ3"/>
      <c r="BK3"/>
    </row>
    <row r="4" spans="1:103" ht="12.6" customHeight="1" thickBot="1" x14ac:dyDescent="0.25">
      <c r="A4" s="316" t="s">
        <v>138</v>
      </c>
      <c r="B4" s="316"/>
      <c r="C4" s="316"/>
      <c r="D4" s="316"/>
      <c r="E4" s="316"/>
      <c r="F4" s="316"/>
      <c r="G4" s="811"/>
      <c r="H4" s="811"/>
      <c r="I4" s="811"/>
      <c r="J4" s="811"/>
      <c r="K4" s="811"/>
      <c r="L4" s="811"/>
      <c r="M4" s="811"/>
      <c r="N4" s="811"/>
      <c r="O4" s="811"/>
      <c r="P4" s="316" t="s">
        <v>139</v>
      </c>
      <c r="Q4" s="316"/>
      <c r="R4" s="316"/>
      <c r="S4" s="316"/>
      <c r="T4" s="316"/>
      <c r="U4" s="316"/>
      <c r="V4" s="812"/>
      <c r="W4" s="812"/>
      <c r="X4" s="812"/>
      <c r="Y4" s="812"/>
      <c r="Z4" s="812"/>
      <c r="AA4" s="812"/>
      <c r="AB4" s="812"/>
      <c r="AC4" s="813"/>
      <c r="AG4" s="4" t="s">
        <v>140</v>
      </c>
      <c r="AQ4" s="24" t="s">
        <v>141</v>
      </c>
      <c r="AR4" s="22" t="str">
        <f>V6</f>
        <v>213 Removable Type 4-1</v>
      </c>
      <c r="AY4"/>
      <c r="AZ4"/>
      <c r="BA4"/>
      <c r="BB4"/>
      <c r="BC4"/>
      <c r="BD4"/>
      <c r="BE4"/>
      <c r="BF4"/>
      <c r="BG4"/>
      <c r="BH4"/>
      <c r="BI4"/>
      <c r="BJ4"/>
      <c r="BK4"/>
    </row>
    <row r="5" spans="1:103" ht="12.6" customHeight="1" thickBot="1" x14ac:dyDescent="0.25">
      <c r="A5" s="316" t="s">
        <v>142</v>
      </c>
      <c r="B5" s="316"/>
      <c r="C5" s="316"/>
      <c r="D5" s="316"/>
      <c r="E5" s="316"/>
      <c r="F5" s="316"/>
      <c r="G5" s="811"/>
      <c r="H5" s="811"/>
      <c r="I5" s="811"/>
      <c r="J5" s="811"/>
      <c r="K5" s="811"/>
      <c r="L5" s="811"/>
      <c r="M5" s="811"/>
      <c r="N5" s="811"/>
      <c r="O5" s="811"/>
      <c r="P5" s="370" t="s">
        <v>143</v>
      </c>
      <c r="Q5" s="370"/>
      <c r="R5" s="370"/>
      <c r="S5" s="370"/>
      <c r="T5" s="370"/>
      <c r="U5" s="370"/>
      <c r="V5" s="814" t="s">
        <v>1584</v>
      </c>
      <c r="W5" s="814"/>
      <c r="X5" s="814"/>
      <c r="Y5" s="814"/>
      <c r="Z5" s="814"/>
      <c r="AA5" s="814"/>
      <c r="AB5" s="814"/>
      <c r="AC5" s="814"/>
      <c r="AD5" s="4"/>
      <c r="AG5" s="4" t="s">
        <v>144</v>
      </c>
      <c r="AQ5" s="24" t="s">
        <v>135</v>
      </c>
      <c r="AR5" s="28">
        <f>G2</f>
        <v>0</v>
      </c>
      <c r="AY5"/>
      <c r="AZ5"/>
      <c r="BA5"/>
      <c r="BB5"/>
      <c r="BC5"/>
      <c r="BD5"/>
      <c r="BE5"/>
      <c r="BF5"/>
      <c r="BG5"/>
      <c r="BH5"/>
      <c r="BI5"/>
      <c r="BJ5"/>
      <c r="BK5"/>
    </row>
    <row r="6" spans="1:103" ht="15.75" customHeight="1" thickBot="1" x14ac:dyDescent="0.25">
      <c r="A6" s="817" t="s">
        <v>145</v>
      </c>
      <c r="B6" s="725"/>
      <c r="C6" s="725"/>
      <c r="D6" s="725"/>
      <c r="E6" s="725"/>
      <c r="F6" s="725"/>
      <c r="G6" s="818" t="str">
        <f>IF(OR(V6="305 Base Patching",V6="501 QC/QA PCCP",V6="502 Standard Strength",V6="502 High Early Strength",V6="502 High Early Strength Modified",V6="506 Full Depth",V6="506 Partial Depth",V6="706 Moment Slab",V6="722 Silica Fume Overlay",V6="728 Drilled Shaft",V6=""),"Mix ID Required","Mix ID Not Required")</f>
        <v>Mix ID Not Required</v>
      </c>
      <c r="H6" s="725"/>
      <c r="I6" s="725"/>
      <c r="J6" s="725"/>
      <c r="K6" s="725"/>
      <c r="L6" s="427"/>
      <c r="M6" s="427"/>
      <c r="N6" s="428"/>
      <c r="O6" s="817" t="s">
        <v>146</v>
      </c>
      <c r="P6" s="725"/>
      <c r="Q6" s="725"/>
      <c r="R6" s="725"/>
      <c r="S6" s="725"/>
      <c r="T6" s="725"/>
      <c r="U6" s="725"/>
      <c r="V6" s="819" t="s">
        <v>1598</v>
      </c>
      <c r="W6" s="819"/>
      <c r="X6" s="819"/>
      <c r="Y6" s="819"/>
      <c r="Z6" s="819"/>
      <c r="AA6" s="819"/>
      <c r="AB6" s="819"/>
      <c r="AC6" s="820"/>
      <c r="AG6" s="4" t="s">
        <v>148</v>
      </c>
      <c r="AQ6" s="25" t="s">
        <v>149</v>
      </c>
      <c r="AR6" s="28">
        <f>G5</f>
        <v>0</v>
      </c>
      <c r="AY6" s="4" t="s">
        <v>150</v>
      </c>
      <c r="AZ6"/>
      <c r="BA6"/>
      <c r="BB6"/>
      <c r="BC6"/>
      <c r="BD6"/>
      <c r="BE6"/>
      <c r="BF6"/>
      <c r="BG6"/>
      <c r="BH6"/>
      <c r="BI6"/>
      <c r="BJ6"/>
      <c r="BK6"/>
    </row>
    <row r="7" spans="1:103" ht="28.5" customHeight="1" thickBot="1" x14ac:dyDescent="0.25">
      <c r="A7" s="660" t="s">
        <v>151</v>
      </c>
      <c r="B7" s="661"/>
      <c r="C7" s="661"/>
      <c r="D7" s="661"/>
      <c r="E7" s="661"/>
      <c r="F7" s="661"/>
      <c r="G7" s="661"/>
      <c r="H7" s="661"/>
      <c r="I7" s="661"/>
      <c r="J7" s="661"/>
      <c r="K7" s="661"/>
      <c r="L7" s="661"/>
      <c r="M7" s="661"/>
      <c r="N7" s="661"/>
      <c r="O7" s="661"/>
      <c r="P7" s="661"/>
      <c r="Q7" s="661"/>
      <c r="R7" s="661"/>
      <c r="S7" s="661"/>
      <c r="T7" s="661"/>
      <c r="U7" s="661"/>
      <c r="V7" s="661"/>
      <c r="W7" s="661"/>
      <c r="X7" s="661"/>
      <c r="Y7" s="661"/>
      <c r="Z7" s="661"/>
      <c r="AA7" s="661"/>
      <c r="AB7" s="661"/>
      <c r="AC7" s="662"/>
      <c r="AD7" s="109"/>
      <c r="AG7" s="4" t="s">
        <v>152</v>
      </c>
      <c r="AQ7" s="25" t="s">
        <v>136</v>
      </c>
      <c r="AR7" s="28">
        <f>G3</f>
        <v>0</v>
      </c>
      <c r="AY7"/>
      <c r="AZ7"/>
      <c r="BA7"/>
      <c r="BB7"/>
      <c r="BC7"/>
      <c r="BD7"/>
      <c r="BE7"/>
      <c r="BF7"/>
      <c r="BG7"/>
      <c r="BH7"/>
      <c r="BI7"/>
      <c r="BJ7"/>
      <c r="BK7"/>
    </row>
    <row r="8" spans="1:103" ht="58.5" customHeight="1" thickBot="1" x14ac:dyDescent="0.25">
      <c r="A8" s="473" t="s">
        <v>153</v>
      </c>
      <c r="B8" s="296"/>
      <c r="C8" s="296"/>
      <c r="D8" s="681" t="s">
        <v>154</v>
      </c>
      <c r="E8" s="682"/>
      <c r="F8" s="682"/>
      <c r="G8" s="682"/>
      <c r="H8" s="682"/>
      <c r="I8" s="682"/>
      <c r="J8" s="682"/>
      <c r="K8" s="682"/>
      <c r="L8" s="682"/>
      <c r="M8" s="682"/>
      <c r="N8" s="682"/>
      <c r="O8" s="683"/>
      <c r="P8" s="684" t="s">
        <v>155</v>
      </c>
      <c r="Q8" s="685"/>
      <c r="R8" s="686"/>
      <c r="S8" s="296" t="s">
        <v>156</v>
      </c>
      <c r="T8" s="296"/>
      <c r="U8" s="296"/>
      <c r="V8" s="296" t="s">
        <v>157</v>
      </c>
      <c r="W8" s="296"/>
      <c r="X8" s="296"/>
      <c r="Y8" s="296" t="s">
        <v>158</v>
      </c>
      <c r="Z8" s="296"/>
      <c r="AA8" s="473" t="s">
        <v>159</v>
      </c>
      <c r="AB8" s="473"/>
      <c r="AC8" s="473"/>
      <c r="AG8" s="4" t="s">
        <v>160</v>
      </c>
      <c r="AP8" s="34"/>
      <c r="AQ8" s="23" t="s">
        <v>161</v>
      </c>
      <c r="AR8" s="28">
        <f>V2</f>
        <v>0</v>
      </c>
      <c r="AY8"/>
      <c r="AZ8"/>
      <c r="BA8"/>
      <c r="BB8"/>
      <c r="BC8"/>
      <c r="BD8"/>
      <c r="BE8"/>
      <c r="BF8"/>
      <c r="BG8"/>
      <c r="BH8"/>
      <c r="BI8"/>
      <c r="BJ8"/>
      <c r="BK8"/>
    </row>
    <row r="9" spans="1:103" ht="12.6" customHeight="1" thickBot="1" x14ac:dyDescent="0.25">
      <c r="A9" s="694" t="e">
        <f>VLOOKUP(D9,'AGG SOURCES'!A1:D292,2,FALSE)</f>
        <v>#N/A</v>
      </c>
      <c r="B9" s="576"/>
      <c r="C9" s="576"/>
      <c r="D9" s="712"/>
      <c r="E9" s="713"/>
      <c r="F9" s="713"/>
      <c r="G9" s="713"/>
      <c r="H9" s="713"/>
      <c r="I9" s="713"/>
      <c r="J9" s="713"/>
      <c r="K9" s="713"/>
      <c r="L9" s="713"/>
      <c r="M9" s="713"/>
      <c r="N9" s="713"/>
      <c r="O9" s="714"/>
      <c r="P9" s="722"/>
      <c r="Q9" s="723"/>
      <c r="R9" s="724"/>
      <c r="S9" s="649"/>
      <c r="T9" s="649"/>
      <c r="U9" s="649"/>
      <c r="V9" s="649"/>
      <c r="W9" s="649"/>
      <c r="X9" s="649"/>
      <c r="Y9" s="649"/>
      <c r="Z9" s="649"/>
      <c r="AA9" s="687"/>
      <c r="AB9" s="687"/>
      <c r="AC9" s="688"/>
      <c r="AG9" s="4" t="s">
        <v>162</v>
      </c>
      <c r="AQ9" s="23" t="s">
        <v>163</v>
      </c>
      <c r="AR9" s="22">
        <f>V3</f>
        <v>0</v>
      </c>
      <c r="AY9"/>
      <c r="AZ9"/>
      <c r="BA9"/>
      <c r="BB9"/>
      <c r="BC9"/>
      <c r="BD9"/>
      <c r="BE9"/>
      <c r="BF9"/>
      <c r="BG9"/>
      <c r="BH9"/>
      <c r="BI9"/>
      <c r="BJ9"/>
      <c r="BK9"/>
    </row>
    <row r="10" spans="1:103" ht="12.6" customHeight="1" thickBot="1" x14ac:dyDescent="0.25">
      <c r="A10" s="694" t="e">
        <f>VLOOKUP(D10,'AGG SOURCES'!A1:D292,2,FALSE)</f>
        <v>#N/A</v>
      </c>
      <c r="B10" s="576"/>
      <c r="C10" s="576"/>
      <c r="D10" s="712"/>
      <c r="E10" s="713"/>
      <c r="F10" s="713"/>
      <c r="G10" s="713"/>
      <c r="H10" s="713"/>
      <c r="I10" s="713"/>
      <c r="J10" s="713"/>
      <c r="K10" s="713"/>
      <c r="L10" s="713"/>
      <c r="M10" s="713"/>
      <c r="N10" s="713"/>
      <c r="O10" s="714"/>
      <c r="P10" s="722"/>
      <c r="Q10" s="723"/>
      <c r="R10" s="724"/>
      <c r="S10" s="649"/>
      <c r="T10" s="649"/>
      <c r="U10" s="649"/>
      <c r="V10" s="649"/>
      <c r="W10" s="649"/>
      <c r="X10" s="649"/>
      <c r="Y10" s="649"/>
      <c r="Z10" s="649"/>
      <c r="AA10" s="687"/>
      <c r="AB10" s="687"/>
      <c r="AC10" s="688"/>
      <c r="AG10" s="4" t="s">
        <v>164</v>
      </c>
      <c r="AQ10" s="23" t="s">
        <v>139</v>
      </c>
      <c r="AR10" s="22">
        <f>V4</f>
        <v>0</v>
      </c>
      <c r="AY10"/>
      <c r="AZ10"/>
      <c r="BA10"/>
      <c r="BB10"/>
      <c r="BC10"/>
      <c r="BD10"/>
      <c r="BE10"/>
      <c r="BF10"/>
      <c r="BG10"/>
      <c r="BH10"/>
      <c r="BI10"/>
      <c r="BJ10"/>
      <c r="BK10"/>
    </row>
    <row r="11" spans="1:103" ht="12.6" customHeight="1" thickBot="1" x14ac:dyDescent="0.25">
      <c r="A11" s="694" t="e">
        <f>VLOOKUP(D11,'AGG SOURCES'!A1:D292,2,FALSE)</f>
        <v>#N/A</v>
      </c>
      <c r="B11" s="576"/>
      <c r="C11" s="576"/>
      <c r="D11" s="712"/>
      <c r="E11" s="713"/>
      <c r="F11" s="713"/>
      <c r="G11" s="713"/>
      <c r="H11" s="713"/>
      <c r="I11" s="713"/>
      <c r="J11" s="713"/>
      <c r="K11" s="713"/>
      <c r="L11" s="713"/>
      <c r="M11" s="713"/>
      <c r="N11" s="713"/>
      <c r="O11" s="714"/>
      <c r="P11" s="824"/>
      <c r="Q11" s="825"/>
      <c r="R11" s="826"/>
      <c r="S11" s="827"/>
      <c r="T11" s="827"/>
      <c r="U11" s="828"/>
      <c r="V11" s="650"/>
      <c r="W11" s="650"/>
      <c r="X11" s="650"/>
      <c r="Y11" s="650"/>
      <c r="Z11" s="650"/>
      <c r="AA11" s="691"/>
      <c r="AB11" s="691"/>
      <c r="AC11" s="691"/>
      <c r="AG11" s="4" t="s">
        <v>165</v>
      </c>
      <c r="AQ11" s="26" t="s">
        <v>166</v>
      </c>
      <c r="AR11" s="124" t="e">
        <f>A9</f>
        <v>#N/A</v>
      </c>
      <c r="AY11"/>
      <c r="AZ11"/>
      <c r="BA11"/>
      <c r="BB11"/>
      <c r="BC11"/>
      <c r="BD11"/>
      <c r="BE11"/>
      <c r="BF11"/>
      <c r="BG11"/>
      <c r="BH11"/>
      <c r="BI11"/>
      <c r="BJ11"/>
      <c r="BK11"/>
    </row>
    <row r="12" spans="1:103" ht="12.6" customHeight="1" thickBot="1" x14ac:dyDescent="0.3">
      <c r="A12" s="821" t="str">
        <f>IF(AND(S42="*** % Passing 1 inch sieve",OR(S9="QA",S10="QA",S11="QA")), "*** % Passing 1 inch sieve for QA size CA"," ")</f>
        <v xml:space="preserve"> </v>
      </c>
      <c r="B12" s="821"/>
      <c r="C12" s="821"/>
      <c r="D12" s="821"/>
      <c r="E12" s="821"/>
      <c r="F12" s="821"/>
      <c r="G12" s="821"/>
      <c r="H12" s="821"/>
      <c r="I12" s="821"/>
      <c r="J12" s="821"/>
      <c r="K12" s="822"/>
      <c r="L12" s="822"/>
      <c r="M12" s="821" t="str">
        <f>IF(V6="501 QC/QA PCCP","*% passing No. 200 sieve"," ")</f>
        <v xml:space="preserve"> </v>
      </c>
      <c r="N12" s="821"/>
      <c r="O12" s="821"/>
      <c r="P12" s="821"/>
      <c r="Q12" s="821"/>
      <c r="R12" s="821"/>
      <c r="S12" s="821" t="str">
        <f>IF(OR(V6="501 QC/QA PCCP",V6="730*"),", CA contributes"," ")</f>
        <v xml:space="preserve"> </v>
      </c>
      <c r="T12" s="821"/>
      <c r="U12" s="821"/>
      <c r="V12" s="821"/>
      <c r="W12" s="18"/>
      <c r="X12" s="821" t="str">
        <f>IF(V6="501 QC/QA PCCP","  FA contributes"," ")</f>
        <v xml:space="preserve"> </v>
      </c>
      <c r="Y12" s="821"/>
      <c r="Z12" s="821"/>
      <c r="AA12" s="821"/>
      <c r="AB12" s="823"/>
      <c r="AC12" s="823"/>
      <c r="AG12" s="176" t="s">
        <v>167</v>
      </c>
      <c r="AQ12" s="26" t="s">
        <v>168</v>
      </c>
      <c r="AR12" s="32">
        <f>D9</f>
        <v>0</v>
      </c>
      <c r="AY12"/>
      <c r="AZ12"/>
      <c r="BA12"/>
      <c r="BB12"/>
      <c r="BC12"/>
      <c r="BD12"/>
      <c r="BE12"/>
      <c r="BF12"/>
      <c r="BG12"/>
      <c r="BH12"/>
      <c r="BI12"/>
      <c r="BJ12"/>
      <c r="BK12"/>
    </row>
    <row r="13" spans="1:103" ht="18" customHeight="1" thickBot="1" x14ac:dyDescent="0.3">
      <c r="A13" s="706" t="s">
        <v>169</v>
      </c>
      <c r="B13" s="707"/>
      <c r="C13" s="707"/>
      <c r="D13" s="707"/>
      <c r="E13" s="707"/>
      <c r="F13" s="707"/>
      <c r="G13" s="707"/>
      <c r="H13" s="707"/>
      <c r="I13" s="707"/>
      <c r="J13" s="707"/>
      <c r="K13" s="707"/>
      <c r="L13" s="707"/>
      <c r="M13" s="707"/>
      <c r="N13" s="707"/>
      <c r="O13" s="707"/>
      <c r="P13" s="707"/>
      <c r="Q13" s="707"/>
      <c r="R13" s="707"/>
      <c r="S13" s="707"/>
      <c r="T13" s="707"/>
      <c r="U13" s="707"/>
      <c r="V13" s="707"/>
      <c r="W13" s="707"/>
      <c r="X13" s="707"/>
      <c r="Y13" s="708"/>
      <c r="AA13" s="732" t="s">
        <v>170</v>
      </c>
      <c r="AB13" s="733"/>
      <c r="AC13" s="734"/>
      <c r="AG13" s="176" t="s">
        <v>171</v>
      </c>
      <c r="AQ13" s="26" t="s">
        <v>172</v>
      </c>
      <c r="AR13" s="22">
        <f>S9</f>
        <v>0</v>
      </c>
      <c r="AY13"/>
      <c r="AZ13"/>
      <c r="BA13"/>
      <c r="BB13"/>
      <c r="BC13"/>
      <c r="BD13"/>
      <c r="BE13"/>
      <c r="BF13"/>
      <c r="BG13"/>
      <c r="BH13"/>
      <c r="BI13"/>
      <c r="BJ13"/>
      <c r="BK13"/>
      <c r="BM13" s="218"/>
      <c r="BN13" s="218"/>
      <c r="BO13" s="218"/>
      <c r="BP13" s="218"/>
      <c r="BQ13" s="218"/>
      <c r="BR13" s="218"/>
      <c r="BS13" s="218"/>
      <c r="BT13" s="218"/>
      <c r="BU13" s="218"/>
      <c r="BV13" s="218"/>
      <c r="BW13" s="218"/>
    </row>
    <row r="14" spans="1:103" ht="16.5" customHeight="1" thickTop="1" thickBot="1" x14ac:dyDescent="0.25">
      <c r="A14" s="750" t="s">
        <v>173</v>
      </c>
      <c r="B14" s="742"/>
      <c r="C14" s="743"/>
      <c r="D14" s="741" t="s">
        <v>174</v>
      </c>
      <c r="E14" s="742"/>
      <c r="F14" s="742"/>
      <c r="G14" s="742"/>
      <c r="H14" s="742"/>
      <c r="I14" s="742"/>
      <c r="J14" s="742"/>
      <c r="K14" s="742"/>
      <c r="L14" s="742"/>
      <c r="M14" s="742"/>
      <c r="N14" s="742"/>
      <c r="O14" s="742"/>
      <c r="P14" s="742"/>
      <c r="Q14" s="742"/>
      <c r="R14" s="742"/>
      <c r="S14" s="742"/>
      <c r="T14" s="743"/>
      <c r="U14" s="318" t="s">
        <v>175</v>
      </c>
      <c r="V14" s="319"/>
      <c r="W14" s="319"/>
      <c r="X14" s="319"/>
      <c r="Y14" s="346"/>
      <c r="Z14" s="1"/>
      <c r="AA14" s="674" t="s">
        <v>176</v>
      </c>
      <c r="AB14" s="675"/>
      <c r="AC14" s="676"/>
      <c r="AG14" s="4" t="s">
        <v>177</v>
      </c>
      <c r="AQ14" s="27" t="s">
        <v>178</v>
      </c>
      <c r="AR14" s="22">
        <f>V9</f>
        <v>0</v>
      </c>
      <c r="AY14"/>
      <c r="AZ14"/>
      <c r="BA14"/>
      <c r="BB14"/>
      <c r="BC14"/>
      <c r="BD14"/>
      <c r="BE14"/>
      <c r="BF14"/>
      <c r="BG14"/>
      <c r="BH14"/>
      <c r="BI14"/>
      <c r="BJ14"/>
      <c r="BK14"/>
      <c r="BM14" s="218"/>
      <c r="BN14" s="218"/>
      <c r="BO14" s="218"/>
      <c r="BP14" s="218"/>
      <c r="BQ14" s="218"/>
      <c r="BR14" s="218"/>
      <c r="BS14" s="218"/>
      <c r="BT14" s="218"/>
      <c r="BU14" s="218"/>
      <c r="BV14" s="218"/>
      <c r="BW14" s="218"/>
    </row>
    <row r="15" spans="1:103" s="34" customFormat="1" ht="12.6" customHeight="1" thickBot="1" x14ac:dyDescent="0.25">
      <c r="A15" s="829" t="e">
        <f>VLOOKUP(D15,'CEMENT &amp; POZZOLAN SOURCES'!A1:B88,2,FALSE)</f>
        <v>#N/A</v>
      </c>
      <c r="B15" s="752"/>
      <c r="C15" s="753"/>
      <c r="D15" s="701"/>
      <c r="E15" s="702"/>
      <c r="F15" s="702"/>
      <c r="G15" s="702"/>
      <c r="H15" s="702"/>
      <c r="I15" s="702"/>
      <c r="J15" s="702"/>
      <c r="K15" s="702"/>
      <c r="L15" s="702"/>
      <c r="M15" s="702"/>
      <c r="N15" s="702"/>
      <c r="O15" s="702"/>
      <c r="P15" s="702"/>
      <c r="Q15" s="702"/>
      <c r="R15" s="702"/>
      <c r="S15" s="702"/>
      <c r="T15" s="703"/>
      <c r="U15" s="677"/>
      <c r="V15" s="677"/>
      <c r="W15" s="677"/>
      <c r="X15" s="677"/>
      <c r="Y15" s="830"/>
      <c r="AA15" s="668"/>
      <c r="AB15" s="669"/>
      <c r="AC15" s="670"/>
      <c r="AG15" s="4" t="s">
        <v>181</v>
      </c>
      <c r="AJ15"/>
      <c r="AK15"/>
      <c r="AL15"/>
      <c r="AM15"/>
      <c r="AN15"/>
      <c r="AO15"/>
      <c r="AP15"/>
      <c r="AQ15" s="35" t="s">
        <v>182</v>
      </c>
      <c r="AR15" s="36">
        <f>Y9</f>
        <v>0</v>
      </c>
      <c r="BL15" s="119"/>
      <c r="BM15" s="219"/>
      <c r="BN15" s="219"/>
      <c r="BO15" s="219"/>
      <c r="BP15" s="219"/>
      <c r="BQ15" s="219"/>
      <c r="BR15" s="219"/>
      <c r="BS15" s="219"/>
      <c r="BT15" s="219"/>
      <c r="BU15" s="219"/>
      <c r="BV15" s="219"/>
      <c r="BW15" s="2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row>
    <row r="16" spans="1:103" s="34" customFormat="1" ht="12.6" customHeight="1" thickBot="1" x14ac:dyDescent="0.25">
      <c r="A16" s="829" t="e">
        <f>VLOOKUP(D16,'CEMENT &amp; POZZOLAN SOURCES'!A1:B88,2,FALSE)</f>
        <v>#N/A</v>
      </c>
      <c r="B16" s="752"/>
      <c r="C16" s="753"/>
      <c r="D16" s="701"/>
      <c r="E16" s="702"/>
      <c r="F16" s="702"/>
      <c r="G16" s="702"/>
      <c r="H16" s="702"/>
      <c r="I16" s="702"/>
      <c r="J16" s="702"/>
      <c r="K16" s="702"/>
      <c r="L16" s="702"/>
      <c r="M16" s="702"/>
      <c r="N16" s="702"/>
      <c r="O16" s="702"/>
      <c r="P16" s="702"/>
      <c r="Q16" s="702"/>
      <c r="R16" s="702"/>
      <c r="S16" s="702"/>
      <c r="T16" s="703"/>
      <c r="U16" s="677"/>
      <c r="V16" s="677"/>
      <c r="W16" s="677"/>
      <c r="X16" s="677"/>
      <c r="Y16" s="830"/>
      <c r="AA16" s="674" t="s">
        <v>183</v>
      </c>
      <c r="AB16" s="675"/>
      <c r="AC16" s="676"/>
      <c r="AG16" s="4" t="s">
        <v>147</v>
      </c>
      <c r="AQ16" s="35" t="s">
        <v>184</v>
      </c>
      <c r="AR16" s="37">
        <f>AA9</f>
        <v>0</v>
      </c>
      <c r="BL16" s="119"/>
      <c r="BM16" s="219"/>
      <c r="BN16" s="219"/>
      <c r="BO16" s="219"/>
      <c r="BP16" s="219"/>
      <c r="BQ16" s="219"/>
      <c r="BR16" s="219"/>
      <c r="BS16" s="219"/>
      <c r="BT16" s="219"/>
      <c r="BU16" s="219"/>
      <c r="BV16" s="219"/>
      <c r="BW16" s="2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row>
    <row r="17" spans="1:103" s="34" customFormat="1" ht="12.6" customHeight="1" thickBot="1" x14ac:dyDescent="0.25">
      <c r="A17" s="831" t="e">
        <f>VLOOKUP(D17,'CEMENT &amp; POZZOLAN SOURCES'!A1:B88,2,FALSE)</f>
        <v>#N/A</v>
      </c>
      <c r="B17" s="718"/>
      <c r="C17" s="719"/>
      <c r="D17" s="701"/>
      <c r="E17" s="702"/>
      <c r="F17" s="702"/>
      <c r="G17" s="702"/>
      <c r="H17" s="702"/>
      <c r="I17" s="702"/>
      <c r="J17" s="702"/>
      <c r="K17" s="702"/>
      <c r="L17" s="702"/>
      <c r="M17" s="702"/>
      <c r="N17" s="702"/>
      <c r="O17" s="702"/>
      <c r="P17" s="702"/>
      <c r="Q17" s="702"/>
      <c r="R17" s="702"/>
      <c r="S17" s="702"/>
      <c r="T17" s="703"/>
      <c r="U17" s="677"/>
      <c r="V17" s="677"/>
      <c r="W17" s="677"/>
      <c r="X17" s="677"/>
      <c r="Y17" s="830"/>
      <c r="Z17" s="120"/>
      <c r="AA17" s="832"/>
      <c r="AB17" s="833"/>
      <c r="AC17" s="834"/>
      <c r="AG17" s="4" t="s">
        <v>185</v>
      </c>
      <c r="AQ17" s="38" t="s">
        <v>186</v>
      </c>
      <c r="AR17" s="126" t="e">
        <f>A10</f>
        <v>#N/A</v>
      </c>
      <c r="BL17" s="119"/>
      <c r="BM17" s="219"/>
      <c r="BN17" s="219"/>
      <c r="BO17" s="219"/>
      <c r="BP17" s="219"/>
      <c r="BQ17" s="219"/>
      <c r="BR17" s="219"/>
      <c r="BS17" s="219"/>
      <c r="BT17" s="219"/>
      <c r="BU17" s="219"/>
      <c r="BV17" s="219"/>
      <c r="BW17" s="2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row>
    <row r="18" spans="1:103" ht="27" customHeight="1" thickBot="1" x14ac:dyDescent="0.25">
      <c r="A18" s="835" t="s">
        <v>187</v>
      </c>
      <c r="B18" s="836"/>
      <c r="C18" s="836"/>
      <c r="D18" s="748"/>
      <c r="E18" s="748"/>
      <c r="F18" s="748"/>
      <c r="G18" s="748"/>
      <c r="H18" s="748"/>
      <c r="I18" s="748"/>
      <c r="J18" s="748"/>
      <c r="K18" s="748"/>
      <c r="L18" s="748"/>
      <c r="M18" s="748"/>
      <c r="N18" s="748"/>
      <c r="O18" s="748"/>
      <c r="P18" s="748"/>
      <c r="Q18" s="748"/>
      <c r="R18" s="748"/>
      <c r="S18" s="748"/>
      <c r="T18" s="748"/>
      <c r="U18" s="748"/>
      <c r="V18" s="748"/>
      <c r="W18" s="748"/>
      <c r="X18" s="748"/>
      <c r="Y18" s="748"/>
      <c r="Z18" s="836"/>
      <c r="AA18" s="748"/>
      <c r="AB18" s="748"/>
      <c r="AC18" s="749"/>
      <c r="AI18" s="34"/>
      <c r="AJ18" s="34"/>
      <c r="AK18" s="34"/>
      <c r="AL18" s="34"/>
      <c r="AM18" s="34"/>
      <c r="AN18" s="34"/>
      <c r="AO18" s="34"/>
      <c r="AQ18" s="26" t="s">
        <v>188</v>
      </c>
      <c r="AR18" s="32">
        <f>D10</f>
        <v>0</v>
      </c>
      <c r="AY18"/>
      <c r="AZ18"/>
      <c r="BA18"/>
      <c r="BB18"/>
      <c r="BC18"/>
      <c r="BD18"/>
      <c r="BE18"/>
      <c r="BF18"/>
      <c r="BG18"/>
      <c r="BH18"/>
      <c r="BI18"/>
      <c r="BJ18"/>
      <c r="BK18"/>
      <c r="BM18" s="218"/>
      <c r="BN18" s="218"/>
      <c r="BO18" s="218"/>
      <c r="BP18" s="218"/>
      <c r="BQ18" s="218"/>
      <c r="BR18" s="218"/>
      <c r="BS18" s="218"/>
      <c r="BT18" s="218"/>
      <c r="BU18" s="218"/>
      <c r="BV18" s="218"/>
      <c r="BW18" s="218"/>
    </row>
    <row r="19" spans="1:103" ht="18" customHeight="1" thickTop="1" thickBot="1" x14ac:dyDescent="0.25">
      <c r="A19" s="648" t="s">
        <v>189</v>
      </c>
      <c r="B19" s="294"/>
      <c r="C19" s="294"/>
      <c r="D19" s="318" t="s">
        <v>190</v>
      </c>
      <c r="E19" s="319"/>
      <c r="F19" s="319"/>
      <c r="G19" s="319"/>
      <c r="H19" s="319"/>
      <c r="I19" s="319"/>
      <c r="J19" s="319"/>
      <c r="K19" s="319"/>
      <c r="L19" s="319"/>
      <c r="M19" s="318" t="s">
        <v>191</v>
      </c>
      <c r="N19" s="319"/>
      <c r="O19" s="319"/>
      <c r="P19" s="319"/>
      <c r="Q19" s="319"/>
      <c r="R19" s="319"/>
      <c r="S19" s="319"/>
      <c r="T19" s="391"/>
      <c r="U19" s="294" t="s">
        <v>157</v>
      </c>
      <c r="V19" s="294"/>
      <c r="W19" s="294"/>
      <c r="X19" s="720" t="s">
        <v>192</v>
      </c>
      <c r="Y19" s="294"/>
      <c r="Z19" s="294"/>
      <c r="AA19" s="294"/>
      <c r="AB19" s="294"/>
      <c r="AC19" s="721"/>
      <c r="AD19" s="13"/>
      <c r="AG19" s="34" t="s">
        <v>180</v>
      </c>
      <c r="AQ19" s="26" t="s">
        <v>193</v>
      </c>
      <c r="AR19" s="22">
        <f>S10</f>
        <v>0</v>
      </c>
      <c r="AY19"/>
      <c r="AZ19"/>
      <c r="BA19"/>
      <c r="BB19"/>
      <c r="BC19"/>
      <c r="BD19"/>
      <c r="BE19"/>
      <c r="BF19"/>
      <c r="BG19"/>
      <c r="BH19"/>
      <c r="BI19"/>
      <c r="BJ19"/>
      <c r="BK19"/>
      <c r="BM19" s="218"/>
      <c r="BN19" s="218"/>
      <c r="BO19" s="218"/>
      <c r="BP19" s="218"/>
      <c r="BQ19" s="218"/>
      <c r="BR19" s="218"/>
      <c r="BS19" s="218"/>
      <c r="BT19" s="218"/>
      <c r="BU19" s="218"/>
      <c r="BV19" s="218"/>
      <c r="BW19" s="218"/>
    </row>
    <row r="20" spans="1:103" ht="13.5" customHeight="1" thickBot="1" x14ac:dyDescent="0.25">
      <c r="A20" s="704" t="e">
        <f>VLOOKUP(M20,ADMIXTURES!A1:F308,2,FALSE)</f>
        <v>#N/A</v>
      </c>
      <c r="B20" s="705"/>
      <c r="C20" s="705"/>
      <c r="D20" s="692" t="e">
        <f>VLOOKUP(M20,ADMIXTURES!A1:F308,4,FALSE)</f>
        <v>#N/A</v>
      </c>
      <c r="E20" s="693"/>
      <c r="F20" s="693"/>
      <c r="G20" s="693"/>
      <c r="H20" s="693"/>
      <c r="I20" s="693"/>
      <c r="J20" s="693"/>
      <c r="K20" s="693"/>
      <c r="L20" s="693"/>
      <c r="M20" s="695"/>
      <c r="N20" s="696"/>
      <c r="O20" s="696"/>
      <c r="P20" s="696"/>
      <c r="Q20" s="696"/>
      <c r="R20" s="696"/>
      <c r="S20" s="696"/>
      <c r="T20" s="697"/>
      <c r="U20" s="694" t="e">
        <f>VLOOKUP(M20,ADMIXTURES!A1:F308,5,FALSE)</f>
        <v>#N/A</v>
      </c>
      <c r="V20" s="576"/>
      <c r="W20" s="576"/>
      <c r="X20" s="480" t="e">
        <f>VLOOKUP(M20,ADMIXTURES!A1:F308,6,FALSE)</f>
        <v>#N/A</v>
      </c>
      <c r="Y20" s="576"/>
      <c r="Z20" s="576"/>
      <c r="AA20" s="576"/>
      <c r="AB20" s="576"/>
      <c r="AC20" s="667"/>
      <c r="AD20" s="51"/>
      <c r="AE20" s="65"/>
      <c r="AF20" s="65"/>
      <c r="AG20" s="34" t="s">
        <v>195</v>
      </c>
      <c r="AH20" s="65"/>
      <c r="AQ20" s="27" t="s">
        <v>196</v>
      </c>
      <c r="AR20" s="22">
        <f>V10</f>
        <v>0</v>
      </c>
      <c r="AY20"/>
      <c r="AZ20"/>
      <c r="BA20"/>
      <c r="BB20"/>
      <c r="BC20"/>
      <c r="BD20"/>
      <c r="BE20"/>
      <c r="BF20"/>
      <c r="BG20"/>
      <c r="BH20"/>
      <c r="BI20"/>
      <c r="BJ20"/>
      <c r="BK20"/>
      <c r="BM20" s="218"/>
      <c r="BN20" s="218"/>
      <c r="BO20" s="218"/>
      <c r="BP20" s="218"/>
      <c r="BQ20" s="218"/>
      <c r="BR20" s="218"/>
      <c r="BS20" s="218"/>
      <c r="BT20" s="218"/>
      <c r="BU20" s="218"/>
      <c r="BV20" s="218"/>
      <c r="BW20" s="218"/>
    </row>
    <row r="21" spans="1:103" ht="12.6" customHeight="1" thickBot="1" x14ac:dyDescent="0.25">
      <c r="A21" s="704" t="e">
        <f>VLOOKUP(M21,ADMIXTURES!A1:F308,2,FALSE)</f>
        <v>#N/A</v>
      </c>
      <c r="B21" s="705"/>
      <c r="C21" s="705"/>
      <c r="D21" s="692" t="e">
        <f>VLOOKUP(M21,ADMIXTURES!A1:F308,4,FALSE)</f>
        <v>#N/A</v>
      </c>
      <c r="E21" s="693"/>
      <c r="F21" s="693"/>
      <c r="G21" s="693"/>
      <c r="H21" s="693"/>
      <c r="I21" s="693"/>
      <c r="J21" s="693"/>
      <c r="K21" s="693"/>
      <c r="L21" s="693"/>
      <c r="M21" s="695"/>
      <c r="N21" s="696"/>
      <c r="O21" s="696"/>
      <c r="P21" s="696"/>
      <c r="Q21" s="696"/>
      <c r="R21" s="696"/>
      <c r="S21" s="696"/>
      <c r="T21" s="697"/>
      <c r="U21" s="694" t="e">
        <f>VLOOKUP(M21,ADMIXTURES!A1:F308,5,FALSE)</f>
        <v>#N/A</v>
      </c>
      <c r="V21" s="576"/>
      <c r="W21" s="576"/>
      <c r="X21" s="480" t="e">
        <f>VLOOKUP(M21,ADMIXTURES!A1:F308,6,FALSE)</f>
        <v>#N/A</v>
      </c>
      <c r="Y21" s="576"/>
      <c r="Z21" s="576"/>
      <c r="AA21" s="576"/>
      <c r="AB21" s="576"/>
      <c r="AC21" s="667"/>
      <c r="AD21" s="51"/>
      <c r="AE21" s="65"/>
      <c r="AF21" s="65"/>
      <c r="AG21" s="34" t="s">
        <v>197</v>
      </c>
      <c r="AH21" s="65"/>
      <c r="AI21" s="65"/>
      <c r="AJ21" s="65"/>
      <c r="AK21" s="65"/>
      <c r="AL21" s="65"/>
      <c r="AM21" s="65"/>
      <c r="AQ21" s="27" t="s">
        <v>198</v>
      </c>
      <c r="AR21" s="22">
        <f>Y10</f>
        <v>0</v>
      </c>
      <c r="AY21"/>
      <c r="AZ21"/>
      <c r="BA21"/>
      <c r="BB21"/>
      <c r="BC21"/>
      <c r="BD21"/>
      <c r="BE21"/>
      <c r="BF21"/>
      <c r="BG21"/>
      <c r="BH21"/>
      <c r="BI21"/>
      <c r="BJ21"/>
      <c r="BK21"/>
      <c r="BM21" s="218"/>
      <c r="BN21" s="218"/>
      <c r="BO21" s="218"/>
      <c r="BP21" s="218"/>
      <c r="BQ21" s="218"/>
      <c r="BR21" s="218"/>
      <c r="BS21" s="218"/>
      <c r="BT21" s="218"/>
      <c r="BU21" s="218"/>
      <c r="BV21" s="218"/>
      <c r="BW21" s="218"/>
    </row>
    <row r="22" spans="1:103" ht="12.6" customHeight="1" thickBot="1" x14ac:dyDescent="0.25">
      <c r="A22" s="704" t="e">
        <f>VLOOKUP(M22,ADMIXTURES!A1:F308,2,FALSE)</f>
        <v>#N/A</v>
      </c>
      <c r="B22" s="705"/>
      <c r="C22" s="705"/>
      <c r="D22" s="692" t="e">
        <f>VLOOKUP(M22,ADMIXTURES!A1:F308,4,FALSE)</f>
        <v>#N/A</v>
      </c>
      <c r="E22" s="693"/>
      <c r="F22" s="693"/>
      <c r="G22" s="693"/>
      <c r="H22" s="693"/>
      <c r="I22" s="693"/>
      <c r="J22" s="693"/>
      <c r="K22" s="693"/>
      <c r="L22" s="693"/>
      <c r="M22" s="837"/>
      <c r="N22" s="696"/>
      <c r="O22" s="696"/>
      <c r="P22" s="696"/>
      <c r="Q22" s="696"/>
      <c r="R22" s="696"/>
      <c r="S22" s="696"/>
      <c r="T22" s="697"/>
      <c r="U22" s="694" t="e">
        <f>VLOOKUP(M22,ADMIXTURES!A1:F308,5,FALSE)</f>
        <v>#N/A</v>
      </c>
      <c r="V22" s="576"/>
      <c r="W22" s="576"/>
      <c r="X22" s="480" t="e">
        <f>VLOOKUP(M22,ADMIXTURES!A1:F308,6,FALSE)</f>
        <v>#N/A</v>
      </c>
      <c r="Y22" s="576"/>
      <c r="Z22" s="576"/>
      <c r="AA22" s="576"/>
      <c r="AB22" s="576"/>
      <c r="AC22" s="667"/>
      <c r="AD22" s="51"/>
      <c r="AE22" s="65"/>
      <c r="AF22" s="65"/>
      <c r="AG22" s="34" t="s">
        <v>200</v>
      </c>
      <c r="AH22" s="65"/>
      <c r="AI22" s="65"/>
      <c r="AJ22" s="65"/>
      <c r="AK22" s="65"/>
      <c r="AL22" s="65"/>
      <c r="AM22" s="65"/>
      <c r="AQ22" s="27" t="s">
        <v>201</v>
      </c>
      <c r="AR22" s="28">
        <f>AA10</f>
        <v>0</v>
      </c>
      <c r="AY22"/>
      <c r="AZ22"/>
      <c r="BA22"/>
      <c r="BB22"/>
      <c r="BC22"/>
      <c r="BD22"/>
      <c r="BE22"/>
      <c r="BF22"/>
      <c r="BG22"/>
      <c r="BH22"/>
      <c r="BI22"/>
      <c r="BJ22"/>
      <c r="BK22"/>
      <c r="BM22" s="218"/>
      <c r="BN22" s="218"/>
      <c r="BO22" s="218"/>
      <c r="BP22" s="218"/>
      <c r="BQ22" s="218"/>
      <c r="BR22" s="218"/>
      <c r="BS22" s="218"/>
      <c r="BT22" s="218"/>
      <c r="BU22" s="218"/>
      <c r="BV22" s="218"/>
      <c r="BW22" s="218"/>
    </row>
    <row r="23" spans="1:103" ht="12.6" customHeight="1" thickBot="1" x14ac:dyDescent="0.25">
      <c r="A23" s="704" t="e">
        <f>VLOOKUP(M23,ADMIXTURES!A1:F308,2,FALSE)</f>
        <v>#N/A</v>
      </c>
      <c r="B23" s="705"/>
      <c r="C23" s="705"/>
      <c r="D23" s="692" t="e">
        <f>VLOOKUP(M23,ADMIXTURES!A1:F308,4,FALSE)</f>
        <v>#N/A</v>
      </c>
      <c r="E23" s="693"/>
      <c r="F23" s="693"/>
      <c r="G23" s="693"/>
      <c r="H23" s="693"/>
      <c r="I23" s="693"/>
      <c r="J23" s="693"/>
      <c r="K23" s="693"/>
      <c r="L23" s="693"/>
      <c r="M23" s="695"/>
      <c r="N23" s="696"/>
      <c r="O23" s="696"/>
      <c r="P23" s="696"/>
      <c r="Q23" s="696"/>
      <c r="R23" s="696"/>
      <c r="S23" s="696"/>
      <c r="T23" s="697"/>
      <c r="U23" s="694" t="e">
        <f>VLOOKUP(M23,ADMIXTURES!A1:F308,5,FALSE)</f>
        <v>#N/A</v>
      </c>
      <c r="V23" s="576"/>
      <c r="W23" s="576"/>
      <c r="X23" s="480" t="e">
        <f>VLOOKUP(M23,ADMIXTURES!A1:F308,6,FALSE)</f>
        <v>#N/A</v>
      </c>
      <c r="Y23" s="576"/>
      <c r="Z23" s="576"/>
      <c r="AA23" s="576"/>
      <c r="AB23" s="576"/>
      <c r="AC23" s="667"/>
      <c r="AD23" s="51"/>
      <c r="AE23" s="65"/>
      <c r="AF23" s="65"/>
      <c r="AG23" s="34"/>
      <c r="AH23" s="65"/>
      <c r="AI23" s="65"/>
      <c r="AJ23" s="65"/>
      <c r="AK23" s="65"/>
      <c r="AL23" s="65"/>
      <c r="AM23" s="65"/>
      <c r="AQ23" s="27"/>
      <c r="AR23" s="28"/>
      <c r="AY23"/>
      <c r="AZ23"/>
      <c r="BA23"/>
      <c r="BB23"/>
      <c r="BC23"/>
      <c r="BD23"/>
      <c r="BE23"/>
      <c r="BF23"/>
      <c r="BG23"/>
      <c r="BH23"/>
      <c r="BI23"/>
      <c r="BJ23"/>
      <c r="BK23"/>
      <c r="BM23" s="218"/>
      <c r="BN23" s="218"/>
      <c r="BO23" s="218"/>
      <c r="BP23" s="218"/>
      <c r="BQ23" s="218"/>
      <c r="BR23" s="218"/>
      <c r="BS23" s="218"/>
      <c r="BT23" s="218"/>
      <c r="BU23" s="218"/>
      <c r="BV23" s="218"/>
      <c r="BW23" s="218"/>
    </row>
    <row r="24" spans="1:103" ht="12.6" customHeight="1" thickBot="1" x14ac:dyDescent="0.25">
      <c r="A24" s="704" t="e">
        <f>VLOOKUP(M24,ADMIXTURES!A1:F308,2,FALSE)</f>
        <v>#N/A</v>
      </c>
      <c r="B24" s="705"/>
      <c r="C24" s="705"/>
      <c r="D24" s="692" t="e">
        <f>VLOOKUP(M24,ADMIXTURES!A1:F308,4,FALSE)</f>
        <v>#N/A</v>
      </c>
      <c r="E24" s="693"/>
      <c r="F24" s="693"/>
      <c r="G24" s="693"/>
      <c r="H24" s="693"/>
      <c r="I24" s="693"/>
      <c r="J24" s="693"/>
      <c r="K24" s="693"/>
      <c r="L24" s="693"/>
      <c r="M24" s="695"/>
      <c r="N24" s="696"/>
      <c r="O24" s="696"/>
      <c r="P24" s="696"/>
      <c r="Q24" s="696"/>
      <c r="R24" s="696"/>
      <c r="S24" s="696"/>
      <c r="T24" s="697"/>
      <c r="U24" s="694" t="e">
        <f>VLOOKUP(M24,ADMIXTURES!A1:F308,5,FALSE)</f>
        <v>#N/A</v>
      </c>
      <c r="V24" s="576"/>
      <c r="W24" s="576"/>
      <c r="X24" s="480" t="e">
        <f>VLOOKUP(M24,ADMIXTURES!A1:F308,6,FALSE)</f>
        <v>#N/A</v>
      </c>
      <c r="Y24" s="576"/>
      <c r="Z24" s="576"/>
      <c r="AA24" s="576"/>
      <c r="AB24" s="576"/>
      <c r="AC24" s="667"/>
      <c r="AD24" s="51"/>
      <c r="AE24" s="65"/>
      <c r="AF24" s="65"/>
      <c r="AG24" s="34" t="s">
        <v>203</v>
      </c>
      <c r="AH24" s="65"/>
      <c r="AI24" s="65"/>
      <c r="AJ24" s="65"/>
      <c r="AK24" s="65"/>
      <c r="AL24" s="65"/>
      <c r="AM24" s="65"/>
      <c r="AQ24" s="27"/>
      <c r="AR24" s="28"/>
      <c r="AY24"/>
      <c r="AZ24"/>
      <c r="BA24"/>
      <c r="BB24"/>
      <c r="BC24"/>
      <c r="BD24"/>
      <c r="BE24"/>
      <c r="BF24"/>
      <c r="BG24"/>
      <c r="BH24"/>
      <c r="BI24"/>
      <c r="BJ24"/>
      <c r="BK24"/>
      <c r="BM24" s="218"/>
      <c r="BN24" s="218"/>
      <c r="BO24" s="218"/>
      <c r="BP24" s="218"/>
      <c r="BQ24" s="218"/>
      <c r="BR24" s="218"/>
      <c r="BS24" s="218"/>
      <c r="BT24" s="218"/>
      <c r="BU24" s="218"/>
      <c r="BV24" s="218"/>
      <c r="BW24" s="218"/>
    </row>
    <row r="25" spans="1:103" ht="12.6" customHeight="1" thickBot="1" x14ac:dyDescent="0.25">
      <c r="A25" s="745"/>
      <c r="B25" s="746"/>
      <c r="C25" s="746"/>
      <c r="D25" s="809"/>
      <c r="E25" s="810"/>
      <c r="F25" s="810"/>
      <c r="G25" s="810"/>
      <c r="H25" s="810"/>
      <c r="I25" s="810"/>
      <c r="J25" s="810"/>
      <c r="K25" s="810"/>
      <c r="L25" s="810"/>
      <c r="M25" s="809"/>
      <c r="N25" s="810"/>
      <c r="O25" s="810"/>
      <c r="P25" s="810"/>
      <c r="Q25" s="810"/>
      <c r="R25" s="810"/>
      <c r="S25" s="810"/>
      <c r="T25" s="757"/>
      <c r="U25" s="738"/>
      <c r="V25" s="739"/>
      <c r="W25" s="740"/>
      <c r="X25" s="757"/>
      <c r="Y25" s="746"/>
      <c r="Z25" s="746"/>
      <c r="AA25" s="746"/>
      <c r="AB25" s="746"/>
      <c r="AC25" s="758"/>
      <c r="AD25" s="13"/>
      <c r="AF25" s="4"/>
      <c r="AG25" s="65" t="s">
        <v>204</v>
      </c>
      <c r="AI25" s="65"/>
      <c r="AJ25" s="65"/>
      <c r="AK25" s="65"/>
      <c r="AL25" s="65"/>
      <c r="AM25" s="65"/>
      <c r="AQ25" s="26" t="s">
        <v>205</v>
      </c>
      <c r="AR25" s="22" t="e">
        <f>A11</f>
        <v>#N/A</v>
      </c>
      <c r="AY25"/>
      <c r="AZ25"/>
      <c r="BA25"/>
      <c r="BB25"/>
      <c r="BC25"/>
      <c r="BD25"/>
      <c r="BE25"/>
      <c r="BF25"/>
      <c r="BG25"/>
      <c r="BH25"/>
      <c r="BI25"/>
      <c r="BJ25"/>
      <c r="BK25"/>
      <c r="BM25" s="218"/>
      <c r="BN25" s="218"/>
      <c r="BO25" s="218"/>
      <c r="BP25" s="218"/>
      <c r="BQ25" s="218"/>
      <c r="BR25" s="218"/>
      <c r="BS25" s="218"/>
      <c r="BT25" s="218"/>
      <c r="BU25" s="218"/>
      <c r="BV25" s="218"/>
      <c r="BW25" s="218"/>
    </row>
    <row r="26" spans="1:103" ht="12.6" customHeight="1" thickBot="1" x14ac:dyDescent="0.25">
      <c r="A26" s="735" t="str">
        <f>IF(OR(U25="CaCl₂"),"concentration of CaCl₂ is"," ")</f>
        <v xml:space="preserve"> </v>
      </c>
      <c r="B26" s="735"/>
      <c r="C26" s="735"/>
      <c r="D26" s="735"/>
      <c r="E26" s="735"/>
      <c r="F26" s="735"/>
      <c r="G26" s="735"/>
      <c r="H26" s="735"/>
      <c r="I26" s="735"/>
      <c r="J26" s="736"/>
      <c r="K26" s="736"/>
      <c r="L26" s="725" t="str">
        <f>IF(OR(U25="CaCl₂"),"solution density is"," ")</f>
        <v xml:space="preserve"> </v>
      </c>
      <c r="M26" s="427"/>
      <c r="N26" s="427"/>
      <c r="O26" s="427"/>
      <c r="P26" s="427"/>
      <c r="Q26" s="737"/>
      <c r="R26" s="737"/>
      <c r="S26" s="728" t="str">
        <f>IF(OR(U25="CaCl₂"),"lbs /gal"," ")</f>
        <v xml:space="preserve"> </v>
      </c>
      <c r="T26" s="728"/>
      <c r="U26" s="728"/>
      <c r="V26" s="744" t="str">
        <f>IF(OR(U25="CaCl₂"),"water portion is"," ")</f>
        <v xml:space="preserve"> </v>
      </c>
      <c r="W26" s="744"/>
      <c r="X26" s="744"/>
      <c r="Y26" s="744"/>
      <c r="Z26" s="784" t="str">
        <f>IF(OR(U25="CaCl₂" ), Q26*(1-J26)," ")</f>
        <v xml:space="preserve"> </v>
      </c>
      <c r="AA26" s="784"/>
      <c r="AB26" s="725" t="str">
        <f>IF(OR(U25="CaCl₂"),"lbs/gal"," ")</f>
        <v xml:space="preserve"> </v>
      </c>
      <c r="AC26" s="725"/>
      <c r="AF26" s="4"/>
      <c r="AG26" s="65" t="s">
        <v>206</v>
      </c>
      <c r="AQ26" s="26" t="s">
        <v>207</v>
      </c>
      <c r="AR26" s="32">
        <f>D11</f>
        <v>0</v>
      </c>
      <c r="AY26"/>
      <c r="AZ26"/>
      <c r="BA26"/>
      <c r="BB26"/>
      <c r="BC26"/>
      <c r="BD26"/>
      <c r="BE26"/>
      <c r="BF26"/>
      <c r="BG26"/>
      <c r="BH26"/>
      <c r="BI26"/>
      <c r="BJ26"/>
      <c r="BK26"/>
      <c r="BM26" s="218"/>
      <c r="BN26" s="218"/>
      <c r="BO26" s="218"/>
      <c r="BP26" s="218"/>
      <c r="BQ26" s="218"/>
      <c r="BR26" s="218"/>
      <c r="BS26" s="218"/>
      <c r="BT26" s="218"/>
      <c r="BU26" s="218"/>
      <c r="BV26" s="218"/>
      <c r="BW26" s="218"/>
    </row>
    <row r="27" spans="1:103" ht="15.75" customHeight="1" thickBot="1" x14ac:dyDescent="0.25">
      <c r="A27" s="726" t="s">
        <v>208</v>
      </c>
      <c r="B27" s="531"/>
      <c r="C27" s="531"/>
      <c r="D27" s="531"/>
      <c r="E27" s="531"/>
      <c r="F27" s="531"/>
      <c r="G27" s="531"/>
      <c r="H27" s="531"/>
      <c r="I27" s="531"/>
      <c r="J27" s="531"/>
      <c r="K27" s="531"/>
      <c r="L27" s="531"/>
      <c r="M27" s="531"/>
      <c r="N27" s="531"/>
      <c r="O27" s="531"/>
      <c r="P27" s="727"/>
      <c r="S27" s="726" t="s">
        <v>209</v>
      </c>
      <c r="T27" s="531"/>
      <c r="U27" s="531"/>
      <c r="V27" s="531"/>
      <c r="W27" s="531"/>
      <c r="X27" s="531"/>
      <c r="Y27" s="531"/>
      <c r="Z27" s="531"/>
      <c r="AA27" s="531"/>
      <c r="AB27" s="531"/>
      <c r="AC27" s="727"/>
      <c r="AF27" s="4"/>
      <c r="AG27" s="65" t="s">
        <v>210</v>
      </c>
      <c r="AP27" s="123"/>
      <c r="AQ27" s="26" t="s">
        <v>211</v>
      </c>
      <c r="AR27" s="22">
        <f>S11</f>
        <v>0</v>
      </c>
      <c r="AY27"/>
      <c r="AZ27"/>
      <c r="BA27"/>
      <c r="BB27"/>
      <c r="BC27"/>
      <c r="BD27"/>
      <c r="BE27"/>
      <c r="BF27"/>
      <c r="BG27"/>
      <c r="BH27"/>
      <c r="BI27"/>
      <c r="BJ27"/>
      <c r="BK27"/>
      <c r="BM27" s="218"/>
      <c r="BN27" s="218"/>
      <c r="BO27" s="218"/>
      <c r="BP27" s="218"/>
      <c r="BQ27" s="218"/>
      <c r="BR27" s="218"/>
      <c r="BS27" s="218"/>
      <c r="BT27" s="218"/>
      <c r="BU27" s="218"/>
      <c r="BV27" s="218"/>
      <c r="BW27" s="218"/>
    </row>
    <row r="28" spans="1:103" ht="20.25" customHeight="1" thickTop="1" thickBot="1" x14ac:dyDescent="0.25">
      <c r="A28" s="777" t="s">
        <v>212</v>
      </c>
      <c r="B28" s="778"/>
      <c r="C28" s="778"/>
      <c r="D28" s="779"/>
      <c r="E28" s="316" t="s">
        <v>213</v>
      </c>
      <c r="F28" s="316"/>
      <c r="G28" s="317"/>
      <c r="H28" s="372" t="s">
        <v>214</v>
      </c>
      <c r="I28" s="316"/>
      <c r="J28" s="317"/>
      <c r="K28" s="372" t="s">
        <v>215</v>
      </c>
      <c r="L28" s="316"/>
      <c r="M28" s="317"/>
      <c r="N28" s="843" t="s">
        <v>216</v>
      </c>
      <c r="O28" s="844"/>
      <c r="P28" s="845"/>
      <c r="S28" s="544" t="s">
        <v>217</v>
      </c>
      <c r="T28" s="545"/>
      <c r="U28" s="545"/>
      <c r="V28" s="545"/>
      <c r="W28" s="545"/>
      <c r="X28" s="545"/>
      <c r="Y28" s="545"/>
      <c r="Z28" s="546"/>
      <c r="AA28" s="838" t="str">
        <f>IF(Sheet2!J7=2,(SUM(E31:G33)/SUM(E30:G33)*100),"")</f>
        <v/>
      </c>
      <c r="AB28" s="838"/>
      <c r="AC28" s="839"/>
      <c r="AF28" s="4"/>
      <c r="AG28" s="65" t="s">
        <v>218</v>
      </c>
      <c r="AQ28" s="27" t="s">
        <v>219</v>
      </c>
      <c r="AR28" s="22">
        <f>V11</f>
        <v>0</v>
      </c>
      <c r="AY28"/>
      <c r="AZ28"/>
      <c r="BA28"/>
      <c r="BB28"/>
      <c r="BC28"/>
      <c r="BD28"/>
      <c r="BE28"/>
      <c r="BF28"/>
      <c r="BG28"/>
      <c r="BH28"/>
      <c r="BI28"/>
      <c r="BJ28"/>
      <c r="BK28"/>
      <c r="BM28" s="218"/>
      <c r="BN28" s="218"/>
      <c r="BO28" s="218"/>
      <c r="BP28" s="218"/>
      <c r="BQ28" s="218"/>
      <c r="BR28" s="218"/>
      <c r="BS28" s="218"/>
      <c r="BT28" s="218"/>
      <c r="BU28" s="218"/>
      <c r="BV28" s="218"/>
      <c r="BW28" s="218"/>
    </row>
    <row r="29" spans="1:103" ht="14.25" customHeight="1" thickBot="1" x14ac:dyDescent="0.25">
      <c r="A29" s="780"/>
      <c r="B29" s="781"/>
      <c r="C29" s="781"/>
      <c r="D29" s="782"/>
      <c r="E29" s="319" t="s">
        <v>72</v>
      </c>
      <c r="F29" s="319"/>
      <c r="G29" s="391"/>
      <c r="H29" s="318" t="s">
        <v>220</v>
      </c>
      <c r="I29" s="319"/>
      <c r="J29" s="391"/>
      <c r="K29" s="318" t="s">
        <v>221</v>
      </c>
      <c r="L29" s="319"/>
      <c r="M29" s="391"/>
      <c r="N29" s="840" t="s">
        <v>222</v>
      </c>
      <c r="O29" s="841"/>
      <c r="P29" s="842"/>
      <c r="R29" s="3"/>
      <c r="S29" s="544" t="s">
        <v>223</v>
      </c>
      <c r="T29" s="545"/>
      <c r="U29" s="545"/>
      <c r="V29" s="545"/>
      <c r="W29" s="545"/>
      <c r="X29" s="545"/>
      <c r="Y29" s="545"/>
      <c r="Z29" s="546"/>
      <c r="AA29" s="838" t="str">
        <f>IF(Sheet2!J7=3,(SUM(E31:G33)/SUM(E30:G33)*100),"")</f>
        <v/>
      </c>
      <c r="AB29" s="838"/>
      <c r="AC29" s="839"/>
      <c r="AF29" s="4"/>
      <c r="AG29" s="65" t="s">
        <v>224</v>
      </c>
      <c r="AQ29" s="27" t="s">
        <v>225</v>
      </c>
      <c r="AR29" s="22">
        <f>Y11</f>
        <v>0</v>
      </c>
      <c r="AY29"/>
      <c r="AZ29"/>
      <c r="BA29"/>
      <c r="BB29"/>
      <c r="BC29"/>
      <c r="BD29"/>
      <c r="BE29"/>
      <c r="BF29"/>
      <c r="BG29"/>
      <c r="BH29"/>
      <c r="BI29"/>
      <c r="BJ29"/>
      <c r="BK29"/>
      <c r="BM29" s="218"/>
      <c r="BN29" s="218"/>
      <c r="BO29" s="218"/>
      <c r="BP29" s="218"/>
      <c r="BQ29" s="218"/>
      <c r="BR29" s="218"/>
      <c r="BS29" s="218"/>
      <c r="BT29" s="218"/>
      <c r="BU29" s="218"/>
      <c r="BV29" s="218"/>
      <c r="BW29" s="218"/>
    </row>
    <row r="30" spans="1:103" ht="12.6" customHeight="1" thickBot="1" x14ac:dyDescent="0.25">
      <c r="A30" s="634" t="s">
        <v>75</v>
      </c>
      <c r="B30" s="576"/>
      <c r="C30" s="576"/>
      <c r="D30" s="576"/>
      <c r="E30" s="854"/>
      <c r="F30" s="855"/>
      <c r="G30" s="856"/>
      <c r="H30" s="855"/>
      <c r="I30" s="855"/>
      <c r="J30" s="856"/>
      <c r="K30" s="565"/>
      <c r="L30" s="565"/>
      <c r="M30" s="565"/>
      <c r="N30" s="850">
        <f>IF(E30=0,0,ROUND(E30/H30/62.4,2))</f>
        <v>0</v>
      </c>
      <c r="O30" s="850"/>
      <c r="P30" s="851"/>
      <c r="R30" s="3"/>
      <c r="S30" s="543" t="s">
        <v>226</v>
      </c>
      <c r="T30" s="479"/>
      <c r="U30" s="479"/>
      <c r="V30" s="479"/>
      <c r="W30" s="479"/>
      <c r="X30" s="479"/>
      <c r="Y30" s="479"/>
      <c r="Z30" s="480"/>
      <c r="AA30" s="846">
        <f>SUM(E30:G33)</f>
        <v>0</v>
      </c>
      <c r="AB30" s="847"/>
      <c r="AC30" s="848"/>
      <c r="AF30" s="4"/>
      <c r="AG30" s="65" t="s">
        <v>227</v>
      </c>
      <c r="AQ30" s="27" t="s">
        <v>228</v>
      </c>
      <c r="AR30" s="28">
        <f>AA11</f>
        <v>0</v>
      </c>
      <c r="AY30"/>
      <c r="AZ30"/>
      <c r="BA30"/>
      <c r="BB30"/>
      <c r="BC30"/>
      <c r="BD30"/>
      <c r="BE30"/>
      <c r="BF30"/>
      <c r="BG30"/>
      <c r="BH30"/>
      <c r="BI30"/>
      <c r="BJ30"/>
      <c r="BK30"/>
      <c r="BM30" s="218"/>
      <c r="BN30" s="218"/>
      <c r="BO30" s="218"/>
      <c r="BP30" s="218"/>
      <c r="BQ30" s="218"/>
      <c r="BR30" s="218"/>
      <c r="BS30" s="218"/>
      <c r="BT30" s="218"/>
      <c r="BU30" s="218"/>
      <c r="BV30" s="218"/>
      <c r="BW30" s="218"/>
    </row>
    <row r="31" spans="1:103" ht="12.6" customHeight="1" thickBot="1" x14ac:dyDescent="0.25">
      <c r="A31" s="575" t="s">
        <v>77</v>
      </c>
      <c r="B31" s="576"/>
      <c r="C31" s="576"/>
      <c r="D31" s="576"/>
      <c r="E31" s="849"/>
      <c r="F31" s="827"/>
      <c r="G31" s="828"/>
      <c r="H31" s="827"/>
      <c r="I31" s="827"/>
      <c r="J31" s="828"/>
      <c r="K31" s="565"/>
      <c r="L31" s="565"/>
      <c r="M31" s="565"/>
      <c r="N31" s="850">
        <f>IF(OR(E31=0,H31=0),0,ROUND(E31/H31/62.4,2))</f>
        <v>0</v>
      </c>
      <c r="O31" s="850"/>
      <c r="P31" s="851"/>
      <c r="R31" s="3"/>
      <c r="S31" s="543" t="s">
        <v>229</v>
      </c>
      <c r="T31" s="479"/>
      <c r="U31" s="479"/>
      <c r="V31" s="479"/>
      <c r="W31" s="479"/>
      <c r="X31" s="479"/>
      <c r="Y31" s="479"/>
      <c r="Z31" s="480"/>
      <c r="AA31" s="852" t="e">
        <f>IF(Sheet2!G18=TRUE,Sheet2!G19,IF(Sheet2!G29=TRUE,Sheet2!G30,IF(Sheet2!G36=TRUE,Sheet2!G37,IF(Sheet2!#REF!=TRUE,Sheet2!#REF!,""))))</f>
        <v>#REF!</v>
      </c>
      <c r="AB31" s="853"/>
      <c r="AC31" s="220" t="e">
        <f>IF(AA31="","",":1")</f>
        <v>#REF!</v>
      </c>
      <c r="AG31" s="65" t="s">
        <v>230</v>
      </c>
      <c r="AQ31" s="27" t="s">
        <v>231</v>
      </c>
      <c r="AR31" s="22" t="e">
        <f>A15</f>
        <v>#N/A</v>
      </c>
      <c r="AY31"/>
      <c r="AZ31"/>
      <c r="BA31"/>
      <c r="BB31"/>
      <c r="BC31"/>
      <c r="BD31"/>
      <c r="BE31"/>
      <c r="BF31"/>
      <c r="BG31"/>
      <c r="BH31"/>
      <c r="BI31"/>
      <c r="BJ31"/>
      <c r="BK31"/>
      <c r="BM31" s="218"/>
      <c r="BN31" s="218"/>
      <c r="BO31" s="218"/>
      <c r="BP31" s="218"/>
      <c r="BQ31" s="218"/>
      <c r="BR31" s="218"/>
      <c r="BS31" s="218"/>
      <c r="BT31" s="218"/>
      <c r="BU31" s="218"/>
      <c r="BV31" s="218"/>
      <c r="BW31" s="218"/>
    </row>
    <row r="32" spans="1:103" ht="12.6" customHeight="1" thickBot="1" x14ac:dyDescent="0.25">
      <c r="A32" s="575" t="s">
        <v>78</v>
      </c>
      <c r="B32" s="576"/>
      <c r="C32" s="576"/>
      <c r="D32" s="576"/>
      <c r="E32" s="857"/>
      <c r="F32" s="858"/>
      <c r="G32" s="859"/>
      <c r="H32" s="858"/>
      <c r="I32" s="858"/>
      <c r="J32" s="859"/>
      <c r="K32" s="565"/>
      <c r="L32" s="565"/>
      <c r="M32" s="565"/>
      <c r="N32" s="850">
        <f>IF(OR(E32=0,H32=0),0,ROUND(E32/H32/62.4,2))</f>
        <v>0</v>
      </c>
      <c r="O32" s="850"/>
      <c r="P32" s="851"/>
      <c r="R32" s="3"/>
      <c r="S32" s="543" t="s">
        <v>232</v>
      </c>
      <c r="T32" s="479"/>
      <c r="U32" s="479"/>
      <c r="V32" s="479"/>
      <c r="W32" s="479"/>
      <c r="X32" s="479"/>
      <c r="Y32" s="479"/>
      <c r="Z32" s="480"/>
      <c r="AA32" s="852" t="str">
        <f>IF(Sheet2!G20=TRUE,Sheet2!G21,IF(Sheet2!G31=TRUE,Sheet2!G32,IF(Sheet2!G38=TRUE,Sheet2!G39,"")))</f>
        <v/>
      </c>
      <c r="AB32" s="853"/>
      <c r="AC32" s="220" t="str">
        <f>IF(AA32="","",":1")</f>
        <v/>
      </c>
      <c r="AG32" s="65" t="s">
        <v>233</v>
      </c>
      <c r="AQ32" s="27" t="s">
        <v>234</v>
      </c>
      <c r="AR32" s="125">
        <f>D15</f>
        <v>0</v>
      </c>
      <c r="AY32"/>
      <c r="AZ32"/>
      <c r="BA32"/>
      <c r="BB32"/>
      <c r="BC32"/>
      <c r="BD32"/>
      <c r="BE32"/>
      <c r="BF32"/>
      <c r="BG32"/>
      <c r="BH32"/>
      <c r="BI32"/>
      <c r="BJ32"/>
      <c r="BK32"/>
      <c r="BM32" s="218"/>
      <c r="BN32" s="218"/>
      <c r="BO32" s="218"/>
      <c r="BP32" s="218"/>
      <c r="BQ32" s="218"/>
      <c r="BR32" s="218"/>
      <c r="BS32" s="218"/>
      <c r="BT32" s="218"/>
      <c r="BU32" s="218"/>
      <c r="BV32" s="218"/>
      <c r="BW32" s="218"/>
    </row>
    <row r="33" spans="1:75" ht="12.6" customHeight="1" thickBot="1" x14ac:dyDescent="0.25">
      <c r="A33" s="634" t="s">
        <v>235</v>
      </c>
      <c r="B33" s="576"/>
      <c r="C33" s="576"/>
      <c r="D33" s="576"/>
      <c r="E33" s="849"/>
      <c r="F33" s="827"/>
      <c r="G33" s="828"/>
      <c r="H33" s="827"/>
      <c r="I33" s="827"/>
      <c r="J33" s="828"/>
      <c r="K33" s="565"/>
      <c r="L33" s="565"/>
      <c r="M33" s="565"/>
      <c r="N33" s="850">
        <f>IF(OR(E33=0,H33=0),0,ROUND(E33/H33/62.4,2))</f>
        <v>0</v>
      </c>
      <c r="O33" s="850"/>
      <c r="P33" s="851"/>
      <c r="R33" s="3"/>
      <c r="S33" s="543" t="s">
        <v>236</v>
      </c>
      <c r="T33" s="479"/>
      <c r="U33" s="479"/>
      <c r="V33" s="479"/>
      <c r="W33" s="479"/>
      <c r="X33" s="479"/>
      <c r="Y33" s="479"/>
      <c r="Z33" s="480"/>
      <c r="AA33" s="850" t="e">
        <f>IF(Sheet2!G16=TRUE,Sheet2!G17,IF(Sheet2!G27=TRUE,Sheet2!G28,IF(Sheet2!G34=TRUE,Sheet2!G35,IF(Sheet2!#REF!=TRUE,Sheet2!#REF!,""))))</f>
        <v>#REF!</v>
      </c>
      <c r="AB33" s="850"/>
      <c r="AC33" s="851"/>
      <c r="AG33" s="65" t="s">
        <v>237</v>
      </c>
      <c r="AQ33" s="27" t="s">
        <v>238</v>
      </c>
      <c r="AR33" s="22">
        <f>U15</f>
        <v>0</v>
      </c>
      <c r="AY33"/>
      <c r="AZ33"/>
      <c r="BA33"/>
      <c r="BB33"/>
      <c r="BC33"/>
      <c r="BD33"/>
      <c r="BE33"/>
      <c r="BF33"/>
      <c r="BG33"/>
      <c r="BH33"/>
      <c r="BI33"/>
      <c r="BJ33"/>
      <c r="BK33"/>
      <c r="BM33" s="218"/>
      <c r="BN33" s="218"/>
      <c r="BO33" s="218"/>
      <c r="BP33" s="218"/>
      <c r="BQ33" s="218"/>
      <c r="BR33" s="218"/>
      <c r="BS33" s="218"/>
      <c r="BT33" s="218"/>
      <c r="BU33" s="218"/>
      <c r="BV33" s="218"/>
      <c r="BW33" s="218"/>
    </row>
    <row r="34" spans="1:75" ht="12.6" customHeight="1" thickBot="1" x14ac:dyDescent="0.25">
      <c r="A34" s="634" t="s">
        <v>239</v>
      </c>
      <c r="B34" s="576"/>
      <c r="C34" s="576"/>
      <c r="D34" s="576"/>
      <c r="E34" s="849"/>
      <c r="F34" s="827"/>
      <c r="G34" s="828"/>
      <c r="H34" s="827"/>
      <c r="I34" s="827"/>
      <c r="J34" s="828"/>
      <c r="K34" s="565"/>
      <c r="L34" s="565"/>
      <c r="M34" s="565"/>
      <c r="N34" s="850">
        <f>IF(OR(E34=0,H34=0),0,ROUND(E34/H34/62.4,2))</f>
        <v>0</v>
      </c>
      <c r="O34" s="850"/>
      <c r="P34" s="851"/>
      <c r="R34" s="3"/>
      <c r="S34" s="543" t="s">
        <v>240</v>
      </c>
      <c r="T34" s="479"/>
      <c r="U34" s="479"/>
      <c r="V34" s="479"/>
      <c r="W34" s="479"/>
      <c r="X34" s="479"/>
      <c r="Y34" s="479"/>
      <c r="Z34" s="480"/>
      <c r="AA34" s="862" t="str">
        <f>IFERROR((E31/E30)*100,"")</f>
        <v/>
      </c>
      <c r="AB34" s="862"/>
      <c r="AC34" s="863"/>
      <c r="AG34" s="65" t="s">
        <v>241</v>
      </c>
      <c r="AQ34" s="27" t="s">
        <v>242</v>
      </c>
      <c r="AR34" s="22" t="e">
        <f>A16</f>
        <v>#N/A</v>
      </c>
      <c r="AY34"/>
      <c r="AZ34"/>
      <c r="BA34"/>
      <c r="BB34"/>
      <c r="BC34"/>
      <c r="BD34"/>
      <c r="BE34"/>
      <c r="BF34"/>
      <c r="BG34"/>
      <c r="BH34"/>
      <c r="BI34"/>
      <c r="BJ34"/>
      <c r="BK34"/>
      <c r="BM34" s="218"/>
      <c r="BN34" s="218"/>
      <c r="BO34" s="218"/>
      <c r="BP34" s="218"/>
      <c r="BQ34" s="218"/>
      <c r="BR34" s="218"/>
      <c r="BS34" s="218"/>
      <c r="BT34" s="218"/>
      <c r="BU34" s="218"/>
      <c r="BV34" s="218"/>
      <c r="BW34" s="218"/>
    </row>
    <row r="35" spans="1:75" ht="12.6" customHeight="1" thickBot="1" x14ac:dyDescent="0.25">
      <c r="A35" s="583" t="s">
        <v>81</v>
      </c>
      <c r="B35" s="798" t="s">
        <v>82</v>
      </c>
      <c r="C35" s="479"/>
      <c r="D35" s="480"/>
      <c r="E35" s="854"/>
      <c r="F35" s="855"/>
      <c r="G35" s="856"/>
      <c r="H35" s="855"/>
      <c r="I35" s="855"/>
      <c r="J35" s="856"/>
      <c r="K35" s="855"/>
      <c r="L35" s="855"/>
      <c r="M35" s="856"/>
      <c r="N35" s="850">
        <f>IF(OR(E35=0,H35=0,K35=0),0,ROUND(E35/H35/62.4,2))</f>
        <v>0</v>
      </c>
      <c r="O35" s="850"/>
      <c r="P35" s="851"/>
      <c r="R35" s="3"/>
      <c r="S35" s="575" t="s">
        <v>243</v>
      </c>
      <c r="T35" s="576"/>
      <c r="U35" s="576"/>
      <c r="V35" s="576"/>
      <c r="W35" s="576"/>
      <c r="X35" s="576"/>
      <c r="Y35" s="576"/>
      <c r="Z35" s="576"/>
      <c r="AA35" s="862" t="str">
        <f>IF(Sheet2!G44=TRUE,Sheet2!G45,IF(Sheet2!G23=TRUE,Sheet2!G25,""))</f>
        <v/>
      </c>
      <c r="AB35" s="862"/>
      <c r="AC35" s="863"/>
      <c r="AG35" s="65" t="s">
        <v>79</v>
      </c>
      <c r="AQ35" s="27" t="s">
        <v>244</v>
      </c>
      <c r="AR35" s="28">
        <f>D16</f>
        <v>0</v>
      </c>
      <c r="AY35"/>
      <c r="AZ35"/>
      <c r="BA35"/>
      <c r="BB35"/>
      <c r="BC35"/>
      <c r="BD35"/>
      <c r="BE35"/>
      <c r="BF35"/>
      <c r="BG35"/>
      <c r="BH35"/>
      <c r="BI35"/>
      <c r="BJ35"/>
      <c r="BK35"/>
      <c r="BM35" s="218"/>
      <c r="BN35" s="218"/>
      <c r="BO35" s="218"/>
      <c r="BP35" s="218"/>
      <c r="BQ35" s="218"/>
      <c r="BR35" s="218"/>
      <c r="BS35" s="218"/>
      <c r="BT35" s="218"/>
      <c r="BU35" s="218"/>
      <c r="BV35" s="218"/>
      <c r="BW35" s="218"/>
    </row>
    <row r="36" spans="1:75" ht="12.6" customHeight="1" thickBot="1" x14ac:dyDescent="0.25">
      <c r="A36" s="584"/>
      <c r="B36" s="798" t="s">
        <v>245</v>
      </c>
      <c r="C36" s="479"/>
      <c r="D36" s="480"/>
      <c r="E36" s="854"/>
      <c r="F36" s="855"/>
      <c r="G36" s="856"/>
      <c r="H36" s="855"/>
      <c r="I36" s="855"/>
      <c r="J36" s="856"/>
      <c r="K36" s="855"/>
      <c r="L36" s="855"/>
      <c r="M36" s="856"/>
      <c r="N36" s="850">
        <f>IF(OR(E36=0,H36=0,K36=0),0,ROUND(E36/H36/62.4,2))</f>
        <v>0</v>
      </c>
      <c r="O36" s="850"/>
      <c r="P36" s="851"/>
      <c r="R36" s="3"/>
      <c r="S36" s="634" t="s">
        <v>246</v>
      </c>
      <c r="T36" s="576"/>
      <c r="U36" s="576"/>
      <c r="V36" s="576"/>
      <c r="W36" s="576"/>
      <c r="X36" s="576"/>
      <c r="Y36" s="576"/>
      <c r="Z36" s="576"/>
      <c r="AA36" s="860" t="str">
        <f>IFERROR(IF(AND(Gradation!R19=0,Gradation!AC43=0),"Yes","No"),"")</f>
        <v/>
      </c>
      <c r="AB36" s="860"/>
      <c r="AC36" s="861"/>
      <c r="AG36" s="4"/>
      <c r="AQ36" s="27" t="s">
        <v>247</v>
      </c>
      <c r="AR36" s="22">
        <f>U16</f>
        <v>0</v>
      </c>
      <c r="AY36"/>
      <c r="AZ36"/>
      <c r="BA36"/>
      <c r="BB36"/>
      <c r="BC36"/>
      <c r="BD36"/>
      <c r="BE36"/>
      <c r="BF36"/>
      <c r="BG36"/>
      <c r="BH36"/>
      <c r="BI36"/>
      <c r="BJ36"/>
      <c r="BK36"/>
    </row>
    <row r="37" spans="1:75" ht="12.6" customHeight="1" thickBot="1" x14ac:dyDescent="0.25">
      <c r="A37" s="584"/>
      <c r="B37" s="808"/>
      <c r="C37" s="490"/>
      <c r="D37" s="491"/>
      <c r="E37" s="283"/>
      <c r="F37" s="867"/>
      <c r="G37" s="284"/>
      <c r="H37" s="577"/>
      <c r="I37" s="578"/>
      <c r="J37" s="579"/>
      <c r="K37" s="280"/>
      <c r="L37" s="647"/>
      <c r="M37" s="281"/>
      <c r="N37" s="870"/>
      <c r="O37" s="871"/>
      <c r="P37" s="872"/>
      <c r="R37" s="3"/>
      <c r="S37" s="634" t="s">
        <v>248</v>
      </c>
      <c r="T37" s="576"/>
      <c r="U37" s="576"/>
      <c r="V37" s="576"/>
      <c r="W37" s="576"/>
      <c r="X37" s="576"/>
      <c r="Y37" s="576"/>
      <c r="Z37" s="576"/>
      <c r="AA37" s="864" t="str">
        <f>IFERROR(IF(AND(Gradation!R19=0,Gradation!AC44=0),"Yes","No"),"")</f>
        <v/>
      </c>
      <c r="AB37" s="865"/>
      <c r="AC37" s="866"/>
      <c r="AG37" s="4"/>
      <c r="AQ37" s="27"/>
      <c r="AR37" s="22"/>
      <c r="AY37"/>
      <c r="AZ37"/>
      <c r="BA37"/>
      <c r="BB37"/>
      <c r="BC37"/>
      <c r="BD37"/>
      <c r="BE37"/>
      <c r="BF37"/>
      <c r="BG37"/>
      <c r="BH37"/>
      <c r="BI37"/>
      <c r="BJ37"/>
      <c r="BK37"/>
    </row>
    <row r="38" spans="1:75" ht="12.6" customHeight="1" thickBot="1" x14ac:dyDescent="0.25">
      <c r="A38" s="585"/>
      <c r="B38" s="798" t="s">
        <v>249</v>
      </c>
      <c r="C38" s="479"/>
      <c r="D38" s="480"/>
      <c r="E38" s="283"/>
      <c r="F38" s="867"/>
      <c r="G38" s="284"/>
      <c r="H38" s="577"/>
      <c r="I38" s="578"/>
      <c r="J38" s="579"/>
      <c r="K38" s="280"/>
      <c r="L38" s="647"/>
      <c r="M38" s="281"/>
      <c r="N38" s="850">
        <f>IF(OR(E38=0,H38=0,K38=0),0,ROUND(E38/H38/62.4,2))</f>
        <v>0</v>
      </c>
      <c r="O38" s="850"/>
      <c r="P38" s="851"/>
      <c r="R38" s="3"/>
      <c r="S38" s="575" t="s">
        <v>250</v>
      </c>
      <c r="T38" s="576"/>
      <c r="U38" s="576"/>
      <c r="V38" s="576"/>
      <c r="W38" s="576"/>
      <c r="X38" s="576"/>
      <c r="Y38" s="576"/>
      <c r="Z38" s="576"/>
      <c r="AA38" s="868" t="e">
        <f>(E39+E41)/(E30+E31+E32+E33)</f>
        <v>#DIV/0!</v>
      </c>
      <c r="AB38" s="868"/>
      <c r="AC38" s="869"/>
      <c r="AQ38" s="27" t="s">
        <v>251</v>
      </c>
      <c r="AR38" s="22" t="e">
        <f>A17</f>
        <v>#N/A</v>
      </c>
      <c r="AY38"/>
      <c r="AZ38"/>
      <c r="BA38"/>
      <c r="BB38"/>
      <c r="BC38"/>
      <c r="BD38"/>
      <c r="BE38"/>
      <c r="BF38"/>
      <c r="BG38"/>
      <c r="BH38"/>
      <c r="BI38"/>
      <c r="BJ38"/>
      <c r="BK38"/>
    </row>
    <row r="39" spans="1:75" ht="12.6" customHeight="1" thickBot="1" x14ac:dyDescent="0.25">
      <c r="A39" s="759" t="s">
        <v>252</v>
      </c>
      <c r="B39" s="760"/>
      <c r="C39" s="760"/>
      <c r="D39" s="761"/>
      <c r="E39" s="879"/>
      <c r="F39" s="880"/>
      <c r="G39" s="881"/>
      <c r="H39" s="805">
        <v>1</v>
      </c>
      <c r="I39" s="768"/>
      <c r="J39" s="806"/>
      <c r="K39" s="556"/>
      <c r="L39" s="557"/>
      <c r="M39" s="558"/>
      <c r="N39" s="885">
        <f>IF(E39=0,0,ROUND(E39/H39/62.4,2))</f>
        <v>0</v>
      </c>
      <c r="O39" s="886"/>
      <c r="P39" s="887"/>
      <c r="R39" s="3"/>
      <c r="S39" s="543" t="s">
        <v>253</v>
      </c>
      <c r="T39" s="479"/>
      <c r="U39" s="479"/>
      <c r="V39" s="479"/>
      <c r="W39" s="479"/>
      <c r="X39" s="479"/>
      <c r="Y39" s="479"/>
      <c r="Z39" s="480"/>
      <c r="AA39" s="873"/>
      <c r="AB39" s="874"/>
      <c r="AC39" s="875"/>
      <c r="AG39" s="4" t="s">
        <v>254</v>
      </c>
      <c r="AQ39" s="27" t="s">
        <v>255</v>
      </c>
      <c r="AR39" s="125">
        <f>D17</f>
        <v>0</v>
      </c>
      <c r="AY39"/>
      <c r="AZ39"/>
      <c r="BA39"/>
      <c r="BB39"/>
      <c r="BC39"/>
      <c r="BD39"/>
      <c r="BE39"/>
      <c r="BF39"/>
      <c r="BG39"/>
      <c r="BH39"/>
      <c r="BI39"/>
      <c r="BJ39"/>
      <c r="BK39"/>
    </row>
    <row r="40" spans="1:75" ht="12.6" customHeight="1" thickBot="1" x14ac:dyDescent="0.25">
      <c r="A40" s="762"/>
      <c r="B40" s="763"/>
      <c r="C40" s="763"/>
      <c r="D40" s="764"/>
      <c r="E40" s="882"/>
      <c r="F40" s="883"/>
      <c r="G40" s="884"/>
      <c r="H40" s="770"/>
      <c r="I40" s="771"/>
      <c r="J40" s="807"/>
      <c r="K40" s="559"/>
      <c r="L40" s="560"/>
      <c r="M40" s="561"/>
      <c r="N40" s="888"/>
      <c r="O40" s="889"/>
      <c r="P40" s="890"/>
      <c r="R40" s="3"/>
      <c r="S40" s="637" t="s">
        <v>256</v>
      </c>
      <c r="T40" s="638"/>
      <c r="U40" s="638"/>
      <c r="V40" s="638"/>
      <c r="W40" s="638"/>
      <c r="X40" s="638"/>
      <c r="Y40" s="638"/>
      <c r="Z40" s="638"/>
      <c r="AA40" s="876" t="str">
        <f>IFERROR(E35/(E35+E36+E38)*100,"")</f>
        <v/>
      </c>
      <c r="AB40" s="876"/>
      <c r="AC40" s="877"/>
      <c r="AG40" s="4"/>
      <c r="AQ40" s="27" t="s">
        <v>257</v>
      </c>
      <c r="AR40" s="22">
        <f>U17</f>
        <v>0</v>
      </c>
      <c r="AY40"/>
      <c r="AZ40"/>
      <c r="BA40"/>
      <c r="BB40"/>
      <c r="BC40"/>
      <c r="BD40"/>
      <c r="BE40"/>
      <c r="BF40"/>
      <c r="BG40"/>
      <c r="BH40"/>
      <c r="BI40"/>
      <c r="BJ40"/>
      <c r="BK40"/>
    </row>
    <row r="41" spans="1:75" ht="12.6" customHeight="1" thickBot="1" x14ac:dyDescent="0.25">
      <c r="A41" s="575" t="s">
        <v>258</v>
      </c>
      <c r="B41" s="576"/>
      <c r="C41" s="576"/>
      <c r="D41" s="576"/>
      <c r="E41" s="849"/>
      <c r="F41" s="827"/>
      <c r="G41" s="878"/>
      <c r="H41" s="626">
        <v>1</v>
      </c>
      <c r="I41" s="626"/>
      <c r="J41" s="626"/>
      <c r="K41" s="565"/>
      <c r="L41" s="565"/>
      <c r="M41" s="565"/>
      <c r="N41" s="850">
        <f>IF(E41=0,0,ROUND(E41/H41/62.4,2))</f>
        <v>0</v>
      </c>
      <c r="O41" s="850"/>
      <c r="P41" s="851"/>
      <c r="R41" s="3"/>
      <c r="S41" s="575" t="s">
        <v>259</v>
      </c>
      <c r="T41" s="576"/>
      <c r="U41" s="576"/>
      <c r="V41" s="576"/>
      <c r="W41" s="576"/>
      <c r="X41" s="576"/>
      <c r="Y41" s="576"/>
      <c r="Z41" s="576"/>
      <c r="AA41" s="862" t="str">
        <f>IFERROR(N35*100/SUM(N35:N38),"")</f>
        <v/>
      </c>
      <c r="AB41" s="862"/>
      <c r="AC41" s="863"/>
      <c r="AG41" s="4" t="s">
        <v>37</v>
      </c>
      <c r="AQ41" s="27" t="s">
        <v>260</v>
      </c>
      <c r="AR41" s="22">
        <f>AA15</f>
        <v>0</v>
      </c>
      <c r="AY41"/>
      <c r="AZ41"/>
      <c r="BA41"/>
      <c r="BB41"/>
      <c r="BC41"/>
      <c r="BD41"/>
      <c r="BE41"/>
      <c r="BF41"/>
      <c r="BG41"/>
      <c r="BH41"/>
      <c r="BI41"/>
      <c r="BJ41"/>
      <c r="BK41"/>
    </row>
    <row r="42" spans="1:75" ht="12.6" customHeight="1" thickBot="1" x14ac:dyDescent="0.25">
      <c r="A42" s="566" t="s">
        <v>261</v>
      </c>
      <c r="B42" s="480"/>
      <c r="C42" s="904"/>
      <c r="D42" s="904"/>
      <c r="E42" s="620"/>
      <c r="F42" s="621"/>
      <c r="G42" s="622"/>
      <c r="H42" s="626">
        <v>0</v>
      </c>
      <c r="I42" s="626"/>
      <c r="J42" s="626"/>
      <c r="K42" s="565"/>
      <c r="L42" s="565"/>
      <c r="M42" s="565"/>
      <c r="N42" s="850">
        <f>(C42/100)*27</f>
        <v>0</v>
      </c>
      <c r="O42" s="850"/>
      <c r="P42" s="851"/>
      <c r="R42" s="3"/>
      <c r="S42" s="543" t="str">
        <f>IF(OR(V6=501,V6="730*"),"*** % Passing 1 inch sieve","% Passing 1 inch sieve")</f>
        <v>% Passing 1 inch sieve</v>
      </c>
      <c r="T42" s="479"/>
      <c r="U42" s="479"/>
      <c r="V42" s="479"/>
      <c r="W42" s="479"/>
      <c r="X42" s="479"/>
      <c r="Y42" s="479"/>
      <c r="Z42" s="479"/>
      <c r="AA42" s="896" t="str">
        <f>IF(AND(S42="*** % Passing 1 inch sieve",OR(S9="QA",S10="QA",S11="QA")),K12,IF(AND(S42="*** % Passing 1 inch sieve",OR(S9="#8",S10="#8",S11="#8")),100,""))</f>
        <v/>
      </c>
      <c r="AB42" s="897"/>
      <c r="AC42" s="898"/>
      <c r="AG42" s="4" t="s">
        <v>40</v>
      </c>
      <c r="AQ42" s="27" t="s">
        <v>262</v>
      </c>
      <c r="AR42" s="22">
        <f>AA17</f>
        <v>0</v>
      </c>
      <c r="AY42"/>
      <c r="AZ42"/>
      <c r="BA42"/>
      <c r="BB42"/>
      <c r="BC42"/>
      <c r="BD42"/>
      <c r="BE42"/>
      <c r="BF42"/>
      <c r="BG42"/>
      <c r="BH42"/>
      <c r="BI42"/>
      <c r="BJ42"/>
      <c r="BK42"/>
    </row>
    <row r="43" spans="1:75" ht="12.6" customHeight="1" thickBot="1" x14ac:dyDescent="0.25">
      <c r="A43" s="575" t="s">
        <v>263</v>
      </c>
      <c r="B43" s="576"/>
      <c r="C43" s="576"/>
      <c r="D43" s="576"/>
      <c r="E43" s="611">
        <f>SUM(E30:E42)</f>
        <v>0</v>
      </c>
      <c r="F43" s="612"/>
      <c r="G43" s="613"/>
      <c r="H43" s="565"/>
      <c r="I43" s="565"/>
      <c r="J43" s="565"/>
      <c r="K43" s="565"/>
      <c r="L43" s="565"/>
      <c r="M43" s="565"/>
      <c r="N43" s="850"/>
      <c r="O43" s="850"/>
      <c r="P43" s="851"/>
      <c r="R43" s="3"/>
      <c r="S43" s="899" t="str">
        <f>IF(OR(V6=501,V6="730*"), "** % Passing No. 200 sieve","% Passing No. 200 sieve")</f>
        <v>% Passing No. 200 sieve</v>
      </c>
      <c r="T43" s="900"/>
      <c r="U43" s="900"/>
      <c r="V43" s="900"/>
      <c r="W43" s="900"/>
      <c r="X43" s="900"/>
      <c r="Y43" s="900"/>
      <c r="Z43" s="901"/>
      <c r="AA43" s="902" t="str">
        <f>IFERROR(IF(OR(V6="501 QC/QA PCCP",V6="730*"),100*(((AB12*E35/(1+K35/100))+(W12*E36/(1+K36/100)))/(E35/(1+K35/100)+E36/(1+K36/100))),""),"")</f>
        <v/>
      </c>
      <c r="AB43" s="902"/>
      <c r="AC43" s="903"/>
      <c r="AG43" s="4" t="s">
        <v>42</v>
      </c>
      <c r="AQ43" s="27" t="s">
        <v>264</v>
      </c>
      <c r="AR43" s="127" t="e">
        <f>A20</f>
        <v>#N/A</v>
      </c>
      <c r="AY43"/>
      <c r="AZ43"/>
      <c r="BA43"/>
      <c r="BB43"/>
      <c r="BC43"/>
      <c r="BD43"/>
      <c r="BE43"/>
      <c r="BF43"/>
      <c r="BG43"/>
      <c r="BH43"/>
      <c r="BI43"/>
      <c r="BJ43"/>
      <c r="BK43"/>
    </row>
    <row r="44" spans="1:75" ht="18" customHeight="1" thickBot="1" x14ac:dyDescent="0.25">
      <c r="A44" s="589"/>
      <c r="B44" s="590"/>
      <c r="C44" s="590"/>
      <c r="D44" s="590"/>
      <c r="E44" s="590"/>
      <c r="F44" s="590"/>
      <c r="G44" s="590"/>
      <c r="H44" s="590"/>
      <c r="I44" s="590"/>
      <c r="J44" s="454" t="s">
        <v>265</v>
      </c>
      <c r="K44" s="454"/>
      <c r="L44" s="454"/>
      <c r="M44" s="591"/>
      <c r="N44" s="891"/>
      <c r="O44" s="892"/>
      <c r="P44" s="893"/>
      <c r="S44" s="710" t="s">
        <v>266</v>
      </c>
      <c r="T44" s="711"/>
      <c r="U44" s="711"/>
      <c r="V44" s="711"/>
      <c r="W44" s="711"/>
      <c r="X44" s="711"/>
      <c r="Y44" s="711"/>
      <c r="Z44" s="711"/>
      <c r="AA44" s="894" t="e">
        <f>((N30+N31+N32+N33+N39+N41+N42)/N43)*100</f>
        <v>#DIV/0!</v>
      </c>
      <c r="AB44" s="894"/>
      <c r="AC44" s="895"/>
      <c r="AG44" s="4" t="s">
        <v>45</v>
      </c>
      <c r="AQ44" s="31" t="s">
        <v>267</v>
      </c>
      <c r="AR44" s="125" t="e">
        <f>D20</f>
        <v>#N/A</v>
      </c>
      <c r="AY44"/>
      <c r="AZ44"/>
      <c r="BA44"/>
      <c r="BB44"/>
      <c r="BC44"/>
      <c r="BD44"/>
      <c r="BE44"/>
      <c r="BF44"/>
      <c r="BG44"/>
      <c r="BH44"/>
      <c r="BI44"/>
      <c r="BJ44"/>
      <c r="BK44"/>
    </row>
    <row r="45" spans="1:75" ht="18" customHeight="1" thickBot="1" x14ac:dyDescent="0.25">
      <c r="A45" s="174"/>
      <c r="B45" s="174"/>
      <c r="C45" s="174"/>
      <c r="D45" s="174"/>
      <c r="E45" s="174"/>
      <c r="F45" s="174"/>
      <c r="G45" s="174"/>
      <c r="H45" s="174"/>
      <c r="I45" s="174"/>
      <c r="J45" s="67"/>
      <c r="K45" s="67"/>
      <c r="L45" s="67"/>
      <c r="M45" s="67"/>
      <c r="N45" s="172"/>
      <c r="O45" s="172"/>
      <c r="P45" s="172"/>
      <c r="S45" s="605" t="s">
        <v>268</v>
      </c>
      <c r="T45" s="606"/>
      <c r="U45" s="606"/>
      <c r="V45" s="606"/>
      <c r="W45" s="606"/>
      <c r="X45" s="606"/>
      <c r="Y45" s="606"/>
      <c r="Z45" s="606"/>
      <c r="AA45" s="910"/>
      <c r="AB45" s="911"/>
      <c r="AC45" s="221"/>
      <c r="AG45" s="4" t="s">
        <v>47</v>
      </c>
      <c r="AP45" s="3"/>
      <c r="AQ45" s="31"/>
      <c r="AR45" s="125"/>
      <c r="AY45"/>
      <c r="AZ45"/>
      <c r="BA45"/>
      <c r="BB45"/>
      <c r="BC45"/>
      <c r="BD45"/>
      <c r="BE45"/>
      <c r="BF45"/>
      <c r="BG45"/>
      <c r="BH45"/>
      <c r="BI45"/>
      <c r="BJ45"/>
      <c r="BK45"/>
    </row>
    <row r="46" spans="1:75" ht="16.5" customHeight="1" thickBot="1" x14ac:dyDescent="0.25">
      <c r="A46" s="912" t="s">
        <v>269</v>
      </c>
      <c r="B46" s="913"/>
      <c r="C46" s="913"/>
      <c r="D46" s="913"/>
      <c r="E46" s="913"/>
      <c r="F46" s="913"/>
      <c r="G46" s="913"/>
      <c r="H46" s="913"/>
      <c r="I46" s="913"/>
      <c r="J46" s="913"/>
      <c r="K46" s="913"/>
      <c r="L46" s="913"/>
      <c r="M46" s="914" t="str">
        <f>IF(V6="501 QC/QA PCCP","***501 QC/QA PCCP MUST HAVE A POZZOLAN***"," ")</f>
        <v xml:space="preserve"> </v>
      </c>
      <c r="N46" s="914"/>
      <c r="O46" s="914"/>
      <c r="P46" s="914"/>
      <c r="Q46" s="914"/>
      <c r="R46" s="914"/>
      <c r="S46" s="914"/>
      <c r="T46" s="914"/>
      <c r="U46" s="914"/>
      <c r="V46" s="914"/>
      <c r="W46" s="914"/>
      <c r="X46" s="914"/>
      <c r="Y46" s="914"/>
      <c r="Z46" s="914"/>
      <c r="AA46" s="914"/>
      <c r="AB46" s="914"/>
      <c r="AC46" s="914"/>
      <c r="AG46" s="4" t="s">
        <v>50</v>
      </c>
      <c r="AP46" s="3"/>
      <c r="AQ46" s="31" t="s">
        <v>270</v>
      </c>
      <c r="AR46" s="32">
        <f>M20</f>
        <v>0</v>
      </c>
      <c r="AY46"/>
      <c r="AZ46"/>
      <c r="BA46"/>
      <c r="BB46"/>
      <c r="BC46"/>
      <c r="BD46"/>
      <c r="BE46"/>
      <c r="BF46"/>
      <c r="BG46"/>
      <c r="BH46"/>
      <c r="BI46"/>
      <c r="BJ46"/>
      <c r="BK46"/>
    </row>
    <row r="47" spans="1:75" ht="18.75" customHeight="1" thickBot="1" x14ac:dyDescent="0.25">
      <c r="A47" s="2"/>
      <c r="B47" s="2"/>
      <c r="E47" s="4" t="s">
        <v>271</v>
      </c>
      <c r="M47" s="915"/>
      <c r="N47" s="915"/>
      <c r="O47" s="915"/>
      <c r="P47" s="915"/>
      <c r="Q47" s="915"/>
      <c r="R47" s="915"/>
      <c r="S47" s="915"/>
      <c r="T47" s="915"/>
      <c r="U47" s="915"/>
      <c r="V47" s="915"/>
      <c r="W47" s="915"/>
      <c r="X47" s="316" t="s">
        <v>272</v>
      </c>
      <c r="Y47" s="316"/>
      <c r="Z47" s="916"/>
      <c r="AA47" s="915"/>
      <c r="AB47" s="915"/>
      <c r="AC47" s="915"/>
      <c r="AD47" s="5"/>
      <c r="AG47" s="4" t="s">
        <v>273</v>
      </c>
      <c r="AO47" s="121"/>
      <c r="AP47" s="122"/>
      <c r="AQ47" s="31" t="s">
        <v>178</v>
      </c>
      <c r="AR47" s="125" t="e">
        <f>U20</f>
        <v>#N/A</v>
      </c>
      <c r="AY47"/>
      <c r="AZ47"/>
      <c r="BA47"/>
      <c r="BB47"/>
      <c r="BC47"/>
      <c r="BD47"/>
      <c r="BE47"/>
      <c r="BF47"/>
      <c r="BG47"/>
      <c r="BH47"/>
      <c r="BI47"/>
      <c r="BJ47"/>
      <c r="BK47"/>
    </row>
    <row r="48" spans="1:75" ht="16.5" customHeight="1" thickBot="1" x14ac:dyDescent="0.25">
      <c r="A48" s="203"/>
      <c r="M48" s="39"/>
      <c r="N48" s="905" t="s">
        <v>274</v>
      </c>
      <c r="O48" s="905"/>
      <c r="P48" s="905"/>
      <c r="Q48" s="905"/>
      <c r="R48" s="905"/>
      <c r="S48" s="905"/>
      <c r="T48" s="905"/>
      <c r="U48" s="905"/>
      <c r="V48" s="905"/>
      <c r="W48" s="905"/>
      <c r="X48" s="905"/>
      <c r="Y48" s="905"/>
      <c r="Z48" s="906"/>
      <c r="AA48" s="906"/>
      <c r="AB48" s="906"/>
      <c r="AC48" s="906"/>
      <c r="AD48" s="33"/>
      <c r="AG48" s="4"/>
      <c r="AP48" s="3"/>
      <c r="AQ48" s="31" t="s">
        <v>275</v>
      </c>
      <c r="AR48" s="125" t="e">
        <f>X20</f>
        <v>#N/A</v>
      </c>
      <c r="AY48"/>
      <c r="AZ48"/>
      <c r="BA48"/>
      <c r="BB48"/>
      <c r="BC48"/>
      <c r="BD48"/>
      <c r="BE48"/>
      <c r="BF48"/>
      <c r="BG48"/>
      <c r="BH48"/>
      <c r="BI48"/>
      <c r="BJ48"/>
      <c r="BK48"/>
    </row>
    <row r="49" spans="1:63" ht="16.5" customHeight="1" thickBot="1" x14ac:dyDescent="0.25">
      <c r="A49" s="203"/>
      <c r="M49" s="40"/>
      <c r="N49" s="205"/>
      <c r="O49" s="205"/>
      <c r="P49" s="592" t="s">
        <v>276</v>
      </c>
      <c r="Q49" s="592"/>
      <c r="R49" s="592"/>
      <c r="S49" s="592"/>
      <c r="T49" s="592"/>
      <c r="U49" s="592"/>
      <c r="V49" s="592"/>
      <c r="W49" s="592"/>
      <c r="X49" s="592"/>
      <c r="Y49" s="592"/>
      <c r="Z49" s="907"/>
      <c r="AA49" s="907"/>
      <c r="AB49" s="907"/>
      <c r="AC49" s="907"/>
      <c r="AD49" s="33"/>
      <c r="AG49" s="4" t="s">
        <v>277</v>
      </c>
      <c r="AQ49" s="31" t="s">
        <v>278</v>
      </c>
      <c r="AR49" s="127" t="e">
        <f>A21</f>
        <v>#N/A</v>
      </c>
      <c r="AY49"/>
      <c r="AZ49"/>
      <c r="BA49"/>
      <c r="BB49"/>
      <c r="BC49"/>
      <c r="BD49"/>
      <c r="BE49"/>
      <c r="BF49"/>
      <c r="BG49"/>
      <c r="BH49"/>
      <c r="BI49"/>
      <c r="BJ49"/>
      <c r="BK49"/>
    </row>
    <row r="50" spans="1:63" ht="13.5" customHeight="1" thickBot="1" x14ac:dyDescent="0.25">
      <c r="A50" s="316" t="s">
        <v>279</v>
      </c>
      <c r="B50" s="316"/>
      <c r="C50" s="316"/>
      <c r="D50" s="316"/>
      <c r="E50" s="316"/>
      <c r="F50" s="316"/>
      <c r="G50" s="908"/>
      <c r="H50" s="909"/>
      <c r="I50" s="909"/>
      <c r="J50" s="909"/>
      <c r="K50" s="909"/>
      <c r="L50" s="909"/>
      <c r="M50" s="909"/>
      <c r="N50" s="909"/>
      <c r="O50" s="909"/>
      <c r="P50" s="909"/>
      <c r="Q50" s="909"/>
      <c r="R50" s="909"/>
      <c r="S50" s="909"/>
      <c r="T50" s="909"/>
      <c r="U50" s="909"/>
      <c r="V50" s="909"/>
      <c r="W50" s="909"/>
      <c r="X50" s="909"/>
      <c r="Y50" s="909"/>
      <c r="Z50" s="909"/>
      <c r="AA50" s="909"/>
      <c r="AB50" s="909"/>
      <c r="AC50" s="909"/>
      <c r="AD50" s="33"/>
      <c r="AQ50" s="31" t="s">
        <v>280</v>
      </c>
      <c r="AR50" s="22" t="e">
        <f>D20</f>
        <v>#N/A</v>
      </c>
      <c r="AY50"/>
      <c r="AZ50"/>
      <c r="BA50"/>
      <c r="BB50"/>
      <c r="BC50"/>
      <c r="BD50"/>
      <c r="BE50"/>
      <c r="BF50"/>
      <c r="BG50"/>
      <c r="BH50"/>
      <c r="BI50"/>
      <c r="BJ50"/>
      <c r="BK50"/>
    </row>
    <row r="51" spans="1:63" ht="13.5" customHeight="1" thickBot="1" x14ac:dyDescent="0.25">
      <c r="A51" s="922"/>
      <c r="B51" s="922"/>
      <c r="C51" s="922"/>
      <c r="D51" s="922"/>
      <c r="E51" s="922"/>
      <c r="F51" s="922"/>
      <c r="G51" s="922"/>
      <c r="H51" s="922"/>
      <c r="I51" s="922"/>
      <c r="J51" s="922"/>
      <c r="K51" s="922"/>
      <c r="L51" s="922"/>
      <c r="M51" s="922"/>
      <c r="N51" s="922"/>
      <c r="O51" s="922"/>
      <c r="P51" s="922"/>
      <c r="Q51" s="922"/>
      <c r="R51" s="922"/>
      <c r="S51" s="922"/>
      <c r="T51" s="922"/>
      <c r="U51" s="922"/>
      <c r="V51" s="922"/>
      <c r="W51" s="922"/>
      <c r="X51" s="922"/>
      <c r="Y51" s="922"/>
      <c r="Z51" s="922"/>
      <c r="AA51" s="922"/>
      <c r="AB51" s="922"/>
      <c r="AC51" s="922"/>
      <c r="AD51" s="108"/>
      <c r="AG51" s="4" t="s">
        <v>1598</v>
      </c>
      <c r="AQ51" s="31" t="s">
        <v>281</v>
      </c>
      <c r="AR51" s="32">
        <f>M21</f>
        <v>0</v>
      </c>
      <c r="AY51"/>
      <c r="AZ51"/>
      <c r="BA51"/>
      <c r="BB51"/>
      <c r="BC51"/>
      <c r="BD51"/>
      <c r="BE51"/>
      <c r="BF51"/>
      <c r="BG51"/>
      <c r="BH51"/>
      <c r="BI51"/>
      <c r="BJ51"/>
      <c r="BK51"/>
    </row>
    <row r="52" spans="1:63" ht="12.75" customHeight="1" thickBot="1" x14ac:dyDescent="0.25">
      <c r="A52" s="923"/>
      <c r="B52" s="923"/>
      <c r="C52" s="923"/>
      <c r="D52" s="923"/>
      <c r="E52" s="923"/>
      <c r="F52" s="923"/>
      <c r="G52" s="923"/>
      <c r="H52" s="923"/>
      <c r="I52" s="923"/>
      <c r="J52" s="923"/>
      <c r="K52" s="923"/>
      <c r="L52" s="923"/>
      <c r="M52" s="923"/>
      <c r="N52" s="923"/>
      <c r="O52" s="923"/>
      <c r="P52" s="923"/>
      <c r="Q52" s="923"/>
      <c r="R52" s="923"/>
      <c r="S52" s="923"/>
      <c r="T52" s="923"/>
      <c r="U52" s="923"/>
      <c r="V52" s="923"/>
      <c r="W52" s="923"/>
      <c r="X52" s="923"/>
      <c r="Y52" s="923"/>
      <c r="Z52" s="923"/>
      <c r="AA52" s="923"/>
      <c r="AB52" s="923"/>
      <c r="AC52" s="923"/>
      <c r="AD52" s="108"/>
      <c r="AG52" s="4" t="s">
        <v>1599</v>
      </c>
      <c r="AQ52" s="31" t="s">
        <v>282</v>
      </c>
      <c r="AR52" s="22" t="e">
        <f>U21</f>
        <v>#N/A</v>
      </c>
      <c r="AY52"/>
      <c r="AZ52"/>
      <c r="BA52"/>
      <c r="BB52"/>
      <c r="BC52"/>
      <c r="BD52"/>
      <c r="BE52"/>
      <c r="BF52"/>
      <c r="BG52"/>
      <c r="BH52"/>
      <c r="BI52"/>
      <c r="BJ52"/>
      <c r="BK52"/>
    </row>
    <row r="53" spans="1:63" ht="12.75" customHeight="1" thickBot="1" x14ac:dyDescent="0.25">
      <c r="A53" s="316" t="s">
        <v>283</v>
      </c>
      <c r="B53" s="316"/>
      <c r="C53" s="316"/>
      <c r="D53" s="316"/>
      <c r="E53" s="924"/>
      <c r="F53" s="924"/>
      <c r="G53" s="924"/>
      <c r="H53" s="924"/>
      <c r="I53" s="924"/>
      <c r="J53" s="924"/>
      <c r="K53" s="924"/>
      <c r="L53" s="924"/>
      <c r="M53" s="924"/>
      <c r="N53" s="924"/>
      <c r="O53" s="924"/>
      <c r="P53" s="924"/>
      <c r="Q53" s="924"/>
      <c r="R53" s="924"/>
      <c r="S53" s="924"/>
      <c r="T53" s="924"/>
      <c r="U53" s="924"/>
      <c r="V53" s="924"/>
      <c r="W53" s="924"/>
      <c r="X53" s="924"/>
      <c r="Y53" s="924"/>
      <c r="Z53" s="924"/>
      <c r="AA53" s="924"/>
      <c r="AB53" s="924"/>
      <c r="AC53" s="924"/>
      <c r="AD53" s="108"/>
      <c r="AG53" s="4" t="s">
        <v>1600</v>
      </c>
      <c r="AQ53" s="31" t="s">
        <v>284</v>
      </c>
      <c r="AR53" s="28" t="e">
        <f>X21</f>
        <v>#N/A</v>
      </c>
      <c r="AY53"/>
      <c r="AZ53"/>
      <c r="BA53"/>
      <c r="BB53"/>
      <c r="BC53"/>
      <c r="BD53"/>
      <c r="BE53"/>
      <c r="BF53"/>
      <c r="BG53"/>
      <c r="BH53"/>
      <c r="BI53"/>
      <c r="BJ53"/>
      <c r="BK53"/>
    </row>
    <row r="54" spans="1:63" ht="12.75" customHeight="1" thickBot="1" x14ac:dyDescent="0.25">
      <c r="A54" s="925"/>
      <c r="B54" s="925"/>
      <c r="C54" s="925"/>
      <c r="D54" s="925"/>
      <c r="E54" s="925"/>
      <c r="F54" s="925"/>
      <c r="G54" s="925"/>
      <c r="H54" s="925"/>
      <c r="I54" s="925"/>
      <c r="J54" s="925"/>
      <c r="K54" s="925"/>
      <c r="L54" s="925"/>
      <c r="M54" s="925"/>
      <c r="N54" s="925"/>
      <c r="O54" s="925"/>
      <c r="P54" s="925"/>
      <c r="Q54" s="925"/>
      <c r="R54" s="925"/>
      <c r="S54" s="925"/>
      <c r="T54" s="925"/>
      <c r="U54" s="925"/>
      <c r="V54" s="925"/>
      <c r="W54" s="925"/>
      <c r="X54" s="925"/>
      <c r="Y54" s="925"/>
      <c r="Z54" s="925"/>
      <c r="AA54" s="925"/>
      <c r="AB54" s="925"/>
      <c r="AC54" s="925"/>
      <c r="AD54" s="17"/>
      <c r="AG54" s="4" t="s">
        <v>1601</v>
      </c>
      <c r="AQ54" s="31" t="s">
        <v>285</v>
      </c>
      <c r="AR54" s="127" t="e">
        <f>A22</f>
        <v>#N/A</v>
      </c>
      <c r="AY54"/>
      <c r="AZ54"/>
      <c r="BA54"/>
      <c r="BB54"/>
      <c r="BC54"/>
      <c r="BD54"/>
      <c r="BE54"/>
      <c r="BF54"/>
      <c r="BG54"/>
      <c r="BH54"/>
      <c r="BI54"/>
      <c r="BJ54"/>
      <c r="BK54"/>
    </row>
    <row r="55" spans="1:63" ht="12.75" customHeight="1" thickBot="1" x14ac:dyDescent="0.25">
      <c r="A55" s="812"/>
      <c r="B55" s="812"/>
      <c r="C55" s="812"/>
      <c r="D55" s="812"/>
      <c r="E55" s="812"/>
      <c r="F55" s="812"/>
      <c r="G55" s="812"/>
      <c r="H55" s="812"/>
      <c r="I55" s="812"/>
      <c r="J55" s="812"/>
      <c r="K55" s="812"/>
      <c r="L55" s="812"/>
      <c r="M55" s="812"/>
      <c r="N55" s="812"/>
      <c r="O55" s="812"/>
      <c r="P55" s="812"/>
      <c r="Q55" s="812"/>
      <c r="R55" s="812"/>
      <c r="S55" s="812"/>
      <c r="T55" s="812"/>
      <c r="U55" s="812"/>
      <c r="V55" s="812"/>
      <c r="W55" s="812"/>
      <c r="X55" s="812"/>
      <c r="Y55" s="812"/>
      <c r="Z55" s="812"/>
      <c r="AA55" s="812"/>
      <c r="AB55" s="812"/>
      <c r="AC55" s="812"/>
      <c r="AD55" s="17"/>
      <c r="AQ55" s="31" t="s">
        <v>286</v>
      </c>
      <c r="AR55" s="22" t="e">
        <f>D22</f>
        <v>#N/A</v>
      </c>
      <c r="AY55"/>
      <c r="AZ55"/>
      <c r="BA55"/>
      <c r="BB55"/>
      <c r="BC55"/>
      <c r="BD55"/>
      <c r="BE55"/>
      <c r="BF55"/>
      <c r="BG55"/>
      <c r="BH55"/>
      <c r="BI55"/>
      <c r="BJ55"/>
      <c r="BK55"/>
    </row>
    <row r="56" spans="1:63" ht="12.75" customHeight="1" thickBot="1" x14ac:dyDescent="0.25">
      <c r="A56" s="812"/>
      <c r="B56" s="812"/>
      <c r="C56" s="812"/>
      <c r="D56" s="812"/>
      <c r="E56" s="812"/>
      <c r="F56" s="812"/>
      <c r="G56" s="812"/>
      <c r="H56" s="812"/>
      <c r="I56" s="812"/>
      <c r="J56" s="812"/>
      <c r="K56" s="812"/>
      <c r="L56" s="812"/>
      <c r="M56" s="812"/>
      <c r="N56" s="812"/>
      <c r="O56" s="812"/>
      <c r="P56" s="812"/>
      <c r="Q56" s="812"/>
      <c r="R56" s="812"/>
      <c r="S56" s="812"/>
      <c r="T56" s="812"/>
      <c r="U56" s="812"/>
      <c r="V56" s="812"/>
      <c r="W56" s="812"/>
      <c r="X56" s="812"/>
      <c r="Y56" s="812"/>
      <c r="Z56" s="812"/>
      <c r="AA56" s="812"/>
      <c r="AB56" s="812"/>
      <c r="AC56" s="812"/>
      <c r="AD56" s="17"/>
      <c r="AQ56" s="31" t="s">
        <v>287</v>
      </c>
      <c r="AR56" s="28">
        <f>M22</f>
        <v>0</v>
      </c>
      <c r="AY56"/>
      <c r="AZ56"/>
      <c r="BA56"/>
      <c r="BB56"/>
      <c r="BC56"/>
      <c r="BD56"/>
      <c r="BE56"/>
      <c r="BF56"/>
      <c r="BG56"/>
      <c r="BH56"/>
      <c r="BI56"/>
      <c r="BJ56"/>
      <c r="BK56"/>
    </row>
    <row r="57" spans="1:63" ht="12.75" customHeight="1" thickBot="1" x14ac:dyDescent="0.25">
      <c r="A57" s="917"/>
      <c r="B57" s="917"/>
      <c r="C57" s="917"/>
      <c r="D57" s="917"/>
      <c r="E57" s="917"/>
      <c r="F57" s="917"/>
      <c r="G57" s="917"/>
      <c r="H57" s="917"/>
      <c r="I57" s="917"/>
      <c r="J57" s="917"/>
      <c r="K57" s="917"/>
      <c r="L57" s="917"/>
      <c r="M57" s="917"/>
      <c r="N57" s="917"/>
      <c r="O57" s="917"/>
      <c r="P57" s="917"/>
      <c r="Q57" s="917"/>
      <c r="R57" s="917"/>
      <c r="S57" s="917"/>
      <c r="T57" s="917"/>
      <c r="U57" s="917"/>
      <c r="V57" s="917"/>
      <c r="W57" s="917"/>
      <c r="X57" s="917"/>
      <c r="Y57" s="917"/>
      <c r="Z57" s="918"/>
      <c r="AA57" s="919" t="str">
        <f>CMDS!AA60</f>
        <v>v14q.4.8.2025</v>
      </c>
      <c r="AB57" s="920"/>
      <c r="AC57" s="920"/>
      <c r="AD57" s="921"/>
      <c r="AQ57" s="31" t="s">
        <v>288</v>
      </c>
      <c r="AR57" s="22" t="e">
        <f>U22</f>
        <v>#N/A</v>
      </c>
      <c r="AY57"/>
      <c r="AZ57"/>
      <c r="BA57"/>
      <c r="BB57"/>
      <c r="BC57"/>
      <c r="BD57"/>
      <c r="BE57"/>
      <c r="BF57"/>
      <c r="BG57"/>
      <c r="BH57"/>
      <c r="BI57"/>
      <c r="BJ57"/>
      <c r="BK57"/>
    </row>
    <row r="58" spans="1:63" s="118" customFormat="1" ht="12.75" customHeight="1" thickBot="1" x14ac:dyDescent="0.25">
      <c r="AG58"/>
      <c r="AI58"/>
      <c r="AJ58"/>
      <c r="AK58"/>
      <c r="AL58"/>
      <c r="AM58"/>
      <c r="AN58"/>
      <c r="AO58"/>
      <c r="AP58"/>
      <c r="AQ58" s="129" t="s">
        <v>289</v>
      </c>
      <c r="AR58" s="130" t="e">
        <f>X22</f>
        <v>#N/A</v>
      </c>
    </row>
    <row r="59" spans="1:63" s="118" customFormat="1" ht="18.75" customHeight="1" thickBot="1" x14ac:dyDescent="0.25">
      <c r="AG59"/>
      <c r="AQ59" s="131" t="s">
        <v>290</v>
      </c>
      <c r="AR59" s="132" t="e">
        <f>A24</f>
        <v>#N/A</v>
      </c>
    </row>
    <row r="60" spans="1:63" s="118" customFormat="1" ht="24.75" thickBot="1" x14ac:dyDescent="0.25">
      <c r="AG60"/>
      <c r="AQ60" s="131" t="s">
        <v>291</v>
      </c>
      <c r="AR60" s="133" t="e">
        <f>D24</f>
        <v>#N/A</v>
      </c>
    </row>
    <row r="61" spans="1:63" s="118" customFormat="1" ht="24.75" thickBot="1" x14ac:dyDescent="0.25">
      <c r="AQ61" s="131" t="s">
        <v>292</v>
      </c>
      <c r="AR61" s="130">
        <f>M24</f>
        <v>0</v>
      </c>
    </row>
    <row r="62" spans="1:63" s="118" customFormat="1" ht="13.5" thickBot="1" x14ac:dyDescent="0.25">
      <c r="AQ62" s="131" t="s">
        <v>293</v>
      </c>
      <c r="AR62" s="133" t="e">
        <f>U24</f>
        <v>#N/A</v>
      </c>
    </row>
    <row r="63" spans="1:63" s="118" customFormat="1" ht="24.75" thickBot="1" x14ac:dyDescent="0.25">
      <c r="AQ63" s="129" t="s">
        <v>294</v>
      </c>
      <c r="AR63" s="134" t="e">
        <f>X24</f>
        <v>#N/A</v>
      </c>
    </row>
    <row r="64" spans="1:63" s="118" customFormat="1" ht="13.5" thickBot="1" x14ac:dyDescent="0.25">
      <c r="AQ64" s="131" t="s">
        <v>295</v>
      </c>
      <c r="AR64" s="132">
        <f>A25</f>
        <v>0</v>
      </c>
    </row>
    <row r="65" spans="43:45" s="118" customFormat="1" ht="24.75" thickBot="1" x14ac:dyDescent="0.25">
      <c r="AQ65" s="131" t="s">
        <v>296</v>
      </c>
      <c r="AR65" s="130">
        <f>D25</f>
        <v>0</v>
      </c>
    </row>
    <row r="66" spans="43:45" s="118" customFormat="1" ht="24.75" thickBot="1" x14ac:dyDescent="0.25">
      <c r="AQ66" s="131" t="s">
        <v>297</v>
      </c>
      <c r="AR66" s="135">
        <f>M25</f>
        <v>0</v>
      </c>
      <c r="AS66" s="136"/>
    </row>
    <row r="67" spans="43:45" s="118" customFormat="1" ht="13.5" thickBot="1" x14ac:dyDescent="0.25">
      <c r="AQ67" s="131" t="s">
        <v>298</v>
      </c>
      <c r="AR67" s="133">
        <f>U25</f>
        <v>0</v>
      </c>
      <c r="AS67" s="136"/>
    </row>
    <row r="68" spans="43:45" s="118" customFormat="1" ht="24.75" thickBot="1" x14ac:dyDescent="0.25">
      <c r="AQ68" s="129" t="s">
        <v>299</v>
      </c>
      <c r="AR68" s="135">
        <f>X25</f>
        <v>0</v>
      </c>
      <c r="AS68" s="137"/>
    </row>
    <row r="69" spans="43:45" s="118" customFormat="1" ht="13.5" thickBot="1" x14ac:dyDescent="0.25">
      <c r="AQ69" s="138" t="s">
        <v>300</v>
      </c>
      <c r="AR69" s="139">
        <f>E30</f>
        <v>0</v>
      </c>
      <c r="AS69" s="137"/>
    </row>
    <row r="70" spans="43:45" s="118" customFormat="1" ht="13.5" thickBot="1" x14ac:dyDescent="0.25">
      <c r="AQ70" s="138" t="s">
        <v>301</v>
      </c>
      <c r="AR70" s="140">
        <f>H30</f>
        <v>0</v>
      </c>
      <c r="AS70" s="136"/>
    </row>
    <row r="71" spans="43:45" s="118" customFormat="1" ht="13.5" thickBot="1" x14ac:dyDescent="0.25">
      <c r="AQ71" s="141" t="s">
        <v>302</v>
      </c>
      <c r="AR71" s="140">
        <f>N30</f>
        <v>0</v>
      </c>
      <c r="AS71" s="136"/>
    </row>
    <row r="72" spans="43:45" s="118" customFormat="1" ht="15.75" customHeight="1" thickBot="1" x14ac:dyDescent="0.25">
      <c r="AQ72" s="141" t="s">
        <v>303</v>
      </c>
      <c r="AR72" s="139">
        <f>E31</f>
        <v>0</v>
      </c>
      <c r="AS72" s="136"/>
    </row>
    <row r="73" spans="43:45" s="118" customFormat="1" ht="20.25" customHeight="1" thickBot="1" x14ac:dyDescent="0.25">
      <c r="AQ73" s="141" t="s">
        <v>304</v>
      </c>
      <c r="AR73" s="140">
        <f>H31</f>
        <v>0</v>
      </c>
    </row>
    <row r="74" spans="43:45" s="118" customFormat="1" ht="12.75" customHeight="1" thickBot="1" x14ac:dyDescent="0.25">
      <c r="AQ74" s="141" t="s">
        <v>305</v>
      </c>
      <c r="AR74" s="142">
        <f>N31</f>
        <v>0</v>
      </c>
    </row>
    <row r="75" spans="43:45" s="118" customFormat="1" ht="16.5" customHeight="1" thickBot="1" x14ac:dyDescent="0.25">
      <c r="AQ75" s="141" t="s">
        <v>306</v>
      </c>
      <c r="AR75" s="140">
        <f>E32</f>
        <v>0</v>
      </c>
    </row>
    <row r="76" spans="43:45" s="118" customFormat="1" ht="26.25" customHeight="1" thickBot="1" x14ac:dyDescent="0.25">
      <c r="AQ76" s="141" t="s">
        <v>307</v>
      </c>
      <c r="AR76" s="142">
        <f>H32</f>
        <v>0</v>
      </c>
    </row>
    <row r="77" spans="43:45" s="118" customFormat="1" ht="18" customHeight="1" thickBot="1" x14ac:dyDescent="0.25">
      <c r="AQ77" s="141" t="s">
        <v>308</v>
      </c>
      <c r="AR77" s="140">
        <f>N32</f>
        <v>0</v>
      </c>
    </row>
    <row r="78" spans="43:45" s="118" customFormat="1" ht="15.75" customHeight="1" thickBot="1" x14ac:dyDescent="0.25">
      <c r="AQ78" s="141" t="s">
        <v>309</v>
      </c>
      <c r="AR78" s="143">
        <f>E33</f>
        <v>0</v>
      </c>
    </row>
    <row r="79" spans="43:45" s="118" customFormat="1" ht="25.5" customHeight="1" thickBot="1" x14ac:dyDescent="0.25">
      <c r="AQ79" s="141" t="s">
        <v>310</v>
      </c>
      <c r="AR79" s="140">
        <f>H33</f>
        <v>0</v>
      </c>
    </row>
    <row r="80" spans="43:45" s="118" customFormat="1" ht="30.75" customHeight="1" thickBot="1" x14ac:dyDescent="0.25">
      <c r="AQ80" s="141" t="s">
        <v>311</v>
      </c>
      <c r="AR80" s="140">
        <f>N33</f>
        <v>0</v>
      </c>
    </row>
    <row r="81" spans="43:45" s="118" customFormat="1" ht="31.5" customHeight="1" thickBot="1" x14ac:dyDescent="0.25">
      <c r="AQ81" s="141" t="s">
        <v>312</v>
      </c>
      <c r="AR81" s="140">
        <f>E34</f>
        <v>0</v>
      </c>
    </row>
    <row r="82" spans="43:45" s="118" customFormat="1" ht="26.25" customHeight="1" thickBot="1" x14ac:dyDescent="0.25">
      <c r="AQ82" s="141" t="s">
        <v>313</v>
      </c>
      <c r="AR82" s="140">
        <f>H34</f>
        <v>0</v>
      </c>
    </row>
    <row r="83" spans="43:45" s="118" customFormat="1" ht="30.75" customHeight="1" thickBot="1" x14ac:dyDescent="0.25">
      <c r="AQ83" s="141" t="s">
        <v>314</v>
      </c>
      <c r="AR83" s="144">
        <f>N34</f>
        <v>0</v>
      </c>
    </row>
    <row r="84" spans="43:45" s="118" customFormat="1" ht="32.25" customHeight="1" thickBot="1" x14ac:dyDescent="0.25">
      <c r="AQ84" s="141" t="s">
        <v>315</v>
      </c>
      <c r="AR84" s="139">
        <f>E35</f>
        <v>0</v>
      </c>
    </row>
    <row r="85" spans="43:45" s="118" customFormat="1" ht="36" customHeight="1" thickBot="1" x14ac:dyDescent="0.25">
      <c r="AQ85" s="145" t="s">
        <v>316</v>
      </c>
      <c r="AR85" s="144">
        <f>H35</f>
        <v>0</v>
      </c>
    </row>
    <row r="86" spans="43:45" s="118" customFormat="1" ht="24.75" thickBot="1" x14ac:dyDescent="0.25">
      <c r="AQ86" s="131" t="s">
        <v>317</v>
      </c>
      <c r="AR86" s="140">
        <f>K35</f>
        <v>0</v>
      </c>
    </row>
    <row r="87" spans="43:45" s="118" customFormat="1" ht="24.75" customHeight="1" thickBot="1" x14ac:dyDescent="0.25">
      <c r="AQ87" s="146" t="s">
        <v>318</v>
      </c>
      <c r="AR87" s="140">
        <f>N35</f>
        <v>0</v>
      </c>
    </row>
    <row r="88" spans="43:45" s="118" customFormat="1" ht="15" customHeight="1" thickBot="1" x14ac:dyDescent="0.25">
      <c r="AQ88" s="146" t="s">
        <v>319</v>
      </c>
      <c r="AR88" s="139">
        <f>E36</f>
        <v>0</v>
      </c>
    </row>
    <row r="89" spans="43:45" s="118" customFormat="1" ht="27" customHeight="1" thickBot="1" x14ac:dyDescent="0.25">
      <c r="AQ89" s="131" t="s">
        <v>320</v>
      </c>
      <c r="AR89" s="144">
        <f>H36</f>
        <v>0</v>
      </c>
    </row>
    <row r="90" spans="43:45" s="118" customFormat="1" ht="33" customHeight="1" thickBot="1" x14ac:dyDescent="0.25">
      <c r="AQ90" s="146" t="s">
        <v>321</v>
      </c>
      <c r="AR90" s="140">
        <f>K36</f>
        <v>0</v>
      </c>
    </row>
    <row r="91" spans="43:45" s="118" customFormat="1" ht="33.75" customHeight="1" thickBot="1" x14ac:dyDescent="0.25">
      <c r="AQ91" s="146" t="s">
        <v>322</v>
      </c>
      <c r="AR91" s="140">
        <f>N36</f>
        <v>0</v>
      </c>
      <c r="AS91" s="147"/>
    </row>
    <row r="92" spans="43:45" s="118" customFormat="1" ht="26.25" thickBot="1" x14ac:dyDescent="0.25">
      <c r="AQ92" s="146" t="s">
        <v>323</v>
      </c>
      <c r="AR92" s="139">
        <f>E38</f>
        <v>0</v>
      </c>
    </row>
    <row r="93" spans="43:45" s="118" customFormat="1" ht="24.75" thickBot="1" x14ac:dyDescent="0.25">
      <c r="AQ93" s="131" t="s">
        <v>320</v>
      </c>
      <c r="AR93" s="144">
        <f>H38</f>
        <v>0</v>
      </c>
    </row>
    <row r="94" spans="43:45" s="118" customFormat="1" ht="24.75" thickBot="1" x14ac:dyDescent="0.25">
      <c r="AQ94" s="131" t="s">
        <v>321</v>
      </c>
      <c r="AR94" s="140">
        <f>K38</f>
        <v>0</v>
      </c>
    </row>
    <row r="95" spans="43:45" s="118" customFormat="1" ht="24.75" thickBot="1" x14ac:dyDescent="0.25">
      <c r="AQ95" s="131" t="s">
        <v>324</v>
      </c>
      <c r="AR95" s="140">
        <f>N38</f>
        <v>0</v>
      </c>
    </row>
    <row r="96" spans="43:45" s="118" customFormat="1" ht="24.75" thickBot="1" x14ac:dyDescent="0.25">
      <c r="AQ96" s="131" t="s">
        <v>325</v>
      </c>
      <c r="AR96" s="148">
        <f>E39</f>
        <v>0</v>
      </c>
    </row>
    <row r="97" spans="43:44" s="118" customFormat="1" ht="24.75" thickBot="1" x14ac:dyDescent="0.25">
      <c r="AQ97" s="131" t="s">
        <v>326</v>
      </c>
      <c r="AR97" s="144">
        <f>N39</f>
        <v>0</v>
      </c>
    </row>
    <row r="98" spans="43:44" s="118" customFormat="1" ht="13.5" thickBot="1" x14ac:dyDescent="0.25">
      <c r="AQ98" s="146" t="s">
        <v>327</v>
      </c>
      <c r="AR98" s="148">
        <f>E41</f>
        <v>0</v>
      </c>
    </row>
    <row r="99" spans="43:44" s="118" customFormat="1" ht="13.5" thickBot="1" x14ac:dyDescent="0.25">
      <c r="AQ99" s="146" t="s">
        <v>328</v>
      </c>
      <c r="AR99" s="140">
        <f>N41</f>
        <v>0</v>
      </c>
    </row>
    <row r="100" spans="43:44" s="118" customFormat="1" ht="13.5" thickBot="1" x14ac:dyDescent="0.25">
      <c r="AQ100" s="146" t="s">
        <v>329</v>
      </c>
      <c r="AR100" s="140">
        <f>N42</f>
        <v>0</v>
      </c>
    </row>
    <row r="101" spans="43:44" s="118" customFormat="1" ht="13.5" thickBot="1" x14ac:dyDescent="0.25">
      <c r="AQ101" s="146" t="str">
        <f>A43</f>
        <v>∑</v>
      </c>
      <c r="AR101" s="139">
        <f>E43</f>
        <v>0</v>
      </c>
    </row>
    <row r="102" spans="43:44" s="118" customFormat="1" ht="13.5" thickBot="1" x14ac:dyDescent="0.25">
      <c r="AQ102" s="146" t="s">
        <v>330</v>
      </c>
      <c r="AR102" s="140">
        <f>N43</f>
        <v>0</v>
      </c>
    </row>
    <row r="103" spans="43:44" s="118" customFormat="1" ht="13.5" thickBot="1" x14ac:dyDescent="0.25">
      <c r="AQ103" s="138" t="s">
        <v>331</v>
      </c>
      <c r="AR103" s="148" t="str">
        <f>AA28</f>
        <v/>
      </c>
    </row>
    <row r="104" spans="43:44" s="118" customFormat="1" ht="13.5" thickBot="1" x14ac:dyDescent="0.25">
      <c r="AQ104" s="138" t="s">
        <v>332</v>
      </c>
      <c r="AR104" s="148" t="str">
        <f>AA29</f>
        <v/>
      </c>
    </row>
    <row r="105" spans="43:44" s="118" customFormat="1" ht="13.5" thickBot="1" x14ac:dyDescent="0.25">
      <c r="AQ105" s="138" t="s">
        <v>333</v>
      </c>
      <c r="AR105" s="139">
        <f>AA30</f>
        <v>0</v>
      </c>
    </row>
    <row r="106" spans="43:44" s="118" customFormat="1" ht="13.5" thickBot="1" x14ac:dyDescent="0.25">
      <c r="AQ106" s="138" t="s">
        <v>334</v>
      </c>
      <c r="AR106" s="140" t="e">
        <f>AA31&amp;AC31</f>
        <v>#REF!</v>
      </c>
    </row>
    <row r="107" spans="43:44" s="118" customFormat="1" ht="13.5" thickBot="1" x14ac:dyDescent="0.25">
      <c r="AQ107" s="138" t="s">
        <v>335</v>
      </c>
      <c r="AR107" s="140" t="str">
        <f>AA32&amp;AC32</f>
        <v/>
      </c>
    </row>
    <row r="108" spans="43:44" s="118" customFormat="1" ht="13.5" thickBot="1" x14ac:dyDescent="0.25">
      <c r="AQ108" s="138" t="s">
        <v>336</v>
      </c>
      <c r="AR108" s="140" t="e">
        <f>AA33</f>
        <v>#REF!</v>
      </c>
    </row>
    <row r="109" spans="43:44" s="118" customFormat="1" ht="13.5" thickBot="1" x14ac:dyDescent="0.25">
      <c r="AQ109" s="138" t="s">
        <v>240</v>
      </c>
      <c r="AR109" s="139" t="str">
        <f t="shared" ref="AR109:AR111" si="0">AA34</f>
        <v/>
      </c>
    </row>
    <row r="110" spans="43:44" s="118" customFormat="1" ht="13.5" thickBot="1" x14ac:dyDescent="0.25">
      <c r="AQ110" s="138" t="s">
        <v>337</v>
      </c>
      <c r="AR110" s="139" t="str">
        <f t="shared" si="0"/>
        <v/>
      </c>
    </row>
    <row r="111" spans="43:44" s="118" customFormat="1" ht="13.5" thickBot="1" x14ac:dyDescent="0.25">
      <c r="AQ111" s="138" t="s">
        <v>338</v>
      </c>
      <c r="AR111" s="148" t="str">
        <f t="shared" si="0"/>
        <v/>
      </c>
    </row>
    <row r="112" spans="43:44" s="118" customFormat="1" ht="13.5" thickBot="1" x14ac:dyDescent="0.25">
      <c r="AQ112" s="138" t="s">
        <v>250</v>
      </c>
      <c r="AR112" s="144" t="e">
        <f t="shared" ref="AR112:AR117" si="1">AA38</f>
        <v>#DIV/0!</v>
      </c>
    </row>
    <row r="113" spans="33:44" s="118" customFormat="1" ht="13.5" thickBot="1" x14ac:dyDescent="0.25">
      <c r="AQ113" s="138" t="s">
        <v>253</v>
      </c>
      <c r="AR113" s="148">
        <f t="shared" si="1"/>
        <v>0</v>
      </c>
    </row>
    <row r="114" spans="33:44" s="118" customFormat="1" ht="13.5" thickBot="1" x14ac:dyDescent="0.25">
      <c r="AQ114" s="138" t="s">
        <v>256</v>
      </c>
      <c r="AR114" s="139" t="str">
        <f t="shared" si="1"/>
        <v/>
      </c>
    </row>
    <row r="115" spans="33:44" ht="13.5" thickBot="1" x14ac:dyDescent="0.25">
      <c r="AG115" s="118"/>
      <c r="AI115" s="118"/>
      <c r="AJ115" s="118"/>
      <c r="AK115" s="118"/>
      <c r="AL115" s="118"/>
      <c r="AM115" s="118"/>
      <c r="AN115" s="118"/>
      <c r="AO115" s="118"/>
      <c r="AP115" s="118"/>
      <c r="AQ115" s="202" t="s">
        <v>259</v>
      </c>
      <c r="AR115" s="29" t="str">
        <f t="shared" si="1"/>
        <v/>
      </c>
    </row>
    <row r="116" spans="33:44" ht="13.5" thickBot="1" x14ac:dyDescent="0.25">
      <c r="AG116" s="118"/>
      <c r="AQ116" s="202" t="str">
        <f>IF(OR(AS73=501,AS73="730*"),"*** % Passing 1 inch sieve","% Passing 1 inch sieve")</f>
        <v>% Passing 1 inch sieve</v>
      </c>
      <c r="AR116" s="29" t="str">
        <f t="shared" si="1"/>
        <v/>
      </c>
    </row>
    <row r="117" spans="33:44" ht="13.5" thickBot="1" x14ac:dyDescent="0.25">
      <c r="AG117" s="118"/>
      <c r="AQ117" s="202" t="str">
        <f>IF(OR(AS73=501,AS73="730*"), "** % Passing No. 200 sieve","% Passing No. 200 sieve")</f>
        <v>% Passing No. 200 sieve</v>
      </c>
      <c r="AR117" s="30" t="str">
        <f t="shared" si="1"/>
        <v/>
      </c>
    </row>
  </sheetData>
  <sheetProtection algorithmName="SHA-512" hashValue="L8USr+WgkA7+6p6kfF5FlIVCTj5oGqO7JanltrUSavQr0o1AJ+oXdM+zSSuHvDXp7s+eEXgfr4wTczWCeMu34A==" saltValue="+KC6pxWfVpDiYHvGmeF0sA==" spinCount="100000" sheet="1" formatCells="0" selectLockedCells="1"/>
  <dataConsolidate/>
  <mergeCells count="253">
    <mergeCell ref="A56:AC56"/>
    <mergeCell ref="A57:Z57"/>
    <mergeCell ref="AA57:AD57"/>
    <mergeCell ref="A51:AC51"/>
    <mergeCell ref="A52:AC52"/>
    <mergeCell ref="A53:D53"/>
    <mergeCell ref="E53:AC53"/>
    <mergeCell ref="A54:AC54"/>
    <mergeCell ref="A55:AC55"/>
    <mergeCell ref="N48:Y48"/>
    <mergeCell ref="Z48:AC48"/>
    <mergeCell ref="P49:Y49"/>
    <mergeCell ref="Z49:AC49"/>
    <mergeCell ref="A50:F50"/>
    <mergeCell ref="G50:AC50"/>
    <mergeCell ref="S45:Z45"/>
    <mergeCell ref="AA45:AB45"/>
    <mergeCell ref="A46:L46"/>
    <mergeCell ref="M46:AC46"/>
    <mergeCell ref="M47:W47"/>
    <mergeCell ref="X47:Y47"/>
    <mergeCell ref="Z47:AC47"/>
    <mergeCell ref="A44:G44"/>
    <mergeCell ref="H44:I44"/>
    <mergeCell ref="J44:M44"/>
    <mergeCell ref="N44:P44"/>
    <mergeCell ref="S44:Z44"/>
    <mergeCell ref="AA44:AC44"/>
    <mergeCell ref="S42:Z42"/>
    <mergeCell ref="AA42:AC42"/>
    <mergeCell ref="A43:D43"/>
    <mergeCell ref="E43:G43"/>
    <mergeCell ref="H43:J43"/>
    <mergeCell ref="K43:M43"/>
    <mergeCell ref="N43:P43"/>
    <mergeCell ref="S43:Z43"/>
    <mergeCell ref="AA43:AC43"/>
    <mergeCell ref="A42:B42"/>
    <mergeCell ref="C42:D42"/>
    <mergeCell ref="E42:G42"/>
    <mergeCell ref="H42:J42"/>
    <mergeCell ref="K42:M42"/>
    <mergeCell ref="N42:P42"/>
    <mergeCell ref="AA39:AC39"/>
    <mergeCell ref="S40:Z40"/>
    <mergeCell ref="AA40:AC40"/>
    <mergeCell ref="A41:D41"/>
    <mergeCell ref="E41:G41"/>
    <mergeCell ref="H41:J41"/>
    <mergeCell ref="K41:M41"/>
    <mergeCell ref="N41:P41"/>
    <mergeCell ref="S41:Z41"/>
    <mergeCell ref="AA41:AC41"/>
    <mergeCell ref="A39:D40"/>
    <mergeCell ref="E39:G40"/>
    <mergeCell ref="H39:J40"/>
    <mergeCell ref="K39:M40"/>
    <mergeCell ref="N39:P40"/>
    <mergeCell ref="S39:Z39"/>
    <mergeCell ref="E38:G38"/>
    <mergeCell ref="H38:J38"/>
    <mergeCell ref="K38:M38"/>
    <mergeCell ref="N38:P38"/>
    <mergeCell ref="S38:Z38"/>
    <mergeCell ref="AA38:AC38"/>
    <mergeCell ref="B37:D37"/>
    <mergeCell ref="E37:G37"/>
    <mergeCell ref="H37:J37"/>
    <mergeCell ref="K37:M37"/>
    <mergeCell ref="N37:P37"/>
    <mergeCell ref="S37:Z37"/>
    <mergeCell ref="E36:G36"/>
    <mergeCell ref="H36:J36"/>
    <mergeCell ref="K36:M36"/>
    <mergeCell ref="N36:P36"/>
    <mergeCell ref="S36:Z36"/>
    <mergeCell ref="AA36:AC36"/>
    <mergeCell ref="AA34:AC34"/>
    <mergeCell ref="A35:A38"/>
    <mergeCell ref="B35:D35"/>
    <mergeCell ref="E35:G35"/>
    <mergeCell ref="H35:J35"/>
    <mergeCell ref="K35:M35"/>
    <mergeCell ref="N35:P35"/>
    <mergeCell ref="S35:Z35"/>
    <mergeCell ref="AA35:AC35"/>
    <mergeCell ref="B36:D36"/>
    <mergeCell ref="A34:D34"/>
    <mergeCell ref="E34:G34"/>
    <mergeCell ref="H34:J34"/>
    <mergeCell ref="K34:M34"/>
    <mergeCell ref="N34:P34"/>
    <mergeCell ref="S34:Z34"/>
    <mergeCell ref="AA37:AC37"/>
    <mergeCell ref="B38:D38"/>
    <mergeCell ref="AA32:AB32"/>
    <mergeCell ref="A33:D33"/>
    <mergeCell ref="E33:G33"/>
    <mergeCell ref="H33:J33"/>
    <mergeCell ref="K33:M33"/>
    <mergeCell ref="N33:P33"/>
    <mergeCell ref="S33:Z33"/>
    <mergeCell ref="AA33:AC33"/>
    <mergeCell ref="A32:D32"/>
    <mergeCell ref="E32:G32"/>
    <mergeCell ref="H32:J32"/>
    <mergeCell ref="K32:M32"/>
    <mergeCell ref="N32:P32"/>
    <mergeCell ref="S32:Z32"/>
    <mergeCell ref="AA30:AC30"/>
    <mergeCell ref="A31:D31"/>
    <mergeCell ref="E31:G31"/>
    <mergeCell ref="H31:J31"/>
    <mergeCell ref="K31:M31"/>
    <mergeCell ref="N31:P31"/>
    <mergeCell ref="S31:Z31"/>
    <mergeCell ref="AA31:AB31"/>
    <mergeCell ref="A30:D30"/>
    <mergeCell ref="E30:G30"/>
    <mergeCell ref="H30:J30"/>
    <mergeCell ref="K30:M30"/>
    <mergeCell ref="N30:P30"/>
    <mergeCell ref="S30:Z30"/>
    <mergeCell ref="AA28:AC28"/>
    <mergeCell ref="E29:G29"/>
    <mergeCell ref="H29:J29"/>
    <mergeCell ref="K29:M29"/>
    <mergeCell ref="N29:P29"/>
    <mergeCell ref="S29:Z29"/>
    <mergeCell ref="AA29:AC29"/>
    <mergeCell ref="Z26:AA26"/>
    <mergeCell ref="AB26:AC26"/>
    <mergeCell ref="A27:P27"/>
    <mergeCell ref="S27:AC27"/>
    <mergeCell ref="A28:D29"/>
    <mergeCell ref="E28:G28"/>
    <mergeCell ref="H28:J28"/>
    <mergeCell ref="K28:M28"/>
    <mergeCell ref="N28:P28"/>
    <mergeCell ref="S28:Z28"/>
    <mergeCell ref="A26:I26"/>
    <mergeCell ref="J26:K26"/>
    <mergeCell ref="L26:P26"/>
    <mergeCell ref="Q26:R26"/>
    <mergeCell ref="S26:U26"/>
    <mergeCell ref="V26:Y26"/>
    <mergeCell ref="A24:C24"/>
    <mergeCell ref="D24:L24"/>
    <mergeCell ref="M24:T24"/>
    <mergeCell ref="U24:W24"/>
    <mergeCell ref="X24:AC24"/>
    <mergeCell ref="A25:C25"/>
    <mergeCell ref="D25:L25"/>
    <mergeCell ref="M25:T25"/>
    <mergeCell ref="U25:W25"/>
    <mergeCell ref="X25:AC25"/>
    <mergeCell ref="A22:C22"/>
    <mergeCell ref="D22:L22"/>
    <mergeCell ref="M22:T22"/>
    <mergeCell ref="U22:W22"/>
    <mergeCell ref="X22:AC22"/>
    <mergeCell ref="A23:C23"/>
    <mergeCell ref="D23:L23"/>
    <mergeCell ref="M23:T23"/>
    <mergeCell ref="U23:W23"/>
    <mergeCell ref="X23:AC23"/>
    <mergeCell ref="A20:C20"/>
    <mergeCell ref="D20:L20"/>
    <mergeCell ref="M20:T20"/>
    <mergeCell ref="U20:W20"/>
    <mergeCell ref="X20:AC20"/>
    <mergeCell ref="A21:C21"/>
    <mergeCell ref="D21:L21"/>
    <mergeCell ref="M21:T21"/>
    <mergeCell ref="U21:W21"/>
    <mergeCell ref="X21:AC21"/>
    <mergeCell ref="A17:C17"/>
    <mergeCell ref="D17:T17"/>
    <mergeCell ref="U17:Y17"/>
    <mergeCell ref="AA17:AC17"/>
    <mergeCell ref="A18:AC18"/>
    <mergeCell ref="A19:C19"/>
    <mergeCell ref="D19:L19"/>
    <mergeCell ref="M19:T19"/>
    <mergeCell ref="U19:W19"/>
    <mergeCell ref="X19:AC19"/>
    <mergeCell ref="S10:U10"/>
    <mergeCell ref="V10:X10"/>
    <mergeCell ref="Y10:Z10"/>
    <mergeCell ref="A15:C15"/>
    <mergeCell ref="D15:T15"/>
    <mergeCell ref="U15:Y15"/>
    <mergeCell ref="AA15:AC15"/>
    <mergeCell ref="A16:C16"/>
    <mergeCell ref="D16:T16"/>
    <mergeCell ref="U16:Y16"/>
    <mergeCell ref="AA16:AC16"/>
    <mergeCell ref="A13:Y13"/>
    <mergeCell ref="AA13:AC13"/>
    <mergeCell ref="A14:C14"/>
    <mergeCell ref="D14:T14"/>
    <mergeCell ref="U14:Y14"/>
    <mergeCell ref="AA14:AC14"/>
    <mergeCell ref="A9:C9"/>
    <mergeCell ref="D9:O9"/>
    <mergeCell ref="P9:R9"/>
    <mergeCell ref="S9:U9"/>
    <mergeCell ref="V9:X9"/>
    <mergeCell ref="Y9:Z9"/>
    <mergeCell ref="AA9:AC9"/>
    <mergeCell ref="A12:J12"/>
    <mergeCell ref="K12:L12"/>
    <mergeCell ref="M12:R12"/>
    <mergeCell ref="S12:V12"/>
    <mergeCell ref="X12:AA12"/>
    <mergeCell ref="AB12:AC12"/>
    <mergeCell ref="AA10:AC10"/>
    <mergeCell ref="A11:C11"/>
    <mergeCell ref="D11:O11"/>
    <mergeCell ref="P11:R11"/>
    <mergeCell ref="S11:U11"/>
    <mergeCell ref="V11:X11"/>
    <mergeCell ref="Y11:Z11"/>
    <mergeCell ref="AA11:AC11"/>
    <mergeCell ref="A10:C10"/>
    <mergeCell ref="D10:O10"/>
    <mergeCell ref="P10:R10"/>
    <mergeCell ref="A6:F6"/>
    <mergeCell ref="G6:N6"/>
    <mergeCell ref="O6:U6"/>
    <mergeCell ref="V6:AC6"/>
    <mergeCell ref="A7:AC7"/>
    <mergeCell ref="A8:C8"/>
    <mergeCell ref="D8:O8"/>
    <mergeCell ref="P8:R8"/>
    <mergeCell ref="S8:U8"/>
    <mergeCell ref="V8:X8"/>
    <mergeCell ref="Y8:Z8"/>
    <mergeCell ref="AA8:AC8"/>
    <mergeCell ref="A4:F4"/>
    <mergeCell ref="G4:O4"/>
    <mergeCell ref="P4:U4"/>
    <mergeCell ref="V4:AC4"/>
    <mergeCell ref="A5:F5"/>
    <mergeCell ref="G5:O5"/>
    <mergeCell ref="P5:U5"/>
    <mergeCell ref="V5:AC5"/>
    <mergeCell ref="A1:AD1"/>
    <mergeCell ref="A2:F2"/>
    <mergeCell ref="G2:O2"/>
    <mergeCell ref="A3:F3"/>
    <mergeCell ref="G3:O3"/>
    <mergeCell ref="P2:AC3"/>
  </mergeCells>
  <conditionalFormatting sqref="A15:A17 AD20:AF24 AH20:AH24 AI21:AM25 AG25:AG35">
    <cfRule type="containsErrors" dxfId="30" priority="15" stopIfTrue="1">
      <formula>ISERROR(A15)</formula>
    </cfRule>
  </conditionalFormatting>
  <conditionalFormatting sqref="A9:D11">
    <cfRule type="containsErrors" dxfId="29" priority="1">
      <formula>ISERROR(A9)</formula>
    </cfRule>
  </conditionalFormatting>
  <conditionalFormatting sqref="A20:L24 U20:AC24">
    <cfRule type="containsErrors" dxfId="28" priority="12">
      <formula>ISERROR(A20)</formula>
    </cfRule>
  </conditionalFormatting>
  <conditionalFormatting sqref="E42:G42">
    <cfRule type="cellIs" dxfId="27" priority="21" stopIfTrue="1" operator="between">
      <formula>0.45</formula>
      <formula>0.439</formula>
    </cfRule>
  </conditionalFormatting>
  <conditionalFormatting sqref="G6:N6">
    <cfRule type="containsText" dxfId="26" priority="7" operator="containsText" text="Mix ID Required">
      <formula>NOT(ISERROR(SEARCH("Mix ID Required",G6)))</formula>
    </cfRule>
  </conditionalFormatting>
  <conditionalFormatting sqref="J26:K26">
    <cfRule type="expression" dxfId="25" priority="11">
      <formula>$A$26="concentration of CaCl₂ is"</formula>
    </cfRule>
  </conditionalFormatting>
  <conditionalFormatting sqref="N30:P36 N37 N38:P42">
    <cfRule type="cellIs" dxfId="24" priority="9" operator="equal">
      <formula>0</formula>
    </cfRule>
  </conditionalFormatting>
  <conditionalFormatting sqref="N44:P45">
    <cfRule type="containsText" dxfId="23" priority="19" stopIfTrue="1" operator="containsText" text="ERROR!">
      <formula>NOT(ISERROR(SEARCH("ERROR!",N44)))</formula>
    </cfRule>
    <cfRule type="containsText" dxfId="22" priority="20" stopIfTrue="1" operator="containsText" text="Correct">
      <formula>NOT(ISERROR(SEARCH("Correct",N44)))</formula>
    </cfRule>
  </conditionalFormatting>
  <conditionalFormatting sqref="Q26:R26">
    <cfRule type="expression" dxfId="21" priority="10">
      <formula>$A$26="concentration of CaCl₂ is"</formula>
    </cfRule>
  </conditionalFormatting>
  <conditionalFormatting sqref="AA37:AB37">
    <cfRule type="cellIs" dxfId="20" priority="3" operator="equal">
      <formula>"Yes"</formula>
    </cfRule>
    <cfRule type="cellIs" dxfId="19" priority="4" operator="equal">
      <formula>"No"</formula>
    </cfRule>
  </conditionalFormatting>
  <conditionalFormatting sqref="AA31:AC36 AA37:AB37 AA38:AC44 AC45">
    <cfRule type="cellIs" dxfId="18" priority="8" stopIfTrue="1" operator="equal">
      <formula>0</formula>
    </cfRule>
  </conditionalFormatting>
  <conditionalFormatting sqref="AA36:AC36">
    <cfRule type="cellIs" dxfId="17" priority="2" operator="equal">
      <formula>"Yes"</formula>
    </cfRule>
    <cfRule type="cellIs" dxfId="16" priority="5" operator="equal">
      <formula>"No"</formula>
    </cfRule>
  </conditionalFormatting>
  <dataValidations count="19">
    <dataValidation type="list" allowBlank="1" showInputMessage="1" showErrorMessage="1" sqref="V4:AB4" xr:uid="{D456F229-272A-4639-8E38-9944EB1ED62C}">
      <formula1>"Crawfordsville, Fort Wayne, Greenfield, LaPorte, Seymour, Vincennes"</formula1>
    </dataValidation>
    <dataValidation type="list" allowBlank="1" showInputMessage="1" showErrorMessage="1" sqref="S9:U11" xr:uid="{EFAAA052-225E-4C11-AFC4-7C31979105BE}">
      <formula1>"#8, #11,#12, #23, QA#3, QA#4, QA#5"</formula1>
    </dataValidation>
    <dataValidation type="list" allowBlank="1" showInputMessage="1" showErrorMessage="1" sqref="U15:Y17" xr:uid="{8872E945-4FE6-4B26-A401-8CEE0B830C8B}">
      <formula1>$AG$19:$AG$35</formula1>
    </dataValidation>
    <dataValidation type="date" operator="lessThan" allowBlank="1" showInputMessage="1" showErrorMessage="1" sqref="P11:R11" xr:uid="{62B2C610-79BF-4BB0-80E7-FA43173DD399}">
      <formula1>54877</formula1>
    </dataValidation>
    <dataValidation allowBlank="1" showInputMessage="1" showErrorMessage="1" promptTitle="Entry Applies to 506 Concrete" prompt="Enter the weight of the CaCl Type L in lbs/gallon. This weight is based on the concentration of the solution." sqref="Q26" xr:uid="{17E8097D-CD7B-4E6C-9532-DEBC59E23A19}"/>
    <dataValidation allowBlank="1" showInputMessage="1" showErrorMessage="1" promptTitle="Entry Applies to 506 Concrete" prompt="Enter the concentration  of the CaCl solution as a percentage." sqref="J26:K26" xr:uid="{0ACFC1A2-6E8D-40A4-87E2-B54B7AE4A474}"/>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0:AC24" xr:uid="{721B0F08-A8BD-4D17-AAF7-E441A040B412}"/>
    <dataValidation allowBlank="1" showInputMessage="1" showErrorMessage="1" promptTitle="Dosage Range" prompt="The dosage range for AEA or chemical admixtures may not exceed what is stated on the approved list of PCC Admixtures and Admixture Systems. Use of CaCl solution must also be indicated in units of fluid oz. / cwt. " sqref="X25:AC25" xr:uid="{9252C97F-D72E-44F9-8A0D-272F5BA598CB}"/>
    <dataValidation allowBlank="1" showInputMessage="1" showErrorMessage="1" promptTitle="INDOT Approved Ledges" prompt="This cell is applicable to AP Quality coarse aggregate only. Please insert the location of the mining operations for the coarse aggregate (e.g. ledges, levels, areas)." sqref="AA11:AC11" xr:uid="{09054B08-59F2-4D0B-AACD-ADD49B112CFC}"/>
    <dataValidation type="list" allowBlank="1" showInputMessage="1" showErrorMessage="1" sqref="Y9:Z11" xr:uid="{CF6C1AB4-1F1B-4C7C-9840-401F09F08370}">
      <formula1>"AP, A"</formula1>
    </dataValidation>
    <dataValidation type="list" allowBlank="1" showInputMessage="1" showErrorMessage="1" sqref="V9:X11" xr:uid="{4EA5BBF3-4AF8-440A-A9C7-AFD9CE00BC94}">
      <formula1>"CS, Gvl, CGvl, BF, NS"</formula1>
    </dataValidation>
    <dataValidation allowBlank="1" showInputMessage="1" showErrorMessage="1" promptTitle="Entry Applies to 501 Concrete" prompt="Review QA coarse aggregate gradation. Enter the percentage of dry aggregate passing the 1 inch sieve." sqref="K12:L12" xr:uid="{3AE573A2-5575-4F28-A022-559B4D83A2C9}"/>
    <dataValidation allowBlank="1" showInputMessage="1" showErrorMessage="1" promptTitle="Entry Applies to 501 Concrete" prompt="Review fine aggregate gradation. Enter the percentage of dry material passing the specified sieve." sqref="AB12:AC12" xr:uid="{EC2AC386-7953-4F5B-8716-39A86C0D733E}"/>
    <dataValidation allowBlank="1" showInputMessage="1" showErrorMessage="1" promptTitle="Entry Applies to 501 Concrete" prompt="Review coarse aggregate gradation. Enter the percentage of dry material passing the specified sieve." sqref="W12" xr:uid="{EB831A3C-6392-48AD-9DBE-6577909B6560}"/>
    <dataValidation type="list" allowBlank="1" showInputMessage="1" showErrorMessage="1" sqref="V5:AC5" xr:uid="{71D7703B-EF20-453D-BF74-9993B1331334}">
      <formula1>"CMDS,CMDP,CMDS(2),CMDP(2),CMDS(3),CMDP(3),CMDS(4),CMDP(4)"</formula1>
    </dataValidation>
    <dataValidation allowBlank="1" sqref="N44:P45" xr:uid="{052C6116-267D-4AAB-B5D4-545A46FCC6BB}"/>
    <dataValidation type="list" allowBlank="1" showInputMessage="1" showErrorMessage="1" sqref="AA17:AC17" xr:uid="{CD4ACD3E-0486-436F-8A6C-4E03BEE283E3}">
      <formula1>"potable, non-potable"</formula1>
    </dataValidation>
    <dataValidation type="list" allowBlank="1" showInputMessage="1" showErrorMessage="1" sqref="AA15:AC15" xr:uid="{329EC6ED-F5A3-4F1C-BAA3-3B587AA28DCC}">
      <formula1>"pub. utility, well, pond"</formula1>
    </dataValidation>
    <dataValidation type="list" allowBlank="1" showInputMessage="1" showErrorMessage="1" sqref="V6:AC6" xr:uid="{8EE6EBE9-CDE3-4D6D-A395-6B0C16501AD9}">
      <formula1>$AG$51:$AG$54</formula1>
    </dataValidation>
  </dataValidations>
  <printOptions horizontalCentered="1" verticalCentered="1"/>
  <pageMargins left="0.5" right="0" top="0" bottom="0" header="0" footer="0"/>
  <pageSetup scale="83"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6733A1C-E661-413C-8E5C-F53C35613777}">
          <x14:formula1>
            <xm:f>'AGG SOURCES'!$A$1:$A$292</xm:f>
          </x14:formula1>
          <xm:sqref>D9:O11</xm:sqref>
        </x14:dataValidation>
        <x14:dataValidation type="list" allowBlank="1" showInputMessage="1" showErrorMessage="1" xr:uid="{65C5998B-F268-465F-88CA-8CAB461E4FEA}">
          <x14:formula1>
            <xm:f>Sheet2!$L$47:$L$48</xm:f>
          </x14:formula1>
          <xm:sqref>U25:W25</xm:sqref>
        </x14:dataValidation>
        <x14:dataValidation type="list" allowBlank="1" showInputMessage="1" showErrorMessage="1" xr:uid="{D1CC64AB-6330-44AD-9F15-B7BAB4AE84CE}">
          <x14:formula1>
            <xm:f>'CEMENT &amp; POZZOLAN SOURCES'!$A$1:$A$88</xm:f>
          </x14:formula1>
          <xm:sqref>D15:T17</xm:sqref>
        </x14:dataValidation>
        <x14:dataValidation type="list" allowBlank="1" showInputMessage="1" showErrorMessage="1" xr:uid="{30BF72B8-0D62-414A-9B37-D123E984D297}">
          <x14:formula1>
            <xm:f>ADMIXTURES!$A$1:$A$308</xm:f>
          </x14:formula1>
          <xm:sqref>M20:T24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BF60"/>
  <sheetViews>
    <sheetView zoomScaleNormal="100" workbookViewId="0">
      <selection activeCell="C8" sqref="C8"/>
    </sheetView>
  </sheetViews>
  <sheetFormatPr defaultRowHeight="12.75" x14ac:dyDescent="0.2"/>
  <cols>
    <col min="1" max="1" width="3.7109375" customWidth="1"/>
    <col min="2" max="2" width="19.42578125" customWidth="1"/>
    <col min="3" max="10" width="12.7109375" style="1" customWidth="1"/>
    <col min="11" max="11" width="12.7109375" customWidth="1"/>
    <col min="12" max="12" width="12" customWidth="1"/>
    <col min="13" max="13" width="13" customWidth="1"/>
    <col min="14" max="15" width="7.7109375" customWidth="1"/>
    <col min="16" max="17" width="9.140625" customWidth="1"/>
    <col min="18" max="20" width="9.140625" style="206" customWidth="1"/>
    <col min="21" max="21" width="9.7109375" style="206" bestFit="1" customWidth="1"/>
    <col min="22" max="22" width="16.5703125" style="206" bestFit="1" customWidth="1"/>
    <col min="23" max="23" width="9.5703125" style="206" bestFit="1" customWidth="1"/>
    <col min="24" max="24" width="16.5703125" style="206" bestFit="1" customWidth="1"/>
    <col min="25" max="26" width="10.28515625" style="206" customWidth="1"/>
    <col min="27" max="28" width="9.140625" style="207" customWidth="1"/>
    <col min="29" max="29" width="9.140625" customWidth="1"/>
    <col min="30" max="30" width="23.28515625" bestFit="1" customWidth="1"/>
    <col min="34" max="58" width="9.140625" style="207"/>
  </cols>
  <sheetData>
    <row r="1" spans="2:32" ht="16.5" customHeight="1" x14ac:dyDescent="0.2">
      <c r="B1" s="70"/>
      <c r="C1" s="88"/>
      <c r="D1" s="88"/>
      <c r="E1" s="88"/>
      <c r="F1" s="88"/>
      <c r="G1" s="88"/>
      <c r="H1" s="88"/>
      <c r="I1" s="88"/>
      <c r="J1" s="88"/>
      <c r="K1" s="89"/>
      <c r="L1" s="89"/>
      <c r="M1" s="89"/>
      <c r="O1" s="316" t="str">
        <f>CMDS!AA60</f>
        <v>v14q.4.8.2025</v>
      </c>
      <c r="P1" s="316"/>
      <c r="Q1" s="316"/>
      <c r="AD1" s="4" t="s">
        <v>1560</v>
      </c>
    </row>
    <row r="2" spans="2:32" ht="21.75" customHeight="1" x14ac:dyDescent="0.2">
      <c r="B2" s="97" t="s">
        <v>81</v>
      </c>
      <c r="C2" s="927" t="s">
        <v>82</v>
      </c>
      <c r="D2" s="929"/>
      <c r="E2" s="928"/>
      <c r="F2" s="927" t="s">
        <v>245</v>
      </c>
      <c r="G2" s="928"/>
      <c r="H2" s="927" t="s">
        <v>249</v>
      </c>
      <c r="I2" s="929"/>
      <c r="J2" s="930" t="s">
        <v>339</v>
      </c>
      <c r="K2" s="931"/>
      <c r="L2" s="936" t="s">
        <v>340</v>
      </c>
      <c r="M2" s="937"/>
      <c r="AD2" s="4" t="s">
        <v>1581</v>
      </c>
      <c r="AE2" s="5">
        <f>(CMDS!N30+CMDS!N31+CMDS!N32+CMDS!N33+CMDS!N41)/27</f>
        <v>0</v>
      </c>
    </row>
    <row r="3" spans="2:32" ht="15" customHeight="1" x14ac:dyDescent="0.2">
      <c r="B3" s="75" t="s">
        <v>341</v>
      </c>
      <c r="C3" s="942" t="e">
        <f>CMDS!E35/SUM(CMDS!E35:G38)</f>
        <v>#DIV/0!</v>
      </c>
      <c r="D3" s="944"/>
      <c r="E3" s="943"/>
      <c r="F3" s="942" t="e">
        <f>CMDS!E36/SUM(CMDS!E35:G38)</f>
        <v>#DIV/0!</v>
      </c>
      <c r="G3" s="943"/>
      <c r="H3" s="944" t="e">
        <f>CMDS!E38/SUM(CMDS!E35:G38)</f>
        <v>#DIV/0!</v>
      </c>
      <c r="I3" s="944"/>
      <c r="J3" s="932"/>
      <c r="K3" s="933"/>
      <c r="L3" s="938"/>
      <c r="M3" s="939"/>
      <c r="AD3" s="4" t="s">
        <v>1580</v>
      </c>
      <c r="AE3" s="216">
        <f>(CMDS!N30+CMDS!N31+CMDS!N32+CMDS!N33+CMDS!N41+CMDS!N42)/27</f>
        <v>6.5000000000000002E-2</v>
      </c>
    </row>
    <row r="4" spans="2:32" ht="15" customHeight="1" x14ac:dyDescent="0.2">
      <c r="B4" s="76" t="s">
        <v>342</v>
      </c>
      <c r="C4" s="942" t="e">
        <f>CMDS!N35/SUM(CMDS!N35:P38)</f>
        <v>#DIV/0!</v>
      </c>
      <c r="D4" s="944"/>
      <c r="E4" s="943"/>
      <c r="F4" s="942" t="e">
        <f>CMDS!N36/SUM(CMDS!N35:P38)</f>
        <v>#DIV/0!</v>
      </c>
      <c r="G4" s="943"/>
      <c r="H4" s="944" t="e">
        <f>CMDS!N38/SUM(CMDS!N35:P38)</f>
        <v>#DIV/0!</v>
      </c>
      <c r="I4" s="944"/>
      <c r="J4" s="934"/>
      <c r="K4" s="935"/>
      <c r="L4" s="940"/>
      <c r="M4" s="941"/>
      <c r="N4" s="320" t="s">
        <v>343</v>
      </c>
      <c r="O4" s="316"/>
      <c r="T4" s="208"/>
      <c r="U4" s="208"/>
      <c r="V4" s="208"/>
      <c r="W4" s="208"/>
      <c r="X4" s="208"/>
      <c r="Y4" s="926" t="s">
        <v>1579</v>
      </c>
      <c r="Z4" s="926"/>
    </row>
    <row r="5" spans="2:32" ht="31.5" customHeight="1" x14ac:dyDescent="0.25">
      <c r="B5" s="81" t="s">
        <v>344</v>
      </c>
      <c r="C5" s="77" t="s">
        <v>345</v>
      </c>
      <c r="D5" s="78" t="s">
        <v>346</v>
      </c>
      <c r="E5" s="78" t="s">
        <v>347</v>
      </c>
      <c r="F5" s="77" t="s">
        <v>345</v>
      </c>
      <c r="G5" s="79" t="s">
        <v>346</v>
      </c>
      <c r="H5" s="77" t="s">
        <v>345</v>
      </c>
      <c r="I5" s="78" t="s">
        <v>346</v>
      </c>
      <c r="J5" s="98" t="s">
        <v>345</v>
      </c>
      <c r="K5" s="99" t="s">
        <v>346</v>
      </c>
      <c r="L5" s="80" t="s">
        <v>345</v>
      </c>
      <c r="M5" s="79" t="s">
        <v>346</v>
      </c>
      <c r="N5" s="204" t="s">
        <v>348</v>
      </c>
      <c r="O5" s="74" t="s">
        <v>349</v>
      </c>
      <c r="T5" s="209" t="s">
        <v>1574</v>
      </c>
      <c r="U5" s="210" t="s">
        <v>1575</v>
      </c>
      <c r="V5" s="210" t="s">
        <v>1577</v>
      </c>
      <c r="W5" s="209" t="s">
        <v>1576</v>
      </c>
      <c r="X5" s="209" t="s">
        <v>1578</v>
      </c>
      <c r="Y5" s="211" t="s">
        <v>349</v>
      </c>
      <c r="Z5" s="211" t="s">
        <v>348</v>
      </c>
      <c r="AD5" s="4" t="s">
        <v>1559</v>
      </c>
    </row>
    <row r="6" spans="2:32" ht="15" customHeight="1" x14ac:dyDescent="0.2">
      <c r="B6" s="82" t="s">
        <v>350</v>
      </c>
      <c r="C6" s="191"/>
      <c r="D6" s="68">
        <f>100-C6</f>
        <v>100</v>
      </c>
      <c r="E6" s="68"/>
      <c r="F6" s="191"/>
      <c r="G6" s="69">
        <f>100-F6</f>
        <v>100</v>
      </c>
      <c r="H6" s="190"/>
      <c r="I6" s="83">
        <f>100-H6</f>
        <v>100</v>
      </c>
      <c r="J6" s="100" t="e">
        <f t="shared" ref="J6:J18" si="0">C$3*C6+F$3*F6+H$3*H6</f>
        <v>#DIV/0!</v>
      </c>
      <c r="K6" s="101" t="e">
        <f t="shared" ref="K6:K18" si="1">C$3*D6+F$3*G6+H$3*I6</f>
        <v>#DIV/0!</v>
      </c>
      <c r="L6" s="71" t="e">
        <f t="shared" ref="L6:L18" si="2">C$4*C6+F$4*F6+H$4*H6</f>
        <v>#DIV/0!</v>
      </c>
      <c r="M6" s="69" t="e">
        <f t="shared" ref="M6:M18" si="3">C$4*D6+F$4*G6+H$4*I6</f>
        <v>#DIV/0!</v>
      </c>
      <c r="T6" s="212" t="str">
        <f>B6</f>
        <v>2"</v>
      </c>
      <c r="U6" s="213">
        <v>50</v>
      </c>
      <c r="V6" s="214">
        <f>U6^0.45</f>
        <v>5.8148230317277987</v>
      </c>
      <c r="W6" s="215" t="e">
        <f>L6</f>
        <v>#DIV/0!</v>
      </c>
      <c r="X6" s="215">
        <f>100*(U6/25)^0.45</f>
        <v>136.60402567543954</v>
      </c>
      <c r="Y6" s="215">
        <f>100*(U6/37.5)^0.45</f>
        <v>113.82100906616924</v>
      </c>
      <c r="Z6" s="215">
        <f>100*(U6/19)^0.45</f>
        <v>154.56009696195599</v>
      </c>
      <c r="AD6" s="4" t="s">
        <v>1583</v>
      </c>
      <c r="AE6" s="216">
        <f>(CMDS!N30+CMDS!N31+CMDS!N32+CMDS!N33+CMDS!N35+CMDS!N41)/27</f>
        <v>0</v>
      </c>
      <c r="AF6" s="4"/>
    </row>
    <row r="7" spans="2:32" ht="15" customHeight="1" x14ac:dyDescent="0.2">
      <c r="B7" s="82" t="s">
        <v>351</v>
      </c>
      <c r="C7" s="192"/>
      <c r="D7" s="68">
        <f t="shared" ref="D7:D18" si="4">C6-C7</f>
        <v>0</v>
      </c>
      <c r="E7" s="68"/>
      <c r="F7" s="192"/>
      <c r="G7" s="69">
        <f>F6-F7</f>
        <v>0</v>
      </c>
      <c r="H7" s="190"/>
      <c r="I7" s="68">
        <f>H6-H7</f>
        <v>0</v>
      </c>
      <c r="J7" s="102" t="e">
        <f t="shared" si="0"/>
        <v>#DIV/0!</v>
      </c>
      <c r="K7" s="101" t="e">
        <f t="shared" si="1"/>
        <v>#DIV/0!</v>
      </c>
      <c r="L7" s="71" t="e">
        <f t="shared" si="2"/>
        <v>#DIV/0!</v>
      </c>
      <c r="M7" s="69" t="e">
        <f t="shared" si="3"/>
        <v>#DIV/0!</v>
      </c>
      <c r="N7" s="67">
        <v>0</v>
      </c>
      <c r="O7" s="67">
        <v>0</v>
      </c>
      <c r="R7" s="206" t="e">
        <f>IF(AND(M7&gt;=0,M7&lt;=0),"0","1")</f>
        <v>#DIV/0!</v>
      </c>
      <c r="T7" s="212" t="str">
        <f t="shared" ref="T7:T19" si="5">B7</f>
        <v>1.5"</v>
      </c>
      <c r="U7" s="213">
        <v>37.5</v>
      </c>
      <c r="V7" s="214">
        <f t="shared" ref="V7:V18" si="6">U7^0.45</f>
        <v>5.1087431744234335</v>
      </c>
      <c r="W7" s="215" t="e">
        <f t="shared" ref="W7:W18" si="7">L7</f>
        <v>#DIV/0!</v>
      </c>
      <c r="X7" s="215">
        <f t="shared" ref="X7:X18" si="8">100*(U7/25)^0.45</f>
        <v>120.0165301609877</v>
      </c>
      <c r="Y7" s="215">
        <f t="shared" ref="Y7:Y18" si="9">100*(U7/37.5)^0.45</f>
        <v>100</v>
      </c>
      <c r="Z7" s="215">
        <f t="shared" ref="Z7:Z18" si="10">100*(U7/19)^0.45</f>
        <v>135.7922392623521</v>
      </c>
      <c r="AD7" s="4" t="s">
        <v>1582</v>
      </c>
      <c r="AE7" s="216">
        <f>(CMDS!N30+CMDS!N31+CMDS!N32+CMDS!N33+CMDS!N35+CMDS!N41+CMDS!N42)/27</f>
        <v>6.5000000000000002E-2</v>
      </c>
    </row>
    <row r="8" spans="2:32" ht="15" customHeight="1" x14ac:dyDescent="0.2">
      <c r="B8" s="82" t="s">
        <v>352</v>
      </c>
      <c r="C8" s="192"/>
      <c r="D8" s="68">
        <f t="shared" si="4"/>
        <v>0</v>
      </c>
      <c r="E8" s="68"/>
      <c r="F8" s="192"/>
      <c r="G8" s="69">
        <f>F7-F8</f>
        <v>0</v>
      </c>
      <c r="H8" s="190"/>
      <c r="I8" s="68">
        <f>H7-H8</f>
        <v>0</v>
      </c>
      <c r="J8" s="102" t="e">
        <f t="shared" si="0"/>
        <v>#DIV/0!</v>
      </c>
      <c r="K8" s="101" t="e">
        <f t="shared" si="1"/>
        <v>#DIV/0!</v>
      </c>
      <c r="L8" s="71" t="e">
        <f t="shared" si="2"/>
        <v>#DIV/0!</v>
      </c>
      <c r="M8" s="69" t="e">
        <f t="shared" si="3"/>
        <v>#DIV/0!</v>
      </c>
      <c r="N8" s="67">
        <v>0</v>
      </c>
      <c r="O8" s="67">
        <v>16</v>
      </c>
      <c r="R8" s="206" t="e">
        <f>IF(AND(M8&gt;=0,M8&lt;=16.4),"0","1")</f>
        <v>#DIV/0!</v>
      </c>
      <c r="T8" s="212" t="str">
        <f t="shared" si="5"/>
        <v>1"</v>
      </c>
      <c r="U8" s="213">
        <v>25</v>
      </c>
      <c r="V8" s="214">
        <f t="shared" si="6"/>
        <v>4.2566996126039234</v>
      </c>
      <c r="W8" s="215" t="e">
        <f t="shared" si="7"/>
        <v>#DIV/0!</v>
      </c>
      <c r="X8" s="215">
        <f t="shared" si="8"/>
        <v>100</v>
      </c>
      <c r="Y8" s="215">
        <f t="shared" si="9"/>
        <v>83.321855635937851</v>
      </c>
      <c r="Z8" s="215">
        <f t="shared" si="10"/>
        <v>113.14461356298435</v>
      </c>
      <c r="AD8" s="4" t="s">
        <v>1561</v>
      </c>
      <c r="AE8" s="216">
        <v>0.55000000000000004</v>
      </c>
    </row>
    <row r="9" spans="2:32" ht="15" customHeight="1" x14ac:dyDescent="0.2">
      <c r="B9" s="82" t="s">
        <v>353</v>
      </c>
      <c r="C9" s="192"/>
      <c r="D9" s="68">
        <f t="shared" si="4"/>
        <v>0</v>
      </c>
      <c r="E9" s="68"/>
      <c r="F9" s="192"/>
      <c r="G9" s="69">
        <f>F8-F9</f>
        <v>0</v>
      </c>
      <c r="H9" s="190"/>
      <c r="I9" s="68">
        <f t="shared" ref="I9:I17" si="11">H8-H9</f>
        <v>0</v>
      </c>
      <c r="J9" s="102" t="e">
        <f t="shared" si="0"/>
        <v>#DIV/0!</v>
      </c>
      <c r="K9" s="101" t="e">
        <f t="shared" si="1"/>
        <v>#DIV/0!</v>
      </c>
      <c r="L9" s="71" t="e">
        <f t="shared" si="2"/>
        <v>#DIV/0!</v>
      </c>
      <c r="M9" s="69" t="e">
        <f t="shared" si="3"/>
        <v>#DIV/0!</v>
      </c>
      <c r="N9" s="67">
        <v>0</v>
      </c>
      <c r="O9" s="67">
        <v>20</v>
      </c>
      <c r="R9" s="206" t="e">
        <f>IF(AND(M9&gt;=0,M9&lt;=20.4),"0","1")</f>
        <v>#DIV/0!</v>
      </c>
      <c r="T9" s="212" t="str">
        <f t="shared" si="5"/>
        <v>3/4"</v>
      </c>
      <c r="U9" s="213">
        <v>19</v>
      </c>
      <c r="V9" s="214">
        <f t="shared" si="6"/>
        <v>3.7621761023862978</v>
      </c>
      <c r="W9" s="215" t="e">
        <f t="shared" si="7"/>
        <v>#DIV/0!</v>
      </c>
      <c r="X9" s="215">
        <f t="shared" si="8"/>
        <v>88.382466341919923</v>
      </c>
      <c r="Y9" s="215">
        <f t="shared" si="9"/>
        <v>73.641911012895903</v>
      </c>
      <c r="Z9" s="215">
        <f t="shared" si="10"/>
        <v>100</v>
      </c>
      <c r="AD9" s="4" t="s">
        <v>1562</v>
      </c>
      <c r="AE9" s="216">
        <v>0.56999999999999995</v>
      </c>
    </row>
    <row r="10" spans="2:32" ht="15" customHeight="1" x14ac:dyDescent="0.2">
      <c r="B10" s="82" t="s">
        <v>354</v>
      </c>
      <c r="C10" s="192"/>
      <c r="D10" s="68">
        <f t="shared" si="4"/>
        <v>0</v>
      </c>
      <c r="E10" s="68"/>
      <c r="F10" s="192"/>
      <c r="G10" s="69">
        <f t="shared" ref="G10:G17" si="12">F9-F10</f>
        <v>0</v>
      </c>
      <c r="H10" s="190"/>
      <c r="I10" s="68">
        <f t="shared" si="11"/>
        <v>0</v>
      </c>
      <c r="J10" s="102" t="e">
        <f>C$3*C10+F$3*F10+H$3*H10</f>
        <v>#DIV/0!</v>
      </c>
      <c r="K10" s="101" t="e">
        <f t="shared" si="1"/>
        <v>#DIV/0!</v>
      </c>
      <c r="L10" s="71" t="e">
        <f t="shared" si="2"/>
        <v>#DIV/0!</v>
      </c>
      <c r="M10" s="69" t="e">
        <f t="shared" si="3"/>
        <v>#DIV/0!</v>
      </c>
      <c r="N10" s="67">
        <v>4</v>
      </c>
      <c r="O10" s="67">
        <v>20</v>
      </c>
      <c r="R10" s="206" t="e">
        <f>IF(AND(M10&gt;=3.5,M10&lt;=20.4),"0","1")</f>
        <v>#DIV/0!</v>
      </c>
      <c r="T10" s="212" t="str">
        <f t="shared" si="5"/>
        <v>1/2"</v>
      </c>
      <c r="U10" s="213">
        <v>12.5</v>
      </c>
      <c r="V10" s="214">
        <f t="shared" si="6"/>
        <v>3.116086507375345</v>
      </c>
      <c r="W10" s="215" t="e">
        <f t="shared" si="7"/>
        <v>#DIV/0!</v>
      </c>
      <c r="X10" s="215">
        <f t="shared" si="8"/>
        <v>73.204284797281275</v>
      </c>
      <c r="Y10" s="215">
        <f t="shared" si="9"/>
        <v>60.995168498111511</v>
      </c>
      <c r="Z10" s="215">
        <f t="shared" si="10"/>
        <v>82.826705145430395</v>
      </c>
    </row>
    <row r="11" spans="2:32" ht="15" customHeight="1" x14ac:dyDescent="0.2">
      <c r="B11" s="82" t="s">
        <v>355</v>
      </c>
      <c r="C11" s="192"/>
      <c r="D11" s="68">
        <f t="shared" si="4"/>
        <v>0</v>
      </c>
      <c r="E11" s="68"/>
      <c r="F11" s="192"/>
      <c r="G11" s="69">
        <f t="shared" si="12"/>
        <v>0</v>
      </c>
      <c r="H11" s="190"/>
      <c r="I11" s="68">
        <f>H10-H11</f>
        <v>0</v>
      </c>
      <c r="J11" s="102" t="e">
        <f t="shared" si="0"/>
        <v>#DIV/0!</v>
      </c>
      <c r="K11" s="101" t="e">
        <f t="shared" si="1"/>
        <v>#DIV/0!</v>
      </c>
      <c r="L11" s="71" t="e">
        <f>C$4*C11+F$4*F11+H$4*H11</f>
        <v>#DIV/0!</v>
      </c>
      <c r="M11" s="69" t="e">
        <f t="shared" si="3"/>
        <v>#DIV/0!</v>
      </c>
      <c r="N11" s="67">
        <v>4</v>
      </c>
      <c r="O11" s="67">
        <v>20</v>
      </c>
      <c r="R11" s="206" t="e">
        <f>IF(AND(M11&gt;=3.5,M11&lt;=20.4),"0","1")</f>
        <v>#DIV/0!</v>
      </c>
      <c r="T11" s="212" t="str">
        <f t="shared" si="5"/>
        <v>3/8"</v>
      </c>
      <c r="U11" s="213">
        <v>9.5</v>
      </c>
      <c r="V11" s="214">
        <f t="shared" si="6"/>
        <v>2.754074108566122</v>
      </c>
      <c r="W11" s="215" t="e">
        <f t="shared" si="7"/>
        <v>#DIV/0!</v>
      </c>
      <c r="X11" s="215">
        <f t="shared" si="8"/>
        <v>64.699752371800329</v>
      </c>
      <c r="Y11" s="215">
        <f t="shared" si="9"/>
        <v>53.909034268040756</v>
      </c>
      <c r="Z11" s="215">
        <f t="shared" si="10"/>
        <v>73.204284797281275</v>
      </c>
      <c r="AD11" s="4" t="s">
        <v>1572</v>
      </c>
      <c r="AE11" s="19" t="e">
        <f>100*((100-L11)/(100-L13))</f>
        <v>#DIV/0!</v>
      </c>
    </row>
    <row r="12" spans="2:32" ht="15" customHeight="1" x14ac:dyDescent="0.2">
      <c r="B12" s="82" t="s">
        <v>356</v>
      </c>
      <c r="C12" s="192"/>
      <c r="D12" s="68">
        <f t="shared" si="4"/>
        <v>0</v>
      </c>
      <c r="E12" s="68">
        <f>D12</f>
        <v>0</v>
      </c>
      <c r="F12" s="192"/>
      <c r="G12" s="69">
        <f>F11-F12</f>
        <v>0</v>
      </c>
      <c r="H12" s="190"/>
      <c r="I12" s="68">
        <f t="shared" si="11"/>
        <v>0</v>
      </c>
      <c r="J12" s="102" t="e">
        <f>C$3*C12+F$3*F12+H$3*H12</f>
        <v>#DIV/0!</v>
      </c>
      <c r="K12" s="101" t="e">
        <f t="shared" si="1"/>
        <v>#DIV/0!</v>
      </c>
      <c r="L12" s="71" t="e">
        <f t="shared" si="2"/>
        <v>#DIV/0!</v>
      </c>
      <c r="M12" s="69" t="e">
        <f t="shared" si="3"/>
        <v>#DIV/0!</v>
      </c>
      <c r="N12" s="67">
        <v>4</v>
      </c>
      <c r="O12" s="67">
        <v>20</v>
      </c>
      <c r="R12" s="206" t="e">
        <f>IF(AND(M12&gt;=3.5,M12&lt;=20.4),"0","1")</f>
        <v>#DIV/0!</v>
      </c>
      <c r="T12" s="212" t="str">
        <f t="shared" si="5"/>
        <v>#4</v>
      </c>
      <c r="U12" s="213">
        <v>4.75</v>
      </c>
      <c r="V12" s="214">
        <f t="shared" si="6"/>
        <v>2.0161002539629291</v>
      </c>
      <c r="W12" s="215" t="e">
        <f t="shared" si="7"/>
        <v>#DIV/0!</v>
      </c>
      <c r="X12" s="215">
        <f t="shared" si="8"/>
        <v>47.36299098938845</v>
      </c>
      <c r="Y12" s="215">
        <f t="shared" si="9"/>
        <v>39.463722977040504</v>
      </c>
      <c r="Z12" s="215">
        <f t="shared" si="10"/>
        <v>53.588673126814655</v>
      </c>
      <c r="AD12" s="4" t="s">
        <v>1573</v>
      </c>
      <c r="AE12" s="19" t="e">
        <f>L13+2.5*(((SUM(CMDS!E30:G33)-564)/97))</f>
        <v>#DIV/0!</v>
      </c>
    </row>
    <row r="13" spans="2:32" ht="15" customHeight="1" x14ac:dyDescent="0.2">
      <c r="B13" s="82" t="s">
        <v>357</v>
      </c>
      <c r="C13" s="192"/>
      <c r="D13" s="68">
        <f t="shared" si="4"/>
        <v>0</v>
      </c>
      <c r="E13" s="68">
        <f>SUM(D12:D13)</f>
        <v>0</v>
      </c>
      <c r="F13" s="192"/>
      <c r="G13" s="69">
        <f t="shared" si="12"/>
        <v>0</v>
      </c>
      <c r="H13" s="190"/>
      <c r="I13" s="68">
        <f t="shared" si="11"/>
        <v>0</v>
      </c>
      <c r="J13" s="102" t="e">
        <f t="shared" si="0"/>
        <v>#DIV/0!</v>
      </c>
      <c r="K13" s="101" t="e">
        <f t="shared" si="1"/>
        <v>#DIV/0!</v>
      </c>
      <c r="L13" s="71" t="e">
        <f t="shared" si="2"/>
        <v>#DIV/0!</v>
      </c>
      <c r="M13" s="69" t="e">
        <f t="shared" si="3"/>
        <v>#DIV/0!</v>
      </c>
      <c r="N13" s="67">
        <v>0</v>
      </c>
      <c r="O13" s="67">
        <v>12</v>
      </c>
      <c r="R13" s="206" t="e">
        <f>IF(AND(M13&gt;=0,M13&lt;=12.4),"0","1")</f>
        <v>#DIV/0!</v>
      </c>
      <c r="T13" s="212" t="str">
        <f t="shared" si="5"/>
        <v>#8</v>
      </c>
      <c r="U13" s="213">
        <v>2.36</v>
      </c>
      <c r="V13" s="214">
        <f t="shared" si="6"/>
        <v>1.4716698795820382</v>
      </c>
      <c r="W13" s="215" t="e">
        <f t="shared" si="7"/>
        <v>#DIV/0!</v>
      </c>
      <c r="X13" s="215">
        <f t="shared" si="8"/>
        <v>34.573026370582518</v>
      </c>
      <c r="Y13" s="215">
        <f t="shared" si="9"/>
        <v>28.80688712147149</v>
      </c>
      <c r="Z13" s="215">
        <f t="shared" si="10"/>
        <v>39.117517084024257</v>
      </c>
    </row>
    <row r="14" spans="2:32" ht="15" customHeight="1" x14ac:dyDescent="0.2">
      <c r="B14" s="82" t="s">
        <v>358</v>
      </c>
      <c r="C14" s="192"/>
      <c r="D14" s="68">
        <f t="shared" si="4"/>
        <v>0</v>
      </c>
      <c r="E14" s="68">
        <f>SUM(D12:D14)</f>
        <v>0</v>
      </c>
      <c r="F14" s="192"/>
      <c r="G14" s="69">
        <f t="shared" si="12"/>
        <v>0</v>
      </c>
      <c r="H14" s="190"/>
      <c r="I14" s="68">
        <f t="shared" si="11"/>
        <v>0</v>
      </c>
      <c r="J14" s="102" t="e">
        <f t="shared" si="0"/>
        <v>#DIV/0!</v>
      </c>
      <c r="K14" s="101" t="e">
        <f t="shared" si="1"/>
        <v>#DIV/0!</v>
      </c>
      <c r="L14" s="71" t="e">
        <f t="shared" si="2"/>
        <v>#DIV/0!</v>
      </c>
      <c r="M14" s="69" t="e">
        <f t="shared" si="3"/>
        <v>#DIV/0!</v>
      </c>
      <c r="N14" s="67">
        <v>0</v>
      </c>
      <c r="O14" s="67">
        <v>12</v>
      </c>
      <c r="R14" s="206" t="e">
        <f>IF(AND(M14&gt;=0,M14&lt;=12.4),"0","1")</f>
        <v>#DIV/0!</v>
      </c>
      <c r="T14" s="212" t="str">
        <f t="shared" si="5"/>
        <v>#16</v>
      </c>
      <c r="U14" s="213">
        <v>1.18</v>
      </c>
      <c r="V14" s="214">
        <f t="shared" si="6"/>
        <v>1.0773254099250416</v>
      </c>
      <c r="W14" s="215" t="e">
        <f t="shared" si="7"/>
        <v>#DIV/0!</v>
      </c>
      <c r="X14" s="215">
        <f t="shared" si="8"/>
        <v>25.308936687360383</v>
      </c>
      <c r="Y14" s="215">
        <f t="shared" si="9"/>
        <v>21.087875689633332</v>
      </c>
      <c r="Z14" s="215">
        <f t="shared" si="10"/>
        <v>28.635698611814277</v>
      </c>
    </row>
    <row r="15" spans="2:32" ht="15" customHeight="1" x14ac:dyDescent="0.2">
      <c r="B15" s="82" t="s">
        <v>359</v>
      </c>
      <c r="C15" s="192"/>
      <c r="D15" s="68">
        <f t="shared" si="4"/>
        <v>0</v>
      </c>
      <c r="E15" s="68">
        <f>SUM(D12:D15)</f>
        <v>0</v>
      </c>
      <c r="F15" s="192"/>
      <c r="G15" s="69">
        <f t="shared" si="12"/>
        <v>0</v>
      </c>
      <c r="H15" s="190"/>
      <c r="I15" s="68">
        <f t="shared" si="11"/>
        <v>0</v>
      </c>
      <c r="J15" s="102" t="e">
        <f t="shared" si="0"/>
        <v>#DIV/0!</v>
      </c>
      <c r="K15" s="101" t="e">
        <f t="shared" si="1"/>
        <v>#DIV/0!</v>
      </c>
      <c r="L15" s="71" t="e">
        <f t="shared" si="2"/>
        <v>#DIV/0!</v>
      </c>
      <c r="M15" s="69" t="e">
        <f>C$4*D15+F$4*G15+H$4*I15</f>
        <v>#DIV/0!</v>
      </c>
      <c r="N15" s="67">
        <v>4</v>
      </c>
      <c r="O15" s="67">
        <v>20</v>
      </c>
      <c r="R15" s="206" t="e">
        <f>IF(AND(M15&gt;=3.5,M15&lt;=20.4),"0","1")</f>
        <v>#DIV/0!</v>
      </c>
      <c r="T15" s="212" t="str">
        <f t="shared" si="5"/>
        <v>#30</v>
      </c>
      <c r="U15" s="213">
        <v>0.6</v>
      </c>
      <c r="V15" s="214">
        <f t="shared" si="6"/>
        <v>0.79463568224020453</v>
      </c>
      <c r="W15" s="215" t="e">
        <f t="shared" si="7"/>
        <v>#DIV/0!</v>
      </c>
      <c r="X15" s="215">
        <f t="shared" si="8"/>
        <v>18.667882504260316</v>
      </c>
      <c r="Y15" s="215">
        <f t="shared" si="9"/>
        <v>15.554426110486281</v>
      </c>
      <c r="Z15" s="215">
        <f t="shared" si="10"/>
        <v>21.1217035198373</v>
      </c>
      <c r="AD15" s="197" t="s">
        <v>1563</v>
      </c>
      <c r="AE15" s="1"/>
    </row>
    <row r="16" spans="2:32" ht="15" customHeight="1" x14ac:dyDescent="0.2">
      <c r="B16" s="82" t="s">
        <v>360</v>
      </c>
      <c r="C16" s="192"/>
      <c r="D16" s="68">
        <f t="shared" si="4"/>
        <v>0</v>
      </c>
      <c r="E16" s="68">
        <f>SUM(D12:D16)</f>
        <v>0</v>
      </c>
      <c r="F16" s="192"/>
      <c r="G16" s="69">
        <f t="shared" si="12"/>
        <v>0</v>
      </c>
      <c r="H16" s="190"/>
      <c r="I16" s="68">
        <f t="shared" si="11"/>
        <v>0</v>
      </c>
      <c r="J16" s="102" t="e">
        <f t="shared" si="0"/>
        <v>#DIV/0!</v>
      </c>
      <c r="K16" s="101" t="e">
        <f t="shared" si="1"/>
        <v>#DIV/0!</v>
      </c>
      <c r="L16" s="71" t="e">
        <f t="shared" si="2"/>
        <v>#DIV/0!</v>
      </c>
      <c r="M16" s="69" t="e">
        <f t="shared" si="3"/>
        <v>#DIV/0!</v>
      </c>
      <c r="N16" s="67">
        <v>4</v>
      </c>
      <c r="O16" s="67">
        <v>20</v>
      </c>
      <c r="R16" s="206" t="e">
        <f>IF(AND(M16&gt;=3.5,M16&lt;=20.4),"0","1")</f>
        <v>#DIV/0!</v>
      </c>
      <c r="T16" s="212" t="str">
        <f t="shared" si="5"/>
        <v>#50</v>
      </c>
      <c r="U16" s="213">
        <v>0.3</v>
      </c>
      <c r="V16" s="214">
        <f t="shared" si="6"/>
        <v>0.58170736792793831</v>
      </c>
      <c r="W16" s="215" t="e">
        <f t="shared" si="7"/>
        <v>#DIV/0!</v>
      </c>
      <c r="X16" s="215">
        <f t="shared" si="8"/>
        <v>13.665689874040565</v>
      </c>
      <c r="Y16" s="215">
        <f t="shared" si="9"/>
        <v>11.386506388503056</v>
      </c>
      <c r="Z16" s="215">
        <f t="shared" si="10"/>
        <v>15.461991998699082</v>
      </c>
      <c r="AD16" s="197" t="s">
        <v>1564</v>
      </c>
      <c r="AE16" s="197" t="s">
        <v>1565</v>
      </c>
      <c r="AF16" s="4" t="s">
        <v>1566</v>
      </c>
    </row>
    <row r="17" spans="2:32" ht="15" customHeight="1" x14ac:dyDescent="0.2">
      <c r="B17" s="82" t="s">
        <v>361</v>
      </c>
      <c r="C17" s="192"/>
      <c r="D17" s="68">
        <f t="shared" si="4"/>
        <v>0</v>
      </c>
      <c r="E17" s="68">
        <f>SUM(D12:D17)</f>
        <v>0</v>
      </c>
      <c r="F17" s="192"/>
      <c r="G17" s="69">
        <f t="shared" si="12"/>
        <v>0</v>
      </c>
      <c r="H17" s="190"/>
      <c r="I17" s="68">
        <f t="shared" si="11"/>
        <v>0</v>
      </c>
      <c r="J17" s="102" t="e">
        <f t="shared" si="0"/>
        <v>#DIV/0!</v>
      </c>
      <c r="K17" s="101" t="e">
        <f t="shared" si="1"/>
        <v>#DIV/0!</v>
      </c>
      <c r="L17" s="71" t="e">
        <f t="shared" si="2"/>
        <v>#DIV/0!</v>
      </c>
      <c r="M17" s="69" t="e">
        <f t="shared" si="3"/>
        <v>#DIV/0!</v>
      </c>
      <c r="N17" s="67">
        <v>0</v>
      </c>
      <c r="O17" s="67">
        <v>10</v>
      </c>
      <c r="R17" s="206" t="e">
        <f>IF(AND(M17&gt;=0,M17&lt;=10.4),"0","1")</f>
        <v>#DIV/0!</v>
      </c>
      <c r="T17" s="212" t="str">
        <f t="shared" si="5"/>
        <v>#100</v>
      </c>
      <c r="U17" s="213">
        <v>0.15</v>
      </c>
      <c r="V17" s="214">
        <f t="shared" si="6"/>
        <v>0.42583471830473674</v>
      </c>
      <c r="W17" s="215" t="e">
        <f t="shared" si="7"/>
        <v>#DIV/0!</v>
      </c>
      <c r="X17" s="215">
        <f t="shared" si="8"/>
        <v>10.003870534905881</v>
      </c>
      <c r="Y17" s="215">
        <f t="shared" si="9"/>
        <v>8.3354105651004069</v>
      </c>
      <c r="Z17" s="215">
        <f t="shared" si="10"/>
        <v>11.31884065806052</v>
      </c>
      <c r="AD17" s="1">
        <v>100</v>
      </c>
      <c r="AE17" s="1">
        <v>25</v>
      </c>
      <c r="AF17">
        <v>27</v>
      </c>
    </row>
    <row r="18" spans="2:32" ht="15" customHeight="1" x14ac:dyDescent="0.2">
      <c r="B18" s="84" t="s">
        <v>362</v>
      </c>
      <c r="C18" s="192"/>
      <c r="D18" s="85">
        <f t="shared" si="4"/>
        <v>0</v>
      </c>
      <c r="E18" s="85"/>
      <c r="F18" s="192"/>
      <c r="G18" s="86">
        <f>F17-F18</f>
        <v>0</v>
      </c>
      <c r="H18" s="190"/>
      <c r="I18" s="85">
        <f>H17-H18</f>
        <v>0</v>
      </c>
      <c r="J18" s="103" t="e">
        <f t="shared" si="0"/>
        <v>#DIV/0!</v>
      </c>
      <c r="K18" s="104" t="e">
        <f t="shared" si="1"/>
        <v>#DIV/0!</v>
      </c>
      <c r="L18" s="87" t="e">
        <f t="shared" si="2"/>
        <v>#DIV/0!</v>
      </c>
      <c r="M18" s="86" t="e">
        <f t="shared" si="3"/>
        <v>#DIV/0!</v>
      </c>
      <c r="N18" s="67">
        <v>0</v>
      </c>
      <c r="O18" s="67">
        <v>2</v>
      </c>
      <c r="R18" s="206" t="e">
        <f>IF(AND(M18&gt;=0,M18&lt;=2.4),"0","1")</f>
        <v>#DIV/0!</v>
      </c>
      <c r="T18" s="212" t="str">
        <f t="shared" si="5"/>
        <v>#200</v>
      </c>
      <c r="U18" s="213">
        <v>7.4999999999999997E-2</v>
      </c>
      <c r="V18" s="214">
        <f t="shared" si="6"/>
        <v>0.31172925995349998</v>
      </c>
      <c r="W18" s="215" t="e">
        <f t="shared" si="7"/>
        <v>#DIV/0!</v>
      </c>
      <c r="X18" s="215">
        <f t="shared" si="8"/>
        <v>7.3232618771238061</v>
      </c>
      <c r="Y18" s="215">
        <f t="shared" si="9"/>
        <v>6.1018776890987736</v>
      </c>
      <c r="Z18" s="215">
        <f t="shared" si="10"/>
        <v>8.2858763510770874</v>
      </c>
      <c r="AD18" s="1">
        <v>90</v>
      </c>
      <c r="AE18" s="1">
        <v>25</v>
      </c>
      <c r="AF18">
        <v>27</v>
      </c>
    </row>
    <row r="19" spans="2:32" ht="15" customHeight="1" x14ac:dyDescent="0.2">
      <c r="B19" s="82"/>
      <c r="P19" t="s">
        <v>363</v>
      </c>
      <c r="R19" s="206" t="e">
        <f>(R7+R8+R9+R10+R11+R12+R13+R14+R15+R16+R17+R18)</f>
        <v>#DIV/0!</v>
      </c>
      <c r="T19" s="206">
        <f t="shared" si="5"/>
        <v>0</v>
      </c>
      <c r="V19" s="206">
        <v>0</v>
      </c>
      <c r="X19" s="206">
        <v>0</v>
      </c>
      <c r="Y19" s="206">
        <v>0</v>
      </c>
      <c r="Z19" s="206">
        <v>0</v>
      </c>
      <c r="AD19" s="1">
        <v>80</v>
      </c>
      <c r="AE19" s="1">
        <v>25.5</v>
      </c>
      <c r="AF19">
        <v>27.5</v>
      </c>
    </row>
    <row r="20" spans="2:32" ht="15" customHeight="1" x14ac:dyDescent="0.2">
      <c r="D20" s="72" t="s">
        <v>364</v>
      </c>
      <c r="E20" s="73">
        <f>SUM(E12:E17)/100</f>
        <v>0</v>
      </c>
      <c r="G20" s="197"/>
      <c r="AD20" s="1">
        <v>20</v>
      </c>
      <c r="AE20" s="1">
        <v>34.5</v>
      </c>
      <c r="AF20">
        <v>36.5</v>
      </c>
    </row>
    <row r="21" spans="2:32" ht="15" customHeight="1" x14ac:dyDescent="0.2">
      <c r="AD21" s="1">
        <v>10</v>
      </c>
      <c r="AE21" s="1">
        <v>35</v>
      </c>
      <c r="AF21">
        <v>37</v>
      </c>
    </row>
    <row r="22" spans="2:32" ht="15" customHeight="1" x14ac:dyDescent="0.2">
      <c r="AD22" s="1">
        <v>0</v>
      </c>
      <c r="AE22" s="1">
        <v>35</v>
      </c>
      <c r="AF22">
        <v>37</v>
      </c>
    </row>
    <row r="23" spans="2:32" ht="15" customHeight="1" x14ac:dyDescent="0.2">
      <c r="AD23" s="1"/>
      <c r="AE23" s="1"/>
    </row>
    <row r="24" spans="2:32" x14ac:dyDescent="0.2">
      <c r="AD24" s="1"/>
      <c r="AE24" s="1"/>
    </row>
    <row r="25" spans="2:32" x14ac:dyDescent="0.2">
      <c r="AD25" s="1"/>
      <c r="AE25" s="1"/>
    </row>
    <row r="26" spans="2:32" x14ac:dyDescent="0.2">
      <c r="AD26" s="197" t="s">
        <v>1567</v>
      </c>
      <c r="AE26" s="1"/>
    </row>
    <row r="27" spans="2:32" x14ac:dyDescent="0.2">
      <c r="AD27" s="197" t="s">
        <v>1564</v>
      </c>
      <c r="AE27" s="197" t="s">
        <v>1568</v>
      </c>
    </row>
    <row r="28" spans="2:32" x14ac:dyDescent="0.2">
      <c r="AD28" s="1">
        <v>100</v>
      </c>
      <c r="AE28" s="1">
        <v>36</v>
      </c>
    </row>
    <row r="29" spans="2:32" x14ac:dyDescent="0.2">
      <c r="AD29" s="1">
        <v>37</v>
      </c>
      <c r="AE29" s="1">
        <v>45</v>
      </c>
    </row>
    <row r="30" spans="2:32" x14ac:dyDescent="0.2">
      <c r="AD30" s="1"/>
      <c r="AE30" s="1"/>
    </row>
    <row r="31" spans="2:32" x14ac:dyDescent="0.2">
      <c r="K31" s="4"/>
      <c r="AD31" s="197" t="s">
        <v>1569</v>
      </c>
      <c r="AE31" s="1"/>
    </row>
    <row r="32" spans="2:32" x14ac:dyDescent="0.2">
      <c r="AD32" s="197" t="s">
        <v>1564</v>
      </c>
      <c r="AE32" s="197" t="s">
        <v>1568</v>
      </c>
    </row>
    <row r="33" spans="2:32" x14ac:dyDescent="0.2">
      <c r="AD33" s="1">
        <v>75.5</v>
      </c>
      <c r="AE33" s="1">
        <v>28.126999999999999</v>
      </c>
    </row>
    <row r="34" spans="2:32" x14ac:dyDescent="0.2">
      <c r="AD34" s="1">
        <v>75.5</v>
      </c>
      <c r="AE34" s="1">
        <v>39.5</v>
      </c>
    </row>
    <row r="35" spans="2:32" x14ac:dyDescent="0.2">
      <c r="AD35" s="1"/>
      <c r="AE35" s="1"/>
    </row>
    <row r="36" spans="2:32" x14ac:dyDescent="0.2">
      <c r="AD36" s="197" t="s">
        <v>1570</v>
      </c>
      <c r="AE36" s="1"/>
    </row>
    <row r="37" spans="2:32" x14ac:dyDescent="0.2">
      <c r="AD37" s="197" t="s">
        <v>1564</v>
      </c>
      <c r="AE37" s="197" t="s">
        <v>1568</v>
      </c>
    </row>
    <row r="38" spans="2:32" x14ac:dyDescent="0.2">
      <c r="AD38" s="1">
        <v>46.5</v>
      </c>
      <c r="AE38" s="1">
        <v>32.524999999999999</v>
      </c>
    </row>
    <row r="39" spans="2:32" x14ac:dyDescent="0.2">
      <c r="AD39" s="1">
        <v>46.5</v>
      </c>
      <c r="AE39" s="1">
        <v>43.643000000000001</v>
      </c>
    </row>
    <row r="40" spans="2:32" x14ac:dyDescent="0.2">
      <c r="AB40" s="206"/>
      <c r="AD40" s="1"/>
      <c r="AE40" s="1"/>
    </row>
    <row r="41" spans="2:32" ht="15" x14ac:dyDescent="0.25">
      <c r="B41" s="91"/>
      <c r="C41" s="92" t="s">
        <v>365</v>
      </c>
      <c r="D41" s="93" t="e">
        <f>SUM(M15:M18)</f>
        <v>#DIV/0!</v>
      </c>
      <c r="E41" s="92" t="s">
        <v>366</v>
      </c>
      <c r="F41" s="94" t="s">
        <v>367</v>
      </c>
      <c r="G41" s="194"/>
      <c r="H41" s="198"/>
      <c r="AB41" s="206" t="e">
        <f>IF(AND(D41&gt;=23.4,D41&lt;=34.5),"0","1")</f>
        <v>#DIV/0!</v>
      </c>
      <c r="AC41" s="1"/>
      <c r="AD41" s="1" t="s">
        <v>1571</v>
      </c>
      <c r="AE41" s="1"/>
    </row>
    <row r="42" spans="2:32" ht="15" x14ac:dyDescent="0.25">
      <c r="B42" s="105"/>
      <c r="C42" s="106"/>
      <c r="D42" s="107"/>
      <c r="E42" s="196"/>
      <c r="F42" s="96" t="s">
        <v>368</v>
      </c>
      <c r="G42" s="196"/>
      <c r="H42" s="199"/>
      <c r="K42" s="1"/>
      <c r="AB42" s="206" t="e">
        <f>IF(AND(D41&gt;=24.4,D41&lt;=40.5),"0","1")</f>
        <v>#DIV/0!</v>
      </c>
      <c r="AC42" s="1"/>
      <c r="AD42" s="1">
        <v>1</v>
      </c>
      <c r="AE42" s="1" t="s">
        <v>1564</v>
      </c>
      <c r="AF42" t="s">
        <v>1568</v>
      </c>
    </row>
    <row r="43" spans="2:32" ht="15" x14ac:dyDescent="0.25">
      <c r="B43" s="95"/>
      <c r="C43" s="72" t="s">
        <v>369</v>
      </c>
      <c r="D43" s="90" t="e">
        <f>SUM(M13:M15)</f>
        <v>#DIV/0!</v>
      </c>
      <c r="E43" s="72" t="s">
        <v>370</v>
      </c>
      <c r="F43" s="94" t="s">
        <v>371</v>
      </c>
      <c r="H43" s="195"/>
      <c r="K43" s="1"/>
      <c r="AB43" s="206" t="e">
        <f>IF(D43&gt;=14.5,"0","1")</f>
        <v>#DIV/0!</v>
      </c>
      <c r="AC43" s="1" t="e">
        <f>AB41+AB43</f>
        <v>#DIV/0!</v>
      </c>
      <c r="AD43" s="1"/>
      <c r="AE43" s="1">
        <v>75.5</v>
      </c>
      <c r="AF43">
        <v>29</v>
      </c>
    </row>
    <row r="44" spans="2:32" ht="14.25" x14ac:dyDescent="0.2">
      <c r="B44" s="15"/>
      <c r="C44" s="196"/>
      <c r="D44" s="196"/>
      <c r="E44" s="196"/>
      <c r="F44" s="96" t="s">
        <v>372</v>
      </c>
      <c r="G44" s="196"/>
      <c r="H44" s="199"/>
      <c r="K44" s="1"/>
      <c r="AB44" s="206" t="e">
        <f>IF(D43&gt;=19.5,"0","1")</f>
        <v>#DIV/0!</v>
      </c>
      <c r="AC44" s="1" t="e">
        <f>AB42+AB44</f>
        <v>#DIV/0!</v>
      </c>
      <c r="AD44" s="1"/>
      <c r="AE44" s="1">
        <v>46.5</v>
      </c>
      <c r="AF44">
        <f>AF43+(AE38-AE33)</f>
        <v>33.397999999999996</v>
      </c>
    </row>
    <row r="45" spans="2:32" ht="15.75" x14ac:dyDescent="0.25">
      <c r="B45" s="9"/>
      <c r="AD45" s="1"/>
      <c r="AE45" s="1">
        <v>30</v>
      </c>
      <c r="AF45" s="217">
        <f>AF44+((AF44-AF43)/(AE44-AE43))*(AE45-AE44)</f>
        <v>35.900310344827581</v>
      </c>
    </row>
    <row r="46" spans="2:32" x14ac:dyDescent="0.2">
      <c r="AD46" s="1"/>
      <c r="AE46" s="1"/>
    </row>
    <row r="47" spans="2:32" x14ac:dyDescent="0.2">
      <c r="AD47" s="1">
        <v>2</v>
      </c>
      <c r="AE47" s="1" t="s">
        <v>1564</v>
      </c>
      <c r="AF47" t="s">
        <v>1568</v>
      </c>
    </row>
    <row r="48" spans="2:32" x14ac:dyDescent="0.2">
      <c r="AD48" s="1"/>
      <c r="AE48" s="1">
        <v>75.5</v>
      </c>
      <c r="AF48">
        <v>30.33</v>
      </c>
    </row>
    <row r="49" spans="30:32" x14ac:dyDescent="0.2">
      <c r="AD49" s="1"/>
      <c r="AE49" s="1">
        <v>46.5</v>
      </c>
      <c r="AF49">
        <f>AF48+(AE38-AE33)</f>
        <v>34.727999999999994</v>
      </c>
    </row>
    <row r="50" spans="30:32" x14ac:dyDescent="0.2">
      <c r="AD50" s="1"/>
      <c r="AE50" s="1">
        <v>30</v>
      </c>
      <c r="AF50" s="217">
        <f>AF49+((AF49-AF48)/(AE49-AE48))*(AE50-AE49)</f>
        <v>37.230310344827579</v>
      </c>
    </row>
    <row r="51" spans="30:32" x14ac:dyDescent="0.2">
      <c r="AD51" s="1"/>
      <c r="AE51" s="1"/>
    </row>
    <row r="52" spans="30:32" x14ac:dyDescent="0.2">
      <c r="AD52" s="1">
        <v>3</v>
      </c>
      <c r="AE52" s="1" t="s">
        <v>1564</v>
      </c>
      <c r="AF52" t="s">
        <v>1568</v>
      </c>
    </row>
    <row r="53" spans="30:32" x14ac:dyDescent="0.2">
      <c r="AD53" s="1"/>
      <c r="AE53" s="1">
        <v>75.5</v>
      </c>
      <c r="AF53">
        <v>32.33</v>
      </c>
    </row>
    <row r="54" spans="30:32" x14ac:dyDescent="0.2">
      <c r="AD54" s="1"/>
      <c r="AE54" s="1">
        <v>46.5</v>
      </c>
      <c r="AF54">
        <f>AF53+(AE38-AE33)</f>
        <v>36.727999999999994</v>
      </c>
    </row>
    <row r="55" spans="30:32" x14ac:dyDescent="0.2">
      <c r="AD55" s="1"/>
      <c r="AE55" s="1">
        <v>30</v>
      </c>
      <c r="AF55" s="217">
        <f>AF54+((AF54-AF53)/(AE54-AE53))*(AE55-AE54)</f>
        <v>39.230310344827579</v>
      </c>
    </row>
    <row r="56" spans="30:32" x14ac:dyDescent="0.2">
      <c r="AD56" s="1"/>
      <c r="AE56" s="1"/>
    </row>
    <row r="57" spans="30:32" x14ac:dyDescent="0.2">
      <c r="AD57" s="1">
        <v>4</v>
      </c>
      <c r="AE57" s="1" t="s">
        <v>1564</v>
      </c>
      <c r="AF57" t="s">
        <v>1568</v>
      </c>
    </row>
    <row r="58" spans="30:32" x14ac:dyDescent="0.2">
      <c r="AD58" s="1"/>
      <c r="AE58" s="1">
        <v>75.5</v>
      </c>
      <c r="AF58">
        <v>34.67</v>
      </c>
    </row>
    <row r="59" spans="30:32" x14ac:dyDescent="0.2">
      <c r="AD59" s="1"/>
      <c r="AE59" s="1">
        <v>46.5</v>
      </c>
      <c r="AF59">
        <f>AF58+(AE38-AE33)</f>
        <v>39.067999999999998</v>
      </c>
    </row>
    <row r="60" spans="30:32" x14ac:dyDescent="0.2">
      <c r="AD60" s="1"/>
      <c r="AE60" s="1">
        <v>30</v>
      </c>
      <c r="AF60" s="217">
        <f>AF59+((AF59-AF58)/(AE59-AE58))*(AE60-AE59)</f>
        <v>41.570310344827583</v>
      </c>
    </row>
  </sheetData>
  <sheetProtection algorithmName="SHA-512" hashValue="UsgqDjz3quvj0oR5exHV3NUb5g0kvtsoj8RfeDQT3nRKidn+e4cEWAy1rYKCnHuqU8sjtC+tQKY1jxDZNz2+Og==" saltValue="isJLIQZ+w6DNhryFURhB+w==" spinCount="100000" sheet="1" formatCells="0" selectLockedCells="1"/>
  <mergeCells count="14">
    <mergeCell ref="C2:E2"/>
    <mergeCell ref="F3:G3"/>
    <mergeCell ref="F4:G4"/>
    <mergeCell ref="H3:I3"/>
    <mergeCell ref="H4:I4"/>
    <mergeCell ref="C3:E3"/>
    <mergeCell ref="C4:E4"/>
    <mergeCell ref="O1:Q1"/>
    <mergeCell ref="Y4:Z4"/>
    <mergeCell ref="N4:O4"/>
    <mergeCell ref="F2:G2"/>
    <mergeCell ref="H2:I2"/>
    <mergeCell ref="J2:K4"/>
    <mergeCell ref="L2:M4"/>
  </mergeCells>
  <pageMargins left="0" right="0" top="0.39369969378827646" bottom="0.39369969378827646" header="0" footer="0"/>
  <pageSetup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5BA7-B190-44DF-BBC8-3BE26168609E}">
  <sheetPr codeName="Sheet5">
    <pageSetUpPr fitToPage="1"/>
  </sheetPr>
  <dimension ref="A1:I85"/>
  <sheetViews>
    <sheetView topLeftCell="A67" zoomScaleNormal="100" workbookViewId="0">
      <selection activeCell="A11" sqref="A11"/>
    </sheetView>
  </sheetViews>
  <sheetFormatPr defaultColWidth="8.85546875" defaultRowHeight="15" x14ac:dyDescent="0.25"/>
  <cols>
    <col min="1" max="1" width="12.28515625" style="249" customWidth="1"/>
    <col min="2" max="2" width="6.85546875" style="249" customWidth="1"/>
    <col min="3" max="5" width="22.28515625" style="249" customWidth="1"/>
    <col min="6" max="6" width="11.7109375" style="249" customWidth="1"/>
    <col min="7" max="7" width="17.42578125" style="249" customWidth="1"/>
    <col min="8" max="8" width="12.28515625" style="249" customWidth="1"/>
    <col min="9" max="9" width="8.85546875" style="249" customWidth="1"/>
    <col min="10" max="16384" width="8.85546875" style="249"/>
  </cols>
  <sheetData>
    <row r="1" spans="1:9" ht="25.5" customHeight="1" thickBot="1" x14ac:dyDescent="0.3">
      <c r="A1" s="945" t="s">
        <v>3138</v>
      </c>
      <c r="B1" s="946"/>
      <c r="C1" s="946"/>
      <c r="D1" s="946"/>
      <c r="E1" s="946"/>
      <c r="F1" s="946"/>
      <c r="G1" s="946"/>
      <c r="H1" s="947"/>
      <c r="I1" s="248"/>
    </row>
    <row r="2" spans="1:9" ht="25.5" customHeight="1" thickBot="1" x14ac:dyDescent="0.3">
      <c r="A2" s="226"/>
      <c r="B2" s="954" t="s">
        <v>3152</v>
      </c>
      <c r="C2" s="955"/>
      <c r="D2" s="956" t="str">
        <f>IF(CMDS!V5="","",CMDS!V5)</f>
        <v>Mix ID Required</v>
      </c>
      <c r="E2" s="957"/>
      <c r="F2" s="958"/>
      <c r="G2" s="959"/>
      <c r="H2" s="231"/>
    </row>
    <row r="3" spans="1:9" ht="15.75" customHeight="1" thickBot="1" x14ac:dyDescent="0.3">
      <c r="A3" s="979" t="s">
        <v>3166</v>
      </c>
      <c r="B3" s="980"/>
      <c r="C3" s="980"/>
      <c r="D3" s="981"/>
      <c r="E3" s="952" t="str">
        <f>"   "&amp;CMDS!V6</f>
        <v xml:space="preserve">   </v>
      </c>
      <c r="F3" s="952"/>
      <c r="G3" s="952"/>
      <c r="H3" s="982"/>
    </row>
    <row r="4" spans="1:9" ht="15" customHeight="1" thickBot="1" x14ac:dyDescent="0.3">
      <c r="A4" s="966" t="s">
        <v>3139</v>
      </c>
      <c r="B4" s="967"/>
      <c r="C4" s="236" t="str">
        <f>IF(CMDS!$G$2="","","   "&amp;CMDS!$G$2)</f>
        <v/>
      </c>
      <c r="D4" s="244" t="s">
        <v>3169</v>
      </c>
      <c r="E4" s="976" t="str">
        <f>"   "&amp;SUM(CMDS!E30:G33)</f>
        <v xml:space="preserve">   0</v>
      </c>
      <c r="F4" s="977"/>
      <c r="G4" s="977"/>
      <c r="H4" s="978"/>
    </row>
    <row r="5" spans="1:9" x14ac:dyDescent="0.25">
      <c r="A5" s="964" t="s">
        <v>3151</v>
      </c>
      <c r="B5" s="965"/>
      <c r="C5" s="235" t="str">
        <f>IF(CMDS!$G$3="","","   "&amp;CMDS!$G$3)</f>
        <v/>
      </c>
      <c r="D5" s="241" t="s">
        <v>3165</v>
      </c>
      <c r="E5" s="232" t="str">
        <f>IF(CMDS!$E$30="","    -","   "&amp;CMDS!$E$30)</f>
        <v xml:space="preserve">    -</v>
      </c>
      <c r="F5" s="974" t="s">
        <v>3156</v>
      </c>
      <c r="G5" s="975"/>
      <c r="H5" s="237" t="str">
        <f>IF(CMDS!$E$34="","   -",CMDS!$E$34)</f>
        <v xml:space="preserve">   -</v>
      </c>
    </row>
    <row r="6" spans="1:9" x14ac:dyDescent="0.25">
      <c r="A6" s="964" t="s">
        <v>3149</v>
      </c>
      <c r="B6" s="965"/>
      <c r="C6" s="235" t="str">
        <f>IF(CMDS!$G$4="","","   "&amp;CMDS!$G$4)</f>
        <v/>
      </c>
      <c r="D6" s="238" t="s">
        <v>3153</v>
      </c>
      <c r="E6" s="233" t="str">
        <f>IF(CMDS!$E$31="","    -","   "&amp;CMDS!$E$31)</f>
        <v xml:space="preserve">    -</v>
      </c>
      <c r="F6" s="968" t="s">
        <v>3140</v>
      </c>
      <c r="G6" s="969"/>
      <c r="H6" s="268" t="str">
        <f>IFERROR(ROUND(IF(CMDS!$AA$38="","",CMDS!$AA$38),3),"")</f>
        <v/>
      </c>
    </row>
    <row r="7" spans="1:9" x14ac:dyDescent="0.25">
      <c r="A7" s="964" t="s">
        <v>3150</v>
      </c>
      <c r="B7" s="965"/>
      <c r="C7" s="235" t="str">
        <f>IF(CMDS!$G$5="","","   "&amp;CMDS!$G$5)</f>
        <v/>
      </c>
      <c r="D7" s="238" t="s">
        <v>3154</v>
      </c>
      <c r="E7" s="233" t="str">
        <f>IF(CMDS!$E$32="","    -","   "&amp;CMDS!$E$32)</f>
        <v xml:space="preserve">    -</v>
      </c>
      <c r="F7" s="968" t="s">
        <v>3141</v>
      </c>
      <c r="G7" s="969"/>
      <c r="H7" s="262" t="str">
        <f>IF(CMDS!$AA$44=0,"   -",CMDS!$AA$44)</f>
        <v xml:space="preserve">   -</v>
      </c>
    </row>
    <row r="8" spans="1:9" ht="15.75" thickBot="1" x14ac:dyDescent="0.3">
      <c r="A8" s="970"/>
      <c r="B8" s="971"/>
      <c r="C8" s="261" t="str">
        <f>IF(CMDS!$V$2="","","   "&amp;CMDS!$V$2)</f>
        <v/>
      </c>
      <c r="D8" s="239" t="s">
        <v>3155</v>
      </c>
      <c r="E8" s="234" t="str">
        <f>IF(CMDS!$E$33="","    -","   "&amp;CMDS!$E$33)</f>
        <v xml:space="preserve">    -</v>
      </c>
      <c r="F8" s="972" t="s">
        <v>3142</v>
      </c>
      <c r="G8" s="973"/>
      <c r="H8" s="234" t="str">
        <f>IF(CMDS!U20="E5","  Yes",IF(CMDS!U21="E5","  Yes",IF(CMDS!U22="E5","  Yes",IF(CMDS!U23="E5","  Yes",IF(CMDS!U24="E5","  Yes",IF(CMDS!U25="E5","  Yes","  No"))))))</f>
        <v xml:space="preserve">  No</v>
      </c>
    </row>
    <row r="9" spans="1:9" ht="10.15" customHeight="1" thickBot="1" x14ac:dyDescent="0.3">
      <c r="A9" s="960"/>
      <c r="B9" s="961"/>
      <c r="C9" s="961"/>
      <c r="D9" s="962"/>
      <c r="E9" s="962"/>
      <c r="F9" s="962"/>
      <c r="G9" s="962"/>
      <c r="H9" s="963"/>
    </row>
    <row r="10" spans="1:9" ht="30.75" thickBot="1" x14ac:dyDescent="0.3">
      <c r="A10" s="227" t="s">
        <v>3143</v>
      </c>
      <c r="B10" s="228" t="s">
        <v>3146</v>
      </c>
      <c r="C10" s="951" t="s">
        <v>3144</v>
      </c>
      <c r="D10" s="952"/>
      <c r="E10" s="953"/>
      <c r="F10" s="228" t="s">
        <v>3145</v>
      </c>
      <c r="G10" s="227" t="s">
        <v>3147</v>
      </c>
      <c r="H10" s="229" t="s">
        <v>3148</v>
      </c>
    </row>
    <row r="11" spans="1:9" x14ac:dyDescent="0.25">
      <c r="A11" s="263"/>
      <c r="B11" s="264"/>
      <c r="C11" s="948"/>
      <c r="D11" s="949"/>
      <c r="E11" s="950"/>
      <c r="F11" s="258" t="str">
        <f>IF(C11="", "",VLOOKUP(C11,'Items List'!A$2:H$1073,3,FALSE))</f>
        <v/>
      </c>
      <c r="G11" s="258"/>
      <c r="H11" s="259"/>
    </row>
    <row r="12" spans="1:9" ht="14.45" customHeight="1" x14ac:dyDescent="0.25">
      <c r="A12" s="222"/>
      <c r="B12" s="223"/>
      <c r="C12" s="948"/>
      <c r="D12" s="949"/>
      <c r="E12" s="950"/>
      <c r="F12" s="224" t="str">
        <f>IF(C12="", "",VLOOKUP(C12,'Items List'!A$2:H$1073,3,FALSE))</f>
        <v/>
      </c>
      <c r="G12" s="224"/>
      <c r="H12" s="225"/>
    </row>
    <row r="13" spans="1:9" x14ac:dyDescent="0.25">
      <c r="A13" s="222"/>
      <c r="B13" s="223"/>
      <c r="C13" s="948"/>
      <c r="D13" s="949"/>
      <c r="E13" s="950"/>
      <c r="F13" s="224" t="str">
        <f>IF(C13="", "",VLOOKUP(C13,'Items List'!A$2:H$1073,3,FALSE))</f>
        <v/>
      </c>
      <c r="G13" s="260"/>
      <c r="H13" s="225"/>
    </row>
    <row r="14" spans="1:9" ht="15" customHeight="1" x14ac:dyDescent="0.25">
      <c r="A14" s="222"/>
      <c r="B14" s="223"/>
      <c r="C14" s="948"/>
      <c r="D14" s="949"/>
      <c r="E14" s="950"/>
      <c r="F14" s="224" t="str">
        <f>IF(C14="", "",VLOOKUP(C14,'Items List'!A$2:H$1073,3,FALSE))</f>
        <v/>
      </c>
      <c r="G14" s="224"/>
      <c r="H14" s="225"/>
    </row>
    <row r="15" spans="1:9" x14ac:dyDescent="0.25">
      <c r="A15" s="222"/>
      <c r="B15" s="223"/>
      <c r="C15" s="948"/>
      <c r="D15" s="949"/>
      <c r="E15" s="950"/>
      <c r="F15" s="224" t="str">
        <f>IF(C15="", "",VLOOKUP(C15,'Items List'!A$2:H$1073,3,FALSE))</f>
        <v/>
      </c>
      <c r="G15" s="224"/>
      <c r="H15" s="225"/>
    </row>
    <row r="16" spans="1:9" ht="15" customHeight="1" x14ac:dyDescent="0.25">
      <c r="A16" s="222"/>
      <c r="B16" s="223"/>
      <c r="C16" s="948"/>
      <c r="D16" s="949"/>
      <c r="E16" s="950"/>
      <c r="F16" s="224" t="str">
        <f>IF(C16="", "",VLOOKUP(C16,'Items List'!A$2:H$1073,3,FALSE))</f>
        <v/>
      </c>
      <c r="G16" s="224"/>
      <c r="H16" s="225"/>
    </row>
    <row r="17" spans="1:8" x14ac:dyDescent="0.25">
      <c r="A17" s="222"/>
      <c r="B17" s="223"/>
      <c r="C17" s="948"/>
      <c r="D17" s="949"/>
      <c r="E17" s="950"/>
      <c r="F17" s="224" t="str">
        <f>IF(C17="", "",VLOOKUP(C17,'Items List'!A$2:H$1073,3,FALSE))</f>
        <v/>
      </c>
      <c r="G17" s="224"/>
      <c r="H17" s="225"/>
    </row>
    <row r="18" spans="1:8" x14ac:dyDescent="0.25">
      <c r="A18" s="222"/>
      <c r="B18" s="223"/>
      <c r="C18" s="948"/>
      <c r="D18" s="949"/>
      <c r="E18" s="950"/>
      <c r="F18" s="224" t="str">
        <f>IF(C18="", "",VLOOKUP(C18,'Items List'!A$2:H$1073,3,FALSE))</f>
        <v/>
      </c>
      <c r="G18" s="224"/>
      <c r="H18" s="225"/>
    </row>
    <row r="19" spans="1:8" x14ac:dyDescent="0.25">
      <c r="A19" s="222"/>
      <c r="B19" s="223"/>
      <c r="C19" s="948"/>
      <c r="D19" s="949"/>
      <c r="E19" s="950"/>
      <c r="F19" s="224" t="str">
        <f>IF(C19="", "",VLOOKUP(C19,'Items List'!A$2:H$1073,3,FALSE))</f>
        <v/>
      </c>
      <c r="G19" s="224"/>
      <c r="H19" s="225"/>
    </row>
    <row r="20" spans="1:8" x14ac:dyDescent="0.25">
      <c r="A20" s="222"/>
      <c r="B20" s="223"/>
      <c r="C20" s="948"/>
      <c r="D20" s="949"/>
      <c r="E20" s="950"/>
      <c r="F20" s="224" t="str">
        <f>IF(C20="", "",VLOOKUP(C20,'Items List'!A$2:H$1073,3,FALSE))</f>
        <v/>
      </c>
      <c r="G20" s="224"/>
      <c r="H20" s="225"/>
    </row>
    <row r="21" spans="1:8" x14ac:dyDescent="0.25">
      <c r="A21" s="222"/>
      <c r="B21" s="223"/>
      <c r="C21" s="948"/>
      <c r="D21" s="949"/>
      <c r="E21" s="950"/>
      <c r="F21" s="224" t="str">
        <f>IF(C21="", "",VLOOKUP(C21,'Items List'!A$2:H$1073,3,FALSE))</f>
        <v/>
      </c>
      <c r="G21" s="224"/>
      <c r="H21" s="225"/>
    </row>
    <row r="22" spans="1:8" x14ac:dyDescent="0.25">
      <c r="A22" s="230"/>
      <c r="B22" s="223"/>
      <c r="C22" s="948"/>
      <c r="D22" s="949"/>
      <c r="E22" s="950"/>
      <c r="F22" s="224" t="str">
        <f>IF(C22="", "",VLOOKUP(C22,'Items List'!A$2:H$1073,3,FALSE))</f>
        <v/>
      </c>
      <c r="G22" s="250"/>
      <c r="H22" s="225"/>
    </row>
    <row r="23" spans="1:8" x14ac:dyDescent="0.25">
      <c r="A23" s="222"/>
      <c r="B23" s="223"/>
      <c r="C23" s="948"/>
      <c r="D23" s="949"/>
      <c r="E23" s="950"/>
      <c r="F23" s="224" t="str">
        <f>IF(C23="", "",VLOOKUP(C23,'Items List'!A$2:H$1073,3,FALSE))</f>
        <v/>
      </c>
      <c r="G23" s="224"/>
      <c r="H23" s="225"/>
    </row>
    <row r="24" spans="1:8" x14ac:dyDescent="0.25">
      <c r="A24" s="222"/>
      <c r="B24" s="223"/>
      <c r="C24" s="948"/>
      <c r="D24" s="949"/>
      <c r="E24" s="950"/>
      <c r="F24" s="224" t="str">
        <f>IF(C24="", "",VLOOKUP(C24,'Items List'!A$2:H$1073,3,FALSE))</f>
        <v/>
      </c>
      <c r="G24" s="224"/>
      <c r="H24" s="225"/>
    </row>
    <row r="25" spans="1:8" x14ac:dyDescent="0.25">
      <c r="A25" s="222"/>
      <c r="B25" s="223"/>
      <c r="C25" s="948"/>
      <c r="D25" s="949"/>
      <c r="E25" s="950"/>
      <c r="F25" s="224" t="str">
        <f>IF(C25="", "",VLOOKUP(C25,'Items List'!A$2:H$1073,3,FALSE))</f>
        <v/>
      </c>
      <c r="G25" s="224"/>
      <c r="H25" s="225"/>
    </row>
    <row r="26" spans="1:8" x14ac:dyDescent="0.25">
      <c r="A26" s="222"/>
      <c r="B26" s="223"/>
      <c r="C26" s="948"/>
      <c r="D26" s="949"/>
      <c r="E26" s="950"/>
      <c r="F26" s="224" t="str">
        <f>IF(C26="", "",VLOOKUP(C26,'Items List'!A$2:H$1073,3,FALSE))</f>
        <v/>
      </c>
      <c r="G26" s="224"/>
      <c r="H26" s="225"/>
    </row>
    <row r="27" spans="1:8" x14ac:dyDescent="0.25">
      <c r="A27" s="222"/>
      <c r="B27" s="223"/>
      <c r="C27" s="948"/>
      <c r="D27" s="949"/>
      <c r="E27" s="950"/>
      <c r="F27" s="224" t="str">
        <f>IF(C27="", "",VLOOKUP(C27,'Items List'!A$2:H$1073,3,FALSE))</f>
        <v/>
      </c>
      <c r="G27" s="224"/>
      <c r="H27" s="225"/>
    </row>
    <row r="28" spans="1:8" x14ac:dyDescent="0.25">
      <c r="A28" s="222"/>
      <c r="B28" s="223"/>
      <c r="C28" s="948"/>
      <c r="D28" s="949"/>
      <c r="E28" s="950"/>
      <c r="F28" s="224" t="str">
        <f>IF(C28="", "",VLOOKUP(C28,'Items List'!A$2:H$1073,3,FALSE))</f>
        <v/>
      </c>
      <c r="G28" s="224"/>
      <c r="H28" s="225"/>
    </row>
    <row r="29" spans="1:8" x14ac:dyDescent="0.25">
      <c r="A29" s="222"/>
      <c r="B29" s="223"/>
      <c r="C29" s="948"/>
      <c r="D29" s="949"/>
      <c r="E29" s="950"/>
      <c r="F29" s="224" t="str">
        <f>IF(C29="", "",VLOOKUP(C29,'Items List'!A$2:H$1073,3,FALSE))</f>
        <v/>
      </c>
      <c r="G29" s="224"/>
      <c r="H29" s="225"/>
    </row>
    <row r="30" spans="1:8" x14ac:dyDescent="0.25">
      <c r="A30" s="222"/>
      <c r="B30" s="223"/>
      <c r="C30" s="948"/>
      <c r="D30" s="949"/>
      <c r="E30" s="950"/>
      <c r="F30" s="224" t="str">
        <f>IF(C30="", "",VLOOKUP(C30,'Items List'!A$2:H$1073,3,FALSE))</f>
        <v/>
      </c>
      <c r="G30" s="224"/>
      <c r="H30" s="225"/>
    </row>
    <row r="31" spans="1:8" x14ac:dyDescent="0.25">
      <c r="A31" s="222"/>
      <c r="B31" s="223"/>
      <c r="C31" s="948"/>
      <c r="D31" s="949"/>
      <c r="E31" s="950"/>
      <c r="F31" s="224" t="str">
        <f>IF(C31="", "",VLOOKUP(C31,'Items List'!A$2:H$1073,3,FALSE))</f>
        <v/>
      </c>
      <c r="G31" s="224"/>
      <c r="H31" s="225"/>
    </row>
    <row r="32" spans="1:8" x14ac:dyDescent="0.25">
      <c r="A32" s="222"/>
      <c r="B32" s="223"/>
      <c r="C32" s="948"/>
      <c r="D32" s="949"/>
      <c r="E32" s="950"/>
      <c r="F32" s="224" t="str">
        <f>IF(C32="", "",VLOOKUP(C32,'Items List'!A$2:H$1073,3,FALSE))</f>
        <v/>
      </c>
      <c r="G32" s="224"/>
      <c r="H32" s="225"/>
    </row>
    <row r="33" spans="1:8" x14ac:dyDescent="0.25">
      <c r="A33" s="222"/>
      <c r="B33" s="223"/>
      <c r="C33" s="948"/>
      <c r="D33" s="949"/>
      <c r="E33" s="950"/>
      <c r="F33" s="224" t="str">
        <f>IF(C33="", "",VLOOKUP(C33,'Items List'!A$2:H$1073,3,FALSE))</f>
        <v/>
      </c>
      <c r="G33" s="224"/>
      <c r="H33" s="225"/>
    </row>
    <row r="34" spans="1:8" x14ac:dyDescent="0.25">
      <c r="A34" s="222"/>
      <c r="B34" s="223"/>
      <c r="C34" s="948"/>
      <c r="D34" s="949"/>
      <c r="E34" s="950"/>
      <c r="F34" s="224" t="str">
        <f>IF(C34="", "",VLOOKUP(C34,'Items List'!A$2:H$1073,3,FALSE))</f>
        <v/>
      </c>
      <c r="G34" s="224"/>
      <c r="H34" s="225"/>
    </row>
    <row r="35" spans="1:8" x14ac:dyDescent="0.25">
      <c r="A35" s="222"/>
      <c r="B35" s="223"/>
      <c r="C35" s="948"/>
      <c r="D35" s="949"/>
      <c r="E35" s="950"/>
      <c r="F35" s="224" t="str">
        <f>IF(C35="", "",VLOOKUP(C35,'Items List'!A$2:H$1073,3,FALSE))</f>
        <v/>
      </c>
      <c r="G35" s="224"/>
      <c r="H35" s="225"/>
    </row>
    <row r="36" spans="1:8" x14ac:dyDescent="0.25">
      <c r="A36" s="222"/>
      <c r="B36" s="223"/>
      <c r="C36" s="948"/>
      <c r="D36" s="949"/>
      <c r="E36" s="950"/>
      <c r="F36" s="224" t="str">
        <f>IF(C36="", "",VLOOKUP(C36,'Items List'!A$2:H$1073,3,FALSE))</f>
        <v/>
      </c>
      <c r="G36" s="224"/>
      <c r="H36" s="225"/>
    </row>
    <row r="37" spans="1:8" x14ac:dyDescent="0.25">
      <c r="A37" s="222"/>
      <c r="B37" s="223"/>
      <c r="C37" s="948"/>
      <c r="D37" s="949"/>
      <c r="E37" s="950"/>
      <c r="F37" s="224" t="str">
        <f>IF(C37="", "",VLOOKUP(C37,'Items List'!A$2:H$1073,3,FALSE))</f>
        <v/>
      </c>
      <c r="G37" s="224"/>
      <c r="H37" s="225"/>
    </row>
    <row r="38" spans="1:8" x14ac:dyDescent="0.25">
      <c r="A38" s="222"/>
      <c r="B38" s="223"/>
      <c r="C38" s="948"/>
      <c r="D38" s="949"/>
      <c r="E38" s="950"/>
      <c r="F38" s="224" t="str">
        <f>IF(C38="", "",VLOOKUP(C38,'Items List'!A$2:H$1073,3,FALSE))</f>
        <v/>
      </c>
      <c r="G38" s="224"/>
      <c r="H38" s="225"/>
    </row>
    <row r="39" spans="1:8" x14ac:dyDescent="0.25">
      <c r="A39" s="222"/>
      <c r="B39" s="223"/>
      <c r="C39" s="948"/>
      <c r="D39" s="949"/>
      <c r="E39" s="950"/>
      <c r="F39" s="224" t="str">
        <f>IF(C39="", "",VLOOKUP(C39,'Items List'!A$2:H$1073,3,FALSE))</f>
        <v/>
      </c>
      <c r="G39" s="224"/>
      <c r="H39" s="225"/>
    </row>
    <row r="40" spans="1:8" x14ac:dyDescent="0.25">
      <c r="A40" s="222"/>
      <c r="B40" s="223"/>
      <c r="C40" s="948"/>
      <c r="D40" s="949"/>
      <c r="E40" s="950"/>
      <c r="F40" s="224" t="str">
        <f>IF(C40="", "",VLOOKUP(C40,'Items List'!A$2:H$1073,3,FALSE))</f>
        <v/>
      </c>
      <c r="G40" s="224"/>
      <c r="H40" s="225"/>
    </row>
    <row r="41" spans="1:8" x14ac:dyDescent="0.25">
      <c r="A41" s="222"/>
      <c r="B41" s="223"/>
      <c r="C41" s="948"/>
      <c r="D41" s="949"/>
      <c r="E41" s="950"/>
      <c r="F41" s="224" t="str">
        <f>IF(C41="", "",VLOOKUP(C41,'Items List'!A$2:H$1073,3,FALSE))</f>
        <v/>
      </c>
      <c r="G41" s="224"/>
      <c r="H41" s="225"/>
    </row>
    <row r="42" spans="1:8" x14ac:dyDescent="0.25">
      <c r="A42" s="222"/>
      <c r="B42" s="223"/>
      <c r="C42" s="948"/>
      <c r="D42" s="949"/>
      <c r="E42" s="950"/>
      <c r="F42" s="224" t="str">
        <f>IF(C42="", "",VLOOKUP(C42,'Items List'!A$2:H$1073,3,FALSE))</f>
        <v/>
      </c>
      <c r="G42" s="224"/>
      <c r="H42" s="225"/>
    </row>
    <row r="43" spans="1:8" x14ac:dyDescent="0.25">
      <c r="A43" s="222"/>
      <c r="B43" s="223"/>
      <c r="C43" s="948"/>
      <c r="D43" s="949"/>
      <c r="E43" s="950"/>
      <c r="F43" s="224" t="str">
        <f>IF(C43="", "",VLOOKUP(C43,'Items List'!A$2:H$1073,3,FALSE))</f>
        <v/>
      </c>
      <c r="G43" s="224"/>
      <c r="H43" s="225"/>
    </row>
    <row r="44" spans="1:8" x14ac:dyDescent="0.25">
      <c r="A44" s="222"/>
      <c r="B44" s="223"/>
      <c r="C44" s="948"/>
      <c r="D44" s="949"/>
      <c r="E44" s="950"/>
      <c r="F44" s="224" t="str">
        <f>IF(C44="", "",VLOOKUP(C44,'Items List'!A$2:H$1073,3,FALSE))</f>
        <v/>
      </c>
      <c r="G44" s="224"/>
      <c r="H44" s="225"/>
    </row>
    <row r="45" spans="1:8" x14ac:dyDescent="0.25">
      <c r="A45" s="222"/>
      <c r="B45" s="223"/>
      <c r="C45" s="948"/>
      <c r="D45" s="949"/>
      <c r="E45" s="950"/>
      <c r="F45" s="224" t="str">
        <f>IF(C45="", "",VLOOKUP(C45,'Items List'!A$2:H$1073,3,FALSE))</f>
        <v/>
      </c>
      <c r="G45" s="224"/>
      <c r="H45" s="225"/>
    </row>
    <row r="46" spans="1:8" x14ac:dyDescent="0.25">
      <c r="A46" s="222"/>
      <c r="B46" s="223"/>
      <c r="C46" s="948"/>
      <c r="D46" s="949"/>
      <c r="E46" s="950"/>
      <c r="F46" s="224" t="str">
        <f>IF(C46="", "",VLOOKUP(C46,'Items List'!A$2:H$1073,3,FALSE))</f>
        <v/>
      </c>
      <c r="G46" s="224"/>
      <c r="H46" s="225"/>
    </row>
    <row r="47" spans="1:8" x14ac:dyDescent="0.25">
      <c r="A47" s="222"/>
      <c r="B47" s="223"/>
      <c r="C47" s="948"/>
      <c r="D47" s="949"/>
      <c r="E47" s="950"/>
      <c r="F47" s="224" t="str">
        <f>IF(C47="", "",VLOOKUP(C47,'Items List'!A$2:H$1073,3,FALSE))</f>
        <v/>
      </c>
      <c r="G47" s="224"/>
      <c r="H47" s="225"/>
    </row>
    <row r="48" spans="1:8" x14ac:dyDescent="0.25">
      <c r="A48" s="222"/>
      <c r="B48" s="223"/>
      <c r="C48" s="948"/>
      <c r="D48" s="949"/>
      <c r="E48" s="950"/>
      <c r="F48" s="224" t="str">
        <f>IF(C48="", "",VLOOKUP(C48,'Items List'!A$2:H$1073,3,FALSE))</f>
        <v/>
      </c>
      <c r="G48" s="224"/>
      <c r="H48" s="225"/>
    </row>
    <row r="49" spans="1:8" x14ac:dyDescent="0.25">
      <c r="A49" s="222"/>
      <c r="B49" s="223"/>
      <c r="C49" s="948"/>
      <c r="D49" s="949"/>
      <c r="E49" s="950"/>
      <c r="F49" s="224" t="str">
        <f>IF(C49="", "",VLOOKUP(C49,'Items List'!A$2:H$1073,3,FALSE))</f>
        <v/>
      </c>
      <c r="G49" s="224"/>
      <c r="H49" s="225"/>
    </row>
    <row r="50" spans="1:8" x14ac:dyDescent="0.25">
      <c r="A50" s="222"/>
      <c r="B50" s="223"/>
      <c r="C50" s="948"/>
      <c r="D50" s="949"/>
      <c r="E50" s="950"/>
      <c r="F50" s="224" t="str">
        <f>IF(C50="", "",VLOOKUP(C50,'Items List'!A$2:H$1073,3,FALSE))</f>
        <v/>
      </c>
      <c r="G50" s="224"/>
      <c r="H50" s="225"/>
    </row>
    <row r="51" spans="1:8" x14ac:dyDescent="0.25">
      <c r="A51" s="222"/>
      <c r="B51" s="223"/>
      <c r="C51" s="948"/>
      <c r="D51" s="949"/>
      <c r="E51" s="950"/>
      <c r="F51" s="224" t="str">
        <f>IF(C51="", "",VLOOKUP(C51,'Items List'!A$2:H$1073,3,FALSE))</f>
        <v/>
      </c>
      <c r="G51" s="224"/>
      <c r="H51" s="225"/>
    </row>
    <row r="52" spans="1:8" x14ac:dyDescent="0.25">
      <c r="A52" s="222"/>
      <c r="B52" s="223"/>
      <c r="C52" s="948"/>
      <c r="D52" s="949"/>
      <c r="E52" s="950"/>
      <c r="F52" s="224" t="str">
        <f>IF(C52="", "",VLOOKUP(C52,'Items List'!A$2:H$1073,3,FALSE))</f>
        <v/>
      </c>
      <c r="G52" s="224"/>
      <c r="H52" s="225"/>
    </row>
    <row r="53" spans="1:8" x14ac:dyDescent="0.25">
      <c r="A53" s="222"/>
      <c r="B53" s="223"/>
      <c r="C53" s="948"/>
      <c r="D53" s="949"/>
      <c r="E53" s="950"/>
      <c r="F53" s="224" t="str">
        <f>IF(C53="", "",VLOOKUP(C53,'Items List'!A$2:H$1073,3,FALSE))</f>
        <v/>
      </c>
      <c r="G53" s="224"/>
      <c r="H53" s="225"/>
    </row>
    <row r="54" spans="1:8" x14ac:dyDescent="0.25">
      <c r="A54" s="222"/>
      <c r="B54" s="223"/>
      <c r="C54" s="948"/>
      <c r="D54" s="949"/>
      <c r="E54" s="950"/>
      <c r="F54" s="224" t="str">
        <f>IF(C54="", "",VLOOKUP(C54,'Items List'!A$2:H$1073,3,FALSE))</f>
        <v/>
      </c>
      <c r="G54" s="224"/>
      <c r="H54" s="225"/>
    </row>
    <row r="55" spans="1:8" x14ac:dyDescent="0.25">
      <c r="A55" s="222"/>
      <c r="B55" s="223"/>
      <c r="C55" s="948"/>
      <c r="D55" s="949"/>
      <c r="E55" s="950"/>
      <c r="F55" s="224" t="str">
        <f>IF(C55="", "",VLOOKUP(C55,'Items List'!A$2:H$1073,3,FALSE))</f>
        <v/>
      </c>
      <c r="G55" s="224"/>
      <c r="H55" s="225"/>
    </row>
    <row r="56" spans="1:8" x14ac:dyDescent="0.25">
      <c r="A56" s="222"/>
      <c r="B56" s="223"/>
      <c r="C56" s="948"/>
      <c r="D56" s="949"/>
      <c r="E56" s="950"/>
      <c r="F56" s="224" t="str">
        <f>IF(C56="", "",VLOOKUP(C56,'Items List'!A$2:H$1073,3,FALSE))</f>
        <v/>
      </c>
      <c r="G56" s="224"/>
      <c r="H56" s="225"/>
    </row>
    <row r="57" spans="1:8" x14ac:dyDescent="0.25">
      <c r="A57" s="222"/>
      <c r="B57" s="223"/>
      <c r="C57" s="948"/>
      <c r="D57" s="949"/>
      <c r="E57" s="950"/>
      <c r="F57" s="224" t="str">
        <f>IF(C57="", "",VLOOKUP(C57,'Items List'!A$2:H$1073,3,FALSE))</f>
        <v/>
      </c>
      <c r="G57" s="224"/>
      <c r="H57" s="225"/>
    </row>
    <row r="58" spans="1:8" x14ac:dyDescent="0.25">
      <c r="A58" s="222"/>
      <c r="B58" s="223"/>
      <c r="C58" s="948"/>
      <c r="D58" s="949"/>
      <c r="E58" s="950"/>
      <c r="F58" s="224" t="str">
        <f>IF(C58="", "",VLOOKUP(C58,'Items List'!A$2:H$1073,3,FALSE))</f>
        <v/>
      </c>
      <c r="G58" s="224"/>
      <c r="H58" s="225"/>
    </row>
    <row r="59" spans="1:8" x14ac:dyDescent="0.25">
      <c r="A59" s="222"/>
      <c r="B59" s="223"/>
      <c r="C59" s="948"/>
      <c r="D59" s="949"/>
      <c r="E59" s="950"/>
      <c r="F59" s="224" t="str">
        <f>IF(C59="", "",VLOOKUP(C59,'Items List'!A$2:H$1073,3,FALSE))</f>
        <v/>
      </c>
      <c r="G59" s="224"/>
      <c r="H59" s="225"/>
    </row>
    <row r="60" spans="1:8" x14ac:dyDescent="0.25">
      <c r="A60" s="222"/>
      <c r="B60" s="223"/>
      <c r="C60" s="948"/>
      <c r="D60" s="949"/>
      <c r="E60" s="950"/>
      <c r="F60" s="224" t="str">
        <f>IF(C60="", "",VLOOKUP(C60,'Items List'!A$2:H$1073,3,FALSE))</f>
        <v/>
      </c>
      <c r="G60" s="224"/>
      <c r="H60" s="225"/>
    </row>
    <row r="61" spans="1:8" x14ac:dyDescent="0.25">
      <c r="A61" s="222"/>
      <c r="B61" s="223"/>
      <c r="C61" s="948"/>
      <c r="D61" s="949"/>
      <c r="E61" s="950"/>
      <c r="F61" s="224" t="str">
        <f>IF(C61="", "",VLOOKUP(C61,'Items List'!A$2:H$1073,3,FALSE))</f>
        <v/>
      </c>
      <c r="G61" s="224"/>
      <c r="H61" s="225"/>
    </row>
    <row r="62" spans="1:8" x14ac:dyDescent="0.25">
      <c r="A62" s="222"/>
      <c r="B62" s="223"/>
      <c r="C62" s="948"/>
      <c r="D62" s="949"/>
      <c r="E62" s="950"/>
      <c r="F62" s="224" t="str">
        <f>IF(C62="", "",VLOOKUP(C62,'Items List'!A$2:H$1073,3,FALSE))</f>
        <v/>
      </c>
      <c r="G62" s="224"/>
      <c r="H62" s="225"/>
    </row>
    <row r="63" spans="1:8" x14ac:dyDescent="0.25">
      <c r="A63" s="222"/>
      <c r="B63" s="223"/>
      <c r="C63" s="948"/>
      <c r="D63" s="949"/>
      <c r="E63" s="950"/>
      <c r="F63" s="224" t="str">
        <f>IF(C63="", "",VLOOKUP(C63,'Items List'!A$2:H$1073,3,FALSE))</f>
        <v/>
      </c>
      <c r="G63" s="224"/>
      <c r="H63" s="225"/>
    </row>
    <row r="64" spans="1:8" x14ac:dyDescent="0.25">
      <c r="A64" s="222"/>
      <c r="B64" s="223"/>
      <c r="C64" s="948"/>
      <c r="D64" s="949"/>
      <c r="E64" s="950"/>
      <c r="F64" s="224" t="str">
        <f>IF(C64="", "",VLOOKUP(C64,'Items List'!A$2:H$1073,3,FALSE))</f>
        <v/>
      </c>
      <c r="G64" s="224"/>
      <c r="H64" s="225"/>
    </row>
    <row r="65" spans="1:8" x14ac:dyDescent="0.25">
      <c r="A65" s="222"/>
      <c r="B65" s="223"/>
      <c r="C65" s="948"/>
      <c r="D65" s="949"/>
      <c r="E65" s="950"/>
      <c r="F65" s="224" t="str">
        <f>IF(C65="", "",VLOOKUP(C65,'Items List'!A$2:H$1073,3,FALSE))</f>
        <v/>
      </c>
      <c r="G65" s="224"/>
      <c r="H65" s="225"/>
    </row>
    <row r="66" spans="1:8" x14ac:dyDescent="0.25">
      <c r="A66" s="222"/>
      <c r="B66" s="223"/>
      <c r="C66" s="948"/>
      <c r="D66" s="949"/>
      <c r="E66" s="950"/>
      <c r="F66" s="224" t="str">
        <f>IF(C66="", "",VLOOKUP(C66,'Items List'!A$2:H$1073,3,FALSE))</f>
        <v/>
      </c>
      <c r="G66" s="224"/>
      <c r="H66" s="225"/>
    </row>
    <row r="67" spans="1:8" x14ac:dyDescent="0.25">
      <c r="A67" s="222"/>
      <c r="B67" s="223"/>
      <c r="C67" s="948"/>
      <c r="D67" s="949"/>
      <c r="E67" s="950"/>
      <c r="F67" s="224" t="str">
        <f>IF(C67="", "",VLOOKUP(C67,'Items List'!A$2:H$1073,3,FALSE))</f>
        <v/>
      </c>
      <c r="G67" s="224"/>
      <c r="H67" s="225"/>
    </row>
    <row r="68" spans="1:8" x14ac:dyDescent="0.25">
      <c r="A68" s="222"/>
      <c r="B68" s="223"/>
      <c r="C68" s="948"/>
      <c r="D68" s="949"/>
      <c r="E68" s="950"/>
      <c r="F68" s="224" t="str">
        <f>IF(C68="", "",VLOOKUP(C68,'Items List'!A$2:H$1073,3,FALSE))</f>
        <v/>
      </c>
      <c r="G68" s="224"/>
      <c r="H68" s="225"/>
    </row>
    <row r="69" spans="1:8" x14ac:dyDescent="0.25">
      <c r="A69" s="222"/>
      <c r="B69" s="223"/>
      <c r="C69" s="948"/>
      <c r="D69" s="949"/>
      <c r="E69" s="950"/>
      <c r="F69" s="224" t="str">
        <f>IF(C69="", "",VLOOKUP(C69,'Items List'!A$2:H$1073,3,FALSE))</f>
        <v/>
      </c>
      <c r="G69" s="224"/>
      <c r="H69" s="225"/>
    </row>
    <row r="70" spans="1:8" x14ac:dyDescent="0.25">
      <c r="A70" s="222"/>
      <c r="B70" s="223"/>
      <c r="C70" s="948"/>
      <c r="D70" s="949"/>
      <c r="E70" s="950"/>
      <c r="F70" s="224" t="str">
        <f>IF(C70="", "",VLOOKUP(C70,'Items List'!A$2:H$1073,3,FALSE))</f>
        <v/>
      </c>
      <c r="G70" s="224"/>
      <c r="H70" s="225"/>
    </row>
    <row r="71" spans="1:8" x14ac:dyDescent="0.25">
      <c r="A71" s="222"/>
      <c r="B71" s="223"/>
      <c r="C71" s="948"/>
      <c r="D71" s="949"/>
      <c r="E71" s="950"/>
      <c r="F71" s="224" t="str">
        <f>IF(C71="", "",VLOOKUP(C71,'Items List'!A$2:H$1073,3,FALSE))</f>
        <v/>
      </c>
      <c r="G71" s="224"/>
      <c r="H71" s="225"/>
    </row>
    <row r="72" spans="1:8" x14ac:dyDescent="0.25">
      <c r="A72" s="222"/>
      <c r="B72" s="223"/>
      <c r="C72" s="948"/>
      <c r="D72" s="949"/>
      <c r="E72" s="950"/>
      <c r="F72" s="224" t="str">
        <f>IF(C72="", "",VLOOKUP(C72,'Items List'!A$2:H$1073,3,FALSE))</f>
        <v/>
      </c>
      <c r="G72" s="224"/>
      <c r="H72" s="225"/>
    </row>
    <row r="73" spans="1:8" x14ac:dyDescent="0.25">
      <c r="A73" s="222"/>
      <c r="B73" s="223"/>
      <c r="C73" s="948"/>
      <c r="D73" s="949"/>
      <c r="E73" s="950"/>
      <c r="F73" s="224" t="str">
        <f>IF(C73="", "",VLOOKUP(C73,'Items List'!A$2:H$1073,3,FALSE))</f>
        <v/>
      </c>
      <c r="G73" s="224"/>
      <c r="H73" s="225"/>
    </row>
    <row r="74" spans="1:8" x14ac:dyDescent="0.25">
      <c r="A74" s="222"/>
      <c r="B74" s="223"/>
      <c r="C74" s="948"/>
      <c r="D74" s="949"/>
      <c r="E74" s="950"/>
      <c r="F74" s="224" t="str">
        <f>IF(C74="", "",VLOOKUP(C74,'Items List'!A$2:H$1073,3,FALSE))</f>
        <v/>
      </c>
      <c r="G74" s="224"/>
      <c r="H74" s="225"/>
    </row>
    <row r="75" spans="1:8" x14ac:dyDescent="0.25">
      <c r="A75" s="222"/>
      <c r="B75" s="223"/>
      <c r="C75" s="948"/>
      <c r="D75" s="949"/>
      <c r="E75" s="950"/>
      <c r="F75" s="224" t="str">
        <f>IF(C75="", "",VLOOKUP(C75,'Items List'!A$2:H$1073,3,FALSE))</f>
        <v/>
      </c>
      <c r="G75" s="224"/>
      <c r="H75" s="225"/>
    </row>
    <row r="76" spans="1:8" x14ac:dyDescent="0.25">
      <c r="A76" s="222"/>
      <c r="B76" s="223"/>
      <c r="C76" s="948"/>
      <c r="D76" s="949"/>
      <c r="E76" s="950"/>
      <c r="F76" s="224" t="str">
        <f>IF(C76="", "",VLOOKUP(C76,'Items List'!A$2:H$1073,3,FALSE))</f>
        <v/>
      </c>
      <c r="G76" s="224"/>
      <c r="H76" s="225"/>
    </row>
    <row r="77" spans="1:8" x14ac:dyDescent="0.25">
      <c r="A77" s="222"/>
      <c r="B77" s="223"/>
      <c r="C77" s="948"/>
      <c r="D77" s="949"/>
      <c r="E77" s="950"/>
      <c r="F77" s="224" t="str">
        <f>IF(C77="", "",VLOOKUP(C77,'Items List'!A$2:H$1073,3,FALSE))</f>
        <v/>
      </c>
      <c r="G77" s="224"/>
      <c r="H77" s="225"/>
    </row>
    <row r="78" spans="1:8" x14ac:dyDescent="0.25">
      <c r="A78" s="222"/>
      <c r="B78" s="223"/>
      <c r="C78" s="948"/>
      <c r="D78" s="949"/>
      <c r="E78" s="950"/>
      <c r="F78" s="224" t="str">
        <f>IF(C78="", "",VLOOKUP(C78,'Items List'!A$2:H$1073,3,FALSE))</f>
        <v/>
      </c>
      <c r="G78" s="224"/>
      <c r="H78" s="225"/>
    </row>
    <row r="79" spans="1:8" x14ac:dyDescent="0.25">
      <c r="A79" s="222"/>
      <c r="B79" s="223"/>
      <c r="C79" s="948"/>
      <c r="D79" s="949"/>
      <c r="E79" s="950"/>
      <c r="F79" s="224" t="str">
        <f>IF(C79="", "",VLOOKUP(C79,'Items List'!A$2:H$1073,3,FALSE))</f>
        <v/>
      </c>
      <c r="G79" s="224"/>
      <c r="H79" s="225"/>
    </row>
    <row r="80" spans="1:8" x14ac:dyDescent="0.25">
      <c r="A80" s="222"/>
      <c r="B80" s="223"/>
      <c r="C80" s="948"/>
      <c r="D80" s="949"/>
      <c r="E80" s="950"/>
      <c r="F80" s="224" t="str">
        <f>IF(C80="", "",VLOOKUP(C80,'Items List'!A$2:H$1073,3,FALSE))</f>
        <v/>
      </c>
      <c r="G80" s="224"/>
      <c r="H80" s="225"/>
    </row>
    <row r="81" spans="1:8" x14ac:dyDescent="0.25">
      <c r="A81" s="222"/>
      <c r="B81" s="223"/>
      <c r="C81" s="948"/>
      <c r="D81" s="949"/>
      <c r="E81" s="950"/>
      <c r="F81" s="224" t="str">
        <f>IF(C81="", "",VLOOKUP(C81,'Items List'!A$2:H$1073,3,FALSE))</f>
        <v/>
      </c>
      <c r="G81" s="224"/>
      <c r="H81" s="225"/>
    </row>
    <row r="82" spans="1:8" x14ac:dyDescent="0.25">
      <c r="A82" s="222"/>
      <c r="B82" s="223"/>
      <c r="C82" s="948"/>
      <c r="D82" s="949"/>
      <c r="E82" s="950"/>
      <c r="F82" s="224" t="str">
        <f>IF(C82="", "",VLOOKUP(C82,'Items List'!A$2:H$1073,3,FALSE))</f>
        <v/>
      </c>
      <c r="G82" s="224"/>
      <c r="H82" s="225"/>
    </row>
    <row r="83" spans="1:8" x14ac:dyDescent="0.25">
      <c r="A83" s="222"/>
      <c r="B83" s="223"/>
      <c r="C83" s="948"/>
      <c r="D83" s="949"/>
      <c r="E83" s="950"/>
      <c r="F83" s="224" t="str">
        <f>IF(C83="", "",VLOOKUP(C83,'Items List'!A$2:H$1073,3,FALSE))</f>
        <v/>
      </c>
      <c r="G83" s="224"/>
      <c r="H83" s="225"/>
    </row>
    <row r="84" spans="1:8" x14ac:dyDescent="0.25">
      <c r="A84" s="222"/>
      <c r="B84" s="223"/>
      <c r="C84" s="948"/>
      <c r="D84" s="949"/>
      <c r="E84" s="950"/>
      <c r="F84" s="224" t="str">
        <f>IF(C84="", "",VLOOKUP(C84,'Items List'!A$2:H$1073,3,FALSE))</f>
        <v/>
      </c>
      <c r="G84" s="224"/>
      <c r="H84" s="225"/>
    </row>
    <row r="85" spans="1:8" ht="15.6" customHeight="1" thickBot="1" x14ac:dyDescent="0.3">
      <c r="A85" s="985" t="str">
        <f>IF(C85="", "",VLOOKUP(C85,'Items List'!A$2:H$1073,3,FALSE))</f>
        <v/>
      </c>
      <c r="B85" s="986"/>
      <c r="C85" s="986"/>
      <c r="D85" s="986"/>
      <c r="E85" s="986"/>
      <c r="F85" s="987"/>
      <c r="G85" s="983" t="str">
        <f>CMDS!AA60</f>
        <v>v14q.4.8.2025</v>
      </c>
      <c r="H85" s="984"/>
    </row>
  </sheetData>
  <sheetProtection algorithmName="SHA-512" hashValue="H6nmogYpIgOg1iAj+OLiwtSje4Po4y3xY/RZF3/FdJazwLpuLhSeRdDB7x3TG7j0vINVxVwJE1JiSVT1teYc4Q==" saltValue="u5XO8OOXFIO3TZstr7NWhw==" spinCount="100000" sheet="1" objects="1" scenarios="1" selectLockedCells="1"/>
  <mergeCells count="93">
    <mergeCell ref="G85:H85"/>
    <mergeCell ref="A85:F85"/>
    <mergeCell ref="C49:E49"/>
    <mergeCell ref="C62:E62"/>
    <mergeCell ref="C63:E63"/>
    <mergeCell ref="C64:E64"/>
    <mergeCell ref="C65:E65"/>
    <mergeCell ref="C82:E82"/>
    <mergeCell ref="C83:E83"/>
    <mergeCell ref="C84:E84"/>
    <mergeCell ref="C71:E71"/>
    <mergeCell ref="C72:E72"/>
    <mergeCell ref="C73:E73"/>
    <mergeCell ref="C74:E74"/>
    <mergeCell ref="C37:E37"/>
    <mergeCell ref="C38:E38"/>
    <mergeCell ref="C39:E39"/>
    <mergeCell ref="C40:E40"/>
    <mergeCell ref="C41:E41"/>
    <mergeCell ref="C42:E42"/>
    <mergeCell ref="C43:E43"/>
    <mergeCell ref="C44:E44"/>
    <mergeCell ref="C45:E45"/>
    <mergeCell ref="C46:E46"/>
    <mergeCell ref="C47:E47"/>
    <mergeCell ref="C48:E48"/>
    <mergeCell ref="A3:D3"/>
    <mergeCell ref="E3:H3"/>
    <mergeCell ref="C81:E81"/>
    <mergeCell ref="C76:E76"/>
    <mergeCell ref="C77:E77"/>
    <mergeCell ref="C78:E78"/>
    <mergeCell ref="C79:E79"/>
    <mergeCell ref="C80:E80"/>
    <mergeCell ref="C50:E50"/>
    <mergeCell ref="C67:E67"/>
    <mergeCell ref="C68:E68"/>
    <mergeCell ref="C69:E69"/>
    <mergeCell ref="C75:E75"/>
    <mergeCell ref="C70:E70"/>
    <mergeCell ref="C33:E33"/>
    <mergeCell ref="C34:E34"/>
    <mergeCell ref="C35:E35"/>
    <mergeCell ref="C36:E36"/>
    <mergeCell ref="C66:E66"/>
    <mergeCell ref="C51:E51"/>
    <mergeCell ref="C52:E52"/>
    <mergeCell ref="C53:E53"/>
    <mergeCell ref="C54:E54"/>
    <mergeCell ref="C55:E55"/>
    <mergeCell ref="C56:E56"/>
    <mergeCell ref="C57:E57"/>
    <mergeCell ref="C58:E58"/>
    <mergeCell ref="C59:E59"/>
    <mergeCell ref="C60:E60"/>
    <mergeCell ref="C61:E61"/>
    <mergeCell ref="C27:E27"/>
    <mergeCell ref="C28:E28"/>
    <mergeCell ref="C29:E29"/>
    <mergeCell ref="C30:E30"/>
    <mergeCell ref="C32:E32"/>
    <mergeCell ref="C31:E31"/>
    <mergeCell ref="C22:E22"/>
    <mergeCell ref="C23:E23"/>
    <mergeCell ref="C24:E24"/>
    <mergeCell ref="C25:E25"/>
    <mergeCell ref="C26:E26"/>
    <mergeCell ref="C17:E17"/>
    <mergeCell ref="C18:E18"/>
    <mergeCell ref="C19:E19"/>
    <mergeCell ref="C20:E20"/>
    <mergeCell ref="C21:E21"/>
    <mergeCell ref="C13:E13"/>
    <mergeCell ref="C14:E14"/>
    <mergeCell ref="C15:E15"/>
    <mergeCell ref="C16:E16"/>
    <mergeCell ref="F6:G6"/>
    <mergeCell ref="A1:H1"/>
    <mergeCell ref="C11:E11"/>
    <mergeCell ref="C12:E12"/>
    <mergeCell ref="C10:E10"/>
    <mergeCell ref="B2:C2"/>
    <mergeCell ref="D2:G2"/>
    <mergeCell ref="A9:H9"/>
    <mergeCell ref="A6:B6"/>
    <mergeCell ref="A4:B4"/>
    <mergeCell ref="A5:B5"/>
    <mergeCell ref="A7:B7"/>
    <mergeCell ref="F7:G7"/>
    <mergeCell ref="A8:B8"/>
    <mergeCell ref="F8:G8"/>
    <mergeCell ref="F5:G5"/>
    <mergeCell ref="E4:H4"/>
  </mergeCells>
  <conditionalFormatting sqref="D2">
    <cfRule type="containsText" dxfId="15" priority="1" operator="containsText" text="Mix ID Required">
      <formula>NOT(ISERROR(SEARCH("Mix ID Required",D2)))</formula>
    </cfRule>
  </conditionalFormatting>
  <printOptions horizontalCentered="1"/>
  <pageMargins left="0.7" right="0.7" top="0.75" bottom="0.75" header="0.3" footer="0.3"/>
  <pageSetup scale="97" fitToHeight="0" orientation="landscape" r:id="rId1"/>
  <headerFoot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5F81279-ACF7-4AAF-A5D4-281920D425F4}">
          <x14:formula1>
            <xm:f>'Items List'!$A$2:$A$996</xm:f>
          </x14:formula1>
          <xm:sqref>C11:E84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F8FAD-F948-44E7-AA7B-3446773EEB4C}">
  <dimension ref="A1:CN251"/>
  <sheetViews>
    <sheetView topLeftCell="A62" workbookViewId="0">
      <selection activeCell="N82" sqref="N82:P82"/>
    </sheetView>
  </sheetViews>
  <sheetFormatPr defaultRowHeight="12.75" x14ac:dyDescent="0.2"/>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7.28515625" customWidth="1"/>
    <col min="30" max="31" width="3.140625" style="167" customWidth="1"/>
    <col min="32" max="32" width="3.140625" style="167" hidden="1" customWidth="1"/>
    <col min="33" max="33" width="0" style="167" hidden="1" customWidth="1"/>
    <col min="34" max="92" width="9.140625" style="167"/>
  </cols>
  <sheetData>
    <row r="1" spans="1:92" ht="20.25" x14ac:dyDescent="0.3">
      <c r="A1" s="485" t="s">
        <v>0</v>
      </c>
      <c r="B1" s="485"/>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row>
    <row r="2" spans="1:92" x14ac:dyDescent="0.2">
      <c r="A2" t="s">
        <v>1</v>
      </c>
      <c r="C2" s="482"/>
      <c r="D2" s="483"/>
      <c r="E2" s="483"/>
      <c r="G2" t="s">
        <v>2</v>
      </c>
      <c r="J2" s="989">
        <f>CMDS!G4</f>
        <v>0</v>
      </c>
      <c r="K2" s="989"/>
      <c r="L2" s="989"/>
      <c r="M2" t="s">
        <v>3</v>
      </c>
      <c r="P2" s="990">
        <f>CMDS!G5</f>
        <v>0</v>
      </c>
      <c r="Q2" s="990"/>
      <c r="R2" s="990"/>
      <c r="S2" s="990"/>
      <c r="T2" s="990"/>
      <c r="U2" s="990"/>
      <c r="V2" s="990"/>
      <c r="W2" s="990"/>
      <c r="X2" s="990"/>
      <c r="Y2" s="990"/>
      <c r="Z2" s="990"/>
      <c r="AA2" s="990"/>
      <c r="AB2" s="990"/>
    </row>
    <row r="3" spans="1:92" x14ac:dyDescent="0.2">
      <c r="A3" t="s">
        <v>4</v>
      </c>
      <c r="J3" s="403"/>
      <c r="K3" s="403"/>
      <c r="L3" s="403"/>
      <c r="M3" s="403"/>
      <c r="N3" s="403"/>
      <c r="O3" s="403"/>
      <c r="P3" s="403"/>
      <c r="Q3" s="403"/>
      <c r="R3" s="403"/>
      <c r="S3" s="403"/>
      <c r="T3" s="403"/>
      <c r="U3" s="403"/>
      <c r="V3" s="403"/>
      <c r="W3" s="403"/>
      <c r="X3" s="403"/>
      <c r="Y3" s="403"/>
      <c r="Z3" s="403"/>
      <c r="AA3" s="403"/>
      <c r="AB3" s="403"/>
    </row>
    <row r="4" spans="1:92" x14ac:dyDescent="0.2">
      <c r="A4" t="s">
        <v>5</v>
      </c>
      <c r="F4" s="484" t="str">
        <f>CMDS!V5</f>
        <v>Mix ID Required</v>
      </c>
      <c r="G4" s="484"/>
      <c r="H4" s="484"/>
      <c r="I4" s="484"/>
      <c r="J4" s="484"/>
      <c r="K4" s="484"/>
      <c r="L4" s="484"/>
      <c r="M4" s="484"/>
    </row>
    <row r="5" spans="1:92" x14ac:dyDescent="0.2">
      <c r="A5" s="149" t="s">
        <v>6</v>
      </c>
      <c r="W5" s="403"/>
      <c r="X5" s="403"/>
      <c r="Y5" s="403"/>
      <c r="Z5" s="403"/>
      <c r="AA5" s="403"/>
      <c r="AB5" s="403"/>
    </row>
    <row r="6" spans="1:92" x14ac:dyDescent="0.2">
      <c r="A6" s="403"/>
      <c r="B6" s="403"/>
      <c r="C6" s="403"/>
      <c r="D6" s="403"/>
      <c r="E6" s="403"/>
      <c r="F6" s="403"/>
      <c r="G6" s="403"/>
      <c r="H6" s="403"/>
      <c r="I6" s="403"/>
      <c r="J6" s="403"/>
      <c r="K6" s="403"/>
      <c r="L6" s="403"/>
      <c r="M6" s="403"/>
      <c r="N6" s="403"/>
      <c r="O6" s="403"/>
      <c r="P6" s="403"/>
      <c r="Q6" s="403"/>
      <c r="R6" s="403"/>
      <c r="S6" s="403"/>
      <c r="T6" s="403"/>
      <c r="U6" s="403"/>
      <c r="V6" s="403"/>
      <c r="W6" s="403"/>
      <c r="X6" s="403"/>
      <c r="Y6" s="403"/>
      <c r="Z6" s="403"/>
      <c r="AA6" s="403"/>
      <c r="AB6" s="403"/>
    </row>
    <row r="7" spans="1:92" x14ac:dyDescent="0.2">
      <c r="A7" t="s">
        <v>7</v>
      </c>
      <c r="P7" s="486"/>
      <c r="Q7" s="486"/>
      <c r="R7" s="486"/>
      <c r="S7" s="486"/>
      <c r="T7" s="486"/>
      <c r="U7" s="486"/>
      <c r="V7" s="486"/>
      <c r="W7" s="486"/>
      <c r="X7" s="486"/>
      <c r="Y7" s="486"/>
      <c r="Z7" s="486"/>
      <c r="AA7" s="486"/>
      <c r="AB7" s="486"/>
    </row>
    <row r="8" spans="1:92" x14ac:dyDescent="0.2">
      <c r="A8" s="403"/>
      <c r="B8" s="403"/>
      <c r="C8" s="403"/>
      <c r="D8" s="403"/>
      <c r="E8" s="403"/>
      <c r="F8" s="403"/>
      <c r="G8" s="403"/>
      <c r="H8" s="403"/>
      <c r="I8" s="403"/>
      <c r="J8" s="403"/>
      <c r="K8" s="403"/>
      <c r="L8" s="403"/>
      <c r="M8" s="403"/>
      <c r="N8" s="403"/>
      <c r="O8" s="403"/>
      <c r="P8" s="403"/>
      <c r="Q8" s="403"/>
      <c r="R8" s="403"/>
      <c r="S8" s="403"/>
      <c r="T8" s="403"/>
      <c r="U8" s="403"/>
      <c r="V8" s="403"/>
      <c r="W8" s="403"/>
      <c r="X8" s="403"/>
      <c r="Y8" s="403"/>
      <c r="Z8" s="403"/>
      <c r="AA8" s="403"/>
      <c r="AB8" s="403"/>
    </row>
    <row r="10" spans="1:92" ht="15.75" x14ac:dyDescent="0.25">
      <c r="A10" s="535" t="s">
        <v>8</v>
      </c>
      <c r="B10" s="536"/>
      <c r="C10" s="536"/>
      <c r="D10" s="536"/>
      <c r="E10" s="536"/>
      <c r="F10" s="536"/>
      <c r="G10" s="536"/>
      <c r="H10" s="536"/>
      <c r="I10" s="536"/>
      <c r="J10" s="536"/>
      <c r="K10" s="536"/>
      <c r="L10" s="536"/>
      <c r="M10" s="536"/>
      <c r="N10" s="536"/>
      <c r="O10" s="536"/>
      <c r="P10" s="536"/>
      <c r="Q10" s="536"/>
      <c r="R10" s="536"/>
      <c r="S10" s="536"/>
      <c r="T10" s="536"/>
      <c r="U10" s="536"/>
      <c r="V10" s="537"/>
      <c r="W10" s="537"/>
      <c r="X10" s="537"/>
      <c r="Y10" s="537"/>
      <c r="Z10" s="537"/>
      <c r="AA10" s="537"/>
      <c r="AB10" s="537"/>
    </row>
    <row r="11" spans="1:92" s="4" customFormat="1" ht="15.75" customHeight="1" x14ac:dyDescent="0.2">
      <c r="A11" s="474"/>
      <c r="B11" s="475"/>
      <c r="C11" s="475"/>
      <c r="D11" s="475"/>
      <c r="E11" s="475"/>
      <c r="F11" s="475"/>
      <c r="G11" s="476"/>
      <c r="H11" s="184"/>
      <c r="I11" s="185"/>
      <c r="J11" s="186"/>
      <c r="K11" s="477" t="s">
        <v>9</v>
      </c>
      <c r="L11" s="475"/>
      <c r="M11" s="475"/>
      <c r="N11" s="476"/>
      <c r="O11" s="477"/>
      <c r="P11" s="475"/>
      <c r="Q11" s="476"/>
      <c r="R11" s="477" t="s">
        <v>9</v>
      </c>
      <c r="S11" s="475"/>
      <c r="T11" s="475"/>
      <c r="U11" s="476"/>
      <c r="V11" s="475" t="s">
        <v>10</v>
      </c>
      <c r="W11" s="475"/>
      <c r="X11" s="476"/>
      <c r="Y11" s="477" t="s">
        <v>9</v>
      </c>
      <c r="Z11" s="475"/>
      <c r="AA11" s="475"/>
      <c r="AB11" s="540"/>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c r="CI11" s="187"/>
      <c r="CJ11" s="187"/>
      <c r="CK11" s="187"/>
      <c r="CL11" s="187"/>
      <c r="CM11" s="187"/>
      <c r="CN11" s="187"/>
    </row>
    <row r="12" spans="1:92" s="4" customFormat="1" x14ac:dyDescent="0.2">
      <c r="A12" s="315" t="s">
        <v>11</v>
      </c>
      <c r="B12" s="316"/>
      <c r="C12" s="316"/>
      <c r="D12" s="316"/>
      <c r="E12" s="316"/>
      <c r="F12" s="316"/>
      <c r="G12" s="317"/>
      <c r="H12" s="372" t="s">
        <v>12</v>
      </c>
      <c r="I12" s="316"/>
      <c r="J12" s="317"/>
      <c r="K12" s="320" t="s">
        <v>13</v>
      </c>
      <c r="L12" s="321"/>
      <c r="M12" s="321"/>
      <c r="N12" s="322"/>
      <c r="O12" s="372" t="s">
        <v>10</v>
      </c>
      <c r="P12" s="316"/>
      <c r="Q12" s="317"/>
      <c r="R12" s="320" t="s">
        <v>14</v>
      </c>
      <c r="S12" s="321"/>
      <c r="T12" s="321"/>
      <c r="U12" s="322"/>
      <c r="V12" s="316" t="s">
        <v>15</v>
      </c>
      <c r="W12" s="316"/>
      <c r="X12" s="317"/>
      <c r="Y12" s="320" t="s">
        <v>14</v>
      </c>
      <c r="Z12" s="321"/>
      <c r="AA12" s="321"/>
      <c r="AB12" s="323"/>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7"/>
      <c r="CG12" s="187"/>
      <c r="CH12" s="187"/>
      <c r="CI12" s="187"/>
      <c r="CJ12" s="187"/>
      <c r="CK12" s="187"/>
      <c r="CL12" s="187"/>
      <c r="CM12" s="187"/>
      <c r="CN12" s="187"/>
    </row>
    <row r="13" spans="1:92" x14ac:dyDescent="0.2">
      <c r="A13" s="390"/>
      <c r="B13" s="319"/>
      <c r="C13" s="319"/>
      <c r="D13" s="319"/>
      <c r="E13" s="319"/>
      <c r="F13" s="319"/>
      <c r="G13" s="391"/>
      <c r="H13" s="318" t="s">
        <v>16</v>
      </c>
      <c r="I13" s="319"/>
      <c r="J13" s="391"/>
      <c r="K13" s="318" t="s">
        <v>17</v>
      </c>
      <c r="L13" s="319"/>
      <c r="M13" s="319"/>
      <c r="N13" s="391"/>
      <c r="O13" s="318" t="s">
        <v>16</v>
      </c>
      <c r="P13" s="319"/>
      <c r="Q13" s="391"/>
      <c r="R13" s="318" t="s">
        <v>17</v>
      </c>
      <c r="S13" s="319"/>
      <c r="T13" s="319"/>
      <c r="U13" s="391"/>
      <c r="V13" s="319" t="s">
        <v>16</v>
      </c>
      <c r="W13" s="319"/>
      <c r="X13" s="391"/>
      <c r="Y13" s="318" t="s">
        <v>15</v>
      </c>
      <c r="Z13" s="319"/>
      <c r="AA13" s="319"/>
      <c r="AB13" s="346"/>
    </row>
    <row r="14" spans="1:92" ht="12.6" customHeight="1" x14ac:dyDescent="0.2">
      <c r="A14" s="439" t="s">
        <v>18</v>
      </c>
      <c r="B14" s="299"/>
      <c r="C14" s="299"/>
      <c r="D14" s="299"/>
      <c r="E14" s="299"/>
      <c r="F14" s="299"/>
      <c r="G14" s="288"/>
      <c r="H14" s="363">
        <f>CMDS!H35</f>
        <v>0</v>
      </c>
      <c r="I14" s="364"/>
      <c r="J14" s="365"/>
      <c r="K14" s="398"/>
      <c r="L14" s="299"/>
      <c r="M14" s="299"/>
      <c r="N14" s="288"/>
      <c r="O14" s="363">
        <f>H14</f>
        <v>0</v>
      </c>
      <c r="P14" s="299"/>
      <c r="Q14" s="288"/>
      <c r="R14" s="398" t="s">
        <v>19</v>
      </c>
      <c r="S14" s="299"/>
      <c r="T14" s="299"/>
      <c r="U14" s="288"/>
      <c r="V14" s="363">
        <f>O14</f>
        <v>0</v>
      </c>
      <c r="W14" s="299"/>
      <c r="X14" s="288"/>
      <c r="Y14" s="398" t="s">
        <v>19</v>
      </c>
      <c r="Z14" s="299"/>
      <c r="AA14" s="299"/>
      <c r="AB14" s="399"/>
    </row>
    <row r="15" spans="1:92" ht="12.6" customHeight="1" x14ac:dyDescent="0.2">
      <c r="A15" s="439" t="s">
        <v>20</v>
      </c>
      <c r="B15" s="299"/>
      <c r="C15" s="299"/>
      <c r="D15" s="299"/>
      <c r="E15" s="299"/>
      <c r="F15" s="299"/>
      <c r="G15" s="288"/>
      <c r="H15" s="432">
        <f>CMDS!K35</f>
        <v>0</v>
      </c>
      <c r="I15" s="299"/>
      <c r="J15" s="288"/>
      <c r="K15" s="398"/>
      <c r="L15" s="299"/>
      <c r="M15" s="299"/>
      <c r="N15" s="288"/>
      <c r="O15" s="432">
        <f>H15</f>
        <v>0</v>
      </c>
      <c r="P15" s="299"/>
      <c r="Q15" s="288"/>
      <c r="R15" s="398" t="s">
        <v>19</v>
      </c>
      <c r="S15" s="299"/>
      <c r="T15" s="299"/>
      <c r="U15" s="288"/>
      <c r="V15" s="432">
        <f>O15</f>
        <v>0</v>
      </c>
      <c r="W15" s="299"/>
      <c r="X15" s="288"/>
      <c r="Y15" s="398" t="s">
        <v>19</v>
      </c>
      <c r="Z15" s="299"/>
      <c r="AA15" s="299"/>
      <c r="AB15" s="399"/>
    </row>
    <row r="16" spans="1:92" ht="12.6" customHeight="1" x14ac:dyDescent="0.2">
      <c r="A16" s="439" t="s">
        <v>21</v>
      </c>
      <c r="B16" s="299"/>
      <c r="C16" s="299"/>
      <c r="D16" s="299"/>
      <c r="E16" s="299"/>
      <c r="F16" s="299"/>
      <c r="G16" s="288"/>
      <c r="H16" s="432">
        <f>IFERROR(M33,"")</f>
        <v>0</v>
      </c>
      <c r="I16" s="433"/>
      <c r="J16" s="434"/>
      <c r="K16" s="392"/>
      <c r="L16" s="393"/>
      <c r="M16" s="393"/>
      <c r="N16" s="394"/>
      <c r="O16" s="432">
        <f>IFERROR(S33,"")</f>
        <v>0</v>
      </c>
      <c r="P16" s="433"/>
      <c r="Q16" s="434"/>
      <c r="R16" s="392"/>
      <c r="S16" s="393"/>
      <c r="T16" s="393"/>
      <c r="U16" s="394"/>
      <c r="V16" s="433">
        <f>IFERROR(Y33,"")</f>
        <v>0</v>
      </c>
      <c r="W16" s="433"/>
      <c r="X16" s="434"/>
      <c r="Y16" s="392"/>
      <c r="Z16" s="393"/>
      <c r="AA16" s="393"/>
      <c r="AB16" s="471"/>
    </row>
    <row r="17" spans="1:30" ht="12.6" customHeight="1" x14ac:dyDescent="0.2">
      <c r="A17" s="439" t="s">
        <v>22</v>
      </c>
      <c r="B17" s="299"/>
      <c r="C17" s="299"/>
      <c r="D17" s="299"/>
      <c r="E17" s="299"/>
      <c r="F17" s="299"/>
      <c r="G17" s="288"/>
      <c r="H17" s="363">
        <f>CMDS!H36</f>
        <v>0</v>
      </c>
      <c r="I17" s="364"/>
      <c r="J17" s="365"/>
      <c r="K17" s="398"/>
      <c r="L17" s="299"/>
      <c r="M17" s="299"/>
      <c r="N17" s="288"/>
      <c r="O17" s="363">
        <f>H17</f>
        <v>0</v>
      </c>
      <c r="P17" s="299"/>
      <c r="Q17" s="288"/>
      <c r="R17" s="398" t="s">
        <v>19</v>
      </c>
      <c r="S17" s="299"/>
      <c r="T17" s="299"/>
      <c r="U17" s="288"/>
      <c r="V17" s="363">
        <f>O17</f>
        <v>0</v>
      </c>
      <c r="W17" s="299"/>
      <c r="X17" s="288"/>
      <c r="Y17" s="398" t="s">
        <v>19</v>
      </c>
      <c r="Z17" s="299"/>
      <c r="AA17" s="299"/>
      <c r="AB17" s="399"/>
    </row>
    <row r="18" spans="1:30" ht="12.6" customHeight="1" x14ac:dyDescent="0.2">
      <c r="A18" s="439" t="s">
        <v>23</v>
      </c>
      <c r="B18" s="299"/>
      <c r="C18" s="299"/>
      <c r="D18" s="299"/>
      <c r="E18" s="299"/>
      <c r="F18" s="299"/>
      <c r="G18" s="288"/>
      <c r="H18" s="432">
        <f>CMDS!K36</f>
        <v>0</v>
      </c>
      <c r="I18" s="433"/>
      <c r="J18" s="434"/>
      <c r="K18" s="398"/>
      <c r="L18" s="299"/>
      <c r="M18" s="299"/>
      <c r="N18" s="288"/>
      <c r="O18" s="432">
        <f>H18</f>
        <v>0</v>
      </c>
      <c r="P18" s="299"/>
      <c r="Q18" s="288"/>
      <c r="R18" s="398" t="s">
        <v>19</v>
      </c>
      <c r="S18" s="299"/>
      <c r="T18" s="299"/>
      <c r="U18" s="288"/>
      <c r="V18" s="432">
        <f>O18</f>
        <v>0</v>
      </c>
      <c r="W18" s="299"/>
      <c r="X18" s="288"/>
      <c r="Y18" s="398" t="s">
        <v>19</v>
      </c>
      <c r="Z18" s="299"/>
      <c r="AA18" s="299"/>
      <c r="AB18" s="399"/>
    </row>
    <row r="19" spans="1:30" ht="12.6" customHeight="1" x14ac:dyDescent="0.2">
      <c r="A19" s="439" t="s">
        <v>24</v>
      </c>
      <c r="B19" s="299"/>
      <c r="C19" s="299"/>
      <c r="D19" s="299"/>
      <c r="E19" s="299"/>
      <c r="F19" s="299"/>
      <c r="G19" s="288"/>
      <c r="H19" s="432">
        <f>IFERROR(O33,"")</f>
        <v>0</v>
      </c>
      <c r="I19" s="433"/>
      <c r="J19" s="434"/>
      <c r="K19" s="392"/>
      <c r="L19" s="393"/>
      <c r="M19" s="393"/>
      <c r="N19" s="394"/>
      <c r="O19" s="432">
        <f>IFERROR(U33,"")</f>
        <v>0</v>
      </c>
      <c r="P19" s="433"/>
      <c r="Q19" s="434"/>
      <c r="R19" s="392"/>
      <c r="S19" s="393"/>
      <c r="T19" s="393"/>
      <c r="U19" s="394"/>
      <c r="V19" s="433">
        <f>IFERROR(AA33,"")</f>
        <v>0</v>
      </c>
      <c r="W19" s="433"/>
      <c r="X19" s="434"/>
      <c r="Y19" s="392"/>
      <c r="Z19" s="393"/>
      <c r="AA19" s="393"/>
      <c r="AB19" s="471"/>
    </row>
    <row r="20" spans="1:30" ht="12.6" customHeight="1" x14ac:dyDescent="0.2">
      <c r="A20" s="362" t="s">
        <v>25</v>
      </c>
      <c r="B20" s="299"/>
      <c r="C20" s="299"/>
      <c r="D20" s="299"/>
      <c r="E20" s="299"/>
      <c r="F20" s="299"/>
      <c r="G20" s="288"/>
      <c r="H20" s="363">
        <f>CMDS!H38</f>
        <v>0</v>
      </c>
      <c r="I20" s="364"/>
      <c r="J20" s="365"/>
      <c r="K20" s="398"/>
      <c r="L20" s="299"/>
      <c r="M20" s="299"/>
      <c r="N20" s="288"/>
      <c r="O20" s="363">
        <f>H20</f>
        <v>0</v>
      </c>
      <c r="P20" s="299"/>
      <c r="Q20" s="288"/>
      <c r="R20" s="398" t="s">
        <v>19</v>
      </c>
      <c r="S20" s="299"/>
      <c r="T20" s="299"/>
      <c r="U20" s="288"/>
      <c r="V20" s="363">
        <f>O20</f>
        <v>0</v>
      </c>
      <c r="W20" s="299"/>
      <c r="X20" s="288"/>
      <c r="Y20" s="398" t="s">
        <v>19</v>
      </c>
      <c r="Z20" s="299"/>
      <c r="AA20" s="299"/>
      <c r="AB20" s="399"/>
    </row>
    <row r="21" spans="1:30" ht="12.6" customHeight="1" x14ac:dyDescent="0.2">
      <c r="A21" s="362" t="s">
        <v>26</v>
      </c>
      <c r="B21" s="299"/>
      <c r="C21" s="299"/>
      <c r="D21" s="299"/>
      <c r="E21" s="299"/>
      <c r="F21" s="299"/>
      <c r="G21" s="288"/>
      <c r="H21" s="432">
        <f>CMDS!K38</f>
        <v>0</v>
      </c>
      <c r="I21" s="433"/>
      <c r="J21" s="434"/>
      <c r="K21" s="398"/>
      <c r="L21" s="299"/>
      <c r="M21" s="299"/>
      <c r="N21" s="288"/>
      <c r="O21" s="432">
        <f>H21</f>
        <v>0</v>
      </c>
      <c r="P21" s="299"/>
      <c r="Q21" s="288"/>
      <c r="R21" s="398" t="s">
        <v>19</v>
      </c>
      <c r="S21" s="299"/>
      <c r="T21" s="299"/>
      <c r="U21" s="288"/>
      <c r="V21" s="432">
        <f>O21</f>
        <v>0</v>
      </c>
      <c r="W21" s="299"/>
      <c r="X21" s="288"/>
      <c r="Y21" s="398" t="s">
        <v>19</v>
      </c>
      <c r="Z21" s="299"/>
      <c r="AA21" s="299"/>
      <c r="AB21" s="399"/>
    </row>
    <row r="22" spans="1:30" ht="12.6" customHeight="1" x14ac:dyDescent="0.2">
      <c r="A22" s="362" t="s">
        <v>27</v>
      </c>
      <c r="B22" s="299"/>
      <c r="C22" s="299"/>
      <c r="D22" s="299"/>
      <c r="E22" s="299"/>
      <c r="F22" s="299"/>
      <c r="G22" s="288"/>
      <c r="H22" s="432">
        <f>IFERROR(Q33,"")</f>
        <v>0</v>
      </c>
      <c r="I22" s="433"/>
      <c r="J22" s="434"/>
      <c r="K22" s="392"/>
      <c r="L22" s="393"/>
      <c r="M22" s="393"/>
      <c r="N22" s="394"/>
      <c r="O22" s="432">
        <f>IFERROR(W33,"")</f>
        <v>0</v>
      </c>
      <c r="P22" s="433"/>
      <c r="Q22" s="434"/>
      <c r="R22" s="392"/>
      <c r="S22" s="393"/>
      <c r="T22" s="393"/>
      <c r="U22" s="394"/>
      <c r="V22" s="433">
        <f>IFERROR(AC33,"")</f>
        <v>0</v>
      </c>
      <c r="W22" s="433"/>
      <c r="X22" s="434"/>
      <c r="Y22" s="392"/>
      <c r="Z22" s="393"/>
      <c r="AA22" s="393"/>
      <c r="AB22" s="471"/>
    </row>
    <row r="23" spans="1:30" ht="12.6" customHeight="1" thickBot="1" x14ac:dyDescent="0.25">
      <c r="A23" s="373" t="s">
        <v>28</v>
      </c>
      <c r="B23" s="374"/>
      <c r="C23" s="374"/>
      <c r="D23" s="374"/>
      <c r="E23" s="374"/>
      <c r="F23" s="374"/>
      <c r="G23" s="375"/>
      <c r="H23" s="425"/>
      <c r="I23" s="410"/>
      <c r="J23" s="411"/>
      <c r="K23" s="353"/>
      <c r="L23" s="354"/>
      <c r="M23" s="354"/>
      <c r="N23" s="355"/>
      <c r="O23" s="425"/>
      <c r="P23" s="410"/>
      <c r="Q23" s="411"/>
      <c r="R23" s="353"/>
      <c r="S23" s="354"/>
      <c r="T23" s="354"/>
      <c r="U23" s="355"/>
      <c r="V23" s="410"/>
      <c r="W23" s="410"/>
      <c r="X23" s="411"/>
      <c r="Y23" s="353"/>
      <c r="Z23" s="354"/>
      <c r="AA23" s="354"/>
      <c r="AB23" s="357"/>
    </row>
    <row r="24" spans="1:30" ht="12.6" customHeight="1" thickBot="1" x14ac:dyDescent="0.25">
      <c r="A24" s="1"/>
      <c r="B24" s="1"/>
      <c r="C24" s="1"/>
      <c r="D24" s="1"/>
      <c r="E24" s="1"/>
      <c r="F24" s="1"/>
      <c r="G24" s="1"/>
      <c r="H24" s="151"/>
      <c r="I24" s="151"/>
      <c r="J24" s="151"/>
      <c r="K24" s="21"/>
      <c r="L24" s="21"/>
      <c r="M24" s="21"/>
      <c r="N24" s="21"/>
      <c r="O24" s="151"/>
      <c r="P24" s="151"/>
      <c r="Q24" s="151"/>
      <c r="R24" s="21"/>
      <c r="S24" s="21"/>
      <c r="T24" s="21"/>
      <c r="U24" s="21"/>
      <c r="V24" s="151"/>
      <c r="W24" s="151"/>
      <c r="X24" s="151"/>
      <c r="Y24" s="21"/>
      <c r="Z24" s="21"/>
      <c r="AA24" s="21"/>
      <c r="AB24" s="21"/>
    </row>
    <row r="25" spans="1:30" ht="12.6" customHeight="1" x14ac:dyDescent="0.2">
      <c r="A25" s="465" t="s">
        <v>29</v>
      </c>
      <c r="B25" s="466"/>
      <c r="C25" s="466"/>
      <c r="D25" s="466"/>
      <c r="E25" s="466"/>
      <c r="F25" s="466"/>
      <c r="G25" s="466"/>
      <c r="H25" s="466"/>
      <c r="I25" s="466"/>
      <c r="J25" s="466"/>
      <c r="K25" s="466"/>
      <c r="L25" s="466"/>
      <c r="M25" s="466"/>
      <c r="N25" s="466"/>
      <c r="O25" s="466"/>
      <c r="P25" s="466"/>
      <c r="Q25" s="466"/>
      <c r="R25" s="466"/>
      <c r="S25" s="466"/>
      <c r="T25" s="466"/>
      <c r="U25" s="466"/>
      <c r="V25" s="466"/>
      <c r="W25" s="466"/>
      <c r="X25" s="466"/>
      <c r="Y25" s="466"/>
      <c r="Z25" s="466"/>
      <c r="AA25" s="466"/>
      <c r="AB25" s="466"/>
      <c r="AC25" s="467"/>
    </row>
    <row r="26" spans="1:30" ht="12.6" customHeight="1" x14ac:dyDescent="0.2">
      <c r="A26" s="460"/>
      <c r="B26" s="292" t="s">
        <v>30</v>
      </c>
      <c r="C26" s="293"/>
      <c r="D26" s="293"/>
      <c r="E26" s="293"/>
      <c r="F26" s="293"/>
      <c r="G26" s="293"/>
      <c r="H26" s="293"/>
      <c r="I26" s="293"/>
      <c r="J26" s="292" t="s">
        <v>31</v>
      </c>
      <c r="K26" s="292"/>
      <c r="L26" s="292"/>
      <c r="M26" s="295" t="s">
        <v>12</v>
      </c>
      <c r="N26" s="473"/>
      <c r="O26" s="473"/>
      <c r="P26" s="473"/>
      <c r="Q26" s="296"/>
      <c r="R26" s="296"/>
      <c r="S26" s="295" t="s">
        <v>32</v>
      </c>
      <c r="T26" s="473"/>
      <c r="U26" s="473"/>
      <c r="V26" s="473"/>
      <c r="W26" s="296"/>
      <c r="X26" s="296"/>
      <c r="Y26" s="295" t="s">
        <v>33</v>
      </c>
      <c r="Z26" s="296"/>
      <c r="AA26" s="296"/>
      <c r="AB26" s="296"/>
      <c r="AC26" s="297"/>
    </row>
    <row r="27" spans="1:30" ht="12.6" customHeight="1" x14ac:dyDescent="0.2">
      <c r="A27" s="461"/>
      <c r="B27" s="294"/>
      <c r="C27" s="294"/>
      <c r="D27" s="294"/>
      <c r="E27" s="294"/>
      <c r="F27" s="294"/>
      <c r="G27" s="294"/>
      <c r="H27" s="294"/>
      <c r="I27" s="294"/>
      <c r="J27" s="481"/>
      <c r="K27" s="481"/>
      <c r="L27" s="481"/>
      <c r="M27" s="287" t="s">
        <v>34</v>
      </c>
      <c r="N27" s="288"/>
      <c r="O27" s="287" t="s">
        <v>35</v>
      </c>
      <c r="P27" s="288"/>
      <c r="Q27" s="287" t="s">
        <v>36</v>
      </c>
      <c r="R27" s="289"/>
      <c r="S27" s="287" t="s">
        <v>34</v>
      </c>
      <c r="T27" s="288"/>
      <c r="U27" s="287" t="s">
        <v>35</v>
      </c>
      <c r="V27" s="288"/>
      <c r="W27" s="287" t="s">
        <v>36</v>
      </c>
      <c r="X27" s="289"/>
      <c r="Y27" s="287" t="s">
        <v>34</v>
      </c>
      <c r="Z27" s="288"/>
      <c r="AA27" s="287" t="s">
        <v>35</v>
      </c>
      <c r="AB27" s="288"/>
      <c r="AC27" s="159" t="s">
        <v>36</v>
      </c>
    </row>
    <row r="28" spans="1:30" ht="12.6" customHeight="1" x14ac:dyDescent="0.2">
      <c r="A28" s="160" t="s">
        <v>37</v>
      </c>
      <c r="B28" s="455" t="s">
        <v>38</v>
      </c>
      <c r="C28" s="456"/>
      <c r="D28" s="456"/>
      <c r="E28" s="456"/>
      <c r="F28" s="456"/>
      <c r="G28" s="456"/>
      <c r="H28" s="456"/>
      <c r="I28" s="456"/>
      <c r="J28" s="478" t="s">
        <v>39</v>
      </c>
      <c r="K28" s="479"/>
      <c r="L28" s="480"/>
      <c r="M28" s="290"/>
      <c r="N28" s="291"/>
      <c r="O28" s="290"/>
      <c r="P28" s="291"/>
      <c r="Q28" s="290"/>
      <c r="R28" s="291"/>
      <c r="S28" s="290"/>
      <c r="T28" s="291"/>
      <c r="U28" s="290"/>
      <c r="V28" s="291"/>
      <c r="W28" s="290"/>
      <c r="X28" s="291"/>
      <c r="Y28" s="290"/>
      <c r="Z28" s="291"/>
      <c r="AA28" s="290"/>
      <c r="AB28" s="291"/>
      <c r="AC28" s="161"/>
      <c r="AD28" s="168"/>
    </row>
    <row r="29" spans="1:30" ht="12.6" customHeight="1" x14ac:dyDescent="0.2">
      <c r="A29" s="160" t="s">
        <v>40</v>
      </c>
      <c r="B29" s="455" t="s">
        <v>41</v>
      </c>
      <c r="C29" s="456"/>
      <c r="D29" s="456"/>
      <c r="E29" s="456"/>
      <c r="F29" s="456"/>
      <c r="G29" s="456"/>
      <c r="H29" s="456"/>
      <c r="I29" s="456"/>
      <c r="J29" s="478" t="s">
        <v>39</v>
      </c>
      <c r="K29" s="479"/>
      <c r="L29" s="480"/>
      <c r="M29" s="290"/>
      <c r="N29" s="291"/>
      <c r="O29" s="290"/>
      <c r="P29" s="291"/>
      <c r="Q29" s="290"/>
      <c r="R29" s="291"/>
      <c r="S29" s="290"/>
      <c r="T29" s="291"/>
      <c r="U29" s="290"/>
      <c r="V29" s="291"/>
      <c r="W29" s="290"/>
      <c r="X29" s="291"/>
      <c r="Y29" s="290"/>
      <c r="Z29" s="291"/>
      <c r="AA29" s="290"/>
      <c r="AB29" s="291"/>
      <c r="AC29" s="161"/>
      <c r="AD29" s="168"/>
    </row>
    <row r="30" spans="1:30" ht="12.6" customHeight="1" x14ac:dyDescent="0.2">
      <c r="A30" s="160" t="s">
        <v>42</v>
      </c>
      <c r="B30" s="455" t="s">
        <v>43</v>
      </c>
      <c r="C30" s="456"/>
      <c r="D30" s="456"/>
      <c r="E30" s="456"/>
      <c r="F30" s="456"/>
      <c r="G30" s="456"/>
      <c r="H30" s="456"/>
      <c r="I30" s="152"/>
      <c r="J30" s="478" t="s">
        <v>44</v>
      </c>
      <c r="K30" s="479"/>
      <c r="L30" s="480"/>
      <c r="M30" s="298" t="str">
        <f>IF(M28-M29=0,"",M28-M29)</f>
        <v/>
      </c>
      <c r="N30" s="299"/>
      <c r="O30" s="298" t="str">
        <f>IF(O28-O29=0,"",O28-O29)</f>
        <v/>
      </c>
      <c r="P30" s="299"/>
      <c r="Q30" s="298" t="str">
        <f>IF(Q28-Q29=0,"",Q28-Q29)</f>
        <v/>
      </c>
      <c r="R30" s="299"/>
      <c r="S30" s="298" t="str">
        <f>IF(S28-S29=0,"",S28-S29)</f>
        <v/>
      </c>
      <c r="T30" s="299"/>
      <c r="U30" s="298" t="str">
        <f>IF(U28-U29=0,"",U28-U29)</f>
        <v/>
      </c>
      <c r="V30" s="299"/>
      <c r="W30" s="298" t="str">
        <f>IF(W28-W29=0,"",W28-W29)</f>
        <v/>
      </c>
      <c r="X30" s="299"/>
      <c r="Y30" s="298" t="str">
        <f>IF(Y28-Y29=0,"",Y28-Y29)</f>
        <v/>
      </c>
      <c r="Z30" s="299"/>
      <c r="AA30" s="298" t="str">
        <f>IF(AA28-AA29=0,"",AA28-AA29)</f>
        <v/>
      </c>
      <c r="AB30" s="299"/>
      <c r="AC30" s="162" t="str">
        <f>IF(AC28-AC29=0,"",AC28-AC29)</f>
        <v/>
      </c>
    </row>
    <row r="31" spans="1:30" ht="12.6" customHeight="1" x14ac:dyDescent="0.2">
      <c r="A31" s="160" t="s">
        <v>45</v>
      </c>
      <c r="B31" s="455" t="s">
        <v>46</v>
      </c>
      <c r="C31" s="456"/>
      <c r="D31" s="456"/>
      <c r="E31" s="456"/>
      <c r="F31" s="456"/>
      <c r="G31" s="153"/>
      <c r="H31" s="153"/>
      <c r="I31" s="153"/>
      <c r="J31" s="478" t="s">
        <v>39</v>
      </c>
      <c r="K31" s="479"/>
      <c r="L31" s="480"/>
      <c r="M31" s="290"/>
      <c r="N31" s="291"/>
      <c r="O31" s="290"/>
      <c r="P31" s="291"/>
      <c r="Q31" s="290"/>
      <c r="R31" s="291"/>
      <c r="S31" s="290"/>
      <c r="T31" s="291"/>
      <c r="U31" s="290"/>
      <c r="V31" s="291"/>
      <c r="W31" s="290"/>
      <c r="X31" s="291"/>
      <c r="Y31" s="290"/>
      <c r="Z31" s="291"/>
      <c r="AA31" s="290"/>
      <c r="AB31" s="291"/>
      <c r="AC31" s="161"/>
      <c r="AD31" s="168"/>
    </row>
    <row r="32" spans="1:30" ht="12.6" customHeight="1" x14ac:dyDescent="0.2">
      <c r="A32" s="160" t="s">
        <v>47</v>
      </c>
      <c r="B32" s="455" t="s">
        <v>48</v>
      </c>
      <c r="C32" s="456"/>
      <c r="D32" s="456"/>
      <c r="E32" s="456"/>
      <c r="F32" s="456"/>
      <c r="G32" s="456"/>
      <c r="H32" s="456"/>
      <c r="I32" s="153"/>
      <c r="J32" s="478" t="s">
        <v>49</v>
      </c>
      <c r="K32" s="479"/>
      <c r="L32" s="480"/>
      <c r="M32" s="298" t="str">
        <f>IF(M29-M31=0,"",M29-M31)</f>
        <v/>
      </c>
      <c r="N32" s="299"/>
      <c r="O32" s="298" t="str">
        <f>IF(O29-O31=0,"",O29-O31)</f>
        <v/>
      </c>
      <c r="P32" s="299"/>
      <c r="Q32" s="298" t="str">
        <f>IF(Q29-Q31=0,"",Q29-Q31)</f>
        <v/>
      </c>
      <c r="R32" s="299"/>
      <c r="S32" s="298" t="str">
        <f>IF(S29-S31=0,"",S29-S31)</f>
        <v/>
      </c>
      <c r="T32" s="299"/>
      <c r="U32" s="298" t="str">
        <f>IF(U29-U31=0,"",U29-U31)</f>
        <v/>
      </c>
      <c r="V32" s="299"/>
      <c r="W32" s="298" t="str">
        <f>IF(W29-W31=0,"",W29-W31)</f>
        <v/>
      </c>
      <c r="X32" s="299"/>
      <c r="Y32" s="298" t="str">
        <f>IF(Y29-Y31=0,"",Y29-Y31)</f>
        <v/>
      </c>
      <c r="Z32" s="299"/>
      <c r="AA32" s="298" t="str">
        <f>IF(AA29-AA31=0,"",AA29-AA31)</f>
        <v/>
      </c>
      <c r="AB32" s="299"/>
      <c r="AC32" s="162" t="str">
        <f>IF(AC29-AC31=0,"",AC29-AC31)</f>
        <v/>
      </c>
    </row>
    <row r="33" spans="1:30" ht="12.6" customHeight="1" thickBot="1" x14ac:dyDescent="0.25">
      <c r="A33" s="163" t="s">
        <v>50</v>
      </c>
      <c r="B33" s="451" t="s">
        <v>51</v>
      </c>
      <c r="C33" s="452"/>
      <c r="D33" s="452"/>
      <c r="E33" s="452"/>
      <c r="F33" s="452"/>
      <c r="G33" s="452"/>
      <c r="H33" s="164"/>
      <c r="I33" s="164"/>
      <c r="J33" s="453" t="s">
        <v>52</v>
      </c>
      <c r="K33" s="454"/>
      <c r="L33" s="454"/>
      <c r="M33" s="304">
        <f>IFERROR((M30/M32)*100,0)</f>
        <v>0</v>
      </c>
      <c r="N33" s="305"/>
      <c r="O33" s="304">
        <f>IFERROR((O30/O32)*100,0)</f>
        <v>0</v>
      </c>
      <c r="P33" s="305"/>
      <c r="Q33" s="304">
        <f>IFERROR((Q30/Q32)*100,0)</f>
        <v>0</v>
      </c>
      <c r="R33" s="305"/>
      <c r="S33" s="304">
        <f>IFERROR((S30/S32)*100,0)</f>
        <v>0</v>
      </c>
      <c r="T33" s="305"/>
      <c r="U33" s="304">
        <f>IFERROR((U30/U32)*100,0)</f>
        <v>0</v>
      </c>
      <c r="V33" s="305"/>
      <c r="W33" s="304">
        <f>IFERROR((W30/W32)*100,0)</f>
        <v>0</v>
      </c>
      <c r="X33" s="374"/>
      <c r="Y33" s="304">
        <f>IFERROR((Y30/Y32)*100,0)</f>
        <v>0</v>
      </c>
      <c r="Z33" s="305"/>
      <c r="AA33" s="304">
        <f>IFERROR((AA30/AA32)*100,0)</f>
        <v>0</v>
      </c>
      <c r="AB33" s="305"/>
      <c r="AC33" s="165">
        <f>IFERROR((AC30/AC32)*100,0)</f>
        <v>0</v>
      </c>
      <c r="AD33" s="169"/>
    </row>
    <row r="34" spans="1:30" ht="12.6" customHeight="1" x14ac:dyDescent="0.2">
      <c r="A34" s="154"/>
      <c r="B34" s="155"/>
      <c r="C34" s="156"/>
      <c r="D34" s="156"/>
      <c r="E34" s="156"/>
      <c r="F34" s="156"/>
      <c r="G34" s="156"/>
      <c r="H34" s="155"/>
      <c r="I34" s="155"/>
      <c r="J34" s="157"/>
      <c r="K34" s="67"/>
      <c r="L34" s="67"/>
      <c r="M34" s="158"/>
      <c r="N34" s="1"/>
      <c r="O34" s="1"/>
      <c r="P34" s="158"/>
      <c r="Q34" s="158"/>
      <c r="R34" s="158"/>
      <c r="S34" s="158"/>
      <c r="T34" s="158"/>
      <c r="U34" s="158"/>
      <c r="V34" s="158"/>
      <c r="W34" s="1"/>
      <c r="X34" s="1"/>
      <c r="Y34" s="158"/>
      <c r="Z34" s="1"/>
      <c r="AA34" s="1"/>
      <c r="AB34" s="158"/>
      <c r="AC34" s="166"/>
    </row>
    <row r="35" spans="1:30" ht="12.6" customHeight="1" x14ac:dyDescent="0.2">
      <c r="A35" s="302" t="s">
        <v>53</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row>
    <row r="36" spans="1:30" ht="12.6" customHeight="1" x14ac:dyDescent="0.2">
      <c r="A36" s="154"/>
      <c r="B36" s="155"/>
      <c r="C36" s="156"/>
      <c r="D36" s="156"/>
      <c r="E36" s="156"/>
      <c r="F36" s="156"/>
      <c r="G36" s="287" t="s">
        <v>12</v>
      </c>
      <c r="H36" s="301"/>
      <c r="I36" s="301"/>
      <c r="J36" s="301"/>
      <c r="K36" s="301"/>
      <c r="L36" s="289"/>
      <c r="M36" s="287" t="s">
        <v>32</v>
      </c>
      <c r="N36" s="301"/>
      <c r="O36" s="301"/>
      <c r="P36" s="301"/>
      <c r="Q36" s="301"/>
      <c r="R36" s="289"/>
      <c r="S36" s="287" t="s">
        <v>33</v>
      </c>
      <c r="T36" s="301"/>
      <c r="U36" s="301"/>
      <c r="V36" s="301"/>
      <c r="W36" s="289"/>
      <c r="X36" s="158"/>
      <c r="Y36" s="1"/>
      <c r="Z36" s="1"/>
      <c r="AA36" s="158"/>
      <c r="AB36" s="1"/>
    </row>
    <row r="37" spans="1:30" ht="12.6" customHeight="1" x14ac:dyDescent="0.2">
      <c r="A37" s="154"/>
      <c r="B37" s="306" t="s">
        <v>54</v>
      </c>
      <c r="C37" s="307"/>
      <c r="D37" s="307"/>
      <c r="E37" s="307"/>
      <c r="F37" s="307"/>
      <c r="G37" s="457"/>
      <c r="H37" s="458"/>
      <c r="I37" s="458"/>
      <c r="J37" s="458"/>
      <c r="K37" s="458"/>
      <c r="L37" s="459"/>
      <c r="M37" s="457"/>
      <c r="N37" s="458"/>
      <c r="O37" s="458"/>
      <c r="P37" s="458"/>
      <c r="Q37" s="458"/>
      <c r="R37" s="459"/>
      <c r="S37" s="457"/>
      <c r="T37" s="458"/>
      <c r="U37" s="458"/>
      <c r="V37" s="458"/>
      <c r="W37" s="459"/>
      <c r="X37" s="158"/>
      <c r="Y37" s="1"/>
      <c r="Z37" s="1"/>
      <c r="AA37" s="158"/>
      <c r="AB37" s="1"/>
    </row>
    <row r="38" spans="1:30" ht="12.6" customHeight="1" x14ac:dyDescent="0.2">
      <c r="A38" s="154"/>
      <c r="B38" s="306" t="s">
        <v>55</v>
      </c>
      <c r="C38" s="307"/>
      <c r="D38" s="307"/>
      <c r="E38" s="307"/>
      <c r="F38" s="308"/>
      <c r="G38" s="287" t="s">
        <v>34</v>
      </c>
      <c r="H38" s="288"/>
      <c r="I38" s="287" t="s">
        <v>35</v>
      </c>
      <c r="J38" s="288"/>
      <c r="K38" s="287" t="s">
        <v>36</v>
      </c>
      <c r="L38" s="289"/>
      <c r="M38" s="287" t="s">
        <v>34</v>
      </c>
      <c r="N38" s="288"/>
      <c r="O38" s="287" t="s">
        <v>35</v>
      </c>
      <c r="P38" s="288"/>
      <c r="Q38" s="287" t="s">
        <v>36</v>
      </c>
      <c r="R38" s="289"/>
      <c r="S38" s="287" t="s">
        <v>34</v>
      </c>
      <c r="T38" s="288"/>
      <c r="U38" s="287" t="s">
        <v>35</v>
      </c>
      <c r="V38" s="288"/>
      <c r="W38" s="287" t="s">
        <v>36</v>
      </c>
      <c r="X38" s="289"/>
      <c r="Y38" s="1"/>
      <c r="Z38" s="1"/>
      <c r="AA38" s="158"/>
      <c r="AB38" s="1"/>
    </row>
    <row r="39" spans="1:30" ht="12.6" customHeight="1" x14ac:dyDescent="0.2">
      <c r="A39" s="154"/>
      <c r="B39" s="306" t="s">
        <v>56</v>
      </c>
      <c r="C39" s="307"/>
      <c r="D39" s="307"/>
      <c r="E39" s="307"/>
      <c r="F39" s="308"/>
      <c r="G39" s="300">
        <f>G37*($I$52/27)</f>
        <v>0</v>
      </c>
      <c r="H39" s="296"/>
      <c r="I39" s="300">
        <f>G37*($I$53/27)</f>
        <v>0</v>
      </c>
      <c r="J39" s="296"/>
      <c r="K39" s="300">
        <f>G37*($I$54/27)</f>
        <v>0</v>
      </c>
      <c r="L39" s="296"/>
      <c r="M39" s="300">
        <f>M37*($I$52/27)</f>
        <v>0</v>
      </c>
      <c r="N39" s="296"/>
      <c r="O39" s="300">
        <f>M37*($I$53/27)</f>
        <v>0</v>
      </c>
      <c r="P39" s="296"/>
      <c r="Q39" s="300">
        <f>M37*($I$54/27)</f>
        <v>0</v>
      </c>
      <c r="R39" s="296"/>
      <c r="S39" s="300">
        <f>S37*($I$52/27)</f>
        <v>0</v>
      </c>
      <c r="T39" s="296"/>
      <c r="U39" s="300">
        <f>S37*($I$53/27)</f>
        <v>0</v>
      </c>
      <c r="V39" s="296"/>
      <c r="W39" s="300">
        <f>S37*($I$54/27)</f>
        <v>0</v>
      </c>
      <c r="X39" s="296"/>
      <c r="Y39" s="1"/>
      <c r="Z39" s="1"/>
      <c r="AA39" s="158"/>
      <c r="AB39" s="1"/>
    </row>
    <row r="40" spans="1:30" ht="12.6" customHeight="1" thickBot="1" x14ac:dyDescent="0.25">
      <c r="A40" s="154"/>
      <c r="B40" s="155"/>
      <c r="C40" s="156"/>
      <c r="D40" s="156"/>
      <c r="E40" s="156"/>
      <c r="F40" s="156"/>
      <c r="G40" s="156"/>
      <c r="H40" s="155"/>
      <c r="I40" s="155"/>
      <c r="J40" s="157"/>
      <c r="K40" s="67"/>
      <c r="L40" s="67"/>
      <c r="M40" s="158"/>
      <c r="N40" s="1"/>
      <c r="O40" s="1"/>
      <c r="P40" s="158"/>
      <c r="Q40" s="158"/>
      <c r="R40" s="158"/>
      <c r="S40" s="158"/>
      <c r="T40" s="158"/>
      <c r="U40" s="158"/>
      <c r="V40" s="158"/>
      <c r="W40" s="1"/>
      <c r="X40" s="158"/>
      <c r="Y40" s="1"/>
      <c r="Z40" s="1"/>
      <c r="AA40" s="158"/>
      <c r="AB40" s="1"/>
    </row>
    <row r="41" spans="1:30" ht="15.75" x14ac:dyDescent="0.25">
      <c r="A41" s="468" t="s">
        <v>57</v>
      </c>
      <c r="B41" s="469"/>
      <c r="C41" s="469"/>
      <c r="D41" s="469"/>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70"/>
    </row>
    <row r="42" spans="1:30" x14ac:dyDescent="0.2">
      <c r="A42" s="315"/>
      <c r="B42" s="316"/>
      <c r="C42" s="316"/>
      <c r="D42" s="7"/>
      <c r="H42" s="8"/>
      <c r="I42" s="7"/>
      <c r="M42" s="8"/>
      <c r="N42" s="7"/>
      <c r="P42" s="8"/>
      <c r="Q42" s="372" t="s">
        <v>58</v>
      </c>
      <c r="R42" s="316"/>
      <c r="S42" s="317"/>
      <c r="T42" s="7"/>
      <c r="V42" s="8"/>
      <c r="W42" s="7"/>
      <c r="Y42" s="8"/>
      <c r="Z42" s="372"/>
      <c r="AA42" s="316"/>
      <c r="AB42" s="316"/>
      <c r="AC42" s="472"/>
    </row>
    <row r="43" spans="1:30" x14ac:dyDescent="0.2">
      <c r="A43" s="315"/>
      <c r="B43" s="316"/>
      <c r="C43" s="316"/>
      <c r="D43" s="372" t="s">
        <v>59</v>
      </c>
      <c r="E43" s="316"/>
      <c r="F43" s="316"/>
      <c r="G43" s="316"/>
      <c r="H43" s="317"/>
      <c r="I43" s="372" t="s">
        <v>60</v>
      </c>
      <c r="J43" s="316"/>
      <c r="K43" s="316"/>
      <c r="L43" s="316"/>
      <c r="M43" s="317"/>
      <c r="N43" s="372" t="s">
        <v>61</v>
      </c>
      <c r="O43" s="316"/>
      <c r="P43" s="317"/>
      <c r="Q43" s="372" t="s">
        <v>61</v>
      </c>
      <c r="R43" s="316"/>
      <c r="S43" s="317"/>
      <c r="T43" s="372" t="s">
        <v>62</v>
      </c>
      <c r="U43" s="316"/>
      <c r="V43" s="317"/>
      <c r="W43" s="372" t="s">
        <v>63</v>
      </c>
      <c r="X43" s="316"/>
      <c r="Y43" s="317"/>
      <c r="Z43" s="372" t="s">
        <v>64</v>
      </c>
      <c r="AA43" s="316"/>
      <c r="AB43" s="316"/>
      <c r="AC43" s="472"/>
    </row>
    <row r="44" spans="1:30" x14ac:dyDescent="0.2">
      <c r="A44" s="315" t="s">
        <v>65</v>
      </c>
      <c r="B44" s="316"/>
      <c r="C44" s="317"/>
      <c r="D44" s="372" t="s">
        <v>66</v>
      </c>
      <c r="E44" s="316"/>
      <c r="F44" s="316"/>
      <c r="G44" s="316"/>
      <c r="H44" s="317"/>
      <c r="I44" s="372" t="s">
        <v>66</v>
      </c>
      <c r="J44" s="316"/>
      <c r="K44" s="316"/>
      <c r="L44" s="316"/>
      <c r="M44" s="317"/>
      <c r="N44" s="372" t="s">
        <v>67</v>
      </c>
      <c r="O44" s="316"/>
      <c r="P44" s="317"/>
      <c r="Q44" s="372" t="s">
        <v>67</v>
      </c>
      <c r="R44" s="316"/>
      <c r="S44" s="317"/>
      <c r="T44" s="372" t="s">
        <v>67</v>
      </c>
      <c r="U44" s="316"/>
      <c r="V44" s="317"/>
      <c r="W44" s="372" t="s">
        <v>68</v>
      </c>
      <c r="X44" s="316"/>
      <c r="Y44" s="317"/>
      <c r="Z44" s="372" t="s">
        <v>68</v>
      </c>
      <c r="AA44" s="316"/>
      <c r="AB44" s="316"/>
      <c r="AC44" s="472"/>
    </row>
    <row r="45" spans="1:30" x14ac:dyDescent="0.2">
      <c r="A45" s="315"/>
      <c r="B45" s="316"/>
      <c r="C45" s="316"/>
      <c r="D45" s="369" t="s">
        <v>69</v>
      </c>
      <c r="E45" s="370"/>
      <c r="F45" s="370"/>
      <c r="G45" s="370"/>
      <c r="H45" s="371"/>
      <c r="I45" s="369" t="s">
        <v>70</v>
      </c>
      <c r="J45" s="370"/>
      <c r="K45" s="370"/>
      <c r="L45" s="370"/>
      <c r="M45" s="371"/>
      <c r="N45" s="372" t="s">
        <v>71</v>
      </c>
      <c r="O45" s="316"/>
      <c r="P45" s="317"/>
      <c r="Q45" s="372" t="s">
        <v>66</v>
      </c>
      <c r="R45" s="316"/>
      <c r="S45" s="317"/>
      <c r="T45" s="372" t="s">
        <v>66</v>
      </c>
      <c r="U45" s="316"/>
      <c r="V45" s="317"/>
      <c r="W45" s="7"/>
      <c r="Y45" s="8"/>
      <c r="Z45" s="7"/>
      <c r="AC45" s="3"/>
    </row>
    <row r="46" spans="1:30" x14ac:dyDescent="0.2">
      <c r="A46" s="315"/>
      <c r="B46" s="316"/>
      <c r="C46" s="316"/>
      <c r="D46" s="318" t="s">
        <v>72</v>
      </c>
      <c r="E46" s="319"/>
      <c r="F46" s="319"/>
      <c r="G46" s="319"/>
      <c r="H46" s="391"/>
      <c r="I46" s="318" t="s">
        <v>72</v>
      </c>
      <c r="J46" s="319"/>
      <c r="K46" s="319"/>
      <c r="L46" s="319"/>
      <c r="M46" s="391"/>
      <c r="N46" s="318" t="s">
        <v>73</v>
      </c>
      <c r="O46" s="319"/>
      <c r="P46" s="391"/>
      <c r="Q46" s="318" t="s">
        <v>72</v>
      </c>
      <c r="R46" s="319"/>
      <c r="S46" s="391"/>
      <c r="T46" s="318" t="s">
        <v>72</v>
      </c>
      <c r="U46" s="319"/>
      <c r="V46" s="391"/>
      <c r="W46" s="318" t="s">
        <v>74</v>
      </c>
      <c r="X46" s="319"/>
      <c r="Y46" s="391"/>
      <c r="Z46" s="318" t="s">
        <v>74</v>
      </c>
      <c r="AA46" s="319"/>
      <c r="AB46" s="319"/>
      <c r="AC46" s="346"/>
    </row>
    <row r="47" spans="1:30" ht="12.6" customHeight="1" x14ac:dyDescent="0.2">
      <c r="A47" s="439" t="s">
        <v>75</v>
      </c>
      <c r="B47" s="299"/>
      <c r="C47" s="288"/>
      <c r="D47" s="376">
        <f>CMDS!E30</f>
        <v>0</v>
      </c>
      <c r="E47" s="377"/>
      <c r="F47" s="377"/>
      <c r="G47" s="377"/>
      <c r="H47" s="378"/>
      <c r="I47" s="376">
        <f>D47</f>
        <v>0</v>
      </c>
      <c r="J47" s="377"/>
      <c r="K47" s="377"/>
      <c r="L47" s="377"/>
      <c r="M47" s="378"/>
      <c r="N47" s="366"/>
      <c r="O47" s="367"/>
      <c r="P47" s="368"/>
      <c r="Q47" s="376">
        <f>I47*N47</f>
        <v>0</v>
      </c>
      <c r="R47" s="377"/>
      <c r="S47" s="378"/>
      <c r="T47" s="366"/>
      <c r="U47" s="367"/>
      <c r="V47" s="368"/>
      <c r="W47" s="432">
        <f>IFERROR(100*(T47-Q47)/Q47,0)</f>
        <v>0</v>
      </c>
      <c r="X47" s="433"/>
      <c r="Y47" s="434"/>
      <c r="Z47" s="398" t="s">
        <v>76</v>
      </c>
      <c r="AA47" s="299"/>
      <c r="AB47" s="299"/>
      <c r="AC47" s="399"/>
    </row>
    <row r="48" spans="1:30" ht="12.6" customHeight="1" x14ac:dyDescent="0.2">
      <c r="A48" s="362" t="s">
        <v>77</v>
      </c>
      <c r="B48" s="299"/>
      <c r="C48" s="288"/>
      <c r="D48" s="376">
        <f>CMDS!E31</f>
        <v>0</v>
      </c>
      <c r="E48" s="377"/>
      <c r="F48" s="377"/>
      <c r="G48" s="377"/>
      <c r="H48" s="378"/>
      <c r="I48" s="376">
        <f>D48</f>
        <v>0</v>
      </c>
      <c r="J48" s="377"/>
      <c r="K48" s="377"/>
      <c r="L48" s="377"/>
      <c r="M48" s="378"/>
      <c r="N48" s="376">
        <f>N47</f>
        <v>0</v>
      </c>
      <c r="O48" s="377"/>
      <c r="P48" s="378"/>
      <c r="Q48" s="376">
        <f>I48*N48</f>
        <v>0</v>
      </c>
      <c r="R48" s="377"/>
      <c r="S48" s="378"/>
      <c r="T48" s="366"/>
      <c r="U48" s="367"/>
      <c r="V48" s="368"/>
      <c r="W48" s="432" t="str">
        <f>IF(D48=0,"",100*(T48-Q48)/Q48)</f>
        <v/>
      </c>
      <c r="X48" s="433"/>
      <c r="Y48" s="434"/>
      <c r="Z48" s="398" t="s">
        <v>76</v>
      </c>
      <c r="AA48" s="299"/>
      <c r="AB48" s="299"/>
      <c r="AC48" s="399"/>
    </row>
    <row r="49" spans="1:29" ht="12.6" customHeight="1" x14ac:dyDescent="0.2">
      <c r="A49" s="439" t="s">
        <v>78</v>
      </c>
      <c r="B49" s="299"/>
      <c r="C49" s="288"/>
      <c r="D49" s="376">
        <f>CMDS!E32</f>
        <v>0</v>
      </c>
      <c r="E49" s="377"/>
      <c r="F49" s="377"/>
      <c r="G49" s="377"/>
      <c r="H49" s="378"/>
      <c r="I49" s="376">
        <f>D49</f>
        <v>0</v>
      </c>
      <c r="J49" s="377"/>
      <c r="K49" s="377"/>
      <c r="L49" s="377"/>
      <c r="M49" s="378"/>
      <c r="N49" s="376">
        <f>N47</f>
        <v>0</v>
      </c>
      <c r="O49" s="377"/>
      <c r="P49" s="378"/>
      <c r="Q49" s="376">
        <f>I49*N49</f>
        <v>0</v>
      </c>
      <c r="R49" s="377"/>
      <c r="S49" s="378"/>
      <c r="T49" s="366"/>
      <c r="U49" s="367"/>
      <c r="V49" s="368"/>
      <c r="W49" s="432" t="str">
        <f>IF(D49=0,"",100*(T49-Q49)/Q49)</f>
        <v/>
      </c>
      <c r="X49" s="433"/>
      <c r="Y49" s="434"/>
      <c r="Z49" s="398" t="s">
        <v>76</v>
      </c>
      <c r="AA49" s="299"/>
      <c r="AB49" s="299"/>
      <c r="AC49" s="399"/>
    </row>
    <row r="50" spans="1:29" ht="12.6" customHeight="1" x14ac:dyDescent="0.2">
      <c r="A50" s="462" t="s">
        <v>79</v>
      </c>
      <c r="B50" s="463"/>
      <c r="C50" s="464"/>
      <c r="D50" s="376">
        <f>CMDS!E33</f>
        <v>0</v>
      </c>
      <c r="E50" s="377"/>
      <c r="F50" s="377"/>
      <c r="G50" s="377"/>
      <c r="H50" s="378"/>
      <c r="I50" s="376">
        <f>D50</f>
        <v>0</v>
      </c>
      <c r="J50" s="377"/>
      <c r="K50" s="377"/>
      <c r="L50" s="377"/>
      <c r="M50" s="378"/>
      <c r="N50" s="376">
        <f>N47</f>
        <v>0</v>
      </c>
      <c r="O50" s="377"/>
      <c r="P50" s="378"/>
      <c r="Q50" s="376">
        <f>I50*N50</f>
        <v>0</v>
      </c>
      <c r="R50" s="377"/>
      <c r="S50" s="378"/>
      <c r="T50" s="366"/>
      <c r="U50" s="367"/>
      <c r="V50" s="368"/>
      <c r="W50" s="432" t="str">
        <f>IFERROR(IF(D50=0,"",100*(T50-Q50)/Q50),"")</f>
        <v/>
      </c>
      <c r="X50" s="433"/>
      <c r="Y50" s="434"/>
      <c r="Z50" s="398" t="s">
        <v>76</v>
      </c>
      <c r="AA50" s="299"/>
      <c r="AB50" s="299"/>
      <c r="AC50" s="399"/>
    </row>
    <row r="51" spans="1:29" ht="12.6" customHeight="1" x14ac:dyDescent="0.2">
      <c r="A51" s="462" t="s">
        <v>80</v>
      </c>
      <c r="B51" s="463"/>
      <c r="C51" s="464"/>
      <c r="D51" s="376">
        <f>CMDS!E34</f>
        <v>0</v>
      </c>
      <c r="E51" s="377"/>
      <c r="F51" s="377"/>
      <c r="G51" s="377"/>
      <c r="H51" s="378"/>
      <c r="I51" s="376">
        <f>D51</f>
        <v>0</v>
      </c>
      <c r="J51" s="377"/>
      <c r="K51" s="377"/>
      <c r="L51" s="377"/>
      <c r="M51" s="378"/>
      <c r="N51" s="376">
        <f>N48</f>
        <v>0</v>
      </c>
      <c r="O51" s="377"/>
      <c r="P51" s="378"/>
      <c r="Q51" s="376">
        <f>I51*N51</f>
        <v>0</v>
      </c>
      <c r="R51" s="377"/>
      <c r="S51" s="378"/>
      <c r="T51" s="366"/>
      <c r="U51" s="367"/>
      <c r="V51" s="368"/>
      <c r="W51" s="432" t="str">
        <f>IF(D51=0,"",100*(T51-Q51)/Q51)</f>
        <v/>
      </c>
      <c r="X51" s="433"/>
      <c r="Y51" s="434"/>
      <c r="Z51" s="398" t="s">
        <v>76</v>
      </c>
      <c r="AA51" s="299"/>
      <c r="AB51" s="299"/>
      <c r="AC51" s="399"/>
    </row>
    <row r="52" spans="1:29" ht="12.6" customHeight="1" x14ac:dyDescent="0.2">
      <c r="A52" s="448" t="s">
        <v>81</v>
      </c>
      <c r="B52" s="438" t="s">
        <v>82</v>
      </c>
      <c r="C52" s="288"/>
      <c r="D52" s="376">
        <f>CMDS!E35</f>
        <v>0</v>
      </c>
      <c r="E52" s="377"/>
      <c r="F52" s="377"/>
      <c r="G52" s="377"/>
      <c r="H52" s="378"/>
      <c r="I52" s="376">
        <f>IF(H16="","see cell L16",D52*(1+(H16-H15)/100))</f>
        <v>0</v>
      </c>
      <c r="J52" s="377"/>
      <c r="K52" s="377"/>
      <c r="L52" s="377"/>
      <c r="M52" s="378"/>
      <c r="N52" s="376">
        <f>N47</f>
        <v>0</v>
      </c>
      <c r="O52" s="377"/>
      <c r="P52" s="378"/>
      <c r="Q52" s="376">
        <f>IFERROR(I52*N52,0)</f>
        <v>0</v>
      </c>
      <c r="R52" s="377"/>
      <c r="S52" s="378"/>
      <c r="T52" s="366"/>
      <c r="U52" s="367"/>
      <c r="V52" s="368"/>
      <c r="W52" s="432">
        <f>IFERROR(100*(T52-Q52)/Q52,0)</f>
        <v>0</v>
      </c>
      <c r="X52" s="433"/>
      <c r="Y52" s="434"/>
      <c r="Z52" s="398" t="s">
        <v>83</v>
      </c>
      <c r="AA52" s="299"/>
      <c r="AB52" s="299"/>
      <c r="AC52" s="399"/>
    </row>
    <row r="53" spans="1:29" ht="12.6" customHeight="1" x14ac:dyDescent="0.2">
      <c r="A53" s="449"/>
      <c r="B53" s="438" t="s">
        <v>84</v>
      </c>
      <c r="C53" s="288"/>
      <c r="D53" s="376">
        <f>CMDS!E36</f>
        <v>0</v>
      </c>
      <c r="E53" s="377"/>
      <c r="F53" s="377"/>
      <c r="G53" s="377"/>
      <c r="H53" s="378"/>
      <c r="I53" s="376">
        <f>IF(H19="","see cell L19",D53*(1+(H19-H18)/100))</f>
        <v>0</v>
      </c>
      <c r="J53" s="377"/>
      <c r="K53" s="377"/>
      <c r="L53" s="377"/>
      <c r="M53" s="378"/>
      <c r="N53" s="376">
        <f>N47</f>
        <v>0</v>
      </c>
      <c r="O53" s="377"/>
      <c r="P53" s="378"/>
      <c r="Q53" s="376">
        <f>IFERROR(I53*N53,0)</f>
        <v>0</v>
      </c>
      <c r="R53" s="377"/>
      <c r="S53" s="378"/>
      <c r="T53" s="366"/>
      <c r="U53" s="367"/>
      <c r="V53" s="368"/>
      <c r="W53" s="432">
        <f>IFERROR(100*(T53-Q53)/Q53,0)</f>
        <v>0</v>
      </c>
      <c r="X53" s="433"/>
      <c r="Y53" s="434"/>
      <c r="Z53" s="398" t="s">
        <v>83</v>
      </c>
      <c r="AA53" s="299"/>
      <c r="AB53" s="299"/>
      <c r="AC53" s="399"/>
    </row>
    <row r="54" spans="1:29" ht="12.6" customHeight="1" x14ac:dyDescent="0.2">
      <c r="A54" s="450"/>
      <c r="B54" s="438" t="s">
        <v>85</v>
      </c>
      <c r="C54" s="288"/>
      <c r="D54" s="376">
        <f>CMDS!E38</f>
        <v>0</v>
      </c>
      <c r="E54" s="377"/>
      <c r="F54" s="377"/>
      <c r="G54" s="377"/>
      <c r="H54" s="378"/>
      <c r="I54" s="376">
        <f>IF(H22="","see cell L22",D54*(1+(H22-H21)/100))</f>
        <v>0</v>
      </c>
      <c r="J54" s="377"/>
      <c r="K54" s="377"/>
      <c r="L54" s="377"/>
      <c r="M54" s="378"/>
      <c r="N54" s="376">
        <f>N47</f>
        <v>0</v>
      </c>
      <c r="O54" s="377"/>
      <c r="P54" s="378"/>
      <c r="Q54" s="376">
        <f>IFERROR(I54*N54,0)</f>
        <v>0</v>
      </c>
      <c r="R54" s="377"/>
      <c r="S54" s="378"/>
      <c r="T54" s="539"/>
      <c r="U54" s="367"/>
      <c r="V54" s="368"/>
      <c r="W54" s="432">
        <f>IFERROR(100*(T54-Q54)/Q54,0)</f>
        <v>0</v>
      </c>
      <c r="X54" s="433"/>
      <c r="Y54" s="434"/>
      <c r="Z54" s="398" t="s">
        <v>83</v>
      </c>
      <c r="AA54" s="299"/>
      <c r="AB54" s="299"/>
      <c r="AC54" s="399"/>
    </row>
    <row r="55" spans="1:29" ht="27" customHeight="1" x14ac:dyDescent="0.2">
      <c r="A55" s="442" t="str">
        <f>CMDS!A39</f>
        <v>Water CaCl₂ / Accel Adm</v>
      </c>
      <c r="B55" s="443"/>
      <c r="C55" s="444"/>
      <c r="D55" s="376">
        <f>CMDS!E39</f>
        <v>0</v>
      </c>
      <c r="E55" s="377"/>
      <c r="F55" s="377"/>
      <c r="G55" s="377"/>
      <c r="H55" s="378"/>
      <c r="I55" s="376">
        <f>D55</f>
        <v>0</v>
      </c>
      <c r="J55" s="377"/>
      <c r="K55" s="377"/>
      <c r="L55" s="377"/>
      <c r="M55" s="378"/>
      <c r="N55" s="376">
        <f>N47</f>
        <v>0</v>
      </c>
      <c r="O55" s="377"/>
      <c r="P55" s="378"/>
      <c r="Q55" s="376">
        <f>I55*N55</f>
        <v>0</v>
      </c>
      <c r="R55" s="377"/>
      <c r="S55" s="378"/>
      <c r="T55" s="366"/>
      <c r="U55" s="367"/>
      <c r="V55" s="368"/>
      <c r="W55" s="429"/>
      <c r="X55" s="430"/>
      <c r="Y55" s="431"/>
      <c r="Z55" s="435"/>
      <c r="AA55" s="436"/>
      <c r="AB55" s="436"/>
      <c r="AC55" s="437"/>
    </row>
    <row r="56" spans="1:29" ht="12.6" customHeight="1" x14ac:dyDescent="0.2">
      <c r="A56" s="439" t="s">
        <v>86</v>
      </c>
      <c r="B56" s="299"/>
      <c r="C56" s="288"/>
      <c r="D56" s="376">
        <f>CMDS!E41</f>
        <v>0</v>
      </c>
      <c r="E56" s="377"/>
      <c r="F56" s="377"/>
      <c r="G56" s="377"/>
      <c r="H56" s="378"/>
      <c r="I56" s="376">
        <f>IFERROR(D56-(I52-D52)-(I53-D53)-(I54-D54),0)</f>
        <v>0</v>
      </c>
      <c r="J56" s="377"/>
      <c r="K56" s="377"/>
      <c r="L56" s="377"/>
      <c r="M56" s="378"/>
      <c r="N56" s="376">
        <f>N47</f>
        <v>0</v>
      </c>
      <c r="O56" s="377"/>
      <c r="P56" s="378"/>
      <c r="Q56" s="376">
        <f>I56*N56</f>
        <v>0</v>
      </c>
      <c r="R56" s="377"/>
      <c r="S56" s="378"/>
      <c r="T56" s="366"/>
      <c r="U56" s="367"/>
      <c r="V56" s="368"/>
      <c r="W56" s="432">
        <f>IFERROR(100*(((T56-Q56)+(T55-Q55))/(Q56+Q55)),0)</f>
        <v>0</v>
      </c>
      <c r="X56" s="433"/>
      <c r="Y56" s="434"/>
      <c r="Z56" s="398" t="s">
        <v>76</v>
      </c>
      <c r="AA56" s="299"/>
      <c r="AB56" s="299"/>
      <c r="AC56" s="399"/>
    </row>
    <row r="57" spans="1:29" ht="12.6" customHeight="1" thickBot="1" x14ac:dyDescent="0.25">
      <c r="A57" s="373" t="s">
        <v>87</v>
      </c>
      <c r="B57" s="374"/>
      <c r="C57" s="375"/>
      <c r="D57" s="400">
        <f>SUM(D47:D56)</f>
        <v>0</v>
      </c>
      <c r="E57" s="401"/>
      <c r="F57" s="401"/>
      <c r="G57" s="401"/>
      <c r="H57" s="402"/>
      <c r="I57" s="400">
        <f>IFERROR(SUM(I47:I56),0)</f>
        <v>0</v>
      </c>
      <c r="J57" s="401"/>
      <c r="K57" s="401"/>
      <c r="L57" s="401"/>
      <c r="M57" s="402"/>
      <c r="N57" s="412" t="s">
        <v>19</v>
      </c>
      <c r="O57" s="413"/>
      <c r="P57" s="414"/>
      <c r="Q57" s="400">
        <f>SUM(Q47:Q56)</f>
        <v>0</v>
      </c>
      <c r="R57" s="401"/>
      <c r="S57" s="402"/>
      <c r="T57" s="400">
        <f>SUM(T47:T56)</f>
        <v>0</v>
      </c>
      <c r="U57" s="401"/>
      <c r="V57" s="402"/>
      <c r="W57" s="412" t="s">
        <v>19</v>
      </c>
      <c r="X57" s="413"/>
      <c r="Y57" s="414"/>
      <c r="Z57" s="488" t="s">
        <v>19</v>
      </c>
      <c r="AA57" s="374"/>
      <c r="AB57" s="374"/>
      <c r="AC57" s="419"/>
    </row>
    <row r="58" spans="1:29" ht="13.5" thickBot="1" x14ac:dyDescent="0.25"/>
    <row r="59" spans="1:29" ht="16.5" thickBot="1" x14ac:dyDescent="0.3">
      <c r="B59" s="426" t="s">
        <v>88</v>
      </c>
      <c r="C59" s="427"/>
      <c r="D59" s="427"/>
      <c r="E59" s="427"/>
      <c r="F59" s="427"/>
      <c r="G59" s="427"/>
      <c r="H59" s="427"/>
      <c r="I59" s="427"/>
      <c r="J59" s="427"/>
      <c r="K59" s="427"/>
      <c r="L59" s="427"/>
      <c r="M59" s="427"/>
      <c r="N59" s="427"/>
      <c r="O59" s="427"/>
      <c r="P59" s="427"/>
      <c r="Q59" s="427"/>
      <c r="R59" s="427"/>
      <c r="S59" s="427"/>
      <c r="T59" s="427"/>
      <c r="U59" s="427"/>
      <c r="V59" s="427"/>
      <c r="W59" s="427"/>
      <c r="X59" s="427"/>
      <c r="Y59" s="427"/>
      <c r="Z59" s="428"/>
    </row>
    <row r="60" spans="1:29" ht="13.5" thickBot="1" x14ac:dyDescent="0.25">
      <c r="B60" s="13"/>
      <c r="K60" s="8"/>
      <c r="L60" s="372" t="s">
        <v>61</v>
      </c>
      <c r="M60" s="316"/>
      <c r="N60" s="317"/>
      <c r="O60" s="372" t="s">
        <v>89</v>
      </c>
      <c r="P60" s="316"/>
      <c r="Q60" s="317"/>
      <c r="R60" s="372" t="s">
        <v>62</v>
      </c>
      <c r="S60" s="316"/>
      <c r="T60" s="317"/>
      <c r="U60" s="372" t="s">
        <v>63</v>
      </c>
      <c r="V60" s="316"/>
      <c r="W60" s="317"/>
      <c r="X60" s="372" t="s">
        <v>64</v>
      </c>
      <c r="Y60" s="316"/>
      <c r="Z60" s="472"/>
    </row>
    <row r="61" spans="1:29" ht="16.5" thickBot="1" x14ac:dyDescent="0.3">
      <c r="A61" s="197"/>
      <c r="B61" s="445" t="s">
        <v>90</v>
      </c>
      <c r="C61" s="446"/>
      <c r="D61" s="446"/>
      <c r="E61" s="446"/>
      <c r="F61" s="446"/>
      <c r="G61" s="446"/>
      <c r="H61" s="446"/>
      <c r="I61" s="446"/>
      <c r="J61" s="446"/>
      <c r="K61" s="447"/>
      <c r="L61" s="316" t="s">
        <v>91</v>
      </c>
      <c r="M61" s="316"/>
      <c r="N61" s="317"/>
      <c r="O61" s="372" t="s">
        <v>91</v>
      </c>
      <c r="P61" s="316"/>
      <c r="Q61" s="317"/>
      <c r="R61" s="372" t="s">
        <v>91</v>
      </c>
      <c r="S61" s="316"/>
      <c r="T61" s="317"/>
      <c r="U61" s="372" t="s">
        <v>68</v>
      </c>
      <c r="V61" s="316"/>
      <c r="W61" s="317"/>
      <c r="X61" s="372" t="s">
        <v>68</v>
      </c>
      <c r="Y61" s="316"/>
      <c r="Z61" s="472"/>
      <c r="AA61" s="9"/>
      <c r="AB61" s="9"/>
    </row>
    <row r="62" spans="1:29" ht="13.5" thickBot="1" x14ac:dyDescent="0.25">
      <c r="A62" s="1"/>
      <c r="B62" s="13"/>
      <c r="K62" s="8"/>
      <c r="L62" s="318" t="s">
        <v>92</v>
      </c>
      <c r="M62" s="319"/>
      <c r="N62" s="391"/>
      <c r="O62" s="318" t="s">
        <v>93</v>
      </c>
      <c r="P62" s="319"/>
      <c r="Q62" s="391"/>
      <c r="R62" s="318" t="s">
        <v>93</v>
      </c>
      <c r="S62" s="319"/>
      <c r="T62" s="391"/>
      <c r="U62" s="318" t="s">
        <v>74</v>
      </c>
      <c r="V62" s="319"/>
      <c r="W62" s="391"/>
      <c r="X62" s="318" t="s">
        <v>74</v>
      </c>
      <c r="Y62" s="319"/>
      <c r="Z62" s="346"/>
    </row>
    <row r="63" spans="1:29" ht="17.25" customHeight="1" thickBot="1" x14ac:dyDescent="0.25">
      <c r="A63" s="50"/>
      <c r="B63" s="407">
        <f>CMDS!M20</f>
        <v>0</v>
      </c>
      <c r="C63" s="408"/>
      <c r="D63" s="408"/>
      <c r="E63" s="408"/>
      <c r="F63" s="408"/>
      <c r="G63" s="408"/>
      <c r="H63" s="408"/>
      <c r="I63" s="408"/>
      <c r="J63" s="408"/>
      <c r="K63" s="409"/>
      <c r="L63" s="385"/>
      <c r="M63" s="385"/>
      <c r="N63" s="386"/>
      <c r="O63" s="381">
        <f>L63*(Q47+Q48+Q49+Q50)/100</f>
        <v>0</v>
      </c>
      <c r="P63" s="382"/>
      <c r="Q63" s="383"/>
      <c r="R63" s="384"/>
      <c r="S63" s="385"/>
      <c r="T63" s="386"/>
      <c r="U63" s="420" t="str">
        <f>IF(L63=0,"",100*(R63-O63)/O63)</f>
        <v/>
      </c>
      <c r="V63" s="421"/>
      <c r="W63" s="422"/>
      <c r="X63" s="398" t="s">
        <v>94</v>
      </c>
      <c r="Y63" s="299"/>
      <c r="Z63" s="399"/>
    </row>
    <row r="64" spans="1:29" ht="15.75" customHeight="1" thickBot="1" x14ac:dyDescent="0.25">
      <c r="A64" s="1"/>
      <c r="B64" s="407">
        <f>CMDS!M21</f>
        <v>0</v>
      </c>
      <c r="C64" s="408"/>
      <c r="D64" s="408"/>
      <c r="E64" s="408"/>
      <c r="F64" s="408"/>
      <c r="G64" s="408"/>
      <c r="H64" s="408"/>
      <c r="I64" s="408"/>
      <c r="J64" s="408"/>
      <c r="K64" s="409"/>
      <c r="L64" s="385"/>
      <c r="M64" s="385"/>
      <c r="N64" s="386"/>
      <c r="O64" s="381">
        <f>L64*(Q47+Q48+Q49+Q50)/100</f>
        <v>0</v>
      </c>
      <c r="P64" s="382"/>
      <c r="Q64" s="383"/>
      <c r="R64" s="384"/>
      <c r="S64" s="385"/>
      <c r="T64" s="386"/>
      <c r="U64" s="420" t="str">
        <f>IF(L64=0,"",100*(R64-O64)/O64)</f>
        <v/>
      </c>
      <c r="V64" s="421"/>
      <c r="W64" s="422"/>
      <c r="X64" s="398" t="s">
        <v>94</v>
      </c>
      <c r="Y64" s="299"/>
      <c r="Z64" s="399"/>
    </row>
    <row r="65" spans="1:29" ht="15.75" customHeight="1" thickBot="1" x14ac:dyDescent="0.25">
      <c r="A65" s="1"/>
      <c r="B65" s="407">
        <f>CMDS!M22</f>
        <v>0</v>
      </c>
      <c r="C65" s="408"/>
      <c r="D65" s="408"/>
      <c r="E65" s="408"/>
      <c r="F65" s="408"/>
      <c r="G65" s="408"/>
      <c r="H65" s="408"/>
      <c r="I65" s="408"/>
      <c r="J65" s="408"/>
      <c r="K65" s="409"/>
      <c r="L65" s="385"/>
      <c r="M65" s="385"/>
      <c r="N65" s="386"/>
      <c r="O65" s="381">
        <f>L65*(Q47+Q48+Q49+Q50)/100</f>
        <v>0</v>
      </c>
      <c r="P65" s="382"/>
      <c r="Q65" s="383"/>
      <c r="R65" s="384"/>
      <c r="S65" s="385"/>
      <c r="T65" s="386"/>
      <c r="U65" s="420" t="str">
        <f>IF(L65=0,"",100*(R65-O65)/O65)</f>
        <v/>
      </c>
      <c r="V65" s="421"/>
      <c r="W65" s="422"/>
      <c r="X65" s="193"/>
      <c r="Y65" s="398" t="s">
        <v>94</v>
      </c>
      <c r="Z65" s="399"/>
    </row>
    <row r="66" spans="1:29" ht="14.25" customHeight="1" thickBot="1" x14ac:dyDescent="0.25">
      <c r="A66" s="1"/>
      <c r="B66" s="407">
        <f>CMDS!M23</f>
        <v>0</v>
      </c>
      <c r="C66" s="408"/>
      <c r="D66" s="408"/>
      <c r="E66" s="408"/>
      <c r="F66" s="408"/>
      <c r="G66" s="408"/>
      <c r="H66" s="408"/>
      <c r="I66" s="408"/>
      <c r="J66" s="408"/>
      <c r="K66" s="409"/>
      <c r="L66" s="410"/>
      <c r="M66" s="410"/>
      <c r="N66" s="411"/>
      <c r="O66" s="404">
        <f>L66*(Q47+Q48+Q49+Q50)/100</f>
        <v>0</v>
      </c>
      <c r="P66" s="405"/>
      <c r="Q66" s="406"/>
      <c r="R66" s="425"/>
      <c r="S66" s="410"/>
      <c r="T66" s="411"/>
      <c r="U66" s="415" t="str">
        <f>IF(L66=0,"",100*(R66-O66)/O66)</f>
        <v/>
      </c>
      <c r="V66" s="416"/>
      <c r="W66" s="417"/>
      <c r="X66" s="418" t="s">
        <v>94</v>
      </c>
      <c r="Y66" s="374"/>
      <c r="Z66" s="419"/>
    </row>
    <row r="67" spans="1:29" ht="14.25" customHeight="1" thickBot="1" x14ac:dyDescent="0.25">
      <c r="A67" s="1"/>
      <c r="B67" s="407">
        <f>CMDS!M24</f>
        <v>0</v>
      </c>
      <c r="C67" s="408"/>
      <c r="D67" s="408"/>
      <c r="E67" s="408"/>
      <c r="F67" s="408"/>
      <c r="G67" s="408"/>
      <c r="H67" s="408"/>
      <c r="I67" s="408"/>
      <c r="J67" s="408"/>
      <c r="K67" s="409"/>
      <c r="L67" s="410"/>
      <c r="M67" s="410"/>
      <c r="N67" s="411"/>
      <c r="O67" s="404">
        <f>L67*(Q47+Q48+Q49+Q50)/100</f>
        <v>0</v>
      </c>
      <c r="P67" s="405"/>
      <c r="Q67" s="406"/>
      <c r="R67" s="425"/>
      <c r="S67" s="410"/>
      <c r="T67" s="411"/>
      <c r="U67" s="415" t="str">
        <f>IF(L67=0,"",100*(R67-O67)/O67)</f>
        <v/>
      </c>
      <c r="V67" s="416"/>
      <c r="W67" s="417"/>
      <c r="X67" s="418" t="s">
        <v>94</v>
      </c>
      <c r="Y67" s="374"/>
      <c r="Z67" s="419"/>
    </row>
    <row r="69" spans="1:29" ht="12.6" customHeight="1" x14ac:dyDescent="0.2">
      <c r="A69" t="s">
        <v>95</v>
      </c>
      <c r="H69" s="403"/>
      <c r="I69" s="403"/>
      <c r="J69" s="403"/>
      <c r="K69" s="403"/>
      <c r="L69" s="403"/>
      <c r="M69" s="403"/>
      <c r="N69" s="403"/>
      <c r="O69" s="403"/>
      <c r="P69" s="403"/>
      <c r="Q69" s="403"/>
      <c r="R69" s="403"/>
      <c r="S69" s="403"/>
      <c r="T69" s="403"/>
      <c r="U69" s="403"/>
      <c r="V69" s="403"/>
      <c r="W69" s="403"/>
      <c r="X69" s="403"/>
      <c r="Y69" s="403"/>
      <c r="Z69" s="403"/>
      <c r="AA69" s="403"/>
      <c r="AB69" s="403"/>
      <c r="AC69" s="403"/>
    </row>
    <row r="70" spans="1:29" ht="12.6" customHeight="1" x14ac:dyDescent="0.2">
      <c r="A70" s="403"/>
      <c r="B70" s="403"/>
      <c r="C70" s="403"/>
      <c r="D70" s="403"/>
      <c r="E70" s="403"/>
      <c r="F70" s="403"/>
      <c r="G70" s="403"/>
      <c r="H70" s="403"/>
      <c r="I70" s="403"/>
      <c r="J70" s="403"/>
      <c r="K70" s="403"/>
      <c r="L70" s="403"/>
      <c r="M70" s="403"/>
      <c r="N70" s="403"/>
      <c r="O70" s="403"/>
      <c r="P70" s="403"/>
      <c r="Q70" s="403"/>
      <c r="R70" s="403"/>
      <c r="S70" s="403"/>
      <c r="T70" s="403"/>
      <c r="U70" s="403"/>
      <c r="V70" s="403"/>
      <c r="W70" s="403"/>
      <c r="X70" s="403"/>
      <c r="Y70" s="403"/>
      <c r="Z70" s="403"/>
      <c r="AA70" s="403"/>
      <c r="AB70" s="403"/>
      <c r="AC70" s="403"/>
    </row>
    <row r="71" spans="1:29" ht="12.6" customHeight="1" x14ac:dyDescent="0.2">
      <c r="A71" s="403"/>
      <c r="B71" s="403"/>
      <c r="C71" s="403"/>
      <c r="D71" s="403"/>
      <c r="E71" s="403"/>
      <c r="F71" s="403"/>
      <c r="G71" s="403"/>
      <c r="H71" s="403"/>
      <c r="I71" s="403"/>
      <c r="J71" s="403"/>
      <c r="K71" s="403"/>
      <c r="L71" s="403"/>
      <c r="M71" s="403"/>
      <c r="N71" s="403"/>
      <c r="O71" s="403"/>
      <c r="P71" s="403"/>
      <c r="Q71" s="403"/>
      <c r="R71" s="403"/>
      <c r="S71" s="403"/>
      <c r="T71" s="403"/>
      <c r="U71" s="403"/>
      <c r="V71" s="403"/>
      <c r="W71" s="403"/>
      <c r="X71" s="403"/>
      <c r="Y71" s="403"/>
      <c r="Z71" s="403"/>
      <c r="AA71" s="403"/>
      <c r="AB71" s="403"/>
      <c r="AC71" s="403"/>
    </row>
    <row r="72" spans="1:29" ht="12.6" customHeight="1" x14ac:dyDescent="0.2">
      <c r="A72" s="403"/>
      <c r="B72" s="403"/>
      <c r="C72" s="403"/>
      <c r="D72" s="403"/>
      <c r="E72" s="403"/>
      <c r="F72" s="403"/>
      <c r="G72" s="403"/>
      <c r="H72" s="403"/>
      <c r="I72" s="403"/>
      <c r="J72" s="403"/>
      <c r="K72" s="403"/>
      <c r="L72" s="403"/>
      <c r="M72" s="403"/>
      <c r="N72" s="403"/>
      <c r="O72" s="403"/>
      <c r="P72" s="403"/>
      <c r="Q72" s="403"/>
      <c r="R72" s="403"/>
      <c r="S72" s="403"/>
      <c r="T72" s="403"/>
      <c r="U72" s="403"/>
      <c r="V72" s="403"/>
      <c r="W72" s="403"/>
      <c r="X72" s="403"/>
      <c r="Y72" s="403"/>
      <c r="Z72" s="403"/>
      <c r="AA72" s="403"/>
      <c r="AB72" s="403"/>
      <c r="AC72" s="403"/>
    </row>
    <row r="73" spans="1:29" ht="12.6" customHeight="1" x14ac:dyDescent="0.2">
      <c r="A73" s="403"/>
      <c r="B73" s="403"/>
      <c r="C73" s="403"/>
      <c r="D73" s="403"/>
      <c r="E73" s="403"/>
      <c r="F73" s="403"/>
      <c r="G73" s="403"/>
      <c r="H73" s="403"/>
      <c r="I73" s="403"/>
      <c r="J73" s="403"/>
      <c r="K73" s="403"/>
      <c r="L73" s="403"/>
      <c r="M73" s="403"/>
      <c r="N73" s="403"/>
      <c r="O73" s="403"/>
      <c r="P73" s="403"/>
      <c r="Q73" s="403"/>
      <c r="R73" s="403"/>
      <c r="S73" s="403"/>
      <c r="T73" s="403"/>
      <c r="U73" s="403"/>
      <c r="V73" s="403"/>
      <c r="W73" s="403"/>
      <c r="X73" s="403"/>
      <c r="Y73" s="403"/>
      <c r="Z73" s="403"/>
      <c r="AA73" s="403"/>
      <c r="AB73" s="403"/>
      <c r="AC73" s="403"/>
    </row>
    <row r="74" spans="1:29" ht="12.6" customHeight="1" x14ac:dyDescent="0.2">
      <c r="A74" s="403"/>
      <c r="B74" s="403"/>
      <c r="C74" s="403"/>
      <c r="D74" s="403"/>
      <c r="E74" s="403"/>
      <c r="F74" s="403"/>
      <c r="G74" s="403"/>
      <c r="H74" s="403"/>
      <c r="I74" s="403"/>
      <c r="J74" s="403"/>
      <c r="K74" s="403"/>
      <c r="L74" s="403"/>
      <c r="M74" s="403"/>
      <c r="N74" s="403"/>
      <c r="O74" s="403"/>
      <c r="P74" s="403"/>
      <c r="Q74" s="403"/>
      <c r="R74" s="403"/>
      <c r="S74" s="403"/>
      <c r="T74" s="403"/>
      <c r="U74" s="403"/>
      <c r="V74" s="403"/>
      <c r="W74" s="403"/>
      <c r="X74" s="403"/>
      <c r="Y74" s="403"/>
      <c r="Z74" s="403"/>
      <c r="AA74" s="403"/>
      <c r="AB74" s="403"/>
      <c r="AC74" s="403"/>
    </row>
    <row r="75" spans="1:29" ht="12.6" customHeight="1" x14ac:dyDescent="0.2">
      <c r="A75" s="423"/>
      <c r="B75" s="423"/>
      <c r="C75" s="423"/>
      <c r="D75" s="423"/>
      <c r="E75" s="423"/>
      <c r="F75" s="423"/>
      <c r="G75" s="423"/>
      <c r="H75" s="423"/>
      <c r="I75" s="423"/>
      <c r="J75" s="423"/>
      <c r="K75" s="423"/>
      <c r="L75" s="423"/>
      <c r="M75" s="423"/>
      <c r="N75" s="423"/>
      <c r="O75" s="423"/>
      <c r="P75" s="423"/>
      <c r="Q75" s="423"/>
      <c r="R75" s="423"/>
      <c r="S75" s="423"/>
      <c r="T75" s="423"/>
      <c r="U75" s="423"/>
      <c r="V75" s="423"/>
      <c r="W75" s="423"/>
      <c r="X75" s="423"/>
      <c r="Y75" s="423"/>
      <c r="Z75" s="321" t="str">
        <f>CMDS!AA60</f>
        <v>v14q.4.8.2025</v>
      </c>
      <c r="AA75" s="316"/>
      <c r="AB75" s="316"/>
      <c r="AC75" s="316"/>
    </row>
    <row r="76" spans="1:29" ht="15.75" customHeight="1" x14ac:dyDescent="0.25">
      <c r="B76" s="535" t="s">
        <v>96</v>
      </c>
      <c r="C76" s="536"/>
      <c r="D76" s="536"/>
      <c r="E76" s="536"/>
      <c r="F76" s="536"/>
      <c r="G76" s="536"/>
      <c r="H76" s="536"/>
      <c r="I76" s="536"/>
      <c r="J76" s="536"/>
      <c r="K76" s="536"/>
      <c r="L76" s="536"/>
      <c r="M76" s="536"/>
      <c r="N76" s="536"/>
      <c r="O76" s="536"/>
      <c r="P76" s="536"/>
      <c r="Q76" s="536"/>
      <c r="R76" s="536"/>
      <c r="S76" s="536"/>
      <c r="T76" s="537"/>
      <c r="U76" s="537"/>
      <c r="V76" s="537"/>
      <c r="W76" s="537"/>
      <c r="X76" s="537"/>
      <c r="Y76" s="537"/>
    </row>
    <row r="77" spans="1:29" x14ac:dyDescent="0.2">
      <c r="B77" s="424"/>
      <c r="C77" s="313"/>
      <c r="D77" s="313"/>
      <c r="E77" s="313"/>
      <c r="F77" s="313"/>
      <c r="G77" s="324"/>
      <c r="H77" s="312" t="s">
        <v>12</v>
      </c>
      <c r="I77" s="313"/>
      <c r="J77" s="324"/>
      <c r="K77" s="312" t="s">
        <v>97</v>
      </c>
      <c r="L77" s="313"/>
      <c r="M77" s="324"/>
      <c r="N77" s="312" t="s">
        <v>10</v>
      </c>
      <c r="O77" s="313"/>
      <c r="P77" s="324"/>
      <c r="Q77" s="312" t="s">
        <v>97</v>
      </c>
      <c r="R77" s="313"/>
      <c r="S77" s="313"/>
      <c r="T77" s="312" t="s">
        <v>10</v>
      </c>
      <c r="U77" s="313"/>
      <c r="V77" s="324"/>
      <c r="W77" s="312" t="s">
        <v>97</v>
      </c>
      <c r="X77" s="313"/>
      <c r="Y77" s="314"/>
    </row>
    <row r="78" spans="1:29" x14ac:dyDescent="0.2">
      <c r="B78" s="315" t="s">
        <v>98</v>
      </c>
      <c r="C78" s="316"/>
      <c r="D78" s="316"/>
      <c r="E78" s="316"/>
      <c r="F78" s="316"/>
      <c r="G78" s="317"/>
      <c r="H78" s="316" t="s">
        <v>99</v>
      </c>
      <c r="I78" s="316"/>
      <c r="J78" s="317"/>
      <c r="K78" s="320" t="s">
        <v>100</v>
      </c>
      <c r="L78" s="321"/>
      <c r="M78" s="322"/>
      <c r="N78" s="372" t="s">
        <v>101</v>
      </c>
      <c r="O78" s="316"/>
      <c r="P78" s="317"/>
      <c r="Q78" s="320" t="s">
        <v>102</v>
      </c>
      <c r="R78" s="321"/>
      <c r="S78" s="321"/>
      <c r="T78" s="372" t="s">
        <v>101</v>
      </c>
      <c r="U78" s="316"/>
      <c r="V78" s="317"/>
      <c r="W78" s="320" t="s">
        <v>102</v>
      </c>
      <c r="X78" s="321"/>
      <c r="Y78" s="323"/>
    </row>
    <row r="79" spans="1:29" x14ac:dyDescent="0.2">
      <c r="B79" s="440">
        <f>CMDS!G6</f>
        <v>0</v>
      </c>
      <c r="C79" s="441"/>
      <c r="D79" s="441"/>
      <c r="E79" s="441"/>
      <c r="F79" s="441"/>
      <c r="G79" s="441"/>
      <c r="H79" s="372" t="s">
        <v>17</v>
      </c>
      <c r="I79" s="316"/>
      <c r="J79" s="317"/>
      <c r="K79" s="320" t="s">
        <v>103</v>
      </c>
      <c r="L79" s="321"/>
      <c r="M79" s="322"/>
      <c r="N79" s="372" t="s">
        <v>17</v>
      </c>
      <c r="O79" s="316"/>
      <c r="P79" s="317"/>
      <c r="Q79" s="320" t="s">
        <v>101</v>
      </c>
      <c r="R79" s="321"/>
      <c r="S79" s="321"/>
      <c r="T79" s="372" t="s">
        <v>15</v>
      </c>
      <c r="U79" s="316"/>
      <c r="V79" s="317"/>
      <c r="W79" s="320" t="s">
        <v>15</v>
      </c>
      <c r="X79" s="321"/>
      <c r="Y79" s="323"/>
    </row>
    <row r="80" spans="1:29" x14ac:dyDescent="0.2">
      <c r="B80" s="390"/>
      <c r="C80" s="319"/>
      <c r="D80" s="319"/>
      <c r="E80" s="319"/>
      <c r="F80" s="319"/>
      <c r="G80" s="391"/>
      <c r="H80" s="318" t="s">
        <v>104</v>
      </c>
      <c r="I80" s="319"/>
      <c r="J80" s="391"/>
      <c r="K80" s="318" t="s">
        <v>17</v>
      </c>
      <c r="L80" s="319"/>
      <c r="M80" s="391"/>
      <c r="N80" s="318" t="s">
        <v>104</v>
      </c>
      <c r="O80" s="319"/>
      <c r="P80" s="391"/>
      <c r="Q80" s="318" t="s">
        <v>17</v>
      </c>
      <c r="R80" s="319"/>
      <c r="S80" s="319"/>
      <c r="T80" s="318" t="s">
        <v>104</v>
      </c>
      <c r="U80" s="319"/>
      <c r="V80" s="391"/>
      <c r="W80" s="318" t="s">
        <v>17</v>
      </c>
      <c r="X80" s="319"/>
      <c r="Y80" s="346"/>
    </row>
    <row r="81" spans="2:29" x14ac:dyDescent="0.2">
      <c r="B81" s="439" t="s">
        <v>105</v>
      </c>
      <c r="C81" s="299"/>
      <c r="D81" s="299"/>
      <c r="E81" s="299"/>
      <c r="F81" s="299"/>
      <c r="G81" s="288"/>
      <c r="H81" s="363">
        <f>IFERROR((T56+T55+T54-(T54/(1+H22/100))+T53-(T53/(1+H19/100))+T52-(T52/(1+H16/100))-(T54*H21/(100+H22))-(T53*H18/(100+H19))-(T52*H15/(100+H16)))/(T47+T48+T49+T50),0)</f>
        <v>0</v>
      </c>
      <c r="I81" s="364"/>
      <c r="J81" s="365"/>
      <c r="K81" s="398"/>
      <c r="L81" s="299"/>
      <c r="M81" s="288"/>
      <c r="N81" s="363" t="str">
        <f>IFERROR(((T56+T55+T54-(T54/(1+O22/100))+T53-(T53/(1+O19/100))+T52-(T52/(1+O16/100))-(T54*O21/(100+O22))-(T53*O18/(100+O19))-(T52*O15/(100+O16)))/(T47+T48+T49+T50)),"")</f>
        <v/>
      </c>
      <c r="O81" s="364"/>
      <c r="P81" s="365"/>
      <c r="Q81" s="398"/>
      <c r="R81" s="299"/>
      <c r="S81" s="299"/>
      <c r="T81" s="363" t="str">
        <f>IFERROR((T56+T55+T54-(T54/(1+V22/100))+T53-(T53/(1+V19/100))+T52-(T52/(1+V16/100))-(T54*V21/(100+V22))-(T53*V18/(100+V19))-(T52*V15/(100+V16)))/(T47+T48+T49+T50),"")</f>
        <v/>
      </c>
      <c r="U81" s="364"/>
      <c r="V81" s="365"/>
      <c r="W81" s="398"/>
      <c r="X81" s="299"/>
      <c r="Y81" s="399"/>
    </row>
    <row r="82" spans="2:29" x14ac:dyDescent="0.2">
      <c r="B82" s="362" t="s">
        <v>106</v>
      </c>
      <c r="C82" s="299"/>
      <c r="D82" s="299"/>
      <c r="E82" s="299"/>
      <c r="F82" s="299"/>
      <c r="G82" s="288"/>
      <c r="H82" s="395"/>
      <c r="I82" s="396"/>
      <c r="J82" s="397"/>
      <c r="K82" s="392"/>
      <c r="L82" s="393"/>
      <c r="M82" s="394"/>
      <c r="N82" s="395"/>
      <c r="O82" s="396"/>
      <c r="P82" s="397"/>
      <c r="Q82" s="392"/>
      <c r="R82" s="393"/>
      <c r="S82" s="393"/>
      <c r="T82" s="395"/>
      <c r="U82" s="396"/>
      <c r="V82" s="397"/>
      <c r="W82" s="392"/>
      <c r="X82" s="393"/>
      <c r="Y82" s="471"/>
    </row>
    <row r="83" spans="2:29" x14ac:dyDescent="0.2">
      <c r="B83" s="439" t="s">
        <v>107</v>
      </c>
      <c r="C83" s="299"/>
      <c r="D83" s="299"/>
      <c r="E83" s="299"/>
      <c r="F83" s="299"/>
      <c r="G83" s="288"/>
      <c r="H83" s="395"/>
      <c r="I83" s="396"/>
      <c r="J83" s="397"/>
      <c r="K83" s="392"/>
      <c r="L83" s="393"/>
      <c r="M83" s="394"/>
      <c r="N83" s="395"/>
      <c r="O83" s="396"/>
      <c r="P83" s="397"/>
      <c r="Q83" s="392"/>
      <c r="R83" s="393"/>
      <c r="S83" s="393"/>
      <c r="T83" s="395"/>
      <c r="U83" s="396"/>
      <c r="V83" s="397"/>
      <c r="W83" s="392"/>
      <c r="X83" s="393"/>
      <c r="Y83" s="471"/>
    </row>
    <row r="84" spans="2:29" x14ac:dyDescent="0.2">
      <c r="B84" s="439" t="s">
        <v>108</v>
      </c>
      <c r="C84" s="299"/>
      <c r="D84" s="299"/>
      <c r="E84" s="299"/>
      <c r="F84" s="299"/>
      <c r="G84" s="288"/>
      <c r="H84" s="363">
        <f>H82-H83</f>
        <v>0</v>
      </c>
      <c r="I84" s="364"/>
      <c r="J84" s="365"/>
      <c r="K84" s="398"/>
      <c r="L84" s="299"/>
      <c r="M84" s="288"/>
      <c r="N84" s="363">
        <f>N82-N83</f>
        <v>0</v>
      </c>
      <c r="O84" s="364"/>
      <c r="P84" s="365"/>
      <c r="Q84" s="398"/>
      <c r="R84" s="299"/>
      <c r="S84" s="299"/>
      <c r="T84" s="363">
        <f>T82-T83</f>
        <v>0</v>
      </c>
      <c r="U84" s="364"/>
      <c r="V84" s="365"/>
      <c r="W84" s="398"/>
      <c r="X84" s="299"/>
      <c r="Y84" s="399"/>
    </row>
    <row r="85" spans="2:29" ht="21.75" customHeight="1" x14ac:dyDescent="0.2">
      <c r="B85" s="489" t="s">
        <v>109</v>
      </c>
      <c r="C85" s="490"/>
      <c r="D85" s="490"/>
      <c r="E85" s="490"/>
      <c r="F85" s="490"/>
      <c r="G85" s="491"/>
      <c r="H85" s="495">
        <f>G37</f>
        <v>0</v>
      </c>
      <c r="I85" s="496"/>
      <c r="J85" s="497"/>
      <c r="K85" s="392"/>
      <c r="L85" s="393"/>
      <c r="M85" s="394"/>
      <c r="N85" s="495">
        <f>M37</f>
        <v>0</v>
      </c>
      <c r="O85" s="496"/>
      <c r="P85" s="497"/>
      <c r="Q85" s="392"/>
      <c r="R85" s="393"/>
      <c r="S85" s="393"/>
      <c r="T85" s="495">
        <f>S37</f>
        <v>0</v>
      </c>
      <c r="U85" s="496"/>
      <c r="V85" s="497"/>
      <c r="W85" s="392"/>
      <c r="X85" s="393"/>
      <c r="Y85" s="471"/>
    </row>
    <row r="86" spans="2:29" ht="12.75" customHeight="1" x14ac:dyDescent="0.2">
      <c r="B86" s="439" t="s">
        <v>110</v>
      </c>
      <c r="C86" s="299"/>
      <c r="D86" s="299"/>
      <c r="E86" s="299"/>
      <c r="F86" s="299"/>
      <c r="G86" s="288"/>
      <c r="H86" s="420">
        <f>IFERROR(H84/H85,0)</f>
        <v>0</v>
      </c>
      <c r="I86" s="421"/>
      <c r="J86" s="422"/>
      <c r="K86" s="379"/>
      <c r="L86" s="291"/>
      <c r="M86" s="380"/>
      <c r="N86" s="420">
        <f>IFERROR(N84/N85,0)</f>
        <v>0</v>
      </c>
      <c r="O86" s="421"/>
      <c r="P86" s="422"/>
      <c r="Q86" s="379"/>
      <c r="R86" s="291"/>
      <c r="S86" s="291"/>
      <c r="T86" s="420">
        <f>IFERROR(T84/T85,0)</f>
        <v>0</v>
      </c>
      <c r="U86" s="421"/>
      <c r="V86" s="422"/>
      <c r="W86" s="379"/>
      <c r="X86" s="291"/>
      <c r="Y86" s="538"/>
    </row>
    <row r="87" spans="2:29" x14ac:dyDescent="0.2">
      <c r="B87" s="439" t="s">
        <v>111</v>
      </c>
      <c r="C87" s="299"/>
      <c r="D87" s="299"/>
      <c r="E87" s="299"/>
      <c r="F87" s="299"/>
      <c r="G87" s="288"/>
      <c r="H87" s="492"/>
      <c r="I87" s="493"/>
      <c r="J87" s="494"/>
      <c r="K87" s="392"/>
      <c r="L87" s="393"/>
      <c r="M87" s="394"/>
      <c r="N87" s="492"/>
      <c r="O87" s="493"/>
      <c r="P87" s="494"/>
      <c r="Q87" s="392"/>
      <c r="R87" s="393"/>
      <c r="S87" s="393"/>
      <c r="T87" s="492"/>
      <c r="U87" s="493"/>
      <c r="V87" s="494"/>
      <c r="W87" s="392"/>
      <c r="X87" s="393"/>
      <c r="Y87" s="471"/>
    </row>
    <row r="88" spans="2:29" x14ac:dyDescent="0.2">
      <c r="B88" s="439" t="s">
        <v>28</v>
      </c>
      <c r="C88" s="299"/>
      <c r="D88" s="299"/>
      <c r="E88" s="299"/>
      <c r="F88" s="299"/>
      <c r="G88" s="288"/>
      <c r="H88" s="420">
        <f>H23</f>
        <v>0</v>
      </c>
      <c r="I88" s="421"/>
      <c r="J88" s="422"/>
      <c r="K88" s="398"/>
      <c r="L88" s="299"/>
      <c r="M88" s="288"/>
      <c r="N88" s="420">
        <f>O23</f>
        <v>0</v>
      </c>
      <c r="O88" s="421"/>
      <c r="P88" s="422"/>
      <c r="Q88" s="398"/>
      <c r="R88" s="299"/>
      <c r="S88" s="299"/>
      <c r="T88" s="420">
        <f>V23</f>
        <v>0</v>
      </c>
      <c r="U88" s="421"/>
      <c r="V88" s="422"/>
      <c r="W88" s="398"/>
      <c r="X88" s="299"/>
      <c r="Y88" s="399"/>
    </row>
    <row r="89" spans="2:29" x14ac:dyDescent="0.2">
      <c r="B89" s="439" t="s">
        <v>112</v>
      </c>
      <c r="C89" s="299"/>
      <c r="D89" s="299"/>
      <c r="E89" s="299"/>
      <c r="F89" s="299"/>
      <c r="G89" s="288"/>
      <c r="H89" s="420">
        <f>H87-H88</f>
        <v>0</v>
      </c>
      <c r="I89" s="421"/>
      <c r="J89" s="422"/>
      <c r="K89" s="398"/>
      <c r="L89" s="299"/>
      <c r="M89" s="288"/>
      <c r="N89" s="420">
        <f>N87-N88</f>
        <v>0</v>
      </c>
      <c r="O89" s="421"/>
      <c r="P89" s="422"/>
      <c r="Q89" s="398"/>
      <c r="R89" s="299"/>
      <c r="S89" s="299"/>
      <c r="T89" s="420">
        <f>T87-T88</f>
        <v>0</v>
      </c>
      <c r="U89" s="421"/>
      <c r="V89" s="422"/>
      <c r="W89" s="398"/>
      <c r="X89" s="299"/>
      <c r="Y89" s="399"/>
    </row>
    <row r="90" spans="2:29" x14ac:dyDescent="0.2">
      <c r="B90" s="439" t="s">
        <v>113</v>
      </c>
      <c r="C90" s="299"/>
      <c r="D90" s="299"/>
      <c r="E90" s="299"/>
      <c r="F90" s="299"/>
      <c r="G90" s="288"/>
      <c r="H90" s="384"/>
      <c r="I90" s="385"/>
      <c r="J90" s="386"/>
      <c r="K90" s="392"/>
      <c r="L90" s="393"/>
      <c r="M90" s="394"/>
      <c r="N90" s="384"/>
      <c r="O90" s="385"/>
      <c r="P90" s="386"/>
      <c r="Q90" s="392"/>
      <c r="R90" s="393"/>
      <c r="S90" s="393"/>
      <c r="T90" s="384"/>
      <c r="U90" s="385"/>
      <c r="V90" s="386"/>
      <c r="W90" s="392"/>
      <c r="X90" s="393"/>
      <c r="Y90" s="471"/>
    </row>
    <row r="91" spans="2:29" ht="13.5" thickBot="1" x14ac:dyDescent="0.25">
      <c r="B91" s="373" t="s">
        <v>114</v>
      </c>
      <c r="C91" s="374"/>
      <c r="D91" s="374"/>
      <c r="E91" s="374"/>
      <c r="F91" s="374"/>
      <c r="G91" s="375"/>
      <c r="H91" s="387">
        <f>IFERROR(T57/(N47*27*H86),0)</f>
        <v>0</v>
      </c>
      <c r="I91" s="388"/>
      <c r="J91" s="389"/>
      <c r="K91" s="418"/>
      <c r="L91" s="374"/>
      <c r="M91" s="375"/>
      <c r="N91" s="387">
        <f>IFERROR(T57/(N47*27*N86),0)</f>
        <v>0</v>
      </c>
      <c r="O91" s="388"/>
      <c r="P91" s="389"/>
      <c r="Q91" s="418"/>
      <c r="R91" s="374"/>
      <c r="S91" s="374"/>
      <c r="T91" s="387">
        <f>IFERROR(T57/(N47*27*T86),0)</f>
        <v>0</v>
      </c>
      <c r="U91" s="388"/>
      <c r="V91" s="389"/>
      <c r="W91" s="418"/>
      <c r="X91" s="374"/>
      <c r="Y91" s="419"/>
    </row>
    <row r="92" spans="2:29" ht="13.5" thickBot="1" x14ac:dyDescent="0.25">
      <c r="G92" s="1"/>
      <c r="H92" s="1"/>
      <c r="I92" s="1"/>
      <c r="J92" s="1"/>
      <c r="K92" s="1"/>
      <c r="L92" s="1"/>
      <c r="M92" s="20"/>
      <c r="N92" s="20"/>
      <c r="O92" s="20"/>
      <c r="P92" s="21"/>
      <c r="Q92" s="21"/>
      <c r="R92" s="21"/>
      <c r="S92" s="20"/>
      <c r="T92" s="20"/>
      <c r="U92" s="20"/>
      <c r="V92" s="21"/>
      <c r="W92" s="21"/>
      <c r="X92" s="21"/>
    </row>
    <row r="93" spans="2:29" ht="36" customHeight="1" x14ac:dyDescent="0.25">
      <c r="E93" s="309" t="s">
        <v>115</v>
      </c>
      <c r="F93" s="310"/>
      <c r="G93" s="310"/>
      <c r="H93" s="310"/>
      <c r="I93" s="310"/>
      <c r="J93" s="310"/>
      <c r="K93" s="310"/>
      <c r="L93" s="310"/>
      <c r="M93" s="310"/>
      <c r="N93" s="310"/>
      <c r="O93" s="310"/>
      <c r="P93" s="310"/>
      <c r="Q93" s="310"/>
      <c r="R93" s="310"/>
      <c r="S93" s="310"/>
      <c r="T93" s="310"/>
      <c r="U93" s="310"/>
      <c r="V93" s="310"/>
      <c r="W93" s="310"/>
      <c r="X93" s="310"/>
      <c r="Y93" s="311"/>
      <c r="Z93" s="9"/>
      <c r="AA93" s="9"/>
      <c r="AB93" s="9"/>
      <c r="AC93" s="9"/>
    </row>
    <row r="94" spans="2:29" ht="12.6" customHeight="1" x14ac:dyDescent="0.2">
      <c r="E94" s="11"/>
      <c r="F94" s="10"/>
      <c r="G94" s="12"/>
      <c r="H94" s="312" t="s">
        <v>116</v>
      </c>
      <c r="I94" s="313"/>
      <c r="J94" s="313"/>
      <c r="K94" s="313"/>
      <c r="L94" s="313"/>
      <c r="M94" s="324"/>
      <c r="N94" s="312" t="s">
        <v>97</v>
      </c>
      <c r="O94" s="313"/>
      <c r="P94" s="324"/>
      <c r="Q94" s="312" t="s">
        <v>117</v>
      </c>
      <c r="R94" s="313"/>
      <c r="S94" s="313"/>
      <c r="T94" s="313"/>
      <c r="U94" s="313"/>
      <c r="V94" s="313"/>
      <c r="W94" s="312" t="s">
        <v>97</v>
      </c>
      <c r="X94" s="313"/>
      <c r="Y94" s="314"/>
    </row>
    <row r="95" spans="2:29" ht="12.6" customHeight="1" x14ac:dyDescent="0.2">
      <c r="E95" s="13"/>
      <c r="H95" s="372" t="s">
        <v>118</v>
      </c>
      <c r="I95" s="316"/>
      <c r="J95" s="316"/>
      <c r="K95" s="316"/>
      <c r="L95" s="316"/>
      <c r="M95" s="317"/>
      <c r="N95" s="320" t="s">
        <v>119</v>
      </c>
      <c r="O95" s="321"/>
      <c r="P95" s="322"/>
      <c r="Q95" s="372" t="s">
        <v>120</v>
      </c>
      <c r="R95" s="316"/>
      <c r="S95" s="316"/>
      <c r="T95" s="316"/>
      <c r="U95" s="316"/>
      <c r="V95" s="316"/>
      <c r="W95" s="320" t="s">
        <v>102</v>
      </c>
      <c r="X95" s="321"/>
      <c r="Y95" s="323"/>
    </row>
    <row r="96" spans="2:29" ht="12.6" customHeight="1" x14ac:dyDescent="0.2">
      <c r="E96" s="315" t="s">
        <v>121</v>
      </c>
      <c r="F96" s="316"/>
      <c r="G96" s="317"/>
      <c r="H96" s="318" t="s">
        <v>122</v>
      </c>
      <c r="I96" s="319"/>
      <c r="J96" s="319"/>
      <c r="K96" s="319"/>
      <c r="L96" s="319"/>
      <c r="M96" s="319"/>
      <c r="N96" s="320" t="s">
        <v>12</v>
      </c>
      <c r="O96" s="321"/>
      <c r="P96" s="322"/>
      <c r="Q96" s="319" t="s">
        <v>122</v>
      </c>
      <c r="R96" s="319"/>
      <c r="S96" s="319"/>
      <c r="T96" s="319"/>
      <c r="U96" s="319"/>
      <c r="V96" s="319"/>
      <c r="W96" s="320" t="s">
        <v>101</v>
      </c>
      <c r="X96" s="321"/>
      <c r="Y96" s="323"/>
    </row>
    <row r="97" spans="1:25" ht="12.6" customHeight="1" x14ac:dyDescent="0.2">
      <c r="E97" s="390"/>
      <c r="F97" s="319"/>
      <c r="G97" s="391"/>
      <c r="H97" s="296" t="s">
        <v>123</v>
      </c>
      <c r="I97" s="296"/>
      <c r="J97" s="296"/>
      <c r="K97" s="296" t="s">
        <v>124</v>
      </c>
      <c r="L97" s="296"/>
      <c r="M97" s="296"/>
      <c r="N97" s="294" t="s">
        <v>17</v>
      </c>
      <c r="O97" s="294"/>
      <c r="P97" s="294"/>
      <c r="Q97" s="296" t="s">
        <v>123</v>
      </c>
      <c r="R97" s="296"/>
      <c r="S97" s="296"/>
      <c r="T97" s="296" t="s">
        <v>124</v>
      </c>
      <c r="U97" s="296"/>
      <c r="V97" s="296"/>
      <c r="W97" s="318" t="s">
        <v>17</v>
      </c>
      <c r="X97" s="319"/>
      <c r="Y97" s="346"/>
    </row>
    <row r="98" spans="1:25" ht="12.6" customHeight="1" x14ac:dyDescent="0.2">
      <c r="E98" s="498"/>
      <c r="F98" s="351"/>
      <c r="G98" s="351"/>
      <c r="H98" s="359"/>
      <c r="I98" s="359"/>
      <c r="J98" s="359"/>
      <c r="K98" s="328">
        <f>IFERROR(AVERAGE(H98:J100),0)</f>
        <v>0</v>
      </c>
      <c r="L98" s="329"/>
      <c r="M98" s="330"/>
      <c r="N98" s="351"/>
      <c r="O98" s="351"/>
      <c r="P98" s="351"/>
      <c r="Q98" s="359"/>
      <c r="R98" s="359"/>
      <c r="S98" s="359"/>
      <c r="T98" s="337">
        <f>IFERROR(AVERAGE(Q98:S100),0)</f>
        <v>0</v>
      </c>
      <c r="U98" s="338"/>
      <c r="V98" s="339"/>
      <c r="W98" s="350"/>
      <c r="X98" s="351"/>
      <c r="Y98" s="352"/>
    </row>
    <row r="99" spans="1:25" ht="12.6" customHeight="1" x14ac:dyDescent="0.2">
      <c r="E99" s="498"/>
      <c r="F99" s="351"/>
      <c r="G99" s="351"/>
      <c r="H99" s="359"/>
      <c r="I99" s="359"/>
      <c r="J99" s="359"/>
      <c r="K99" s="331"/>
      <c r="L99" s="332"/>
      <c r="M99" s="333"/>
      <c r="N99" s="351"/>
      <c r="O99" s="351"/>
      <c r="P99" s="351"/>
      <c r="Q99" s="359"/>
      <c r="R99" s="359"/>
      <c r="S99" s="359"/>
      <c r="T99" s="340"/>
      <c r="U99" s="341"/>
      <c r="V99" s="342"/>
      <c r="W99" s="350"/>
      <c r="X99" s="351"/>
      <c r="Y99" s="352"/>
    </row>
    <row r="100" spans="1:25" ht="12.6" customHeight="1" thickBot="1" x14ac:dyDescent="0.25">
      <c r="E100" s="360"/>
      <c r="F100" s="361"/>
      <c r="G100" s="361"/>
      <c r="H100" s="347"/>
      <c r="I100" s="348"/>
      <c r="J100" s="349"/>
      <c r="K100" s="334"/>
      <c r="L100" s="335"/>
      <c r="M100" s="336"/>
      <c r="N100" s="353"/>
      <c r="O100" s="354"/>
      <c r="P100" s="355"/>
      <c r="Q100" s="347"/>
      <c r="R100" s="348"/>
      <c r="S100" s="349"/>
      <c r="T100" s="343"/>
      <c r="U100" s="344"/>
      <c r="V100" s="345"/>
      <c r="W100" s="356"/>
      <c r="X100" s="354"/>
      <c r="Y100" s="357"/>
    </row>
    <row r="101" spans="1:25" ht="12.6" customHeight="1" x14ac:dyDescent="0.2">
      <c r="E101" s="502"/>
      <c r="F101" s="326"/>
      <c r="G101" s="326"/>
      <c r="H101" s="358"/>
      <c r="I101" s="358"/>
      <c r="J101" s="358"/>
      <c r="K101" s="328">
        <f>IFERROR(AVERAGE(H101:J103),0)</f>
        <v>0</v>
      </c>
      <c r="L101" s="329"/>
      <c r="M101" s="330"/>
      <c r="N101" s="326"/>
      <c r="O101" s="326"/>
      <c r="P101" s="326"/>
      <c r="Q101" s="358"/>
      <c r="R101" s="358"/>
      <c r="S101" s="358"/>
      <c r="T101" s="337">
        <f>IFERROR(AVERAGE(Q101:S103),0)</f>
        <v>0</v>
      </c>
      <c r="U101" s="338"/>
      <c r="V101" s="339"/>
      <c r="W101" s="325"/>
      <c r="X101" s="326"/>
      <c r="Y101" s="327"/>
    </row>
    <row r="102" spans="1:25" ht="12.6" customHeight="1" x14ac:dyDescent="0.2">
      <c r="E102" s="498"/>
      <c r="F102" s="351"/>
      <c r="G102" s="351"/>
      <c r="H102" s="359"/>
      <c r="I102" s="359"/>
      <c r="J102" s="359"/>
      <c r="K102" s="331"/>
      <c r="L102" s="332"/>
      <c r="M102" s="333"/>
      <c r="N102" s="351"/>
      <c r="O102" s="351"/>
      <c r="P102" s="351"/>
      <c r="Q102" s="359"/>
      <c r="R102" s="359"/>
      <c r="S102" s="359"/>
      <c r="T102" s="340"/>
      <c r="U102" s="341"/>
      <c r="V102" s="342"/>
      <c r="W102" s="350"/>
      <c r="X102" s="351"/>
      <c r="Y102" s="352"/>
    </row>
    <row r="103" spans="1:25" ht="12.6" customHeight="1" thickBot="1" x14ac:dyDescent="0.25">
      <c r="E103" s="360"/>
      <c r="F103" s="361"/>
      <c r="G103" s="361"/>
      <c r="H103" s="347"/>
      <c r="I103" s="348"/>
      <c r="J103" s="349"/>
      <c r="K103" s="334"/>
      <c r="L103" s="335"/>
      <c r="M103" s="336"/>
      <c r="N103" s="353"/>
      <c r="O103" s="354"/>
      <c r="P103" s="355"/>
      <c r="Q103" s="347"/>
      <c r="R103" s="348"/>
      <c r="S103" s="349"/>
      <c r="T103" s="343"/>
      <c r="U103" s="344"/>
      <c r="V103" s="345"/>
      <c r="W103" s="356"/>
      <c r="X103" s="354"/>
      <c r="Y103" s="357"/>
    </row>
    <row r="104" spans="1:25" ht="12.6" customHeight="1" x14ac:dyDescent="0.2">
      <c r="E104" s="502"/>
      <c r="F104" s="326"/>
      <c r="G104" s="326"/>
      <c r="H104" s="326"/>
      <c r="I104" s="326"/>
      <c r="J104" s="326"/>
      <c r="K104" s="328">
        <f>IFERROR(AVERAGE(H104:J106),0)</f>
        <v>0</v>
      </c>
      <c r="L104" s="329"/>
      <c r="M104" s="330"/>
      <c r="N104" s="326"/>
      <c r="O104" s="326"/>
      <c r="P104" s="326"/>
      <c r="Q104" s="326"/>
      <c r="R104" s="326"/>
      <c r="S104" s="326"/>
      <c r="T104" s="337">
        <f>IFERROR(AVERAGE(Q104:S106),0)</f>
        <v>0</v>
      </c>
      <c r="U104" s="338"/>
      <c r="V104" s="339"/>
      <c r="W104" s="325"/>
      <c r="X104" s="326"/>
      <c r="Y104" s="327"/>
    </row>
    <row r="105" spans="1:25" ht="12.6" customHeight="1" x14ac:dyDescent="0.2">
      <c r="E105" s="498"/>
      <c r="F105" s="351"/>
      <c r="G105" s="351"/>
      <c r="H105" s="392"/>
      <c r="I105" s="393"/>
      <c r="J105" s="394"/>
      <c r="K105" s="331"/>
      <c r="L105" s="332"/>
      <c r="M105" s="333"/>
      <c r="N105" s="392"/>
      <c r="O105" s="393"/>
      <c r="P105" s="394"/>
      <c r="Q105" s="392"/>
      <c r="R105" s="393"/>
      <c r="S105" s="394"/>
      <c r="T105" s="340"/>
      <c r="U105" s="341"/>
      <c r="V105" s="342"/>
      <c r="W105" s="499"/>
      <c r="X105" s="393"/>
      <c r="Y105" s="471"/>
    </row>
    <row r="106" spans="1:25" ht="12.6" customHeight="1" thickBot="1" x14ac:dyDescent="0.25">
      <c r="E106" s="360"/>
      <c r="F106" s="361"/>
      <c r="G106" s="361"/>
      <c r="H106" s="361"/>
      <c r="I106" s="361"/>
      <c r="J106" s="361"/>
      <c r="K106" s="334"/>
      <c r="L106" s="335"/>
      <c r="M106" s="336"/>
      <c r="N106" s="361"/>
      <c r="O106" s="361"/>
      <c r="P106" s="361"/>
      <c r="Q106" s="361"/>
      <c r="R106" s="361"/>
      <c r="S106" s="361"/>
      <c r="T106" s="343"/>
      <c r="U106" s="344"/>
      <c r="V106" s="345"/>
      <c r="W106" s="500"/>
      <c r="X106" s="361"/>
      <c r="Y106" s="501"/>
    </row>
    <row r="107" spans="1:25" ht="12.6" customHeight="1" x14ac:dyDescent="0.2">
      <c r="E107" s="503"/>
      <c r="F107" s="504"/>
      <c r="G107" s="505"/>
      <c r="H107" s="506"/>
      <c r="I107" s="483"/>
      <c r="J107" s="507"/>
      <c r="K107" s="328">
        <f>IFERROR(AVERAGE(H107:J109),0)</f>
        <v>0</v>
      </c>
      <c r="L107" s="329"/>
      <c r="M107" s="330"/>
      <c r="N107" s="506"/>
      <c r="O107" s="483"/>
      <c r="P107" s="507"/>
      <c r="Q107" s="506"/>
      <c r="R107" s="483"/>
      <c r="S107" s="507"/>
      <c r="T107" s="337">
        <f>IFERROR(AVERAGE(Q107:S109),0)</f>
        <v>0</v>
      </c>
      <c r="U107" s="338"/>
      <c r="V107" s="339"/>
      <c r="W107" s="506"/>
      <c r="X107" s="483"/>
      <c r="Y107" s="508"/>
    </row>
    <row r="108" spans="1:25" ht="12.6" customHeight="1" x14ac:dyDescent="0.2">
      <c r="E108" s="509"/>
      <c r="F108" s="510"/>
      <c r="G108" s="511"/>
      <c r="H108" s="392"/>
      <c r="I108" s="393"/>
      <c r="J108" s="394"/>
      <c r="K108" s="331"/>
      <c r="L108" s="332"/>
      <c r="M108" s="333"/>
      <c r="N108" s="392"/>
      <c r="O108" s="393"/>
      <c r="P108" s="394"/>
      <c r="Q108" s="392"/>
      <c r="R108" s="393"/>
      <c r="S108" s="394"/>
      <c r="T108" s="340"/>
      <c r="U108" s="341"/>
      <c r="V108" s="342"/>
      <c r="W108" s="392"/>
      <c r="X108" s="393"/>
      <c r="Y108" s="471"/>
    </row>
    <row r="109" spans="1:25" ht="12.6" customHeight="1" thickBot="1" x14ac:dyDescent="0.25">
      <c r="E109" s="512"/>
      <c r="F109" s="513"/>
      <c r="G109" s="514"/>
      <c r="H109" s="353"/>
      <c r="I109" s="354"/>
      <c r="J109" s="355"/>
      <c r="K109" s="334"/>
      <c r="L109" s="335"/>
      <c r="M109" s="336"/>
      <c r="N109" s="353"/>
      <c r="O109" s="354"/>
      <c r="P109" s="355"/>
      <c r="Q109" s="353"/>
      <c r="R109" s="354"/>
      <c r="S109" s="355"/>
      <c r="T109" s="343"/>
      <c r="U109" s="344"/>
      <c r="V109" s="345"/>
      <c r="W109" s="353"/>
      <c r="X109" s="354"/>
      <c r="Y109" s="357"/>
    </row>
    <row r="110" spans="1:25" ht="12.6" customHeight="1" x14ac:dyDescent="0.2">
      <c r="E110" s="502"/>
      <c r="F110" s="326"/>
      <c r="G110" s="326"/>
      <c r="H110" s="506"/>
      <c r="I110" s="483"/>
      <c r="J110" s="507"/>
      <c r="K110" s="328">
        <f>IFERROR(AVERAGE(H110:J112),0)</f>
        <v>0</v>
      </c>
      <c r="L110" s="329"/>
      <c r="M110" s="330"/>
      <c r="N110" s="506"/>
      <c r="O110" s="483"/>
      <c r="P110" s="507"/>
      <c r="Q110" s="506"/>
      <c r="R110" s="483"/>
      <c r="S110" s="507"/>
      <c r="T110" s="337">
        <f>IFERROR(AVERAGE(Q110:S112),0)</f>
        <v>0</v>
      </c>
      <c r="U110" s="338"/>
      <c r="V110" s="339"/>
      <c r="W110" s="527"/>
      <c r="X110" s="483"/>
      <c r="Y110" s="508"/>
    </row>
    <row r="111" spans="1:25" ht="12.6" customHeight="1" x14ac:dyDescent="0.2">
      <c r="A111" s="17"/>
      <c r="B111" s="17"/>
      <c r="C111" s="17"/>
      <c r="D111" s="17"/>
      <c r="E111" s="498"/>
      <c r="F111" s="351"/>
      <c r="G111" s="351"/>
      <c r="H111" s="351"/>
      <c r="I111" s="351"/>
      <c r="J111" s="351"/>
      <c r="K111" s="331"/>
      <c r="L111" s="332"/>
      <c r="M111" s="333"/>
      <c r="N111" s="351"/>
      <c r="O111" s="351"/>
      <c r="P111" s="351"/>
      <c r="Q111" s="392"/>
      <c r="R111" s="393"/>
      <c r="S111" s="394"/>
      <c r="T111" s="340"/>
      <c r="U111" s="341"/>
      <c r="V111" s="342"/>
      <c r="W111" s="350"/>
      <c r="X111" s="351"/>
      <c r="Y111" s="352"/>
    </row>
    <row r="112" spans="1:25" ht="12.6" customHeight="1" thickBot="1" x14ac:dyDescent="0.25">
      <c r="A112" s="17"/>
      <c r="B112" s="17"/>
      <c r="C112" s="17"/>
      <c r="D112" s="17"/>
      <c r="E112" s="360"/>
      <c r="F112" s="361"/>
      <c r="G112" s="361"/>
      <c r="H112" s="361"/>
      <c r="I112" s="361"/>
      <c r="J112" s="361"/>
      <c r="K112" s="334"/>
      <c r="L112" s="335"/>
      <c r="M112" s="336"/>
      <c r="N112" s="361"/>
      <c r="O112" s="361"/>
      <c r="P112" s="361"/>
      <c r="Q112" s="353"/>
      <c r="R112" s="354"/>
      <c r="S112" s="355"/>
      <c r="T112" s="343"/>
      <c r="U112" s="344"/>
      <c r="V112" s="345"/>
      <c r="W112" s="500"/>
      <c r="X112" s="361"/>
      <c r="Y112" s="501"/>
    </row>
    <row r="113" spans="1:33" ht="12.6" customHeight="1" x14ac:dyDescent="0.2">
      <c r="A113" s="17"/>
      <c r="B113" s="17"/>
      <c r="C113" s="17"/>
      <c r="D113" s="17"/>
      <c r="E113" s="502"/>
      <c r="F113" s="326"/>
      <c r="G113" s="326"/>
      <c r="H113" s="326"/>
      <c r="I113" s="326"/>
      <c r="J113" s="326"/>
      <c r="K113" s="515">
        <f>IFERROR(AVERAGE(H113:J114),0)</f>
        <v>0</v>
      </c>
      <c r="L113" s="516"/>
      <c r="M113" s="517"/>
      <c r="N113" s="326"/>
      <c r="O113" s="326"/>
      <c r="P113" s="326"/>
      <c r="Q113" s="326"/>
      <c r="R113" s="326"/>
      <c r="S113" s="326"/>
      <c r="T113" s="521">
        <f>IFERROR(AVERAGE(Q113:S114),0)</f>
        <v>0</v>
      </c>
      <c r="U113" s="522"/>
      <c r="V113" s="523"/>
      <c r="W113" s="325"/>
      <c r="X113" s="326"/>
      <c r="Y113" s="327"/>
    </row>
    <row r="114" spans="1:33" ht="12.6" customHeight="1" thickBot="1" x14ac:dyDescent="0.25">
      <c r="A114" s="17"/>
      <c r="B114" s="17"/>
      <c r="C114" s="17"/>
      <c r="D114" s="17"/>
      <c r="E114" s="360"/>
      <c r="F114" s="361"/>
      <c r="G114" s="361"/>
      <c r="H114" s="361"/>
      <c r="I114" s="361"/>
      <c r="J114" s="361"/>
      <c r="K114" s="518"/>
      <c r="L114" s="519"/>
      <c r="M114" s="520"/>
      <c r="N114" s="361"/>
      <c r="O114" s="361"/>
      <c r="P114" s="361"/>
      <c r="Q114" s="361"/>
      <c r="R114" s="361"/>
      <c r="S114" s="361"/>
      <c r="T114" s="524"/>
      <c r="U114" s="525"/>
      <c r="V114" s="526"/>
      <c r="W114" s="500"/>
      <c r="X114" s="361"/>
      <c r="Y114" s="501"/>
    </row>
    <row r="115" spans="1:33" ht="12.6" customHeight="1" x14ac:dyDescent="0.2">
      <c r="A115" s="17"/>
      <c r="B115" s="17"/>
      <c r="C115" s="17"/>
      <c r="D115" s="17"/>
      <c r="E115" s="177"/>
      <c r="F115" s="21"/>
      <c r="G115" s="21"/>
      <c r="H115" s="21"/>
      <c r="I115" s="21"/>
      <c r="J115" s="21"/>
      <c r="K115" s="178"/>
      <c r="L115" s="178"/>
      <c r="M115" s="178"/>
      <c r="N115" s="21"/>
      <c r="O115" s="21"/>
      <c r="P115" s="21"/>
      <c r="Q115" s="21"/>
      <c r="R115" s="21"/>
      <c r="S115" s="21"/>
      <c r="T115" s="200"/>
      <c r="U115" s="200"/>
      <c r="V115" s="200"/>
      <c r="W115" s="177"/>
      <c r="X115" s="21"/>
      <c r="Y115" s="21"/>
      <c r="AF115" s="167">
        <v>1</v>
      </c>
    </row>
    <row r="116" spans="1:33" x14ac:dyDescent="0.2">
      <c r="A116" s="17"/>
      <c r="B116" s="17"/>
      <c r="C116" s="17"/>
      <c r="D116" s="17"/>
      <c r="E116" s="177"/>
      <c r="F116" s="21"/>
      <c r="G116" s="21"/>
      <c r="H116" s="21"/>
      <c r="I116" s="21"/>
      <c r="J116" s="21"/>
      <c r="K116" s="178"/>
      <c r="L116" s="178"/>
      <c r="M116" s="178"/>
      <c r="N116" s="21"/>
      <c r="O116" s="21"/>
      <c r="P116" s="21"/>
      <c r="Q116" s="21"/>
      <c r="R116" s="21"/>
      <c r="S116" s="21"/>
      <c r="T116" s="200"/>
      <c r="U116" s="200"/>
      <c r="V116" s="200"/>
      <c r="W116" s="177"/>
      <c r="X116" s="21"/>
      <c r="Y116" s="21"/>
      <c r="AF116" s="167">
        <v>2</v>
      </c>
    </row>
    <row r="117" spans="1:33" x14ac:dyDescent="0.2">
      <c r="A117" s="179"/>
      <c r="B117" s="179"/>
      <c r="C117" s="988" t="s">
        <v>5014</v>
      </c>
      <c r="D117" s="278"/>
      <c r="E117" s="278"/>
      <c r="F117" s="278"/>
      <c r="G117" s="278"/>
      <c r="H117" s="278"/>
      <c r="I117" s="278"/>
      <c r="J117" s="278"/>
      <c r="K117" s="278"/>
      <c r="L117" s="278"/>
      <c r="M117" s="278"/>
      <c r="N117" s="278"/>
      <c r="O117" s="278"/>
      <c r="P117" s="278"/>
      <c r="Q117" s="278"/>
      <c r="R117" s="278"/>
      <c r="S117" s="278"/>
      <c r="T117" s="278"/>
      <c r="U117" s="278"/>
      <c r="V117" s="278"/>
      <c r="W117" s="278"/>
      <c r="X117" s="278"/>
      <c r="Y117" s="278"/>
      <c r="Z117" s="278"/>
      <c r="AA117" s="278"/>
      <c r="AB117" s="278"/>
      <c r="AF117" s="167">
        <v>3</v>
      </c>
    </row>
    <row r="118" spans="1:33" x14ac:dyDescent="0.2">
      <c r="A118" s="179"/>
      <c r="B118" s="179"/>
      <c r="C118" s="179"/>
      <c r="D118" s="179"/>
      <c r="E118" s="180"/>
      <c r="F118" s="201"/>
      <c r="G118" s="532" t="s">
        <v>125</v>
      </c>
      <c r="H118" s="532"/>
      <c r="I118" s="532"/>
      <c r="J118" s="532"/>
      <c r="K118" s="532"/>
      <c r="L118" s="532"/>
      <c r="M118" s="532"/>
      <c r="N118" s="532"/>
      <c r="O118" s="532"/>
      <c r="P118" s="532"/>
      <c r="Q118" s="532"/>
      <c r="R118" s="532"/>
      <c r="S118" s="532"/>
      <c r="T118" s="532"/>
      <c r="U118" s="532"/>
      <c r="V118" s="532"/>
      <c r="W118" s="532"/>
      <c r="X118" s="532"/>
      <c r="Y118" s="532"/>
      <c r="Z118" s="532"/>
      <c r="AA118" s="532"/>
      <c r="AB118" s="532"/>
      <c r="AF118" s="167">
        <v>4</v>
      </c>
    </row>
    <row r="119" spans="1:33" x14ac:dyDescent="0.2">
      <c r="A119" s="179"/>
      <c r="B119" s="179"/>
      <c r="C119" s="179"/>
      <c r="D119" s="179"/>
      <c r="E119" s="180"/>
      <c r="F119" s="201"/>
      <c r="G119" s="532" t="s">
        <v>126</v>
      </c>
      <c r="H119" s="532"/>
      <c r="I119" s="532"/>
      <c r="J119" s="532"/>
      <c r="K119" s="532"/>
      <c r="L119" s="532"/>
      <c r="M119" s="532"/>
      <c r="N119" s="532"/>
      <c r="O119" s="532"/>
      <c r="P119" s="532"/>
      <c r="Q119" s="532"/>
      <c r="R119" s="532"/>
      <c r="S119" s="532"/>
      <c r="T119" s="532"/>
      <c r="U119" s="532"/>
      <c r="V119" s="532"/>
      <c r="W119" s="532"/>
      <c r="X119" s="532"/>
      <c r="Y119" s="532"/>
      <c r="Z119" s="532"/>
      <c r="AA119" s="532"/>
      <c r="AB119" s="532"/>
    </row>
    <row r="120" spans="1:33" x14ac:dyDescent="0.2">
      <c r="A120" s="179"/>
      <c r="B120" s="278" t="s">
        <v>127</v>
      </c>
      <c r="C120" s="279"/>
      <c r="D120" s="279"/>
      <c r="E120" s="279"/>
      <c r="F120" s="283"/>
      <c r="G120" s="284"/>
      <c r="H120" s="201"/>
      <c r="I120" s="533"/>
      <c r="J120" s="534"/>
      <c r="K120" s="534"/>
      <c r="L120" s="534"/>
      <c r="M120" s="534"/>
      <c r="N120" s="534"/>
      <c r="O120" s="534"/>
      <c r="P120" s="534"/>
      <c r="Q120" s="534"/>
      <c r="R120" s="534"/>
      <c r="S120" s="534"/>
      <c r="T120" s="534"/>
      <c r="U120" s="534"/>
      <c r="V120" s="534"/>
      <c r="W120" s="534"/>
      <c r="X120" s="534"/>
      <c r="Y120" s="534"/>
      <c r="Z120" s="534"/>
      <c r="AA120" s="534"/>
      <c r="AB120" s="534"/>
    </row>
    <row r="121" spans="1:33" x14ac:dyDescent="0.2">
      <c r="A121" s="179"/>
      <c r="B121" s="278" t="s">
        <v>128</v>
      </c>
      <c r="C121" s="279"/>
      <c r="D121" s="279"/>
      <c r="E121" s="279"/>
      <c r="F121" s="283"/>
      <c r="G121" s="284"/>
      <c r="H121" s="201"/>
      <c r="I121" s="534"/>
      <c r="J121" s="534"/>
      <c r="K121" s="534"/>
      <c r="L121" s="534"/>
      <c r="M121" s="534"/>
      <c r="N121" s="534"/>
      <c r="O121" s="534"/>
      <c r="P121" s="534"/>
      <c r="Q121" s="534"/>
      <c r="R121" s="534"/>
      <c r="S121" s="534"/>
      <c r="T121" s="534"/>
      <c r="U121" s="534"/>
      <c r="V121" s="534"/>
      <c r="W121" s="534"/>
      <c r="X121" s="534"/>
      <c r="Y121" s="534"/>
      <c r="Z121" s="534"/>
      <c r="AA121" s="534"/>
      <c r="AB121" s="534"/>
    </row>
    <row r="122" spans="1:33" x14ac:dyDescent="0.2">
      <c r="A122" s="179"/>
      <c r="B122" s="278" t="s">
        <v>129</v>
      </c>
      <c r="C122" s="279"/>
      <c r="D122" s="279"/>
      <c r="E122" s="279"/>
      <c r="F122" s="283"/>
      <c r="G122" s="284"/>
      <c r="H122" s="201"/>
      <c r="I122" s="534"/>
      <c r="J122" s="534"/>
      <c r="K122" s="534"/>
      <c r="L122" s="534"/>
      <c r="M122" s="534"/>
      <c r="N122" s="534"/>
      <c r="O122" s="534"/>
      <c r="P122" s="534"/>
      <c r="Q122" s="534"/>
      <c r="R122" s="534"/>
      <c r="S122" s="534"/>
      <c r="T122" s="534"/>
      <c r="U122" s="534"/>
      <c r="V122" s="534"/>
      <c r="W122" s="534"/>
      <c r="X122" s="534"/>
      <c r="Y122" s="534"/>
      <c r="Z122" s="534"/>
      <c r="AA122" s="534"/>
      <c r="AB122" s="534"/>
    </row>
    <row r="123" spans="1:33" x14ac:dyDescent="0.2">
      <c r="A123" s="179"/>
      <c r="B123" s="278" t="s">
        <v>130</v>
      </c>
      <c r="C123" s="279"/>
      <c r="D123" s="279"/>
      <c r="E123" s="279"/>
      <c r="F123" s="283"/>
      <c r="G123" s="284"/>
      <c r="H123" s="201"/>
      <c r="I123" s="534"/>
      <c r="J123" s="534"/>
      <c r="K123" s="534"/>
      <c r="L123" s="534"/>
      <c r="M123" s="534"/>
      <c r="N123" s="534"/>
      <c r="O123" s="534"/>
      <c r="P123" s="534"/>
      <c r="Q123" s="534"/>
      <c r="R123" s="534"/>
      <c r="S123" s="534"/>
      <c r="T123" s="534"/>
      <c r="U123" s="534"/>
      <c r="V123" s="534"/>
      <c r="W123" s="534"/>
      <c r="X123" s="534"/>
      <c r="Y123" s="534"/>
      <c r="Z123" s="534"/>
      <c r="AA123" s="534"/>
      <c r="AB123" s="534"/>
    </row>
    <row r="124" spans="1:33" x14ac:dyDescent="0.2">
      <c r="A124" s="179"/>
      <c r="B124" s="278" t="s">
        <v>131</v>
      </c>
      <c r="C124" s="279"/>
      <c r="D124" s="279"/>
      <c r="E124" s="279"/>
      <c r="F124" s="285">
        <f>(F120+F121+F122+F123)/4</f>
        <v>0</v>
      </c>
      <c r="G124" s="285"/>
      <c r="H124" s="201"/>
      <c r="I124" s="534"/>
      <c r="J124" s="534"/>
      <c r="K124" s="534"/>
      <c r="L124" s="534"/>
      <c r="M124" s="534"/>
      <c r="N124" s="534"/>
      <c r="O124" s="534"/>
      <c r="P124" s="534"/>
      <c r="Q124" s="534"/>
      <c r="R124" s="534"/>
      <c r="S124" s="534"/>
      <c r="T124" s="534"/>
      <c r="U124" s="534"/>
      <c r="V124" s="534"/>
      <c r="W124" s="534"/>
      <c r="X124" s="534"/>
      <c r="Y124" s="534"/>
      <c r="Z124" s="534"/>
      <c r="AA124" s="534"/>
      <c r="AB124" s="534"/>
    </row>
    <row r="125" spans="1:33" x14ac:dyDescent="0.2">
      <c r="A125" s="179"/>
      <c r="B125" s="179"/>
      <c r="C125" s="179"/>
      <c r="D125" s="179"/>
      <c r="E125" s="180"/>
      <c r="F125" s="201"/>
      <c r="G125" s="201"/>
      <c r="H125" s="201"/>
      <c r="I125" s="534"/>
      <c r="J125" s="534"/>
      <c r="K125" s="534"/>
      <c r="L125" s="534"/>
      <c r="M125" s="534"/>
      <c r="N125" s="534"/>
      <c r="O125" s="534"/>
      <c r="P125" s="534"/>
      <c r="Q125" s="534"/>
      <c r="R125" s="534"/>
      <c r="S125" s="534"/>
      <c r="T125" s="534"/>
      <c r="U125" s="534"/>
      <c r="V125" s="534"/>
      <c r="W125" s="534"/>
      <c r="X125" s="534"/>
      <c r="Y125" s="534"/>
      <c r="Z125" s="534"/>
      <c r="AA125" s="534"/>
      <c r="AB125" s="534"/>
      <c r="AG125" s="183">
        <v>0</v>
      </c>
    </row>
    <row r="126" spans="1:33" s="167" customFormat="1" x14ac:dyDescent="0.2">
      <c r="A126" s="179"/>
      <c r="B126" s="179"/>
      <c r="C126" s="179"/>
      <c r="D126" s="179"/>
      <c r="E126" s="180"/>
      <c r="F126" s="201"/>
      <c r="G126" s="201"/>
      <c r="H126" s="201"/>
      <c r="I126" s="534"/>
      <c r="J126" s="534"/>
      <c r="K126" s="534"/>
      <c r="L126" s="534"/>
      <c r="M126" s="534"/>
      <c r="N126" s="534"/>
      <c r="O126" s="534"/>
      <c r="P126" s="534"/>
      <c r="Q126" s="534"/>
      <c r="R126" s="534"/>
      <c r="S126" s="534"/>
      <c r="T126" s="534"/>
      <c r="U126" s="534"/>
      <c r="V126" s="534"/>
      <c r="W126" s="534"/>
      <c r="X126" s="534"/>
      <c r="Y126" s="534"/>
      <c r="Z126" s="534"/>
      <c r="AA126" s="534"/>
      <c r="AB126" s="534"/>
      <c r="AC126"/>
      <c r="AG126" s="183">
        <v>0.25</v>
      </c>
    </row>
    <row r="127" spans="1:33" s="167" customFormat="1" x14ac:dyDescent="0.2">
      <c r="A127" s="179"/>
      <c r="B127" s="179"/>
      <c r="C127" s="179"/>
      <c r="D127" s="179"/>
      <c r="E127" s="180"/>
      <c r="F127" s="201"/>
      <c r="G127" s="201"/>
      <c r="H127" s="201"/>
      <c r="I127" s="534"/>
      <c r="J127" s="534"/>
      <c r="K127" s="534"/>
      <c r="L127" s="534"/>
      <c r="M127" s="534"/>
      <c r="N127" s="534"/>
      <c r="O127" s="534"/>
      <c r="P127" s="534"/>
      <c r="Q127" s="534"/>
      <c r="R127" s="534"/>
      <c r="S127" s="534"/>
      <c r="T127" s="534"/>
      <c r="U127" s="534"/>
      <c r="V127" s="534"/>
      <c r="W127" s="534"/>
      <c r="X127" s="534"/>
      <c r="Y127" s="534"/>
      <c r="Z127" s="534"/>
      <c r="AA127" s="534"/>
      <c r="AB127" s="534"/>
      <c r="AC127"/>
      <c r="AG127" s="183">
        <v>0.5</v>
      </c>
    </row>
    <row r="128" spans="1:33" s="167" customFormat="1" x14ac:dyDescent="0.2">
      <c r="A128" s="179"/>
      <c r="B128" s="179"/>
      <c r="C128" s="179"/>
      <c r="D128" s="179"/>
      <c r="E128" s="180"/>
      <c r="F128" s="201"/>
      <c r="G128" s="201"/>
      <c r="H128" s="201"/>
      <c r="I128" s="534"/>
      <c r="J128" s="534"/>
      <c r="K128" s="534"/>
      <c r="L128" s="534"/>
      <c r="M128" s="534"/>
      <c r="N128" s="534"/>
      <c r="O128" s="534"/>
      <c r="P128" s="534"/>
      <c r="Q128" s="534"/>
      <c r="R128" s="534"/>
      <c r="S128" s="534"/>
      <c r="T128" s="534"/>
      <c r="U128" s="534"/>
      <c r="V128" s="534"/>
      <c r="W128" s="534"/>
      <c r="X128" s="534"/>
      <c r="Y128" s="534"/>
      <c r="Z128" s="534"/>
      <c r="AA128" s="534"/>
      <c r="AB128" s="534"/>
      <c r="AC128"/>
      <c r="AG128" s="183">
        <v>0.75</v>
      </c>
    </row>
    <row r="129" spans="1:33" s="167" customFormat="1" x14ac:dyDescent="0.2">
      <c r="A129" s="179"/>
      <c r="B129" s="179"/>
      <c r="C129" s="179"/>
      <c r="D129" s="179"/>
      <c r="E129" s="180"/>
      <c r="F129" s="201"/>
      <c r="G129" s="201"/>
      <c r="H129" s="201"/>
      <c r="I129" s="534"/>
      <c r="J129" s="534"/>
      <c r="K129" s="534"/>
      <c r="L129" s="534"/>
      <c r="M129" s="534"/>
      <c r="N129" s="534"/>
      <c r="O129" s="534"/>
      <c r="P129" s="534"/>
      <c r="Q129" s="534"/>
      <c r="R129" s="534"/>
      <c r="S129" s="534"/>
      <c r="T129" s="534"/>
      <c r="U129" s="534"/>
      <c r="V129" s="534"/>
      <c r="W129" s="534"/>
      <c r="X129" s="534"/>
      <c r="Y129" s="534"/>
      <c r="Z129" s="534"/>
      <c r="AA129" s="534"/>
      <c r="AB129" s="534"/>
      <c r="AC129"/>
      <c r="AG129" s="183">
        <v>1</v>
      </c>
    </row>
    <row r="130" spans="1:33" s="167" customFormat="1" x14ac:dyDescent="0.2">
      <c r="A130" s="179"/>
      <c r="B130" s="179"/>
      <c r="C130" s="179"/>
      <c r="D130" s="179"/>
      <c r="E130" s="180"/>
      <c r="F130" s="201"/>
      <c r="G130" s="201"/>
      <c r="H130" s="201"/>
      <c r="I130" s="534"/>
      <c r="J130" s="534"/>
      <c r="K130" s="534"/>
      <c r="L130" s="534"/>
      <c r="M130" s="534"/>
      <c r="N130" s="534"/>
      <c r="O130" s="534"/>
      <c r="P130" s="534"/>
      <c r="Q130" s="534"/>
      <c r="R130" s="534"/>
      <c r="S130" s="534"/>
      <c r="T130" s="534"/>
      <c r="U130" s="534"/>
      <c r="V130" s="534"/>
      <c r="W130" s="534"/>
      <c r="X130" s="534"/>
      <c r="Y130" s="534"/>
      <c r="Z130" s="534"/>
      <c r="AA130" s="534"/>
      <c r="AB130" s="534"/>
      <c r="AC130"/>
      <c r="AG130" s="183">
        <v>1.25</v>
      </c>
    </row>
    <row r="131" spans="1:33" s="167" customFormat="1" x14ac:dyDescent="0.2">
      <c r="A131" s="179"/>
      <c r="B131" s="179"/>
      <c r="C131" s="179"/>
      <c r="D131" s="179"/>
      <c r="E131" s="180"/>
      <c r="F131" s="201"/>
      <c r="G131" s="201"/>
      <c r="H131" s="201"/>
      <c r="I131" s="534"/>
      <c r="J131" s="534"/>
      <c r="K131" s="534"/>
      <c r="L131" s="534"/>
      <c r="M131" s="534"/>
      <c r="N131" s="534"/>
      <c r="O131" s="534"/>
      <c r="P131" s="534"/>
      <c r="Q131" s="534"/>
      <c r="R131" s="534"/>
      <c r="S131" s="534"/>
      <c r="T131" s="534"/>
      <c r="U131" s="534"/>
      <c r="V131" s="534"/>
      <c r="W131" s="534"/>
      <c r="X131" s="534"/>
      <c r="Y131" s="534"/>
      <c r="Z131" s="534"/>
      <c r="AA131" s="534"/>
      <c r="AB131" s="534"/>
      <c r="AC131"/>
      <c r="AG131" s="183">
        <v>1.5</v>
      </c>
    </row>
    <row r="132" spans="1:33" s="167" customFormat="1" x14ac:dyDescent="0.2">
      <c r="A132" s="179"/>
      <c r="B132" s="179"/>
      <c r="C132" s="179"/>
      <c r="D132" s="179"/>
      <c r="E132" s="180"/>
      <c r="F132" s="201"/>
      <c r="G132" s="201"/>
      <c r="H132" s="201"/>
      <c r="I132" s="534"/>
      <c r="J132" s="534"/>
      <c r="K132" s="534"/>
      <c r="L132" s="534"/>
      <c r="M132" s="534"/>
      <c r="N132" s="534"/>
      <c r="O132" s="534"/>
      <c r="P132" s="534"/>
      <c r="Q132" s="534"/>
      <c r="R132" s="534"/>
      <c r="S132" s="534"/>
      <c r="T132" s="534"/>
      <c r="U132" s="534"/>
      <c r="V132" s="534"/>
      <c r="W132" s="534"/>
      <c r="X132" s="534"/>
      <c r="Y132" s="534"/>
      <c r="Z132" s="534"/>
      <c r="AA132" s="534"/>
      <c r="AB132" s="534"/>
      <c r="AC132"/>
    </row>
    <row r="133" spans="1:33" s="167" customFormat="1" x14ac:dyDescent="0.2">
      <c r="A133" s="179"/>
      <c r="B133" s="179"/>
      <c r="C133" s="179"/>
      <c r="D133" s="179"/>
      <c r="E133" s="180"/>
      <c r="F133" s="201"/>
      <c r="G133" s="201"/>
      <c r="H133" s="201"/>
      <c r="I133" s="534"/>
      <c r="J133" s="534"/>
      <c r="K133" s="534"/>
      <c r="L133" s="534"/>
      <c r="M133" s="534"/>
      <c r="N133" s="534"/>
      <c r="O133" s="534"/>
      <c r="P133" s="534"/>
      <c r="Q133" s="534"/>
      <c r="R133" s="534"/>
      <c r="S133" s="534"/>
      <c r="T133" s="534"/>
      <c r="U133" s="534"/>
      <c r="V133" s="534"/>
      <c r="W133" s="534"/>
      <c r="X133" s="534"/>
      <c r="Y133" s="534"/>
      <c r="Z133" s="534"/>
      <c r="AA133" s="534"/>
      <c r="AB133" s="534"/>
      <c r="AC133"/>
    </row>
    <row r="134" spans="1:33" s="167" customFormat="1" x14ac:dyDescent="0.2">
      <c r="A134" s="179"/>
      <c r="B134" s="179"/>
      <c r="C134" s="179"/>
      <c r="D134" s="179"/>
      <c r="E134" s="180"/>
      <c r="F134" s="201"/>
      <c r="G134" s="201"/>
      <c r="H134" s="201"/>
      <c r="I134" s="534"/>
      <c r="J134" s="534"/>
      <c r="K134" s="534"/>
      <c r="L134" s="534"/>
      <c r="M134" s="534"/>
      <c r="N134" s="534"/>
      <c r="O134" s="534"/>
      <c r="P134" s="534"/>
      <c r="Q134" s="534"/>
      <c r="R134" s="534"/>
      <c r="S134" s="534"/>
      <c r="T134" s="534"/>
      <c r="U134" s="534"/>
      <c r="V134" s="534"/>
      <c r="W134" s="534"/>
      <c r="X134" s="534"/>
      <c r="Y134" s="534"/>
      <c r="Z134" s="534"/>
      <c r="AA134" s="534"/>
      <c r="AB134" s="534"/>
      <c r="AC134"/>
    </row>
    <row r="135" spans="1:33" s="167" customFormat="1" x14ac:dyDescent="0.2">
      <c r="A135" s="179"/>
      <c r="B135" s="179"/>
      <c r="C135" s="179"/>
      <c r="D135" s="179"/>
      <c r="E135" s="180"/>
      <c r="F135" s="201"/>
      <c r="G135" s="201"/>
      <c r="H135" s="201"/>
      <c r="I135" s="534"/>
      <c r="J135" s="534"/>
      <c r="K135" s="534"/>
      <c r="L135" s="534"/>
      <c r="M135" s="534"/>
      <c r="N135" s="534"/>
      <c r="O135" s="534"/>
      <c r="P135" s="534"/>
      <c r="Q135" s="534"/>
      <c r="R135" s="534"/>
      <c r="S135" s="534"/>
      <c r="T135" s="534"/>
      <c r="U135" s="534"/>
      <c r="V135" s="534"/>
      <c r="W135" s="534"/>
      <c r="X135" s="534"/>
      <c r="Y135" s="534"/>
      <c r="Z135" s="534"/>
      <c r="AA135" s="534"/>
      <c r="AB135" s="534"/>
      <c r="AC135"/>
    </row>
    <row r="136" spans="1:33" s="167" customFormat="1" x14ac:dyDescent="0.2">
      <c r="A136" s="179"/>
      <c r="B136" s="179"/>
      <c r="C136" s="179"/>
      <c r="D136" s="179"/>
      <c r="E136" s="180"/>
      <c r="F136" s="201"/>
      <c r="G136" s="201"/>
      <c r="H136" s="201"/>
      <c r="I136" s="534"/>
      <c r="J136" s="534"/>
      <c r="K136" s="534"/>
      <c r="L136" s="534"/>
      <c r="M136" s="534"/>
      <c r="N136" s="534"/>
      <c r="O136" s="534"/>
      <c r="P136" s="534"/>
      <c r="Q136" s="534"/>
      <c r="R136" s="534"/>
      <c r="S136" s="534"/>
      <c r="T136" s="534"/>
      <c r="U136" s="534"/>
      <c r="V136" s="534"/>
      <c r="W136" s="534"/>
      <c r="X136" s="534"/>
      <c r="Y136" s="534"/>
      <c r="Z136" s="534"/>
      <c r="AA136" s="534"/>
      <c r="AB136" s="534"/>
      <c r="AC136"/>
    </row>
    <row r="137" spans="1:33" s="167" customFormat="1" x14ac:dyDescent="0.2">
      <c r="A137" s="179"/>
      <c r="B137" s="179"/>
      <c r="C137" s="179"/>
      <c r="D137" s="179"/>
      <c r="E137" s="180"/>
      <c r="F137" s="201"/>
      <c r="G137" s="201"/>
      <c r="H137" s="201"/>
      <c r="I137" s="534"/>
      <c r="J137" s="534"/>
      <c r="K137" s="534"/>
      <c r="L137" s="534"/>
      <c r="M137" s="534"/>
      <c r="N137" s="534"/>
      <c r="O137" s="534"/>
      <c r="P137" s="534"/>
      <c r="Q137" s="534"/>
      <c r="R137" s="534"/>
      <c r="S137" s="534"/>
      <c r="T137" s="534"/>
      <c r="U137" s="534"/>
      <c r="V137" s="534"/>
      <c r="W137" s="534"/>
      <c r="X137" s="534"/>
      <c r="Y137" s="534"/>
      <c r="Z137" s="534"/>
      <c r="AA137" s="534"/>
      <c r="AB137" s="534"/>
      <c r="AC137"/>
    </row>
    <row r="138" spans="1:33" s="167" customFormat="1" x14ac:dyDescent="0.2">
      <c r="A138" s="179"/>
      <c r="B138" s="179"/>
      <c r="C138" s="179"/>
      <c r="D138" s="179"/>
      <c r="E138" s="180"/>
      <c r="F138" s="201"/>
      <c r="G138" s="201"/>
      <c r="H138" s="201"/>
      <c r="I138" s="534"/>
      <c r="J138" s="534"/>
      <c r="K138" s="534"/>
      <c r="L138" s="534"/>
      <c r="M138" s="534"/>
      <c r="N138" s="534"/>
      <c r="O138" s="534"/>
      <c r="P138" s="534"/>
      <c r="Q138" s="534"/>
      <c r="R138" s="534"/>
      <c r="S138" s="534"/>
      <c r="T138" s="534"/>
      <c r="U138" s="534"/>
      <c r="V138" s="534"/>
      <c r="W138" s="534"/>
      <c r="X138" s="534"/>
      <c r="Y138" s="534"/>
      <c r="Z138" s="534"/>
      <c r="AA138" s="534"/>
      <c r="AB138" s="534"/>
      <c r="AC138"/>
    </row>
    <row r="139" spans="1:33" s="167" customFormat="1" x14ac:dyDescent="0.2">
      <c r="A139" s="179"/>
      <c r="B139" s="179"/>
      <c r="C139" s="179"/>
      <c r="D139" s="179"/>
      <c r="E139" s="180"/>
      <c r="F139" s="201"/>
      <c r="G139" s="201"/>
      <c r="H139" s="201"/>
      <c r="I139" s="534"/>
      <c r="J139" s="534"/>
      <c r="K139" s="534"/>
      <c r="L139" s="534"/>
      <c r="M139" s="534"/>
      <c r="N139" s="534"/>
      <c r="O139" s="534"/>
      <c r="P139" s="534"/>
      <c r="Q139" s="534"/>
      <c r="R139" s="534"/>
      <c r="S139" s="534"/>
      <c r="T139" s="534"/>
      <c r="U139" s="534"/>
      <c r="V139" s="534"/>
      <c r="W139" s="534"/>
      <c r="X139" s="534"/>
      <c r="Y139" s="534"/>
      <c r="Z139" s="534"/>
      <c r="AA139" s="534"/>
      <c r="AB139" s="534"/>
      <c r="AC139"/>
    </row>
    <row r="140" spans="1:33" s="167" customFormat="1" x14ac:dyDescent="0.2">
      <c r="A140" s="179"/>
      <c r="B140" s="179"/>
      <c r="C140" s="179"/>
      <c r="D140" s="179"/>
      <c r="E140" s="180"/>
      <c r="F140" s="201"/>
      <c r="G140" s="201"/>
      <c r="H140" s="201"/>
      <c r="I140" s="534"/>
      <c r="J140" s="534"/>
      <c r="K140" s="534"/>
      <c r="L140" s="534"/>
      <c r="M140" s="534"/>
      <c r="N140" s="534"/>
      <c r="O140" s="534"/>
      <c r="P140" s="534"/>
      <c r="Q140" s="534"/>
      <c r="R140" s="534"/>
      <c r="S140" s="534"/>
      <c r="T140" s="534"/>
      <c r="U140" s="534"/>
      <c r="V140" s="534"/>
      <c r="W140" s="534"/>
      <c r="X140" s="534"/>
      <c r="Y140" s="534"/>
      <c r="Z140" s="534"/>
      <c r="AA140" s="534"/>
      <c r="AB140" s="534"/>
      <c r="AC140"/>
    </row>
    <row r="141" spans="1:33" s="167" customFormat="1" x14ac:dyDescent="0.2">
      <c r="A141" s="179"/>
      <c r="B141" s="179"/>
      <c r="C141" s="179"/>
      <c r="D141" s="179"/>
      <c r="E141" s="180"/>
      <c r="F141" s="201"/>
      <c r="G141" s="201"/>
      <c r="H141" s="201"/>
      <c r="I141" s="201"/>
      <c r="J141" s="201"/>
      <c r="K141" s="181"/>
      <c r="L141" s="181"/>
      <c r="M141" s="181"/>
      <c r="N141" s="201"/>
      <c r="O141" s="201"/>
      <c r="P141" s="201"/>
      <c r="Q141" s="201"/>
      <c r="R141" s="201"/>
      <c r="S141" s="201"/>
      <c r="T141" s="182"/>
      <c r="U141" s="182"/>
      <c r="V141" s="182"/>
      <c r="W141" s="180"/>
      <c r="X141" s="201"/>
      <c r="Y141" s="201"/>
      <c r="Z141" s="179"/>
      <c r="AA141" s="179"/>
      <c r="AB141" s="179"/>
      <c r="AC141"/>
    </row>
    <row r="142" spans="1:33" s="167" customFormat="1" ht="15" x14ac:dyDescent="0.2">
      <c r="A142" s="179"/>
      <c r="B142" s="179"/>
      <c r="C142" s="286" t="s">
        <v>132</v>
      </c>
      <c r="D142" s="286"/>
      <c r="E142" s="286"/>
      <c r="F142" s="286"/>
      <c r="G142" s="286"/>
      <c r="H142" s="286"/>
      <c r="I142" s="286"/>
      <c r="J142" s="286"/>
      <c r="K142" s="286"/>
      <c r="L142" s="286"/>
      <c r="M142" s="286"/>
      <c r="N142" s="286"/>
      <c r="O142" s="286"/>
      <c r="P142" s="286"/>
      <c r="Q142" s="286"/>
      <c r="R142" s="286"/>
      <c r="S142" s="286"/>
      <c r="T142" s="286"/>
      <c r="U142" s="286"/>
      <c r="V142" s="286"/>
      <c r="W142" s="286"/>
      <c r="X142" s="286"/>
      <c r="Y142" s="286"/>
      <c r="Z142" s="286"/>
      <c r="AA142" s="286"/>
      <c r="AB142" s="286"/>
      <c r="AC142"/>
    </row>
    <row r="143" spans="1:33" s="167" customFormat="1" x14ac:dyDescent="0.2">
      <c r="A143" s="179"/>
      <c r="B143" s="179"/>
      <c r="C143" s="179"/>
      <c r="D143" s="179"/>
      <c r="E143" s="180"/>
      <c r="F143" s="201"/>
      <c r="G143" s="201"/>
      <c r="H143" s="201"/>
      <c r="I143" s="201"/>
      <c r="J143" s="201"/>
      <c r="K143" s="181"/>
      <c r="L143" s="181"/>
      <c r="M143" s="181"/>
      <c r="N143" s="201"/>
      <c r="O143" s="201"/>
      <c r="P143" s="201"/>
      <c r="Q143" s="201"/>
      <c r="R143" s="201"/>
      <c r="S143" s="201"/>
      <c r="T143" s="182"/>
      <c r="U143" s="182"/>
      <c r="V143" s="182"/>
      <c r="W143" s="180"/>
      <c r="X143" s="201"/>
      <c r="Y143" s="201"/>
      <c r="Z143" s="179"/>
      <c r="AA143" s="179"/>
      <c r="AB143" s="179"/>
      <c r="AC143"/>
    </row>
    <row r="144" spans="1:33" s="167" customFormat="1" x14ac:dyDescent="0.2">
      <c r="A144" s="179"/>
      <c r="B144" s="179"/>
      <c r="C144" s="179"/>
      <c r="D144" s="179"/>
      <c r="E144" s="180"/>
      <c r="F144" s="201"/>
      <c r="G144" s="201"/>
      <c r="H144" s="201"/>
      <c r="I144" s="201"/>
      <c r="J144" s="201"/>
      <c r="K144" s="181"/>
      <c r="L144" s="181"/>
      <c r="M144" s="181"/>
      <c r="N144" s="201"/>
      <c r="O144" s="201"/>
      <c r="P144" s="201"/>
      <c r="Q144" s="201"/>
      <c r="R144" s="201"/>
      <c r="S144" s="201"/>
      <c r="T144" s="182"/>
      <c r="U144" s="182"/>
      <c r="V144" s="182"/>
      <c r="W144" s="180"/>
      <c r="X144" s="201"/>
      <c r="Y144" s="201"/>
      <c r="Z144" s="179"/>
      <c r="AA144" s="179"/>
      <c r="AB144" s="179"/>
      <c r="AC144"/>
    </row>
    <row r="145" spans="1:29" s="167" customFormat="1" x14ac:dyDescent="0.2">
      <c r="A145" s="179"/>
      <c r="B145" s="179"/>
      <c r="C145" s="278" t="s">
        <v>127</v>
      </c>
      <c r="D145" s="279"/>
      <c r="E145" s="279"/>
      <c r="F145" s="279"/>
      <c r="G145" s="280"/>
      <c r="H145" s="281"/>
      <c r="I145" s="201"/>
      <c r="J145" s="201"/>
      <c r="K145" s="181"/>
      <c r="L145" s="181"/>
      <c r="M145" s="181"/>
      <c r="N145" s="201"/>
      <c r="O145" s="201"/>
      <c r="P145" s="201"/>
      <c r="Q145" s="201"/>
      <c r="R145" s="201"/>
      <c r="S145" s="201"/>
      <c r="T145" s="182"/>
      <c r="U145" s="182"/>
      <c r="V145" s="182"/>
      <c r="W145" s="180"/>
      <c r="X145" s="201"/>
      <c r="Y145" s="201"/>
      <c r="Z145" s="179"/>
      <c r="AA145" s="179"/>
      <c r="AB145" s="179"/>
      <c r="AC145"/>
    </row>
    <row r="146" spans="1:29" s="167" customFormat="1" x14ac:dyDescent="0.2">
      <c r="A146" s="179"/>
      <c r="B146" s="179"/>
      <c r="C146" s="278" t="s">
        <v>128</v>
      </c>
      <c r="D146" s="279"/>
      <c r="E146" s="279"/>
      <c r="F146" s="279"/>
      <c r="G146" s="280"/>
      <c r="H146" s="281"/>
      <c r="I146" s="201"/>
      <c r="J146" s="201"/>
      <c r="K146" s="181"/>
      <c r="L146" s="181"/>
      <c r="M146" s="181"/>
      <c r="N146" s="201"/>
      <c r="O146" s="201"/>
      <c r="P146" s="201"/>
      <c r="Q146" s="201"/>
      <c r="R146" s="201"/>
      <c r="S146" s="201"/>
      <c r="T146" s="182"/>
      <c r="U146" s="182"/>
      <c r="V146" s="182"/>
      <c r="W146" s="180"/>
      <c r="X146" s="201"/>
      <c r="Y146" s="201"/>
      <c r="Z146" s="179"/>
      <c r="AA146" s="179"/>
      <c r="AB146" s="179"/>
      <c r="AC146"/>
    </row>
    <row r="147" spans="1:29" s="167" customFormat="1" x14ac:dyDescent="0.2">
      <c r="A147" s="179"/>
      <c r="B147" s="179"/>
      <c r="C147" s="278" t="s">
        <v>129</v>
      </c>
      <c r="D147" s="279"/>
      <c r="E147" s="279"/>
      <c r="F147" s="279"/>
      <c r="G147" s="280"/>
      <c r="H147" s="281"/>
      <c r="I147" s="201"/>
      <c r="J147" s="201"/>
      <c r="K147" s="181"/>
      <c r="L147" s="181"/>
      <c r="M147" s="181"/>
      <c r="N147" s="201"/>
      <c r="O147" s="201"/>
      <c r="P147" s="201"/>
      <c r="Q147" s="201"/>
      <c r="R147" s="201"/>
      <c r="S147" s="201"/>
      <c r="T147" s="182"/>
      <c r="U147" s="182"/>
      <c r="V147" s="182"/>
      <c r="W147" s="180"/>
      <c r="X147" s="201"/>
      <c r="Y147" s="201"/>
      <c r="Z147" s="179"/>
      <c r="AA147" s="179"/>
      <c r="AB147" s="179"/>
      <c r="AC147"/>
    </row>
    <row r="148" spans="1:29" s="167" customFormat="1" x14ac:dyDescent="0.2">
      <c r="A148" s="179"/>
      <c r="B148" s="179"/>
      <c r="C148" s="278" t="s">
        <v>130</v>
      </c>
      <c r="D148" s="279"/>
      <c r="E148" s="279"/>
      <c r="F148" s="279"/>
      <c r="G148" s="280"/>
      <c r="H148" s="281"/>
      <c r="I148" s="201"/>
      <c r="J148" s="201"/>
      <c r="K148" s="181"/>
      <c r="L148" s="181"/>
      <c r="M148" s="181"/>
      <c r="N148" s="201"/>
      <c r="O148" s="201"/>
      <c r="P148" s="201"/>
      <c r="Q148" s="201"/>
      <c r="R148" s="201"/>
      <c r="S148" s="201"/>
      <c r="T148" s="182"/>
      <c r="U148" s="182"/>
      <c r="V148" s="182"/>
      <c r="W148" s="180"/>
      <c r="X148" s="201"/>
      <c r="Y148" s="201"/>
      <c r="Z148" s="179"/>
      <c r="AA148" s="179"/>
      <c r="AB148" s="179"/>
      <c r="AC148"/>
    </row>
    <row r="149" spans="1:29" s="167" customFormat="1" x14ac:dyDescent="0.2">
      <c r="A149" s="179"/>
      <c r="B149" s="179"/>
      <c r="C149" s="278" t="s">
        <v>131</v>
      </c>
      <c r="D149" s="279"/>
      <c r="E149" s="279"/>
      <c r="F149" s="279"/>
      <c r="G149" s="282">
        <f>(G145+G146+G147+G148)/4</f>
        <v>0</v>
      </c>
      <c r="H149" s="282"/>
      <c r="I149" s="201"/>
      <c r="J149" s="201"/>
      <c r="K149" s="181"/>
      <c r="L149" s="181"/>
      <c r="M149" s="181"/>
      <c r="N149" s="201"/>
      <c r="O149" s="201"/>
      <c r="P149" s="201"/>
      <c r="Q149" s="201"/>
      <c r="R149" s="201"/>
      <c r="S149" s="201"/>
      <c r="T149" s="182"/>
      <c r="U149" s="182"/>
      <c r="V149" s="182"/>
      <c r="W149" s="180"/>
      <c r="X149" s="201"/>
      <c r="Y149" s="201"/>
      <c r="Z149" s="179"/>
      <c r="AA149" s="179"/>
      <c r="AB149" s="179"/>
      <c r="AC149"/>
    </row>
    <row r="150" spans="1:29" s="167" customFormat="1" x14ac:dyDescent="0.2">
      <c r="A150" s="179"/>
      <c r="B150" s="179"/>
      <c r="C150" s="179"/>
      <c r="D150" s="179"/>
      <c r="E150" s="179"/>
      <c r="F150" s="180"/>
      <c r="G150" s="201"/>
      <c r="H150" s="201"/>
      <c r="I150" s="201"/>
      <c r="J150" s="201"/>
      <c r="K150" s="181"/>
      <c r="L150" s="181"/>
      <c r="M150" s="181"/>
      <c r="N150" s="201"/>
      <c r="O150" s="201"/>
      <c r="P150" s="201"/>
      <c r="Q150" s="201"/>
      <c r="R150" s="201"/>
      <c r="S150" s="201"/>
      <c r="T150" s="182"/>
      <c r="U150" s="182"/>
      <c r="V150" s="182"/>
      <c r="W150" s="180"/>
      <c r="X150" s="201"/>
      <c r="Y150" s="201"/>
      <c r="Z150" s="179"/>
      <c r="AA150" s="179"/>
      <c r="AB150" s="179"/>
      <c r="AC150"/>
    </row>
    <row r="151" spans="1:29" s="167" customFormat="1" x14ac:dyDescent="0.2">
      <c r="A151" s="179"/>
      <c r="B151" s="179"/>
      <c r="C151" s="179"/>
      <c r="D151" s="179"/>
      <c r="E151" s="180"/>
      <c r="F151" s="201"/>
      <c r="G151" s="201"/>
      <c r="H151" s="201"/>
      <c r="I151" s="201"/>
      <c r="J151" s="201"/>
      <c r="K151" s="181"/>
      <c r="L151" s="181"/>
      <c r="M151" s="181"/>
      <c r="N151" s="201"/>
      <c r="O151" s="201"/>
      <c r="P151" s="201"/>
      <c r="Q151" s="201"/>
      <c r="R151" s="201"/>
      <c r="S151" s="201"/>
      <c r="T151" s="182"/>
      <c r="U151" s="182"/>
      <c r="V151" s="182"/>
      <c r="W151" s="180"/>
      <c r="X151" s="201"/>
      <c r="Y151" s="201"/>
      <c r="Z151" s="179"/>
      <c r="AA151" s="179"/>
      <c r="AB151" s="179"/>
      <c r="AC151"/>
    </row>
    <row r="152" spans="1:29" s="167" customFormat="1" x14ac:dyDescent="0.2">
      <c r="A152" s="179"/>
      <c r="B152" s="179"/>
      <c r="C152" s="179"/>
      <c r="D152" s="179"/>
      <c r="E152" s="180"/>
      <c r="F152" s="201"/>
      <c r="G152" s="201"/>
      <c r="H152" s="201"/>
      <c r="I152" s="201"/>
      <c r="J152" s="201"/>
      <c r="K152" s="181"/>
      <c r="L152" s="181"/>
      <c r="M152" s="181"/>
      <c r="N152" s="201"/>
      <c r="O152" s="201"/>
      <c r="P152" s="201"/>
      <c r="Q152" s="201"/>
      <c r="R152" s="201"/>
      <c r="S152" s="201"/>
      <c r="T152" s="182"/>
      <c r="U152" s="182"/>
      <c r="V152" s="182"/>
      <c r="W152" s="180"/>
      <c r="X152" s="201"/>
      <c r="Y152" s="201"/>
      <c r="Z152" s="179"/>
      <c r="AA152" s="179"/>
      <c r="AB152" s="179"/>
      <c r="AC152"/>
    </row>
    <row r="153" spans="1:29" s="167" customFormat="1" x14ac:dyDescent="0.2">
      <c r="A153" s="179"/>
      <c r="B153" s="179"/>
      <c r="C153" s="179"/>
      <c r="D153" s="179"/>
      <c r="E153" s="180"/>
      <c r="F153" s="201"/>
      <c r="G153" s="201"/>
      <c r="H153" s="201"/>
      <c r="I153" s="201"/>
      <c r="J153" s="201"/>
      <c r="K153" s="181"/>
      <c r="L153" s="181"/>
      <c r="M153" s="181"/>
      <c r="N153" s="201"/>
      <c r="O153" s="201"/>
      <c r="P153" s="201"/>
      <c r="Q153" s="201"/>
      <c r="R153" s="201"/>
      <c r="S153" s="201"/>
      <c r="T153" s="182"/>
      <c r="U153" s="182"/>
      <c r="V153" s="182"/>
      <c r="W153" s="180"/>
      <c r="X153" s="201"/>
      <c r="Y153" s="201"/>
      <c r="Z153" s="179"/>
      <c r="AA153" s="179"/>
      <c r="AB153" s="179"/>
      <c r="AC153"/>
    </row>
    <row r="154" spans="1:29" s="167" customFormat="1" x14ac:dyDescent="0.2">
      <c r="A154" s="179"/>
      <c r="B154" s="179"/>
      <c r="C154" s="179"/>
      <c r="D154" s="179"/>
      <c r="E154" s="180"/>
      <c r="F154" s="201"/>
      <c r="G154" s="201"/>
      <c r="H154" s="201"/>
      <c r="I154" s="201"/>
      <c r="J154" s="201"/>
      <c r="K154" s="181"/>
      <c r="L154" s="181"/>
      <c r="M154" s="181"/>
      <c r="N154" s="201"/>
      <c r="O154" s="201"/>
      <c r="P154" s="201"/>
      <c r="Q154" s="201"/>
      <c r="R154" s="201"/>
      <c r="S154" s="201"/>
      <c r="T154" s="182"/>
      <c r="U154" s="182"/>
      <c r="V154" s="182"/>
      <c r="W154" s="180"/>
      <c r="X154" s="201"/>
      <c r="Y154" s="201"/>
      <c r="Z154" s="179"/>
      <c r="AA154" s="179"/>
      <c r="AB154" s="179"/>
      <c r="AC154"/>
    </row>
    <row r="155" spans="1:29" s="167" customFormat="1" x14ac:dyDescent="0.2">
      <c r="A155" s="179"/>
      <c r="B155" s="179"/>
      <c r="C155" s="179"/>
      <c r="D155" s="179"/>
      <c r="E155" s="180"/>
      <c r="F155" s="201"/>
      <c r="G155" s="201"/>
      <c r="H155" s="201"/>
      <c r="I155" s="201"/>
      <c r="J155" s="201"/>
      <c r="K155" s="181"/>
      <c r="L155" s="181"/>
      <c r="M155" s="181"/>
      <c r="N155" s="201"/>
      <c r="O155" s="201"/>
      <c r="P155" s="201"/>
      <c r="Q155" s="201"/>
      <c r="R155" s="201"/>
      <c r="S155" s="201"/>
      <c r="T155" s="182"/>
      <c r="U155" s="182"/>
      <c r="V155" s="182"/>
      <c r="W155" s="180"/>
      <c r="X155" s="201"/>
      <c r="Y155" s="201"/>
      <c r="Z155" s="179"/>
      <c r="AA155" s="179"/>
      <c r="AB155" s="179"/>
      <c r="AC155"/>
    </row>
    <row r="156" spans="1:29" s="167" customFormat="1" x14ac:dyDescent="0.2">
      <c r="A156" s="179"/>
      <c r="B156" s="179"/>
      <c r="C156" s="179"/>
      <c r="D156" s="179"/>
      <c r="E156" s="180"/>
      <c r="F156" s="201"/>
      <c r="G156" s="201"/>
      <c r="H156" s="201"/>
      <c r="I156" s="201"/>
      <c r="J156" s="201"/>
      <c r="K156" s="181"/>
      <c r="L156" s="181"/>
      <c r="M156" s="181"/>
      <c r="N156" s="201"/>
      <c r="O156" s="201"/>
      <c r="P156" s="201"/>
      <c r="Q156" s="201"/>
      <c r="R156" s="201"/>
      <c r="S156" s="201"/>
      <c r="T156" s="182"/>
      <c r="U156" s="182"/>
      <c r="V156" s="182"/>
      <c r="W156" s="180"/>
      <c r="X156" s="201"/>
      <c r="Y156" s="201"/>
      <c r="Z156" s="179"/>
      <c r="AA156" s="179"/>
      <c r="AB156" s="179"/>
      <c r="AC156"/>
    </row>
    <row r="157" spans="1:29" s="167" customFormat="1" x14ac:dyDescent="0.2">
      <c r="A157"/>
      <c r="B157"/>
      <c r="C157"/>
      <c r="D157"/>
      <c r="E157"/>
      <c r="F157"/>
      <c r="G157"/>
      <c r="H157"/>
      <c r="I157"/>
      <c r="J157"/>
      <c r="K157"/>
      <c r="L157"/>
      <c r="M157"/>
      <c r="N157"/>
      <c r="O157"/>
      <c r="P157"/>
      <c r="Q157"/>
      <c r="R157"/>
      <c r="S157"/>
      <c r="T157"/>
      <c r="U157"/>
      <c r="V157"/>
      <c r="W157"/>
      <c r="X157"/>
      <c r="Y157"/>
      <c r="Z157"/>
      <c r="AA157"/>
      <c r="AB157"/>
      <c r="AC157"/>
    </row>
    <row r="158" spans="1:29" s="167" customFormat="1" x14ac:dyDescent="0.2">
      <c r="A158" s="4" t="s">
        <v>133</v>
      </c>
      <c r="B158"/>
      <c r="C158"/>
      <c r="D158"/>
      <c r="E158"/>
      <c r="F158"/>
      <c r="G158"/>
      <c r="H158"/>
      <c r="I158" s="528"/>
      <c r="J158" s="403"/>
      <c r="K158" s="403"/>
      <c r="L158" s="403"/>
      <c r="M158" s="403"/>
      <c r="N158" s="403"/>
      <c r="O158" s="403"/>
      <c r="P158" s="403"/>
      <c r="Q158" s="403"/>
      <c r="R158" s="403"/>
      <c r="S158" s="403"/>
      <c r="T158" s="403"/>
      <c r="U158" s="403"/>
      <c r="V158" s="403"/>
      <c r="W158" s="403"/>
      <c r="X158" s="403"/>
      <c r="Y158" s="403"/>
      <c r="Z158" s="403"/>
      <c r="AA158" s="403"/>
      <c r="AB158" s="403"/>
      <c r="AC158" s="403"/>
    </row>
    <row r="159" spans="1:29" s="167" customFormat="1" x14ac:dyDescent="0.2">
      <c r="A159" s="528"/>
      <c r="B159" s="403"/>
      <c r="C159" s="403"/>
      <c r="D159" s="403"/>
      <c r="E159" s="403"/>
      <c r="F159" s="403"/>
      <c r="G159" s="403"/>
      <c r="H159" s="403"/>
      <c r="I159" s="403"/>
      <c r="J159" s="403"/>
      <c r="K159" s="403"/>
      <c r="L159" s="403"/>
      <c r="M159" s="403"/>
      <c r="N159" s="403"/>
      <c r="O159" s="403"/>
      <c r="P159" s="403"/>
      <c r="Q159" s="403"/>
      <c r="R159" s="403"/>
      <c r="S159" s="403"/>
      <c r="T159" s="403"/>
      <c r="U159" s="403"/>
      <c r="V159" s="403"/>
      <c r="W159" s="403"/>
      <c r="X159" s="403"/>
      <c r="Y159" s="403"/>
      <c r="Z159" s="403"/>
      <c r="AA159" s="403"/>
      <c r="AB159" s="403"/>
      <c r="AC159" s="403"/>
    </row>
    <row r="160" spans="1:29" s="167" customFormat="1" x14ac:dyDescent="0.2">
      <c r="A160" s="528"/>
      <c r="B160" s="403"/>
      <c r="C160" s="403"/>
      <c r="D160" s="403"/>
      <c r="E160" s="403"/>
      <c r="F160" s="403"/>
      <c r="G160" s="403"/>
      <c r="H160" s="403"/>
      <c r="I160" s="403"/>
      <c r="J160" s="403"/>
      <c r="K160" s="403"/>
      <c r="L160" s="403"/>
      <c r="M160" s="403"/>
      <c r="N160" s="403"/>
      <c r="O160" s="403"/>
      <c r="P160" s="403"/>
      <c r="Q160" s="403"/>
      <c r="R160" s="403"/>
      <c r="S160" s="403"/>
      <c r="T160" s="403"/>
      <c r="U160" s="403"/>
      <c r="V160" s="403"/>
      <c r="W160" s="403"/>
      <c r="X160" s="403"/>
      <c r="Y160" s="403"/>
      <c r="Z160" s="403"/>
      <c r="AA160" s="403"/>
      <c r="AB160" s="403"/>
      <c r="AC160" s="403"/>
    </row>
    <row r="161" spans="1:29" s="167" customFormat="1" x14ac:dyDescent="0.2">
      <c r="A161" s="528"/>
      <c r="B161" s="403"/>
      <c r="C161" s="403"/>
      <c r="D161" s="403"/>
      <c r="E161" s="403"/>
      <c r="F161" s="403"/>
      <c r="G161" s="403"/>
      <c r="H161" s="403"/>
      <c r="I161" s="403"/>
      <c r="J161" s="403"/>
      <c r="K161" s="403"/>
      <c r="L161" s="403"/>
      <c r="M161" s="403"/>
      <c r="N161" s="403"/>
      <c r="O161" s="403"/>
      <c r="P161" s="403"/>
      <c r="Q161" s="403"/>
      <c r="R161" s="403"/>
      <c r="S161" s="403"/>
      <c r="T161" s="403"/>
      <c r="U161" s="403"/>
      <c r="V161" s="403"/>
      <c r="W161" s="403"/>
      <c r="X161" s="403"/>
      <c r="Y161" s="403"/>
      <c r="Z161" s="403"/>
      <c r="AA161" s="403"/>
      <c r="AB161" s="403"/>
      <c r="AC161" s="403"/>
    </row>
    <row r="162" spans="1:29" s="167" customFormat="1" x14ac:dyDescent="0.2">
      <c r="A162" s="528"/>
      <c r="B162" s="403"/>
      <c r="C162" s="403"/>
      <c r="D162" s="403"/>
      <c r="E162" s="403"/>
      <c r="F162" s="403"/>
      <c r="G162" s="403"/>
      <c r="H162" s="403"/>
      <c r="I162" s="403"/>
      <c r="J162" s="403"/>
      <c r="K162" s="403"/>
      <c r="L162" s="403"/>
      <c r="M162" s="403"/>
      <c r="N162" s="403"/>
      <c r="O162" s="403"/>
      <c r="P162" s="403"/>
      <c r="Q162" s="403"/>
      <c r="R162" s="403"/>
      <c r="S162" s="403"/>
      <c r="T162" s="403"/>
      <c r="U162" s="403"/>
      <c r="V162" s="403"/>
      <c r="W162" s="403"/>
      <c r="X162" s="403"/>
      <c r="Y162" s="403"/>
      <c r="Z162" s="403"/>
      <c r="AA162" s="403"/>
      <c r="AB162" s="403"/>
      <c r="AC162" s="403"/>
    </row>
    <row r="163" spans="1:29" s="167" customFormat="1" x14ac:dyDescent="0.2">
      <c r="A163" s="528"/>
      <c r="B163" s="403"/>
      <c r="C163" s="403"/>
      <c r="D163" s="403"/>
      <c r="E163" s="403"/>
      <c r="F163" s="403"/>
      <c r="G163" s="403"/>
      <c r="H163" s="403"/>
      <c r="I163" s="403"/>
      <c r="J163" s="403"/>
      <c r="K163" s="403"/>
      <c r="L163" s="403"/>
      <c r="M163" s="403"/>
      <c r="N163" s="403"/>
      <c r="O163" s="403"/>
      <c r="P163" s="403"/>
      <c r="Q163" s="403"/>
      <c r="R163" s="403"/>
      <c r="S163" s="403"/>
      <c r="T163" s="403"/>
      <c r="U163" s="403"/>
      <c r="V163" s="403"/>
      <c r="W163" s="403"/>
      <c r="X163" s="403"/>
      <c r="Y163" s="403"/>
      <c r="Z163" s="403"/>
      <c r="AA163" s="403"/>
      <c r="AB163" s="403"/>
      <c r="AC163" s="403"/>
    </row>
    <row r="164" spans="1:29" s="167" customFormat="1" x14ac:dyDescent="0.2">
      <c r="A164" s="528"/>
      <c r="B164" s="403"/>
      <c r="C164" s="403"/>
      <c r="D164" s="403"/>
      <c r="E164" s="403"/>
      <c r="F164" s="403"/>
      <c r="G164" s="403"/>
      <c r="H164" s="403"/>
      <c r="I164" s="403"/>
      <c r="J164" s="403"/>
      <c r="K164" s="403"/>
      <c r="L164" s="403"/>
      <c r="M164" s="403"/>
      <c r="N164" s="403"/>
      <c r="O164" s="403"/>
      <c r="P164" s="403"/>
      <c r="Q164" s="403"/>
      <c r="R164" s="403"/>
      <c r="S164" s="403"/>
      <c r="T164" s="403"/>
      <c r="U164" s="403"/>
      <c r="V164" s="403"/>
      <c r="W164" s="403"/>
      <c r="X164" s="403"/>
      <c r="Y164" s="403"/>
      <c r="Z164" s="403"/>
      <c r="AA164" s="403"/>
      <c r="AB164" s="403"/>
      <c r="AC164" s="403"/>
    </row>
    <row r="165" spans="1:29" s="167" customFormat="1" x14ac:dyDescent="0.2">
      <c r="A165" s="528"/>
      <c r="B165" s="403"/>
      <c r="C165" s="403"/>
      <c r="D165" s="403"/>
      <c r="E165" s="403"/>
      <c r="F165" s="403"/>
      <c r="G165" s="403"/>
      <c r="H165" s="403"/>
      <c r="I165" s="403"/>
      <c r="J165" s="403"/>
      <c r="K165" s="403"/>
      <c r="L165" s="403"/>
      <c r="M165" s="403"/>
      <c r="N165" s="403"/>
      <c r="O165" s="403"/>
      <c r="P165" s="403"/>
      <c r="Q165" s="403"/>
      <c r="R165" s="403"/>
      <c r="S165" s="403"/>
      <c r="T165" s="403"/>
      <c r="U165" s="403"/>
      <c r="V165" s="403"/>
      <c r="W165" s="403"/>
      <c r="X165" s="403"/>
      <c r="Y165" s="403"/>
      <c r="Z165" s="403"/>
      <c r="AA165" s="403"/>
      <c r="AB165" s="403"/>
      <c r="AC165" s="403"/>
    </row>
    <row r="166" spans="1:29" s="167" customFormat="1" x14ac:dyDescent="0.2">
      <c r="A166" s="528"/>
      <c r="B166" s="403"/>
      <c r="C166" s="403"/>
      <c r="D166" s="403"/>
      <c r="E166" s="403"/>
      <c r="F166" s="403"/>
      <c r="G166" s="403"/>
      <c r="H166" s="403"/>
      <c r="I166" s="403"/>
      <c r="J166" s="403"/>
      <c r="K166" s="403"/>
      <c r="L166" s="403"/>
      <c r="M166" s="403"/>
      <c r="N166" s="403"/>
      <c r="O166" s="403"/>
      <c r="P166" s="403"/>
      <c r="Q166" s="403"/>
      <c r="R166" s="403"/>
      <c r="S166" s="403"/>
      <c r="T166" s="403"/>
      <c r="U166" s="403"/>
      <c r="V166" s="403"/>
      <c r="W166" s="403"/>
      <c r="X166" s="403"/>
      <c r="Y166" s="403"/>
      <c r="Z166" s="403"/>
      <c r="AA166" s="403"/>
      <c r="AB166" s="403"/>
      <c r="AC166" s="403"/>
    </row>
    <row r="167" spans="1:29" s="167" customFormat="1" ht="13.5" thickBot="1" x14ac:dyDescent="0.25">
      <c r="A167" s="529"/>
      <c r="B167" s="529"/>
      <c r="C167" s="529"/>
      <c r="D167" s="529"/>
      <c r="E167" s="529"/>
      <c r="F167" s="529"/>
      <c r="G167" s="529"/>
      <c r="H167" s="529"/>
      <c r="I167" s="529"/>
      <c r="J167" s="529"/>
      <c r="K167" s="529"/>
      <c r="L167" s="529"/>
      <c r="M167" s="529"/>
      <c r="N167" s="529"/>
      <c r="O167" s="529"/>
      <c r="P167" s="529"/>
      <c r="Q167" s="529"/>
      <c r="R167" s="529"/>
      <c r="S167" s="529"/>
      <c r="T167" s="529"/>
      <c r="U167" s="529"/>
      <c r="V167" s="529"/>
      <c r="W167" s="529"/>
      <c r="X167" s="529"/>
      <c r="Y167" s="530" t="str">
        <f>CMDS!AA60</f>
        <v>v14q.4.8.2025</v>
      </c>
      <c r="Z167" s="531"/>
      <c r="AA167" s="531"/>
      <c r="AB167" s="531"/>
      <c r="AC167" s="531"/>
    </row>
    <row r="168" spans="1:29" s="167" customFormat="1" ht="13.5" thickTop="1" x14ac:dyDescent="0.2"/>
    <row r="169" spans="1:29" s="167" customFormat="1" x14ac:dyDescent="0.2"/>
    <row r="170" spans="1:29" s="167" customFormat="1" x14ac:dyDescent="0.2"/>
    <row r="171" spans="1:29" s="167" customFormat="1" x14ac:dyDescent="0.2"/>
    <row r="172" spans="1:29" s="167" customFormat="1" x14ac:dyDescent="0.2"/>
    <row r="173" spans="1:29" s="167" customFormat="1" x14ac:dyDescent="0.2"/>
    <row r="174" spans="1:29" s="167" customFormat="1" x14ac:dyDescent="0.2"/>
    <row r="175" spans="1:29" s="167" customFormat="1" x14ac:dyDescent="0.2"/>
    <row r="176" spans="1:29" s="167" customFormat="1" x14ac:dyDescent="0.2"/>
    <row r="177" s="167" customFormat="1" x14ac:dyDescent="0.2"/>
    <row r="178" s="167" customFormat="1" x14ac:dyDescent="0.2"/>
    <row r="179" s="167" customFormat="1" x14ac:dyDescent="0.2"/>
    <row r="180" s="167" customFormat="1" x14ac:dyDescent="0.2"/>
    <row r="181" s="167" customFormat="1" x14ac:dyDescent="0.2"/>
    <row r="182" s="167" customFormat="1" x14ac:dyDescent="0.2"/>
    <row r="183" s="167" customFormat="1" x14ac:dyDescent="0.2"/>
    <row r="184" s="167" customFormat="1" x14ac:dyDescent="0.2"/>
    <row r="185" s="167" customFormat="1" x14ac:dyDescent="0.2"/>
    <row r="186" s="167" customFormat="1" x14ac:dyDescent="0.2"/>
    <row r="187" s="167" customFormat="1" x14ac:dyDescent="0.2"/>
    <row r="188" s="167" customFormat="1" x14ac:dyDescent="0.2"/>
    <row r="189" s="167" customFormat="1" x14ac:dyDescent="0.2"/>
    <row r="190" s="167" customFormat="1" x14ac:dyDescent="0.2"/>
    <row r="191" s="167" customFormat="1" x14ac:dyDescent="0.2"/>
    <row r="192" s="167" customFormat="1" x14ac:dyDescent="0.2"/>
    <row r="193" s="167" customFormat="1" x14ac:dyDescent="0.2"/>
    <row r="194" s="167" customFormat="1" x14ac:dyDescent="0.2"/>
    <row r="195" s="167" customFormat="1" x14ac:dyDescent="0.2"/>
    <row r="196" s="167" customFormat="1" x14ac:dyDescent="0.2"/>
    <row r="197" s="167" customFormat="1" x14ac:dyDescent="0.2"/>
    <row r="198" s="167" customFormat="1" x14ac:dyDescent="0.2"/>
    <row r="199" s="167" customFormat="1" x14ac:dyDescent="0.2"/>
    <row r="200" s="167" customFormat="1" x14ac:dyDescent="0.2"/>
    <row r="201" s="167" customFormat="1" x14ac:dyDescent="0.2"/>
    <row r="202" s="167" customFormat="1" x14ac:dyDescent="0.2"/>
    <row r="203" s="167" customFormat="1" x14ac:dyDescent="0.2"/>
    <row r="204" s="167" customFormat="1" x14ac:dyDescent="0.2"/>
    <row r="205" s="167" customFormat="1" x14ac:dyDescent="0.2"/>
    <row r="206" s="167" customFormat="1" x14ac:dyDescent="0.2"/>
    <row r="207" s="167" customFormat="1" x14ac:dyDescent="0.2"/>
    <row r="208" s="167" customFormat="1" x14ac:dyDescent="0.2"/>
    <row r="209" spans="1:29" s="167" customFormat="1" x14ac:dyDescent="0.2"/>
    <row r="210" spans="1:29" x14ac:dyDescent="0.2">
      <c r="A210" s="167"/>
      <c r="B210" s="167"/>
      <c r="C210" s="167"/>
      <c r="D210" s="167"/>
      <c r="E210" s="167"/>
      <c r="F210" s="167"/>
      <c r="G210" s="167"/>
      <c r="H210" s="167"/>
      <c r="I210" s="167"/>
      <c r="J210" s="167"/>
      <c r="K210" s="167"/>
      <c r="L210" s="167"/>
      <c r="M210" s="167"/>
      <c r="N210" s="167"/>
      <c r="O210" s="167"/>
      <c r="P210" s="167"/>
      <c r="Q210" s="167"/>
      <c r="R210" s="167"/>
      <c r="S210" s="167"/>
      <c r="T210" s="167"/>
      <c r="U210" s="167"/>
      <c r="V210" s="167"/>
      <c r="W210" s="167"/>
      <c r="X210" s="167"/>
      <c r="Y210" s="167"/>
      <c r="Z210" s="167"/>
      <c r="AA210" s="167"/>
      <c r="AB210" s="167"/>
      <c r="AC210" s="167"/>
    </row>
    <row r="211" spans="1:29" x14ac:dyDescent="0.2">
      <c r="A211" s="167"/>
      <c r="B211" s="167"/>
      <c r="C211" s="167"/>
      <c r="D211" s="167"/>
      <c r="E211" s="167"/>
      <c r="F211" s="167"/>
      <c r="G211" s="167"/>
      <c r="H211" s="167"/>
      <c r="I211" s="167"/>
      <c r="J211" s="167"/>
      <c r="K211" s="167"/>
      <c r="L211" s="167"/>
      <c r="M211" s="167"/>
      <c r="N211" s="167"/>
      <c r="O211" s="167"/>
      <c r="P211" s="167"/>
      <c r="Q211" s="167"/>
      <c r="R211" s="167"/>
      <c r="S211" s="167"/>
      <c r="T211" s="167"/>
      <c r="U211" s="167"/>
      <c r="V211" s="167"/>
      <c r="W211" s="167"/>
      <c r="X211" s="167"/>
      <c r="Y211" s="167"/>
      <c r="Z211" s="167"/>
      <c r="AA211" s="167"/>
      <c r="AB211" s="167"/>
      <c r="AC211" s="167"/>
    </row>
    <row r="212" spans="1:29" x14ac:dyDescent="0.2">
      <c r="A212" s="167"/>
      <c r="B212" s="167"/>
      <c r="C212" s="167"/>
      <c r="D212" s="167"/>
      <c r="E212" s="167"/>
      <c r="F212" s="167"/>
      <c r="G212" s="167"/>
      <c r="H212" s="167"/>
      <c r="I212" s="167"/>
      <c r="J212" s="167"/>
      <c r="K212" s="167"/>
      <c r="L212" s="167"/>
      <c r="M212" s="167"/>
      <c r="N212" s="167"/>
      <c r="O212" s="167"/>
      <c r="P212" s="167"/>
      <c r="Q212" s="167"/>
      <c r="R212" s="167"/>
      <c r="S212" s="167"/>
      <c r="T212" s="167"/>
      <c r="U212" s="167"/>
      <c r="V212" s="167"/>
      <c r="W212" s="167"/>
      <c r="X212" s="167"/>
      <c r="Y212" s="167"/>
      <c r="Z212" s="167"/>
      <c r="AA212" s="167"/>
      <c r="AB212" s="167"/>
      <c r="AC212" s="167"/>
    </row>
    <row r="213" spans="1:29" x14ac:dyDescent="0.2">
      <c r="A213" s="167"/>
      <c r="B213" s="167"/>
      <c r="C213" s="167"/>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167"/>
      <c r="Z213" s="167"/>
      <c r="AA213" s="167"/>
      <c r="AB213" s="167"/>
      <c r="AC213" s="167"/>
    </row>
    <row r="214" spans="1:29" x14ac:dyDescent="0.2">
      <c r="A214" s="167"/>
      <c r="B214" s="167"/>
      <c r="C214" s="167"/>
      <c r="D214" s="167"/>
      <c r="E214" s="167"/>
      <c r="F214" s="167"/>
      <c r="G214" s="167"/>
      <c r="H214" s="167"/>
      <c r="I214" s="167"/>
      <c r="J214" s="167"/>
      <c r="K214" s="167"/>
      <c r="L214" s="167"/>
      <c r="M214" s="167"/>
      <c r="N214" s="167"/>
      <c r="O214" s="167"/>
      <c r="P214" s="167"/>
      <c r="Q214" s="167"/>
      <c r="R214" s="167"/>
      <c r="S214" s="167"/>
      <c r="T214" s="167"/>
      <c r="U214" s="167"/>
      <c r="V214" s="167"/>
      <c r="W214" s="167"/>
      <c r="X214" s="167"/>
      <c r="Y214" s="167"/>
      <c r="Z214" s="167"/>
      <c r="AA214" s="167"/>
      <c r="AB214" s="167"/>
      <c r="AC214" s="167"/>
    </row>
    <row r="215" spans="1:29" x14ac:dyDescent="0.2">
      <c r="A215" s="167"/>
      <c r="B215" s="167"/>
      <c r="C215" s="167"/>
      <c r="D215" s="167"/>
      <c r="E215" s="167"/>
      <c r="F215" s="167"/>
      <c r="G215" s="167"/>
      <c r="H215" s="167"/>
      <c r="I215" s="167"/>
      <c r="J215" s="167"/>
      <c r="K215" s="167"/>
      <c r="L215" s="167"/>
      <c r="M215" s="167"/>
      <c r="N215" s="167"/>
      <c r="O215" s="167"/>
      <c r="P215" s="167"/>
      <c r="Q215" s="167"/>
      <c r="R215" s="167"/>
      <c r="S215" s="167"/>
      <c r="T215" s="167"/>
      <c r="U215" s="167"/>
      <c r="V215" s="167"/>
      <c r="W215" s="167"/>
      <c r="X215" s="167"/>
      <c r="Y215" s="167"/>
      <c r="Z215" s="167"/>
      <c r="AA215" s="167"/>
      <c r="AB215" s="167"/>
      <c r="AC215" s="167"/>
    </row>
    <row r="216" spans="1:29" x14ac:dyDescent="0.2">
      <c r="A216" s="167"/>
      <c r="B216" s="167"/>
      <c r="C216" s="167"/>
      <c r="D216" s="167"/>
      <c r="E216" s="167"/>
      <c r="F216" s="167"/>
      <c r="G216" s="167"/>
      <c r="H216" s="167"/>
      <c r="I216" s="167"/>
      <c r="J216" s="167"/>
      <c r="K216" s="167"/>
      <c r="L216" s="167"/>
      <c r="M216" s="167"/>
      <c r="N216" s="167"/>
      <c r="O216" s="167"/>
      <c r="P216" s="167"/>
      <c r="Q216" s="167"/>
      <c r="R216" s="167"/>
      <c r="S216" s="167"/>
      <c r="T216" s="167"/>
      <c r="U216" s="167"/>
      <c r="V216" s="167"/>
      <c r="W216" s="167"/>
      <c r="X216" s="167"/>
      <c r="Y216" s="167"/>
      <c r="Z216" s="167"/>
      <c r="AA216" s="167"/>
      <c r="AB216" s="167"/>
      <c r="AC216" s="167"/>
    </row>
    <row r="217" spans="1:29" x14ac:dyDescent="0.2">
      <c r="A217" s="167"/>
      <c r="B217" s="167"/>
      <c r="C217" s="167"/>
      <c r="D217" s="167"/>
      <c r="E217" s="167"/>
      <c r="F217" s="167"/>
      <c r="G217" s="167"/>
      <c r="H217" s="167"/>
      <c r="I217" s="167"/>
      <c r="J217" s="167"/>
      <c r="K217" s="167"/>
      <c r="L217" s="167"/>
      <c r="M217" s="167"/>
      <c r="N217" s="167"/>
      <c r="O217" s="167"/>
      <c r="P217" s="167"/>
      <c r="Q217" s="167"/>
      <c r="R217" s="167"/>
      <c r="S217" s="167"/>
      <c r="T217" s="167"/>
      <c r="U217" s="167"/>
      <c r="V217" s="167"/>
      <c r="W217" s="167"/>
      <c r="X217" s="167"/>
      <c r="Y217" s="167"/>
      <c r="Z217" s="167"/>
      <c r="AA217" s="167"/>
      <c r="AB217" s="167"/>
      <c r="AC217" s="167"/>
    </row>
    <row r="218" spans="1:29" x14ac:dyDescent="0.2">
      <c r="A218" s="167"/>
      <c r="B218" s="167"/>
      <c r="C218" s="167"/>
      <c r="D218" s="167"/>
      <c r="E218" s="167"/>
      <c r="F218" s="167"/>
      <c r="G218" s="167"/>
      <c r="H218" s="167"/>
      <c r="I218" s="167"/>
      <c r="J218" s="167"/>
      <c r="K218" s="167"/>
      <c r="L218" s="167"/>
      <c r="M218" s="167"/>
      <c r="N218" s="167"/>
      <c r="O218" s="167"/>
      <c r="P218" s="167"/>
      <c r="Q218" s="167"/>
      <c r="R218" s="167"/>
      <c r="S218" s="167"/>
      <c r="T218" s="167"/>
      <c r="U218" s="167"/>
      <c r="V218" s="167"/>
      <c r="W218" s="167"/>
      <c r="X218" s="167"/>
      <c r="Y218" s="167"/>
      <c r="Z218" s="167"/>
      <c r="AA218" s="167"/>
      <c r="AB218" s="167"/>
      <c r="AC218" s="167"/>
    </row>
    <row r="219" spans="1:29" x14ac:dyDescent="0.2">
      <c r="A219" s="167"/>
      <c r="B219" s="167"/>
      <c r="C219" s="167"/>
      <c r="D219" s="167"/>
      <c r="E219" s="167"/>
      <c r="F219" s="167"/>
      <c r="G219" s="167"/>
      <c r="H219" s="167"/>
      <c r="I219" s="167"/>
      <c r="J219" s="167"/>
      <c r="K219" s="167"/>
      <c r="L219" s="167"/>
      <c r="M219" s="167"/>
      <c r="N219" s="167"/>
      <c r="O219" s="167"/>
      <c r="P219" s="167"/>
      <c r="Q219" s="167"/>
      <c r="R219" s="167"/>
      <c r="S219" s="167"/>
      <c r="T219" s="167"/>
      <c r="U219" s="167"/>
      <c r="V219" s="167"/>
      <c r="W219" s="167"/>
      <c r="X219" s="167"/>
      <c r="Y219" s="167"/>
      <c r="Z219" s="167"/>
      <c r="AA219" s="167"/>
      <c r="AB219" s="167"/>
      <c r="AC219" s="167"/>
    </row>
    <row r="220" spans="1:29" x14ac:dyDescent="0.2">
      <c r="A220" s="167"/>
      <c r="B220" s="167"/>
      <c r="C220" s="167"/>
      <c r="D220" s="167"/>
      <c r="E220" s="167"/>
      <c r="F220" s="167"/>
      <c r="G220" s="167"/>
      <c r="H220" s="167"/>
      <c r="I220" s="167"/>
      <c r="J220" s="167"/>
      <c r="K220" s="167"/>
      <c r="L220" s="167"/>
      <c r="M220" s="167"/>
      <c r="N220" s="167"/>
      <c r="O220" s="167"/>
      <c r="P220" s="167"/>
      <c r="Q220" s="167"/>
      <c r="R220" s="167"/>
      <c r="S220" s="167"/>
      <c r="T220" s="167"/>
      <c r="U220" s="167"/>
      <c r="V220" s="167"/>
      <c r="W220" s="167"/>
      <c r="X220" s="167"/>
      <c r="Y220" s="167"/>
      <c r="Z220" s="167"/>
      <c r="AA220" s="167"/>
      <c r="AB220" s="167"/>
      <c r="AC220" s="167"/>
    </row>
    <row r="221" spans="1:29" x14ac:dyDescent="0.2">
      <c r="A221" s="167"/>
      <c r="B221" s="167"/>
      <c r="C221" s="167"/>
      <c r="D221" s="167"/>
      <c r="E221" s="167"/>
      <c r="F221" s="167"/>
      <c r="G221" s="167"/>
      <c r="H221" s="167"/>
      <c r="I221" s="167"/>
      <c r="J221" s="167"/>
      <c r="K221" s="167"/>
      <c r="L221" s="167"/>
      <c r="M221" s="167"/>
      <c r="N221" s="167"/>
      <c r="O221" s="167"/>
      <c r="P221" s="167"/>
      <c r="Q221" s="167"/>
      <c r="R221" s="167"/>
      <c r="S221" s="167"/>
      <c r="T221" s="167"/>
      <c r="U221" s="167"/>
      <c r="V221" s="167"/>
      <c r="W221" s="167"/>
      <c r="X221" s="167"/>
      <c r="Y221" s="167"/>
      <c r="Z221" s="167"/>
      <c r="AA221" s="167"/>
      <c r="AB221" s="167"/>
      <c r="AC221" s="167"/>
    </row>
    <row r="222" spans="1:29" x14ac:dyDescent="0.2">
      <c r="A222" s="167"/>
      <c r="B222" s="167"/>
      <c r="C222" s="167"/>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c r="AA222" s="167"/>
      <c r="AB222" s="167"/>
      <c r="AC222" s="167"/>
    </row>
    <row r="223" spans="1:29" x14ac:dyDescent="0.2">
      <c r="A223" s="167"/>
      <c r="B223" s="167"/>
      <c r="C223" s="167"/>
      <c r="D223" s="167"/>
      <c r="E223" s="167"/>
      <c r="F223" s="167"/>
      <c r="G223" s="167"/>
      <c r="H223" s="167"/>
      <c r="I223" s="167"/>
      <c r="J223" s="167"/>
      <c r="K223" s="167"/>
      <c r="L223" s="167"/>
      <c r="M223" s="167"/>
      <c r="N223" s="167"/>
      <c r="O223" s="167"/>
      <c r="P223" s="167"/>
      <c r="Q223" s="167"/>
      <c r="R223" s="167"/>
      <c r="S223" s="167"/>
      <c r="T223" s="167"/>
      <c r="U223" s="167"/>
      <c r="V223" s="167"/>
      <c r="W223" s="167"/>
      <c r="X223" s="167"/>
      <c r="Y223" s="167"/>
      <c r="Z223" s="167"/>
      <c r="AA223" s="167"/>
      <c r="AB223" s="167"/>
      <c r="AC223" s="167"/>
    </row>
    <row r="224" spans="1:29" x14ac:dyDescent="0.2">
      <c r="A224" s="167"/>
      <c r="B224" s="167"/>
      <c r="C224" s="167"/>
      <c r="D224" s="167"/>
      <c r="E224" s="167"/>
      <c r="F224" s="167"/>
      <c r="G224" s="167"/>
      <c r="H224" s="167"/>
      <c r="I224" s="167"/>
      <c r="J224" s="167"/>
      <c r="K224" s="167"/>
      <c r="L224" s="167"/>
      <c r="M224" s="167"/>
      <c r="N224" s="167"/>
      <c r="O224" s="167"/>
      <c r="P224" s="167"/>
      <c r="Q224" s="167"/>
      <c r="R224" s="167"/>
      <c r="S224" s="167"/>
      <c r="T224" s="167"/>
      <c r="U224" s="167"/>
      <c r="V224" s="167"/>
      <c r="W224" s="167"/>
      <c r="X224" s="167"/>
      <c r="Y224" s="167"/>
      <c r="Z224" s="167"/>
      <c r="AA224" s="167"/>
      <c r="AB224" s="167"/>
      <c r="AC224" s="167"/>
    </row>
    <row r="225" spans="1:29" x14ac:dyDescent="0.2">
      <c r="A225" s="167"/>
      <c r="B225" s="167"/>
      <c r="C225" s="167"/>
      <c r="D225" s="167"/>
      <c r="E225" s="167"/>
      <c r="F225" s="167"/>
      <c r="G225" s="167"/>
      <c r="H225" s="167"/>
      <c r="I225" s="167"/>
      <c r="J225" s="167"/>
      <c r="K225" s="167"/>
      <c r="L225" s="167"/>
      <c r="M225" s="167"/>
      <c r="N225" s="167"/>
      <c r="O225" s="167"/>
      <c r="P225" s="167"/>
      <c r="Q225" s="167"/>
      <c r="R225" s="167"/>
      <c r="S225" s="167"/>
      <c r="T225" s="167"/>
      <c r="U225" s="167"/>
      <c r="V225" s="167"/>
      <c r="W225" s="167"/>
      <c r="X225" s="167"/>
      <c r="Y225" s="167"/>
      <c r="Z225" s="167"/>
      <c r="AA225" s="167"/>
      <c r="AB225" s="167"/>
      <c r="AC225" s="167"/>
    </row>
    <row r="226" spans="1:29" x14ac:dyDescent="0.2">
      <c r="A226" s="167"/>
      <c r="B226" s="167"/>
      <c r="C226" s="167"/>
      <c r="D226" s="167"/>
      <c r="E226" s="167"/>
      <c r="F226" s="167"/>
      <c r="G226" s="167"/>
      <c r="H226" s="167"/>
      <c r="I226" s="167"/>
      <c r="J226" s="167"/>
      <c r="K226" s="167"/>
      <c r="L226" s="167"/>
      <c r="M226" s="167"/>
      <c r="N226" s="167"/>
      <c r="O226" s="167"/>
      <c r="P226" s="167"/>
      <c r="Q226" s="167"/>
      <c r="R226" s="167"/>
      <c r="S226" s="167"/>
      <c r="T226" s="167"/>
      <c r="U226" s="167"/>
      <c r="V226" s="167"/>
      <c r="W226" s="167"/>
      <c r="X226" s="167"/>
      <c r="Y226" s="167"/>
      <c r="Z226" s="167"/>
      <c r="AA226" s="167"/>
      <c r="AB226" s="167"/>
      <c r="AC226" s="167"/>
    </row>
    <row r="227" spans="1:29" x14ac:dyDescent="0.2">
      <c r="A227" s="167"/>
      <c r="B227" s="167"/>
      <c r="C227" s="167"/>
      <c r="D227" s="167"/>
      <c r="E227" s="167"/>
      <c r="F227" s="167"/>
      <c r="G227" s="167"/>
      <c r="H227" s="167"/>
      <c r="I227" s="167"/>
      <c r="J227" s="167"/>
      <c r="K227" s="167"/>
      <c r="L227" s="167"/>
      <c r="M227" s="167"/>
      <c r="N227" s="167"/>
      <c r="O227" s="167"/>
      <c r="P227" s="167"/>
      <c r="Q227" s="167"/>
      <c r="R227" s="167"/>
      <c r="S227" s="167"/>
      <c r="T227" s="167"/>
      <c r="U227" s="167"/>
      <c r="V227" s="167"/>
      <c r="W227" s="167"/>
      <c r="X227" s="167"/>
      <c r="Y227" s="167"/>
      <c r="Z227" s="167"/>
      <c r="AA227" s="167"/>
      <c r="AB227" s="167"/>
      <c r="AC227" s="167"/>
    </row>
    <row r="228" spans="1:29" x14ac:dyDescent="0.2">
      <c r="A228" s="167"/>
      <c r="B228" s="167"/>
      <c r="C228" s="167"/>
      <c r="D228" s="167"/>
      <c r="E228" s="167"/>
      <c r="F228" s="167"/>
      <c r="G228" s="167"/>
      <c r="H228" s="167"/>
      <c r="I228" s="167"/>
      <c r="J228" s="167"/>
      <c r="K228" s="167"/>
      <c r="L228" s="167"/>
      <c r="M228" s="167"/>
      <c r="N228" s="167"/>
      <c r="O228" s="167"/>
      <c r="P228" s="167"/>
      <c r="Q228" s="167"/>
      <c r="R228" s="167"/>
      <c r="S228" s="167"/>
      <c r="T228" s="167"/>
      <c r="U228" s="167"/>
      <c r="V228" s="167"/>
      <c r="W228" s="167"/>
      <c r="X228" s="167"/>
      <c r="Y228" s="167"/>
      <c r="Z228" s="167"/>
      <c r="AA228" s="167"/>
      <c r="AB228" s="167"/>
      <c r="AC228" s="167"/>
    </row>
    <row r="229" spans="1:29" x14ac:dyDescent="0.2">
      <c r="A229" s="167"/>
      <c r="B229" s="167"/>
      <c r="C229" s="167"/>
      <c r="D229" s="167"/>
      <c r="E229" s="167"/>
      <c r="F229" s="167"/>
      <c r="G229" s="167"/>
      <c r="H229" s="167"/>
      <c r="I229" s="167"/>
      <c r="J229" s="167"/>
      <c r="K229" s="167"/>
      <c r="L229" s="167"/>
      <c r="M229" s="167"/>
      <c r="N229" s="167"/>
      <c r="O229" s="167"/>
      <c r="P229" s="167"/>
      <c r="Q229" s="167"/>
      <c r="R229" s="167"/>
      <c r="S229" s="167"/>
      <c r="T229" s="167"/>
      <c r="U229" s="167"/>
      <c r="V229" s="167"/>
      <c r="W229" s="167"/>
      <c r="X229" s="167"/>
      <c r="Y229" s="167"/>
      <c r="Z229" s="167"/>
      <c r="AA229" s="167"/>
      <c r="AB229" s="167"/>
      <c r="AC229" s="167"/>
    </row>
    <row r="230" spans="1:29" x14ac:dyDescent="0.2">
      <c r="A230" s="167"/>
      <c r="B230" s="167"/>
      <c r="C230" s="167"/>
      <c r="D230" s="167"/>
      <c r="E230" s="167"/>
      <c r="F230" s="167"/>
      <c r="G230" s="167"/>
      <c r="H230" s="167"/>
      <c r="I230" s="167"/>
      <c r="J230" s="167"/>
      <c r="K230" s="167"/>
      <c r="L230" s="167"/>
      <c r="M230" s="167"/>
      <c r="N230" s="167"/>
      <c r="O230" s="167"/>
      <c r="P230" s="167"/>
      <c r="Q230" s="167"/>
      <c r="R230" s="167"/>
      <c r="S230" s="167"/>
      <c r="T230" s="167"/>
      <c r="U230" s="167"/>
      <c r="V230" s="167"/>
      <c r="W230" s="167"/>
      <c r="X230" s="167"/>
      <c r="Y230" s="167"/>
      <c r="Z230" s="167"/>
      <c r="AA230" s="167"/>
      <c r="AB230" s="167"/>
      <c r="AC230" s="167"/>
    </row>
    <row r="231" spans="1:29" x14ac:dyDescent="0.2">
      <c r="A231" s="167"/>
      <c r="B231" s="167"/>
      <c r="C231" s="167"/>
      <c r="D231" s="167"/>
      <c r="E231" s="167"/>
      <c r="F231" s="167"/>
      <c r="G231" s="167"/>
      <c r="H231" s="167"/>
      <c r="I231" s="167"/>
      <c r="J231" s="167"/>
      <c r="K231" s="167"/>
      <c r="L231" s="167"/>
      <c r="M231" s="167"/>
      <c r="N231" s="167"/>
      <c r="O231" s="167"/>
      <c r="P231" s="167"/>
      <c r="Q231" s="167"/>
      <c r="R231" s="167"/>
      <c r="S231" s="167"/>
      <c r="T231" s="167"/>
      <c r="U231" s="167"/>
      <c r="V231" s="167"/>
      <c r="W231" s="167"/>
      <c r="X231" s="167"/>
      <c r="Y231" s="167"/>
      <c r="Z231" s="167"/>
      <c r="AA231" s="167"/>
      <c r="AB231" s="167"/>
      <c r="AC231" s="167"/>
    </row>
    <row r="232" spans="1:29" x14ac:dyDescent="0.2">
      <c r="A232" s="167"/>
      <c r="B232" s="167"/>
      <c r="C232" s="167"/>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row>
    <row r="233" spans="1:29" x14ac:dyDescent="0.2">
      <c r="A233" s="167"/>
      <c r="B233" s="167"/>
      <c r="C233" s="167"/>
      <c r="D233" s="167"/>
      <c r="E233" s="167"/>
      <c r="F233" s="167"/>
      <c r="G233" s="167"/>
      <c r="H233" s="167"/>
      <c r="I233" s="167"/>
      <c r="J233" s="167"/>
      <c r="K233" s="167"/>
      <c r="L233" s="167"/>
      <c r="M233" s="167"/>
      <c r="N233" s="167"/>
      <c r="O233" s="167"/>
      <c r="P233" s="167"/>
      <c r="Q233" s="167"/>
      <c r="R233" s="167"/>
      <c r="S233" s="167"/>
      <c r="T233" s="167"/>
      <c r="U233" s="167"/>
      <c r="V233" s="167"/>
      <c r="W233" s="167"/>
      <c r="X233" s="167"/>
      <c r="Y233" s="167"/>
      <c r="Z233" s="167"/>
      <c r="AA233" s="167"/>
      <c r="AB233" s="167"/>
      <c r="AC233" s="167"/>
    </row>
    <row r="234" spans="1:29" x14ac:dyDescent="0.2">
      <c r="A234" s="167"/>
      <c r="B234" s="167"/>
      <c r="C234" s="167"/>
      <c r="D234" s="167"/>
      <c r="E234" s="167"/>
      <c r="F234" s="167"/>
      <c r="G234" s="167"/>
      <c r="H234" s="167"/>
      <c r="I234" s="167"/>
      <c r="J234" s="167"/>
      <c r="K234" s="167"/>
      <c r="L234" s="167"/>
      <c r="M234" s="167"/>
      <c r="N234" s="167"/>
      <c r="O234" s="167"/>
      <c r="P234" s="167"/>
      <c r="Q234" s="167"/>
      <c r="R234" s="167"/>
      <c r="S234" s="167"/>
      <c r="T234" s="167"/>
      <c r="U234" s="167"/>
      <c r="V234" s="167"/>
      <c r="W234" s="167"/>
      <c r="X234" s="167"/>
      <c r="Y234" s="167"/>
      <c r="Z234" s="167"/>
      <c r="AA234" s="167"/>
      <c r="AB234" s="167"/>
      <c r="AC234" s="167"/>
    </row>
    <row r="235" spans="1:29" x14ac:dyDescent="0.2">
      <c r="A235" s="167"/>
      <c r="B235" s="167"/>
      <c r="C235" s="167"/>
      <c r="D235" s="167"/>
      <c r="E235" s="167"/>
      <c r="F235" s="167"/>
      <c r="G235" s="167"/>
      <c r="H235" s="167"/>
      <c r="I235" s="167"/>
      <c r="J235" s="167"/>
      <c r="K235" s="167"/>
      <c r="L235" s="167"/>
      <c r="M235" s="167"/>
      <c r="N235" s="167"/>
      <c r="O235" s="167"/>
      <c r="P235" s="167"/>
      <c r="Q235" s="167"/>
      <c r="R235" s="167"/>
      <c r="S235" s="167"/>
      <c r="T235" s="167"/>
      <c r="U235" s="167"/>
      <c r="V235" s="167"/>
      <c r="W235" s="167"/>
      <c r="X235" s="167"/>
      <c r="Y235" s="167"/>
      <c r="Z235" s="167"/>
      <c r="AA235" s="167"/>
      <c r="AB235" s="167"/>
      <c r="AC235" s="167"/>
    </row>
    <row r="236" spans="1:29" x14ac:dyDescent="0.2">
      <c r="A236" s="167"/>
      <c r="B236" s="167"/>
      <c r="C236" s="167"/>
      <c r="D236" s="167"/>
      <c r="E236" s="167"/>
      <c r="F236" s="167"/>
      <c r="G236" s="167"/>
      <c r="H236" s="167"/>
      <c r="I236" s="167"/>
      <c r="J236" s="167"/>
      <c r="K236" s="167"/>
      <c r="L236" s="167"/>
      <c r="M236" s="167"/>
      <c r="N236" s="167"/>
      <c r="O236" s="167"/>
      <c r="P236" s="167"/>
      <c r="Q236" s="167"/>
      <c r="R236" s="167"/>
      <c r="S236" s="167"/>
      <c r="T236" s="167"/>
      <c r="U236" s="167"/>
      <c r="V236" s="167"/>
      <c r="W236" s="167"/>
      <c r="X236" s="167"/>
      <c r="Y236" s="167"/>
      <c r="Z236" s="167"/>
      <c r="AA236" s="167"/>
      <c r="AB236" s="167"/>
      <c r="AC236" s="167"/>
    </row>
    <row r="237" spans="1:29" x14ac:dyDescent="0.2">
      <c r="A237" s="167"/>
      <c r="B237" s="167"/>
      <c r="C237" s="167"/>
      <c r="D237" s="167"/>
      <c r="E237" s="167"/>
      <c r="F237" s="167"/>
      <c r="G237" s="167"/>
      <c r="H237" s="167"/>
      <c r="I237" s="167"/>
      <c r="J237" s="167"/>
      <c r="K237" s="167"/>
      <c r="L237" s="167"/>
      <c r="M237" s="167"/>
      <c r="N237" s="167"/>
      <c r="O237" s="167"/>
      <c r="P237" s="167"/>
      <c r="Q237" s="167"/>
      <c r="R237" s="167"/>
      <c r="S237" s="167"/>
      <c r="T237" s="167"/>
      <c r="U237" s="167"/>
      <c r="V237" s="167"/>
      <c r="W237" s="167"/>
      <c r="X237" s="167"/>
      <c r="Y237" s="167"/>
      <c r="Z237" s="167"/>
      <c r="AA237" s="167"/>
      <c r="AB237" s="167"/>
      <c r="AC237" s="167"/>
    </row>
    <row r="238" spans="1:29" x14ac:dyDescent="0.2">
      <c r="A238" s="167"/>
      <c r="B238" s="167"/>
      <c r="C238" s="167"/>
      <c r="D238" s="167"/>
      <c r="E238" s="167"/>
      <c r="F238" s="167"/>
      <c r="G238" s="167"/>
      <c r="H238" s="167"/>
      <c r="I238" s="167"/>
      <c r="J238" s="167"/>
      <c r="K238" s="167"/>
      <c r="L238" s="167"/>
      <c r="M238" s="167"/>
      <c r="N238" s="167"/>
      <c r="O238" s="167"/>
      <c r="P238" s="167"/>
      <c r="Q238" s="167"/>
      <c r="R238" s="167"/>
      <c r="S238" s="167"/>
      <c r="T238" s="167"/>
      <c r="U238" s="167"/>
      <c r="V238" s="167"/>
      <c r="W238" s="167"/>
      <c r="X238" s="167"/>
      <c r="Y238" s="167"/>
      <c r="Z238" s="167"/>
      <c r="AA238" s="167"/>
      <c r="AB238" s="167"/>
      <c r="AC238" s="167"/>
    </row>
    <row r="239" spans="1:29" x14ac:dyDescent="0.2">
      <c r="A239" s="167"/>
      <c r="B239" s="167"/>
      <c r="C239" s="167"/>
      <c r="D239" s="167"/>
      <c r="E239" s="167"/>
      <c r="F239" s="167"/>
      <c r="G239" s="167"/>
      <c r="H239" s="167"/>
      <c r="I239" s="167"/>
      <c r="J239" s="167"/>
      <c r="K239" s="167"/>
      <c r="L239" s="167"/>
      <c r="M239" s="167"/>
      <c r="N239" s="167"/>
      <c r="O239" s="167"/>
      <c r="P239" s="167"/>
      <c r="Q239" s="167"/>
      <c r="R239" s="167"/>
      <c r="S239" s="167"/>
      <c r="T239" s="167"/>
      <c r="U239" s="167"/>
      <c r="V239" s="167"/>
      <c r="W239" s="167"/>
      <c r="X239" s="167"/>
      <c r="Y239" s="167"/>
      <c r="Z239" s="167"/>
      <c r="AA239" s="167"/>
      <c r="AB239" s="167"/>
      <c r="AC239" s="167"/>
    </row>
    <row r="240" spans="1:29" x14ac:dyDescent="0.2">
      <c r="A240" s="167"/>
      <c r="B240" s="167"/>
      <c r="C240" s="167"/>
      <c r="D240" s="167"/>
      <c r="E240" s="167"/>
      <c r="F240" s="167"/>
      <c r="G240" s="167"/>
      <c r="H240" s="167"/>
      <c r="I240" s="167"/>
      <c r="J240" s="167"/>
      <c r="K240" s="167"/>
      <c r="L240" s="167"/>
      <c r="M240" s="167"/>
      <c r="N240" s="167"/>
      <c r="O240" s="167"/>
      <c r="P240" s="167"/>
      <c r="Q240" s="167"/>
      <c r="R240" s="167"/>
      <c r="S240" s="167"/>
      <c r="T240" s="167"/>
      <c r="U240" s="167"/>
      <c r="V240" s="167"/>
      <c r="W240" s="167"/>
      <c r="X240" s="167"/>
      <c r="Y240" s="167"/>
      <c r="Z240" s="167"/>
      <c r="AA240" s="167"/>
      <c r="AB240" s="167"/>
      <c r="AC240" s="167"/>
    </row>
    <row r="241" spans="1:29" x14ac:dyDescent="0.2">
      <c r="A241" s="167"/>
      <c r="B241" s="167"/>
      <c r="C241" s="167"/>
      <c r="D241" s="167"/>
      <c r="E241" s="167"/>
      <c r="F241" s="167"/>
      <c r="G241" s="167"/>
      <c r="H241" s="167"/>
      <c r="I241" s="167"/>
      <c r="J241" s="167"/>
      <c r="K241" s="167"/>
      <c r="L241" s="167"/>
      <c r="M241" s="167"/>
      <c r="N241" s="167"/>
      <c r="O241" s="167"/>
      <c r="P241" s="167"/>
      <c r="Q241" s="167"/>
      <c r="R241" s="167"/>
      <c r="S241" s="167"/>
      <c r="T241" s="167"/>
      <c r="U241" s="167"/>
      <c r="V241" s="167"/>
      <c r="W241" s="167"/>
      <c r="X241" s="167"/>
      <c r="Y241" s="167"/>
      <c r="Z241" s="167"/>
      <c r="AA241" s="167"/>
      <c r="AB241" s="167"/>
      <c r="AC241" s="167"/>
    </row>
    <row r="242" spans="1:29" x14ac:dyDescent="0.2">
      <c r="A242" s="167"/>
      <c r="B242" s="167"/>
      <c r="C242" s="167"/>
      <c r="D242" s="167"/>
      <c r="E242" s="167"/>
      <c r="F242" s="167"/>
      <c r="G242" s="167"/>
      <c r="H242" s="167"/>
      <c r="I242" s="167"/>
      <c r="J242" s="167"/>
      <c r="K242" s="167"/>
      <c r="L242" s="167"/>
      <c r="M242" s="167"/>
      <c r="N242" s="167"/>
      <c r="O242" s="167"/>
      <c r="P242" s="167"/>
      <c r="Q242" s="167"/>
      <c r="R242" s="167"/>
      <c r="S242" s="167"/>
      <c r="T242" s="167"/>
      <c r="U242" s="167"/>
      <c r="V242" s="167"/>
      <c r="W242" s="167"/>
      <c r="X242" s="167"/>
      <c r="Y242" s="167"/>
      <c r="Z242" s="167"/>
      <c r="AA242" s="167"/>
      <c r="AB242" s="167"/>
      <c r="AC242" s="167"/>
    </row>
    <row r="243" spans="1:29" x14ac:dyDescent="0.2">
      <c r="A243" s="167"/>
      <c r="B243" s="167"/>
      <c r="C243" s="167"/>
      <c r="D243" s="167"/>
      <c r="E243" s="167"/>
      <c r="F243" s="167"/>
      <c r="G243" s="167"/>
      <c r="H243" s="167"/>
      <c r="I243" s="167"/>
      <c r="J243" s="167"/>
      <c r="K243" s="167"/>
      <c r="L243" s="167"/>
      <c r="M243" s="167"/>
      <c r="N243" s="167"/>
      <c r="O243" s="167"/>
      <c r="P243" s="167"/>
      <c r="Q243" s="167"/>
      <c r="R243" s="167"/>
      <c r="S243" s="167"/>
      <c r="T243" s="167"/>
      <c r="U243" s="167"/>
      <c r="V243" s="167"/>
      <c r="W243" s="167"/>
      <c r="X243" s="167"/>
      <c r="Y243" s="167"/>
      <c r="Z243" s="167"/>
      <c r="AA243" s="167"/>
      <c r="AB243" s="167"/>
      <c r="AC243" s="167"/>
    </row>
    <row r="244" spans="1:29" x14ac:dyDescent="0.2">
      <c r="A244" s="167"/>
      <c r="B244" s="167"/>
      <c r="C244" s="167"/>
      <c r="D244" s="167"/>
      <c r="E244" s="167"/>
      <c r="F244" s="167"/>
      <c r="G244" s="167"/>
      <c r="H244" s="167"/>
      <c r="I244" s="167"/>
      <c r="J244" s="167"/>
      <c r="K244" s="167"/>
      <c r="L244" s="167"/>
      <c r="M244" s="167"/>
      <c r="N244" s="167"/>
      <c r="O244" s="167"/>
      <c r="P244" s="167"/>
      <c r="Q244" s="167"/>
      <c r="R244" s="167"/>
      <c r="S244" s="167"/>
      <c r="T244" s="167"/>
      <c r="U244" s="167"/>
      <c r="V244" s="167"/>
      <c r="W244" s="167"/>
      <c r="X244" s="167"/>
      <c r="Y244" s="167"/>
      <c r="Z244" s="167"/>
      <c r="AA244" s="167"/>
      <c r="AB244" s="167"/>
      <c r="AC244" s="167"/>
    </row>
    <row r="245" spans="1:29" x14ac:dyDescent="0.2">
      <c r="A245" s="167"/>
      <c r="B245" s="167"/>
      <c r="C245" s="167"/>
      <c r="D245" s="167"/>
      <c r="E245" s="167"/>
      <c r="F245" s="167"/>
      <c r="G245" s="167"/>
      <c r="H245" s="167"/>
      <c r="I245" s="167"/>
      <c r="J245" s="167"/>
      <c r="K245" s="167"/>
      <c r="L245" s="167"/>
      <c r="M245" s="167"/>
      <c r="N245" s="167"/>
      <c r="O245" s="167"/>
      <c r="P245" s="167"/>
      <c r="Q245" s="167"/>
      <c r="R245" s="167"/>
      <c r="S245" s="167"/>
      <c r="T245" s="167"/>
      <c r="U245" s="167"/>
      <c r="V245" s="167"/>
      <c r="W245" s="167"/>
      <c r="X245" s="167"/>
      <c r="Y245" s="167"/>
      <c r="Z245" s="167"/>
      <c r="AA245" s="167"/>
      <c r="AB245" s="167"/>
      <c r="AC245" s="167"/>
    </row>
    <row r="246" spans="1:29" x14ac:dyDescent="0.2">
      <c r="A246" s="167"/>
      <c r="B246" s="167"/>
      <c r="C246" s="167"/>
      <c r="D246" s="167"/>
      <c r="E246" s="167"/>
      <c r="F246" s="167"/>
      <c r="G246" s="167"/>
      <c r="H246" s="167"/>
      <c r="I246" s="167"/>
      <c r="J246" s="167"/>
      <c r="K246" s="167"/>
      <c r="L246" s="167"/>
      <c r="M246" s="167"/>
      <c r="N246" s="167"/>
      <c r="O246" s="167"/>
      <c r="P246" s="167"/>
      <c r="Q246" s="167"/>
      <c r="R246" s="167"/>
      <c r="S246" s="167"/>
      <c r="T246" s="167"/>
      <c r="U246" s="167"/>
      <c r="V246" s="167"/>
      <c r="W246" s="167"/>
      <c r="X246" s="167"/>
      <c r="Y246" s="167"/>
      <c r="Z246" s="167"/>
      <c r="AA246" s="167"/>
      <c r="AB246" s="167"/>
      <c r="AC246" s="167"/>
    </row>
    <row r="247" spans="1:29" x14ac:dyDescent="0.2">
      <c r="A247" s="167"/>
      <c r="B247" s="167"/>
      <c r="C247" s="167"/>
      <c r="D247" s="167"/>
      <c r="E247" s="167"/>
      <c r="F247" s="167"/>
      <c r="G247" s="167"/>
      <c r="H247" s="167"/>
      <c r="I247" s="167"/>
      <c r="J247" s="167"/>
      <c r="K247" s="167"/>
      <c r="L247" s="167"/>
      <c r="M247" s="167"/>
      <c r="N247" s="167"/>
      <c r="O247" s="167"/>
      <c r="P247" s="167"/>
      <c r="Q247" s="167"/>
      <c r="R247" s="167"/>
      <c r="S247" s="167"/>
      <c r="T247" s="167"/>
      <c r="U247" s="167"/>
      <c r="V247" s="167"/>
      <c r="W247" s="167"/>
      <c r="X247" s="167"/>
      <c r="Y247" s="167"/>
      <c r="Z247" s="167"/>
      <c r="AA247" s="167"/>
      <c r="AB247" s="167"/>
      <c r="AC247" s="167"/>
    </row>
    <row r="248" spans="1:29" x14ac:dyDescent="0.2">
      <c r="A248" s="167"/>
      <c r="B248" s="167"/>
      <c r="C248" s="167"/>
      <c r="D248" s="167"/>
      <c r="E248" s="167"/>
      <c r="F248" s="167"/>
      <c r="G248" s="167"/>
      <c r="H248" s="167"/>
      <c r="I248" s="167"/>
      <c r="J248" s="167"/>
      <c r="K248" s="167"/>
      <c r="L248" s="167"/>
      <c r="M248" s="167"/>
      <c r="N248" s="167"/>
      <c r="O248" s="167"/>
      <c r="P248" s="167"/>
      <c r="Q248" s="167"/>
      <c r="R248" s="167"/>
      <c r="S248" s="167"/>
      <c r="T248" s="167"/>
      <c r="U248" s="167"/>
      <c r="V248" s="167"/>
      <c r="W248" s="167"/>
      <c r="X248" s="167"/>
      <c r="Y248" s="167"/>
      <c r="Z248" s="167"/>
      <c r="AA248" s="167"/>
      <c r="AB248" s="167"/>
      <c r="AC248" s="167"/>
    </row>
    <row r="249" spans="1:29" x14ac:dyDescent="0.2">
      <c r="A249" s="167"/>
      <c r="B249" s="167"/>
      <c r="C249" s="167"/>
      <c r="D249" s="167"/>
      <c r="E249" s="167"/>
      <c r="F249" s="167"/>
      <c r="G249" s="167"/>
      <c r="H249" s="167"/>
      <c r="I249" s="167"/>
      <c r="J249" s="167"/>
      <c r="K249" s="167"/>
      <c r="L249" s="167"/>
      <c r="M249" s="167"/>
      <c r="N249" s="167"/>
      <c r="O249" s="167"/>
      <c r="P249" s="167"/>
      <c r="Q249" s="167"/>
      <c r="R249" s="167"/>
      <c r="S249" s="167"/>
      <c r="T249" s="167"/>
      <c r="U249" s="167"/>
      <c r="V249" s="167"/>
      <c r="W249" s="167"/>
      <c r="X249" s="167"/>
      <c r="Y249" s="167"/>
      <c r="Z249" s="167"/>
      <c r="AA249" s="167"/>
      <c r="AB249" s="167"/>
      <c r="AC249" s="167"/>
    </row>
    <row r="250" spans="1:29" x14ac:dyDescent="0.2">
      <c r="A250" s="167"/>
      <c r="B250" s="167"/>
      <c r="C250" s="167"/>
      <c r="D250" s="167"/>
      <c r="E250" s="167"/>
      <c r="F250" s="167"/>
      <c r="G250" s="167"/>
      <c r="H250" s="167"/>
      <c r="I250" s="167"/>
      <c r="J250" s="167"/>
      <c r="K250" s="167"/>
      <c r="L250" s="167"/>
      <c r="M250" s="167"/>
      <c r="N250" s="167"/>
      <c r="O250" s="167"/>
      <c r="P250" s="167"/>
      <c r="Q250" s="167"/>
      <c r="R250" s="167"/>
      <c r="S250" s="167"/>
      <c r="T250" s="167"/>
      <c r="U250" s="167"/>
      <c r="V250" s="167"/>
      <c r="W250" s="167"/>
      <c r="X250" s="167"/>
      <c r="Y250" s="167"/>
      <c r="Z250" s="167"/>
      <c r="AA250" s="167"/>
      <c r="AB250" s="167"/>
      <c r="AC250" s="167"/>
    </row>
    <row r="251" spans="1:29" x14ac:dyDescent="0.2">
      <c r="A251" s="167"/>
      <c r="B251" s="167"/>
      <c r="C251" s="167"/>
      <c r="D251" s="167"/>
      <c r="E251" s="167"/>
      <c r="F251" s="167"/>
      <c r="G251" s="167"/>
      <c r="H251" s="167"/>
      <c r="I251" s="167"/>
      <c r="J251" s="167"/>
      <c r="K251" s="167"/>
      <c r="L251" s="167"/>
      <c r="M251" s="167"/>
      <c r="N251" s="167"/>
      <c r="O251" s="167"/>
      <c r="P251" s="167"/>
      <c r="Q251" s="167"/>
      <c r="R251" s="167"/>
      <c r="S251" s="167"/>
      <c r="T251" s="167"/>
      <c r="U251" s="167"/>
      <c r="V251" s="167"/>
      <c r="W251" s="167"/>
      <c r="X251" s="167"/>
      <c r="Y251" s="167"/>
      <c r="Z251" s="167"/>
      <c r="AA251" s="167"/>
      <c r="AB251" s="167"/>
      <c r="AC251" s="167"/>
    </row>
  </sheetData>
  <sheetProtection algorithmName="SHA-512" hashValue="AOJkFRCa7XSK37HjgpP1Zb2fxTt/k+zMbiJosSrWtZotb/jcpeuTqnBKIKFMhHO6dNCeljtIhN9/hNnkOyckow==" saltValue="PEJKzrBCtEGhLTiBJz/PPw==" spinCount="100000" sheet="1" formatCells="0" selectLockedCells="1"/>
  <mergeCells count="642">
    <mergeCell ref="A1:AC1"/>
    <mergeCell ref="C2:E2"/>
    <mergeCell ref="J2:L2"/>
    <mergeCell ref="P2:AB2"/>
    <mergeCell ref="J3:AB3"/>
    <mergeCell ref="F4:M4"/>
    <mergeCell ref="Y11:AB11"/>
    <mergeCell ref="A12:G12"/>
    <mergeCell ref="H12:J12"/>
    <mergeCell ref="K12:N12"/>
    <mergeCell ref="O12:Q12"/>
    <mergeCell ref="R12:U12"/>
    <mergeCell ref="V12:X12"/>
    <mergeCell ref="Y12:AB12"/>
    <mergeCell ref="W5:AB5"/>
    <mergeCell ref="A6:AB6"/>
    <mergeCell ref="P7:AB7"/>
    <mergeCell ref="A8:AB8"/>
    <mergeCell ref="A10:AB10"/>
    <mergeCell ref="A11:G11"/>
    <mergeCell ref="K11:N11"/>
    <mergeCell ref="O11:Q11"/>
    <mergeCell ref="R11:U11"/>
    <mergeCell ref="V11:X11"/>
    <mergeCell ref="Y13:AB13"/>
    <mergeCell ref="A14:G14"/>
    <mergeCell ref="H14:J14"/>
    <mergeCell ref="K14:N14"/>
    <mergeCell ref="O14:Q14"/>
    <mergeCell ref="R14:U14"/>
    <mergeCell ref="V14:X14"/>
    <mergeCell ref="Y14:AB14"/>
    <mergeCell ref="A13:G13"/>
    <mergeCell ref="H13:J13"/>
    <mergeCell ref="K13:N13"/>
    <mergeCell ref="O13:Q13"/>
    <mergeCell ref="R13:U13"/>
    <mergeCell ref="V13:X13"/>
    <mergeCell ref="Y15:AB15"/>
    <mergeCell ref="A16:G16"/>
    <mergeCell ref="H16:J16"/>
    <mergeCell ref="K16:N16"/>
    <mergeCell ref="O16:Q16"/>
    <mergeCell ref="R16:U16"/>
    <mergeCell ref="V16:X16"/>
    <mergeCell ref="Y16:AB16"/>
    <mergeCell ref="A15:G15"/>
    <mergeCell ref="H15:J15"/>
    <mergeCell ref="K15:N15"/>
    <mergeCell ref="O15:Q15"/>
    <mergeCell ref="R15:U15"/>
    <mergeCell ref="V15:X15"/>
    <mergeCell ref="Y17:AB17"/>
    <mergeCell ref="A18:G18"/>
    <mergeCell ref="H18:J18"/>
    <mergeCell ref="K18:N18"/>
    <mergeCell ref="O18:Q18"/>
    <mergeCell ref="R18:U18"/>
    <mergeCell ref="V18:X18"/>
    <mergeCell ref="Y18:AB18"/>
    <mergeCell ref="A17:G17"/>
    <mergeCell ref="H17:J17"/>
    <mergeCell ref="K17:N17"/>
    <mergeCell ref="O17:Q17"/>
    <mergeCell ref="R17:U17"/>
    <mergeCell ref="V17:X17"/>
    <mergeCell ref="Y19:AB19"/>
    <mergeCell ref="A20:G20"/>
    <mergeCell ref="H20:J20"/>
    <mergeCell ref="K20:N20"/>
    <mergeCell ref="O20:Q20"/>
    <mergeCell ref="R20:U20"/>
    <mergeCell ref="V20:X20"/>
    <mergeCell ref="Y20:AB20"/>
    <mergeCell ref="A19:G19"/>
    <mergeCell ref="H19:J19"/>
    <mergeCell ref="K19:N19"/>
    <mergeCell ref="O19:Q19"/>
    <mergeCell ref="R19:U19"/>
    <mergeCell ref="V19:X19"/>
    <mergeCell ref="Y21:AB21"/>
    <mergeCell ref="A22:G22"/>
    <mergeCell ref="H22:J22"/>
    <mergeCell ref="K22:N22"/>
    <mergeCell ref="O22:Q22"/>
    <mergeCell ref="R22:U22"/>
    <mergeCell ref="V22:X22"/>
    <mergeCell ref="Y22:AB22"/>
    <mergeCell ref="A21:G21"/>
    <mergeCell ref="H21:J21"/>
    <mergeCell ref="K21:N21"/>
    <mergeCell ref="O21:Q21"/>
    <mergeCell ref="R21:U21"/>
    <mergeCell ref="V21:X21"/>
    <mergeCell ref="Q27:R27"/>
    <mergeCell ref="S27:T27"/>
    <mergeCell ref="U27:V27"/>
    <mergeCell ref="W27:X27"/>
    <mergeCell ref="Y27:Z27"/>
    <mergeCell ref="AA27:AB27"/>
    <mergeCell ref="Y23:AB23"/>
    <mergeCell ref="A25:AC25"/>
    <mergeCell ref="A26:A27"/>
    <mergeCell ref="B26:I27"/>
    <mergeCell ref="J26:L27"/>
    <mergeCell ref="M26:R26"/>
    <mergeCell ref="S26:X26"/>
    <mergeCell ref="Y26:AC26"/>
    <mergeCell ref="M27:N27"/>
    <mergeCell ref="O27:P27"/>
    <mergeCell ref="A23:G23"/>
    <mergeCell ref="H23:J23"/>
    <mergeCell ref="K23:N23"/>
    <mergeCell ref="O23:Q23"/>
    <mergeCell ref="R23:U23"/>
    <mergeCell ref="V23:X23"/>
    <mergeCell ref="U28:V28"/>
    <mergeCell ref="W28:X28"/>
    <mergeCell ref="Y28:Z28"/>
    <mergeCell ref="AA28:AB28"/>
    <mergeCell ref="B29:I29"/>
    <mergeCell ref="J29:L29"/>
    <mergeCell ref="M29:N29"/>
    <mergeCell ref="O29:P29"/>
    <mergeCell ref="Q29:R29"/>
    <mergeCell ref="S29:T29"/>
    <mergeCell ref="B28:I28"/>
    <mergeCell ref="J28:L28"/>
    <mergeCell ref="M28:N28"/>
    <mergeCell ref="O28:P28"/>
    <mergeCell ref="Q28:R28"/>
    <mergeCell ref="S28:T28"/>
    <mergeCell ref="U29:V29"/>
    <mergeCell ref="W29:X29"/>
    <mergeCell ref="Y29:Z29"/>
    <mergeCell ref="AA29:AB29"/>
    <mergeCell ref="AA30:AB30"/>
    <mergeCell ref="B31:F31"/>
    <mergeCell ref="J31:L31"/>
    <mergeCell ref="M31:N31"/>
    <mergeCell ref="O31:P31"/>
    <mergeCell ref="Q31:R31"/>
    <mergeCell ref="S31:T31"/>
    <mergeCell ref="U31:V31"/>
    <mergeCell ref="W31:X31"/>
    <mergeCell ref="Y31:Z31"/>
    <mergeCell ref="AA31:AB31"/>
    <mergeCell ref="B30:H30"/>
    <mergeCell ref="J30:L30"/>
    <mergeCell ref="M30:N30"/>
    <mergeCell ref="O30:P30"/>
    <mergeCell ref="Q30:R30"/>
    <mergeCell ref="S30:T30"/>
    <mergeCell ref="U30:V30"/>
    <mergeCell ref="W30:X30"/>
    <mergeCell ref="Y30:Z30"/>
    <mergeCell ref="AA33:AB33"/>
    <mergeCell ref="A35:AC35"/>
    <mergeCell ref="G36:L36"/>
    <mergeCell ref="M36:R36"/>
    <mergeCell ref="S36:W36"/>
    <mergeCell ref="U32:V32"/>
    <mergeCell ref="W32:X32"/>
    <mergeCell ref="Y32:Z32"/>
    <mergeCell ref="AA32:AB32"/>
    <mergeCell ref="B33:G33"/>
    <mergeCell ref="J33:L33"/>
    <mergeCell ref="M33:N33"/>
    <mergeCell ref="O33:P33"/>
    <mergeCell ref="Q33:R33"/>
    <mergeCell ref="S33:T33"/>
    <mergeCell ref="B32:H32"/>
    <mergeCell ref="J32:L32"/>
    <mergeCell ref="M32:N32"/>
    <mergeCell ref="O32:P32"/>
    <mergeCell ref="Q32:R32"/>
    <mergeCell ref="S32:T32"/>
    <mergeCell ref="U33:V33"/>
    <mergeCell ref="W33:X33"/>
    <mergeCell ref="Y33:Z33"/>
    <mergeCell ref="B37:F37"/>
    <mergeCell ref="G37:L37"/>
    <mergeCell ref="M37:R37"/>
    <mergeCell ref="S37:W37"/>
    <mergeCell ref="B38:F38"/>
    <mergeCell ref="G38:H38"/>
    <mergeCell ref="I38:J38"/>
    <mergeCell ref="K38:L38"/>
    <mergeCell ref="M38:N38"/>
    <mergeCell ref="O38:P38"/>
    <mergeCell ref="Q39:R39"/>
    <mergeCell ref="S39:T39"/>
    <mergeCell ref="U39:V39"/>
    <mergeCell ref="W39:X39"/>
    <mergeCell ref="A41:AC41"/>
    <mergeCell ref="A42:C42"/>
    <mergeCell ref="Q42:S42"/>
    <mergeCell ref="Z42:AC42"/>
    <mergeCell ref="Q38:R38"/>
    <mergeCell ref="S38:T38"/>
    <mergeCell ref="U38:V38"/>
    <mergeCell ref="W38:X38"/>
    <mergeCell ref="B39:F39"/>
    <mergeCell ref="G39:H39"/>
    <mergeCell ref="I39:J39"/>
    <mergeCell ref="K39:L39"/>
    <mergeCell ref="M39:N39"/>
    <mergeCell ref="O39:P39"/>
    <mergeCell ref="A45:C45"/>
    <mergeCell ref="D45:H45"/>
    <mergeCell ref="I45:M45"/>
    <mergeCell ref="N45:P45"/>
    <mergeCell ref="Q45:S45"/>
    <mergeCell ref="T45:V45"/>
    <mergeCell ref="W43:Y43"/>
    <mergeCell ref="Z43:AC43"/>
    <mergeCell ref="A44:C44"/>
    <mergeCell ref="D44:H44"/>
    <mergeCell ref="I44:M44"/>
    <mergeCell ref="N44:P44"/>
    <mergeCell ref="Q44:S44"/>
    <mergeCell ref="T44:V44"/>
    <mergeCell ref="W44:Y44"/>
    <mergeCell ref="Z44:AC44"/>
    <mergeCell ref="A43:C43"/>
    <mergeCell ref="D43:H43"/>
    <mergeCell ref="I43:M43"/>
    <mergeCell ref="N43:P43"/>
    <mergeCell ref="Q43:S43"/>
    <mergeCell ref="T43:V43"/>
    <mergeCell ref="W46:Y46"/>
    <mergeCell ref="Z46:AC46"/>
    <mergeCell ref="A47:C47"/>
    <mergeCell ref="D47:H47"/>
    <mergeCell ref="I47:M47"/>
    <mergeCell ref="N47:P47"/>
    <mergeCell ref="Q47:S47"/>
    <mergeCell ref="T47:V47"/>
    <mergeCell ref="W47:Y47"/>
    <mergeCell ref="Z47:AC47"/>
    <mergeCell ref="A46:C46"/>
    <mergeCell ref="D46:H46"/>
    <mergeCell ref="I46:M46"/>
    <mergeCell ref="N46:P46"/>
    <mergeCell ref="Q46:S46"/>
    <mergeCell ref="T46:V46"/>
    <mergeCell ref="W48:Y48"/>
    <mergeCell ref="Z48:AC48"/>
    <mergeCell ref="A49:C49"/>
    <mergeCell ref="D49:H49"/>
    <mergeCell ref="I49:M49"/>
    <mergeCell ref="N49:P49"/>
    <mergeCell ref="Q49:S49"/>
    <mergeCell ref="T49:V49"/>
    <mergeCell ref="W49:Y49"/>
    <mergeCell ref="Z49:AC49"/>
    <mergeCell ref="A48:C48"/>
    <mergeCell ref="D48:H48"/>
    <mergeCell ref="I48:M48"/>
    <mergeCell ref="N48:P48"/>
    <mergeCell ref="Q48:S48"/>
    <mergeCell ref="T48:V48"/>
    <mergeCell ref="A52:A54"/>
    <mergeCell ref="B52:C52"/>
    <mergeCell ref="D52:H52"/>
    <mergeCell ref="I52:M52"/>
    <mergeCell ref="N52:P52"/>
    <mergeCell ref="Q52:S52"/>
    <mergeCell ref="W50:Y50"/>
    <mergeCell ref="Z50:AC50"/>
    <mergeCell ref="A51:C51"/>
    <mergeCell ref="D51:H51"/>
    <mergeCell ref="I51:M51"/>
    <mergeCell ref="N51:P51"/>
    <mergeCell ref="Q51:S51"/>
    <mergeCell ref="T51:V51"/>
    <mergeCell ref="W51:Y51"/>
    <mergeCell ref="Z51:AC51"/>
    <mergeCell ref="A50:C50"/>
    <mergeCell ref="D50:H50"/>
    <mergeCell ref="I50:M50"/>
    <mergeCell ref="N50:P50"/>
    <mergeCell ref="Q50:S50"/>
    <mergeCell ref="T50:V50"/>
    <mergeCell ref="T52:V52"/>
    <mergeCell ref="W52:Y52"/>
    <mergeCell ref="Z52:AC52"/>
    <mergeCell ref="B53:C53"/>
    <mergeCell ref="D53:H53"/>
    <mergeCell ref="I53:M53"/>
    <mergeCell ref="N53:P53"/>
    <mergeCell ref="Q53:S53"/>
    <mergeCell ref="T53:V53"/>
    <mergeCell ref="W53:Y53"/>
    <mergeCell ref="Z53:AC53"/>
    <mergeCell ref="B54:C54"/>
    <mergeCell ref="D54:H54"/>
    <mergeCell ref="I54:M54"/>
    <mergeCell ref="N54:P54"/>
    <mergeCell ref="Q54:S54"/>
    <mergeCell ref="T54:V54"/>
    <mergeCell ref="W54:Y54"/>
    <mergeCell ref="Z54:AC54"/>
    <mergeCell ref="W55:Y55"/>
    <mergeCell ref="Z55:AC55"/>
    <mergeCell ref="A56:C56"/>
    <mergeCell ref="D56:H56"/>
    <mergeCell ref="I56:M56"/>
    <mergeCell ref="N56:P56"/>
    <mergeCell ref="Q56:S56"/>
    <mergeCell ref="T56:V56"/>
    <mergeCell ref="W56:Y56"/>
    <mergeCell ref="Z56:AC56"/>
    <mergeCell ref="A55:C55"/>
    <mergeCell ref="D55:H55"/>
    <mergeCell ref="I55:M55"/>
    <mergeCell ref="N55:P55"/>
    <mergeCell ref="Q55:S55"/>
    <mergeCell ref="T55:V55"/>
    <mergeCell ref="B61:K61"/>
    <mergeCell ref="L61:N61"/>
    <mergeCell ref="O61:Q61"/>
    <mergeCell ref="R61:T61"/>
    <mergeCell ref="U61:W61"/>
    <mergeCell ref="X61:Z61"/>
    <mergeCell ref="W57:Y57"/>
    <mergeCell ref="Z57:AC57"/>
    <mergeCell ref="B59:Z59"/>
    <mergeCell ref="L60:N60"/>
    <mergeCell ref="O60:Q60"/>
    <mergeCell ref="R60:T60"/>
    <mergeCell ref="U60:W60"/>
    <mergeCell ref="X60:Z60"/>
    <mergeCell ref="A57:C57"/>
    <mergeCell ref="D57:H57"/>
    <mergeCell ref="I57:M57"/>
    <mergeCell ref="N57:P57"/>
    <mergeCell ref="Q57:S57"/>
    <mergeCell ref="T57:V57"/>
    <mergeCell ref="X63:Z63"/>
    <mergeCell ref="B64:K64"/>
    <mergeCell ref="L64:N64"/>
    <mergeCell ref="O64:Q64"/>
    <mergeCell ref="R64:T64"/>
    <mergeCell ref="U64:W64"/>
    <mergeCell ref="X64:Z64"/>
    <mergeCell ref="L62:N62"/>
    <mergeCell ref="O62:Q62"/>
    <mergeCell ref="R62:T62"/>
    <mergeCell ref="U62:W62"/>
    <mergeCell ref="X62:Z62"/>
    <mergeCell ref="B63:K63"/>
    <mergeCell ref="L63:N63"/>
    <mergeCell ref="O63:Q63"/>
    <mergeCell ref="R63:T63"/>
    <mergeCell ref="U63:W63"/>
    <mergeCell ref="B66:K66"/>
    <mergeCell ref="L66:N66"/>
    <mergeCell ref="O66:Q66"/>
    <mergeCell ref="R66:T66"/>
    <mergeCell ref="U66:W66"/>
    <mergeCell ref="X66:Z66"/>
    <mergeCell ref="B65:K65"/>
    <mergeCell ref="L65:N65"/>
    <mergeCell ref="O65:Q65"/>
    <mergeCell ref="R65:T65"/>
    <mergeCell ref="U65:W65"/>
    <mergeCell ref="Y65:Z65"/>
    <mergeCell ref="H69:AC69"/>
    <mergeCell ref="A70:AC70"/>
    <mergeCell ref="A71:AC71"/>
    <mergeCell ref="A72:AC72"/>
    <mergeCell ref="A73:AC73"/>
    <mergeCell ref="A74:AC74"/>
    <mergeCell ref="B67:K67"/>
    <mergeCell ref="L67:N67"/>
    <mergeCell ref="O67:Q67"/>
    <mergeCell ref="R67:T67"/>
    <mergeCell ref="U67:W67"/>
    <mergeCell ref="X67:Z67"/>
    <mergeCell ref="A75:Y75"/>
    <mergeCell ref="Z75:AC75"/>
    <mergeCell ref="B76:Y76"/>
    <mergeCell ref="B77:G77"/>
    <mergeCell ref="H77:J77"/>
    <mergeCell ref="K77:M77"/>
    <mergeCell ref="N77:P77"/>
    <mergeCell ref="Q77:S77"/>
    <mergeCell ref="T77:V77"/>
    <mergeCell ref="W77:Y77"/>
    <mergeCell ref="W78:Y78"/>
    <mergeCell ref="B79:G79"/>
    <mergeCell ref="H79:J79"/>
    <mergeCell ref="K79:M79"/>
    <mergeCell ref="N79:P79"/>
    <mergeCell ref="Q79:S79"/>
    <mergeCell ref="T79:V79"/>
    <mergeCell ref="W79:Y79"/>
    <mergeCell ref="B78:G78"/>
    <mergeCell ref="H78:J78"/>
    <mergeCell ref="K78:M78"/>
    <mergeCell ref="N78:P78"/>
    <mergeCell ref="Q78:S78"/>
    <mergeCell ref="T78:V78"/>
    <mergeCell ref="W80:Y80"/>
    <mergeCell ref="B81:G81"/>
    <mergeCell ref="H81:J81"/>
    <mergeCell ref="K81:M81"/>
    <mergeCell ref="N81:P81"/>
    <mergeCell ref="Q81:S81"/>
    <mergeCell ref="T81:V81"/>
    <mergeCell ref="W81:Y81"/>
    <mergeCell ref="B80:G80"/>
    <mergeCell ref="H80:J80"/>
    <mergeCell ref="K80:M80"/>
    <mergeCell ref="N80:P80"/>
    <mergeCell ref="Q80:S80"/>
    <mergeCell ref="T80:V80"/>
    <mergeCell ref="W82:Y82"/>
    <mergeCell ref="B83:G83"/>
    <mergeCell ref="H83:J83"/>
    <mergeCell ref="K83:M83"/>
    <mergeCell ref="N83:P83"/>
    <mergeCell ref="Q83:S83"/>
    <mergeCell ref="T83:V83"/>
    <mergeCell ref="W83:Y83"/>
    <mergeCell ref="B82:G82"/>
    <mergeCell ref="H82:J82"/>
    <mergeCell ref="K82:M82"/>
    <mergeCell ref="N82:P82"/>
    <mergeCell ref="Q82:S82"/>
    <mergeCell ref="T82:V82"/>
    <mergeCell ref="W84:Y84"/>
    <mergeCell ref="B85:G85"/>
    <mergeCell ref="H85:J85"/>
    <mergeCell ref="K85:M85"/>
    <mergeCell ref="N85:P85"/>
    <mergeCell ref="Q85:S85"/>
    <mergeCell ref="T85:V85"/>
    <mergeCell ref="W85:Y85"/>
    <mergeCell ref="B84:G84"/>
    <mergeCell ref="H84:J84"/>
    <mergeCell ref="K84:M84"/>
    <mergeCell ref="N84:P84"/>
    <mergeCell ref="Q84:S84"/>
    <mergeCell ref="T84:V84"/>
    <mergeCell ref="W86:Y86"/>
    <mergeCell ref="B87:G87"/>
    <mergeCell ref="H87:J87"/>
    <mergeCell ref="K87:M87"/>
    <mergeCell ref="N87:P87"/>
    <mergeCell ref="Q87:S87"/>
    <mergeCell ref="T87:V87"/>
    <mergeCell ref="W87:Y87"/>
    <mergeCell ref="B86:G86"/>
    <mergeCell ref="H86:J86"/>
    <mergeCell ref="K86:M86"/>
    <mergeCell ref="N86:P86"/>
    <mergeCell ref="Q86:S86"/>
    <mergeCell ref="T86:V86"/>
    <mergeCell ref="W88:Y88"/>
    <mergeCell ref="B89:G89"/>
    <mergeCell ref="H89:J89"/>
    <mergeCell ref="K89:M89"/>
    <mergeCell ref="N89:P89"/>
    <mergeCell ref="Q89:S89"/>
    <mergeCell ref="T89:V89"/>
    <mergeCell ref="W89:Y89"/>
    <mergeCell ref="B88:G88"/>
    <mergeCell ref="H88:J88"/>
    <mergeCell ref="K88:M88"/>
    <mergeCell ref="N88:P88"/>
    <mergeCell ref="Q88:S88"/>
    <mergeCell ref="T88:V88"/>
    <mergeCell ref="W90:Y90"/>
    <mergeCell ref="B91:G91"/>
    <mergeCell ref="H91:J91"/>
    <mergeCell ref="K91:M91"/>
    <mergeCell ref="N91:P91"/>
    <mergeCell ref="Q91:S91"/>
    <mergeCell ref="T91:V91"/>
    <mergeCell ref="W91:Y91"/>
    <mergeCell ref="B90:G90"/>
    <mergeCell ref="H90:J90"/>
    <mergeCell ref="K90:M90"/>
    <mergeCell ref="N90:P90"/>
    <mergeCell ref="Q90:S90"/>
    <mergeCell ref="T90:V90"/>
    <mergeCell ref="E93:Y93"/>
    <mergeCell ref="H94:M94"/>
    <mergeCell ref="N94:P94"/>
    <mergeCell ref="Q94:V94"/>
    <mergeCell ref="W94:Y94"/>
    <mergeCell ref="H95:M95"/>
    <mergeCell ref="N95:P95"/>
    <mergeCell ref="Q95:V95"/>
    <mergeCell ref="W95:Y95"/>
    <mergeCell ref="E96:G96"/>
    <mergeCell ref="H96:M96"/>
    <mergeCell ref="N96:P96"/>
    <mergeCell ref="Q96:V96"/>
    <mergeCell ref="W96:Y96"/>
    <mergeCell ref="E97:G97"/>
    <mergeCell ref="H97:J97"/>
    <mergeCell ref="K97:M97"/>
    <mergeCell ref="N97:P97"/>
    <mergeCell ref="Q97:S97"/>
    <mergeCell ref="T97:V97"/>
    <mergeCell ref="W97:Y97"/>
    <mergeCell ref="E98:G98"/>
    <mergeCell ref="H98:J98"/>
    <mergeCell ref="K98:M100"/>
    <mergeCell ref="N98:P98"/>
    <mergeCell ref="Q98:S98"/>
    <mergeCell ref="T98:V100"/>
    <mergeCell ref="W98:Y98"/>
    <mergeCell ref="E99:G99"/>
    <mergeCell ref="H99:J99"/>
    <mergeCell ref="N99:P99"/>
    <mergeCell ref="Q99:S99"/>
    <mergeCell ref="W99:Y99"/>
    <mergeCell ref="E100:G100"/>
    <mergeCell ref="H100:J100"/>
    <mergeCell ref="N100:P100"/>
    <mergeCell ref="Q100:S100"/>
    <mergeCell ref="W100:Y100"/>
    <mergeCell ref="W101:Y101"/>
    <mergeCell ref="E102:G102"/>
    <mergeCell ref="H102:J102"/>
    <mergeCell ref="N102:P102"/>
    <mergeCell ref="Q102:S102"/>
    <mergeCell ref="W102:Y102"/>
    <mergeCell ref="E101:G101"/>
    <mergeCell ref="H101:J101"/>
    <mergeCell ref="K101:M103"/>
    <mergeCell ref="N101:P101"/>
    <mergeCell ref="Q101:S101"/>
    <mergeCell ref="T101:V103"/>
    <mergeCell ref="E103:G103"/>
    <mergeCell ref="H103:J103"/>
    <mergeCell ref="N103:P103"/>
    <mergeCell ref="Q103:S103"/>
    <mergeCell ref="N105:P105"/>
    <mergeCell ref="Q105:S105"/>
    <mergeCell ref="W105:Y105"/>
    <mergeCell ref="E106:G106"/>
    <mergeCell ref="H106:J106"/>
    <mergeCell ref="N106:P106"/>
    <mergeCell ref="Q106:S106"/>
    <mergeCell ref="W106:Y106"/>
    <mergeCell ref="W103:Y103"/>
    <mergeCell ref="E104:G104"/>
    <mergeCell ref="H104:J104"/>
    <mergeCell ref="K104:M106"/>
    <mergeCell ref="N104:P104"/>
    <mergeCell ref="Q104:S104"/>
    <mergeCell ref="T104:V106"/>
    <mergeCell ref="W104:Y104"/>
    <mergeCell ref="E105:G105"/>
    <mergeCell ref="H105:J105"/>
    <mergeCell ref="W107:Y107"/>
    <mergeCell ref="E108:G108"/>
    <mergeCell ref="H108:J108"/>
    <mergeCell ref="N108:P108"/>
    <mergeCell ref="Q108:S108"/>
    <mergeCell ref="W108:Y108"/>
    <mergeCell ref="E107:G107"/>
    <mergeCell ref="H107:J107"/>
    <mergeCell ref="K107:M109"/>
    <mergeCell ref="N107:P107"/>
    <mergeCell ref="Q107:S107"/>
    <mergeCell ref="T107:V109"/>
    <mergeCell ref="E109:G109"/>
    <mergeCell ref="H109:J109"/>
    <mergeCell ref="N109:P109"/>
    <mergeCell ref="Q109:S109"/>
    <mergeCell ref="N111:P111"/>
    <mergeCell ref="Q111:S111"/>
    <mergeCell ref="W111:Y111"/>
    <mergeCell ref="E112:G112"/>
    <mergeCell ref="H112:J112"/>
    <mergeCell ref="N112:P112"/>
    <mergeCell ref="Q112:S112"/>
    <mergeCell ref="W112:Y112"/>
    <mergeCell ref="W109:Y109"/>
    <mergeCell ref="E110:G110"/>
    <mergeCell ref="H110:J110"/>
    <mergeCell ref="K110:M112"/>
    <mergeCell ref="N110:P110"/>
    <mergeCell ref="Q110:S110"/>
    <mergeCell ref="T110:V112"/>
    <mergeCell ref="W110:Y110"/>
    <mergeCell ref="E111:G111"/>
    <mergeCell ref="H111:J111"/>
    <mergeCell ref="W113:Y113"/>
    <mergeCell ref="E114:G114"/>
    <mergeCell ref="H114:J114"/>
    <mergeCell ref="N114:P114"/>
    <mergeCell ref="Q114:S114"/>
    <mergeCell ref="W114:Y114"/>
    <mergeCell ref="E113:G113"/>
    <mergeCell ref="H113:J113"/>
    <mergeCell ref="K113:M114"/>
    <mergeCell ref="N113:P113"/>
    <mergeCell ref="Q113:S113"/>
    <mergeCell ref="T113:V114"/>
    <mergeCell ref="C117:AB117"/>
    <mergeCell ref="G118:AB118"/>
    <mergeCell ref="G119:AB119"/>
    <mergeCell ref="B120:E120"/>
    <mergeCell ref="F120:G120"/>
    <mergeCell ref="I120:AB140"/>
    <mergeCell ref="B121:E121"/>
    <mergeCell ref="F121:G121"/>
    <mergeCell ref="B122:E122"/>
    <mergeCell ref="F122:G122"/>
    <mergeCell ref="C146:F146"/>
    <mergeCell ref="G146:H146"/>
    <mergeCell ref="C147:F147"/>
    <mergeCell ref="G147:H147"/>
    <mergeCell ref="C148:F148"/>
    <mergeCell ref="G148:H148"/>
    <mergeCell ref="B123:E123"/>
    <mergeCell ref="F123:G123"/>
    <mergeCell ref="B124:E124"/>
    <mergeCell ref="F124:G124"/>
    <mergeCell ref="C142:AB142"/>
    <mergeCell ref="C145:F145"/>
    <mergeCell ref="G145:H145"/>
    <mergeCell ref="A162:AC162"/>
    <mergeCell ref="A163:AC163"/>
    <mergeCell ref="A164:AC164"/>
    <mergeCell ref="A165:AC165"/>
    <mergeCell ref="A166:AC166"/>
    <mergeCell ref="A167:X167"/>
    <mergeCell ref="Y167:AC167"/>
    <mergeCell ref="C149:F149"/>
    <mergeCell ref="G149:H149"/>
    <mergeCell ref="I158:AC158"/>
    <mergeCell ref="A159:AC159"/>
    <mergeCell ref="A160:AC160"/>
    <mergeCell ref="A161:AC161"/>
  </mergeCells>
  <conditionalFormatting sqref="B79:G79">
    <cfRule type="cellIs" dxfId="14" priority="9" operator="equal">
      <formula>0</formula>
    </cfRule>
  </conditionalFormatting>
  <conditionalFormatting sqref="B63:K67">
    <cfRule type="containsErrors" dxfId="13" priority="14" stopIfTrue="1">
      <formula>ISERROR(B63)</formula>
    </cfRule>
  </conditionalFormatting>
  <conditionalFormatting sqref="D47:M52 D53:H53 D54:M57">
    <cfRule type="cellIs" dxfId="12" priority="12" operator="equal">
      <formula>0</formula>
    </cfRule>
  </conditionalFormatting>
  <conditionalFormatting sqref="G39:X39">
    <cfRule type="containsErrors" dxfId="11" priority="7">
      <formula>ISERROR(G39)</formula>
    </cfRule>
  </conditionalFormatting>
  <conditionalFormatting sqref="H81:M81 Q81:S81 W81:Y81 H82:Y91">
    <cfRule type="cellIs" dxfId="10" priority="11" operator="equal">
      <formula>0</formula>
    </cfRule>
  </conditionalFormatting>
  <conditionalFormatting sqref="I52:M54">
    <cfRule type="containsErrors" dxfId="9" priority="8">
      <formula>ISERROR(I52)</formula>
    </cfRule>
  </conditionalFormatting>
  <conditionalFormatting sqref="I53:M54">
    <cfRule type="cellIs" dxfId="8" priority="6" operator="equal">
      <formula>0</formula>
    </cfRule>
  </conditionalFormatting>
  <conditionalFormatting sqref="J2">
    <cfRule type="cellIs" dxfId="7" priority="1" operator="equal">
      <formula>0</formula>
    </cfRule>
  </conditionalFormatting>
  <conditionalFormatting sqref="K98:M116 T98:V116">
    <cfRule type="cellIs" dxfId="6" priority="4" operator="equal">
      <formula>0</formula>
    </cfRule>
  </conditionalFormatting>
  <conditionalFormatting sqref="K141:M141 T141:V141">
    <cfRule type="cellIs" dxfId="5" priority="3" operator="equal">
      <formula>0</formula>
    </cfRule>
  </conditionalFormatting>
  <conditionalFormatting sqref="K143:M156 T143:V156">
    <cfRule type="cellIs" dxfId="4" priority="2" operator="equal">
      <formula>0</formula>
    </cfRule>
  </conditionalFormatting>
  <conditionalFormatting sqref="N47:Y57">
    <cfRule type="cellIs" dxfId="3" priority="13" operator="equal">
      <formula>0</formula>
    </cfRule>
  </conditionalFormatting>
  <conditionalFormatting sqref="P2 F4:M4">
    <cfRule type="cellIs" dxfId="2" priority="10" operator="equal">
      <formula>0</formula>
    </cfRule>
  </conditionalFormatting>
  <conditionalFormatting sqref="W50:Y50">
    <cfRule type="cellIs" dxfId="1" priority="5" operator="equal">
      <formula>0</formula>
    </cfRule>
  </conditionalFormatting>
  <dataValidations disablePrompts="1" count="2">
    <dataValidation type="list" allowBlank="1" showInputMessage="1" showErrorMessage="1" sqref="F120:G123" xr:uid="{9D488283-B255-430F-B643-B9AAED30B3A9}">
      <formula1>$AF$115:$AF$118</formula1>
    </dataValidation>
    <dataValidation type="list" allowBlank="1" showInputMessage="1" showErrorMessage="1" sqref="G145:H148" xr:uid="{5EC4A378-62AA-4A5E-947C-DE009AFC6577}">
      <formula1>$AG$125:$AG$131</formula1>
    </dataValidation>
  </dataValidations>
  <printOptions horizontalCentered="1" verticalCentered="1"/>
  <pageMargins left="0" right="0" top="0" bottom="0" header="0" footer="0"/>
  <pageSetup scale="75" orientation="portrait" r:id="rId1"/>
  <headerFooter alignWithMargins="0">
    <oddFooter>Page &amp;P of &amp;N</oddFooter>
  </headerFooter>
  <rowBreaks count="1" manualBreakCount="1">
    <brk id="75" max="2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4C65-7EE8-4ED7-925D-A03E0B1F87AE}">
  <sheetPr codeName="Sheet11"/>
  <dimension ref="A1:G31"/>
  <sheetViews>
    <sheetView zoomScale="137" workbookViewId="0">
      <selection activeCell="A15" sqref="A15"/>
    </sheetView>
  </sheetViews>
  <sheetFormatPr defaultRowHeight="12.75" x14ac:dyDescent="0.2"/>
  <cols>
    <col min="1" max="1" width="47.7109375" bestFit="1" customWidth="1"/>
    <col min="2" max="3" width="13.28515625" customWidth="1"/>
    <col min="4" max="4" width="12.85546875" bestFit="1" customWidth="1"/>
    <col min="5" max="5" width="13.42578125" bestFit="1" customWidth="1"/>
  </cols>
  <sheetData>
    <row r="1" spans="1:7" x14ac:dyDescent="0.2">
      <c r="B1" s="321" t="s">
        <v>4681</v>
      </c>
      <c r="C1" s="321"/>
      <c r="D1" s="321"/>
      <c r="E1" s="321"/>
    </row>
    <row r="2" spans="1:7" x14ac:dyDescent="0.2">
      <c r="B2" s="321" t="s">
        <v>180</v>
      </c>
      <c r="C2" s="316"/>
      <c r="D2" s="321" t="s">
        <v>195</v>
      </c>
      <c r="E2" s="316"/>
      <c r="F2" s="321" t="s">
        <v>4682</v>
      </c>
      <c r="G2" s="321"/>
    </row>
    <row r="3" spans="1:7" x14ac:dyDescent="0.2">
      <c r="A3" s="4" t="s">
        <v>4678</v>
      </c>
      <c r="B3" s="4"/>
      <c r="C3" s="4"/>
      <c r="D3" s="197" t="s">
        <v>4679</v>
      </c>
      <c r="E3" s="197" t="s">
        <v>4680</v>
      </c>
      <c r="F3" s="4" t="s">
        <v>4679</v>
      </c>
      <c r="G3" s="4" t="s">
        <v>4680</v>
      </c>
    </row>
    <row r="4" spans="1:7" x14ac:dyDescent="0.2">
      <c r="A4" s="4" t="s">
        <v>5013</v>
      </c>
      <c r="B4" s="4"/>
      <c r="C4" s="4"/>
      <c r="D4" s="197"/>
      <c r="E4" s="197"/>
      <c r="F4" s="4"/>
      <c r="G4" s="4"/>
    </row>
    <row r="5" spans="1:7" x14ac:dyDescent="0.2">
      <c r="A5" s="4" t="s">
        <v>3158</v>
      </c>
      <c r="B5" s="1">
        <v>0</v>
      </c>
      <c r="C5" s="1" t="str">
        <f>E5</f>
        <v/>
      </c>
      <c r="D5" s="1">
        <v>0</v>
      </c>
      <c r="E5" s="1" t="str">
        <f>IF([2]CMDS!$E$31&lt;&gt;"",0.44*0.9706,IF([2]CMDS!$E$32&lt;&gt;"",0.45,""))</f>
        <v/>
      </c>
      <c r="F5" s="4">
        <v>1.25</v>
      </c>
      <c r="G5">
        <v>6</v>
      </c>
    </row>
    <row r="6" spans="1:7" x14ac:dyDescent="0.2">
      <c r="A6" s="4" t="s">
        <v>3159</v>
      </c>
      <c r="B6" s="1">
        <v>0</v>
      </c>
      <c r="C6" s="1" t="str">
        <f>E6</f>
        <v/>
      </c>
      <c r="D6" s="1">
        <v>0</v>
      </c>
      <c r="E6" s="1" t="str">
        <f>IF([2]CMDS!$E$31&lt;&gt;"",0.44*0.9706,IF([2]CMDS!$E$32&lt;&gt;"",0.45,""))</f>
        <v/>
      </c>
      <c r="F6" s="4">
        <v>1.25</v>
      </c>
      <c r="G6">
        <v>6</v>
      </c>
    </row>
    <row r="7" spans="1:7" x14ac:dyDescent="0.2">
      <c r="A7" s="4" t="s">
        <v>3160</v>
      </c>
      <c r="B7" s="1">
        <v>0.34</v>
      </c>
      <c r="C7" s="1">
        <v>0.435</v>
      </c>
      <c r="D7" s="1">
        <v>0.34</v>
      </c>
      <c r="E7" s="1">
        <v>0.435</v>
      </c>
      <c r="F7">
        <v>2</v>
      </c>
      <c r="G7">
        <v>6</v>
      </c>
    </row>
    <row r="8" spans="1:7" x14ac:dyDescent="0.2">
      <c r="A8" s="4" t="s">
        <v>3161</v>
      </c>
      <c r="B8" s="1">
        <v>0.34</v>
      </c>
      <c r="C8" s="1">
        <v>0.435</v>
      </c>
      <c r="D8" s="1">
        <v>0.34</v>
      </c>
      <c r="E8" s="1">
        <v>0.435</v>
      </c>
      <c r="F8">
        <v>1.25</v>
      </c>
      <c r="G8">
        <v>3</v>
      </c>
    </row>
    <row r="9" spans="1:7" x14ac:dyDescent="0.2">
      <c r="A9" s="4" t="s">
        <v>3162</v>
      </c>
      <c r="B9" s="1">
        <v>0.34</v>
      </c>
      <c r="C9" s="1">
        <f>E9</f>
        <v>0.4</v>
      </c>
      <c r="D9" s="1">
        <v>0.34</v>
      </c>
      <c r="E9" s="1">
        <f>IF(OR([2]CMDS!$U$15="Type III Cement",[2]CMDS!$U$15="Type CSA Cement"),0.435,0.4)</f>
        <v>0.4</v>
      </c>
      <c r="F9">
        <v>2</v>
      </c>
      <c r="G9">
        <v>6</v>
      </c>
    </row>
    <row r="10" spans="1:7" x14ac:dyDescent="0.2">
      <c r="A10" s="4" t="s">
        <v>4683</v>
      </c>
      <c r="B10" s="1">
        <v>0.34</v>
      </c>
      <c r="C10" s="1">
        <f>E10</f>
        <v>0.4</v>
      </c>
      <c r="D10" s="1">
        <v>0.34</v>
      </c>
      <c r="E10" s="1">
        <f>IF(OR([2]CMDS!$U$15="Type III Cement",[2]CMDS!$U$15="Type CSA Cement"),0.435,0.4)</f>
        <v>0.4</v>
      </c>
      <c r="F10">
        <v>2</v>
      </c>
      <c r="G10">
        <v>6</v>
      </c>
    </row>
    <row r="11" spans="1:7" x14ac:dyDescent="0.2">
      <c r="A11" s="4" t="s">
        <v>3163</v>
      </c>
      <c r="B11" s="1">
        <v>0.34</v>
      </c>
      <c r="C11" s="1">
        <f>E11</f>
        <v>0.4</v>
      </c>
      <c r="D11" s="1">
        <v>0.34</v>
      </c>
      <c r="E11" s="1">
        <f>IF(OR([2]CMDS!$U$15="Type III Cement",[2]CMDS!$U$15="Type CSA Cement"),0.435,0.4)</f>
        <v>0.4</v>
      </c>
      <c r="F11">
        <v>2</v>
      </c>
      <c r="G11">
        <v>6</v>
      </c>
    </row>
    <row r="12" spans="1:7" x14ac:dyDescent="0.2">
      <c r="A12" s="4" t="s">
        <v>4666</v>
      </c>
      <c r="B12" s="1">
        <f>0.38/0.9706</f>
        <v>0.3915104059344735</v>
      </c>
      <c r="C12" s="1">
        <f>0.45*0.9706</f>
        <v>0.43676999999999999</v>
      </c>
      <c r="D12" s="1">
        <f>0.38/0.9706</f>
        <v>0.3915104059344735</v>
      </c>
      <c r="E12" s="1">
        <f>0.45*0.9706</f>
        <v>0.43676999999999999</v>
      </c>
      <c r="F12">
        <v>1</v>
      </c>
      <c r="G12">
        <v>6</v>
      </c>
    </row>
    <row r="13" spans="1:7" x14ac:dyDescent="0.2">
      <c r="A13" s="4" t="s">
        <v>4672</v>
      </c>
      <c r="B13" s="1">
        <f>0.36/0.9706</f>
        <v>0.37090459509581702</v>
      </c>
      <c r="C13" s="1">
        <f>0.45*0.9706</f>
        <v>0.43676999999999999</v>
      </c>
      <c r="D13" s="1">
        <f>0.36/0.9706</f>
        <v>0.37090459509581702</v>
      </c>
      <c r="E13" s="1">
        <f>0.45*0.9706</f>
        <v>0.43676999999999999</v>
      </c>
      <c r="F13">
        <v>1</v>
      </c>
      <c r="G13">
        <v>2.5</v>
      </c>
    </row>
    <row r="14" spans="1:7" x14ac:dyDescent="0.2">
      <c r="A14" s="4" t="s">
        <v>4667</v>
      </c>
      <c r="B14" s="1">
        <f>0.4/0.9706</f>
        <v>0.41211621677313004</v>
      </c>
      <c r="C14" s="1">
        <v>0.60099999999999998</v>
      </c>
      <c r="D14" s="1">
        <f>0.4/0.9706</f>
        <v>0.41211621677313004</v>
      </c>
      <c r="E14" s="1">
        <v>0.60099999999999998</v>
      </c>
      <c r="F14">
        <v>1</v>
      </c>
      <c r="G14">
        <v>6</v>
      </c>
    </row>
    <row r="15" spans="1:7" x14ac:dyDescent="0.2">
      <c r="A15" s="4" t="s">
        <v>4668</v>
      </c>
      <c r="B15" s="1">
        <f>0.38/0.9706</f>
        <v>0.3915104059344735</v>
      </c>
      <c r="C15" s="1">
        <f>0.443*0.9706</f>
        <v>0.42997580000000002</v>
      </c>
      <c r="D15" s="1">
        <f>0.38/0.9706</f>
        <v>0.3915104059344735</v>
      </c>
      <c r="E15" s="1">
        <f>0.443*0.9706</f>
        <v>0.42997580000000002</v>
      </c>
      <c r="F15">
        <v>1</v>
      </c>
      <c r="G15">
        <v>6</v>
      </c>
    </row>
    <row r="16" spans="1:7" x14ac:dyDescent="0.2">
      <c r="A16" s="4" t="s">
        <v>4669</v>
      </c>
      <c r="B16" s="1">
        <f>0.38/0.9706</f>
        <v>0.3915104059344735</v>
      </c>
      <c r="C16" s="1">
        <f>0.443*0.9706</f>
        <v>0.42997580000000002</v>
      </c>
      <c r="D16" s="1">
        <f>0.38/0.9706</f>
        <v>0.3915104059344735</v>
      </c>
      <c r="E16" s="1">
        <f>0.443*0.9706</f>
        <v>0.42997580000000002</v>
      </c>
      <c r="F16">
        <v>1</v>
      </c>
      <c r="G16">
        <v>6</v>
      </c>
    </row>
    <row r="17" spans="1:7" x14ac:dyDescent="0.2">
      <c r="A17" s="4" t="s">
        <v>4670</v>
      </c>
      <c r="B17" s="1">
        <f>0.36/0.9706</f>
        <v>0.37090459509581702</v>
      </c>
      <c r="C17" s="1">
        <f>0.443*0.9706</f>
        <v>0.42997580000000002</v>
      </c>
      <c r="D17" s="1">
        <f>0.36/0.9706</f>
        <v>0.37090459509581702</v>
      </c>
      <c r="E17" s="1">
        <f>0.443*0.9706</f>
        <v>0.42997580000000002</v>
      </c>
      <c r="F17">
        <v>1</v>
      </c>
      <c r="G17">
        <v>2.5</v>
      </c>
    </row>
    <row r="18" spans="1:7" x14ac:dyDescent="0.2">
      <c r="A18" s="4" t="s">
        <v>4684</v>
      </c>
      <c r="B18" s="1">
        <f>0.38/0.9706</f>
        <v>0.3915104059344735</v>
      </c>
      <c r="C18" s="1">
        <f>0.44*0.9706</f>
        <v>0.427064</v>
      </c>
      <c r="D18" s="1">
        <f>0.42/0.9706</f>
        <v>0.43272202761178652</v>
      </c>
      <c r="E18" s="1">
        <f>0.48*0.9706</f>
        <v>0.46588799999999997</v>
      </c>
      <c r="F18">
        <v>3</v>
      </c>
      <c r="G18">
        <v>7</v>
      </c>
    </row>
    <row r="19" spans="1:7" x14ac:dyDescent="0.2">
      <c r="A19" s="4" t="s">
        <v>4685</v>
      </c>
      <c r="B19" s="1">
        <f>0.38/0.9706</f>
        <v>0.3915104059344735</v>
      </c>
      <c r="C19" s="1">
        <f>0.48*0.9706</f>
        <v>0.46588799999999997</v>
      </c>
      <c r="D19" s="1">
        <f>0.38/0.9706</f>
        <v>0.3915104059344735</v>
      </c>
      <c r="E19" s="1">
        <f>0.48*0.9706</f>
        <v>0.46588799999999997</v>
      </c>
      <c r="F19">
        <v>1</v>
      </c>
      <c r="G19">
        <v>2.5</v>
      </c>
    </row>
    <row r="20" spans="1:7" x14ac:dyDescent="0.2">
      <c r="A20" s="4" t="s">
        <v>4686</v>
      </c>
      <c r="B20" s="1">
        <f>0.38/0.9706</f>
        <v>0.3915104059344735</v>
      </c>
      <c r="C20" s="1">
        <f>0.44*0.9706</f>
        <v>0.427064</v>
      </c>
      <c r="D20" s="1">
        <f>0.42/0.9706</f>
        <v>0.43272202761178652</v>
      </c>
      <c r="E20" s="1">
        <f>0.48*0.9706</f>
        <v>0.46588799999999997</v>
      </c>
      <c r="F20">
        <v>3</v>
      </c>
      <c r="G20">
        <v>7</v>
      </c>
    </row>
    <row r="21" spans="1:7" x14ac:dyDescent="0.2">
      <c r="A21" s="4" t="s">
        <v>4687</v>
      </c>
      <c r="B21" s="1">
        <f>0.38/0.9706</f>
        <v>0.3915104059344735</v>
      </c>
      <c r="C21" s="1">
        <f>0.48*0.9706</f>
        <v>0.46588799999999997</v>
      </c>
      <c r="D21" s="1">
        <f>0.38/0.9706</f>
        <v>0.3915104059344735</v>
      </c>
      <c r="E21" s="1">
        <f>0.48*0.9706</f>
        <v>0.46588799999999997</v>
      </c>
      <c r="F21">
        <v>1</v>
      </c>
      <c r="G21">
        <v>2.5</v>
      </c>
    </row>
    <row r="22" spans="1:7" x14ac:dyDescent="0.2">
      <c r="A22" s="4" t="s">
        <v>3164</v>
      </c>
      <c r="B22" s="1">
        <f>0.37/0.9706</f>
        <v>0.38120750051514524</v>
      </c>
      <c r="C22" s="1">
        <f>0.4*0.9706</f>
        <v>0.38824000000000003</v>
      </c>
      <c r="D22" s="1">
        <f>0.37/0.9706</f>
        <v>0.38120750051514524</v>
      </c>
      <c r="E22" s="1">
        <f>0.4*0.9706</f>
        <v>0.38824000000000003</v>
      </c>
      <c r="F22">
        <v>4.5</v>
      </c>
      <c r="G22">
        <v>7.5</v>
      </c>
    </row>
    <row r="23" spans="1:7" x14ac:dyDescent="0.2">
      <c r="A23" s="4" t="s">
        <v>4688</v>
      </c>
      <c r="B23" s="1">
        <f>0.4/0.9706</f>
        <v>0.41211621677313004</v>
      </c>
      <c r="C23" s="1">
        <f>0.45*0.9706</f>
        <v>0.43676999999999999</v>
      </c>
      <c r="D23" s="1">
        <f>0.44/0.9706</f>
        <v>0.453327838450443</v>
      </c>
      <c r="E23" s="1">
        <f>0.49*0.9706</f>
        <v>0.47559400000000002</v>
      </c>
      <c r="F23">
        <v>5</v>
      </c>
      <c r="G23">
        <v>8</v>
      </c>
    </row>
    <row r="24" spans="1:7" x14ac:dyDescent="0.2">
      <c r="A24" s="4" t="s">
        <v>4671</v>
      </c>
      <c r="B24" s="1">
        <f>0.38/0.9706</f>
        <v>0.3915104059344735</v>
      </c>
      <c r="C24" s="1">
        <f>0.45*0.9706</f>
        <v>0.43676999999999999</v>
      </c>
      <c r="D24" s="1">
        <f>0.38/0.9706</f>
        <v>0.3915104059344735</v>
      </c>
      <c r="E24" s="1">
        <f>0.45*0.9706</f>
        <v>0.43676999999999999</v>
      </c>
      <c r="F24">
        <v>1</v>
      </c>
      <c r="G24">
        <v>6</v>
      </c>
    </row>
    <row r="25" spans="1:7" x14ac:dyDescent="0.2">
      <c r="A25" s="4" t="s">
        <v>185</v>
      </c>
      <c r="B25" s="1">
        <v>0</v>
      </c>
      <c r="C25" s="20">
        <v>0.45</v>
      </c>
      <c r="D25" s="1">
        <v>0</v>
      </c>
      <c r="E25" s="20">
        <v>0.45</v>
      </c>
      <c r="F25">
        <v>7</v>
      </c>
      <c r="G25">
        <v>9</v>
      </c>
    </row>
    <row r="26" spans="1:7" x14ac:dyDescent="0.2">
      <c r="A26" s="4" t="s">
        <v>4665</v>
      </c>
      <c r="B26" s="1">
        <v>0</v>
      </c>
      <c r="C26" s="1">
        <v>2</v>
      </c>
      <c r="D26" s="1">
        <v>0</v>
      </c>
      <c r="E26" s="1">
        <v>2</v>
      </c>
      <c r="F26">
        <v>0</v>
      </c>
      <c r="G26">
        <v>12</v>
      </c>
    </row>
    <row r="31" spans="1:7" x14ac:dyDescent="0.2">
      <c r="A31" s="251"/>
      <c r="B31" s="251"/>
      <c r="C31" s="251"/>
    </row>
  </sheetData>
  <sheetProtection algorithmName="SHA-512" hashValue="KzbiNlDxJEDCiRkYLWut7JnkM/n73PP4dtP4gnk+57Lpa/NA4xNB8KlicveemJCMqd4RQKsI5kweMbzmT8B33Q==" saltValue="+lO1T0Ykn2aAuULDFr42SQ==" spinCount="100000" sheet="1" objects="1" scenarios="1"/>
  <mergeCells count="4">
    <mergeCell ref="F2:G2"/>
    <mergeCell ref="D2:E2"/>
    <mergeCell ref="B2:C2"/>
    <mergeCell ref="B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C48"/>
  <sheetViews>
    <sheetView topLeftCell="A4" workbookViewId="0">
      <selection activeCell="L18" sqref="L18"/>
    </sheetView>
  </sheetViews>
  <sheetFormatPr defaultRowHeight="12.75" x14ac:dyDescent="0.2"/>
  <cols>
    <col min="1" max="5" width="3.28515625" customWidth="1"/>
    <col min="6" max="6" width="8.140625" customWidth="1"/>
    <col min="7" max="7" width="3.28515625" customWidth="1"/>
    <col min="8" max="8" width="3.5703125" bestFit="1" customWidth="1"/>
    <col min="9" max="30" width="3.28515625" customWidth="1"/>
  </cols>
  <sheetData>
    <row r="1" spans="1:29" x14ac:dyDescent="0.2">
      <c r="A1" s="316" t="s">
        <v>373</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row>
    <row r="3" spans="1:29" x14ac:dyDescent="0.2">
      <c r="A3" s="522">
        <f>CMDS!E30</f>
        <v>0</v>
      </c>
      <c r="B3" s="522"/>
      <c r="C3" t="s">
        <v>374</v>
      </c>
      <c r="J3">
        <f>IF(A3=0,0,1)</f>
        <v>0</v>
      </c>
    </row>
    <row r="4" spans="1:29" x14ac:dyDescent="0.2">
      <c r="A4" s="522">
        <f>CMDS!E31</f>
        <v>0</v>
      </c>
      <c r="B4" s="522"/>
      <c r="C4" t="s">
        <v>375</v>
      </c>
      <c r="J4">
        <f>IF(A4=0,0,1)</f>
        <v>0</v>
      </c>
    </row>
    <row r="5" spans="1:29" x14ac:dyDescent="0.2">
      <c r="A5" s="522">
        <f>CMDS!E32</f>
        <v>0</v>
      </c>
      <c r="B5" s="522"/>
      <c r="C5" t="s">
        <v>376</v>
      </c>
      <c r="J5">
        <f>IF(A5=0,0,1)</f>
        <v>0</v>
      </c>
    </row>
    <row r="6" spans="1:29" x14ac:dyDescent="0.2">
      <c r="A6" s="522">
        <f>CMDS!E33</f>
        <v>0</v>
      </c>
      <c r="B6" s="522"/>
      <c r="C6" t="s">
        <v>377</v>
      </c>
      <c r="J6">
        <f>IF(A6=0,0,1)</f>
        <v>0</v>
      </c>
    </row>
    <row r="7" spans="1:29" x14ac:dyDescent="0.2">
      <c r="J7">
        <f>SUM(J3:J6)</f>
        <v>0</v>
      </c>
    </row>
    <row r="8" spans="1:29" x14ac:dyDescent="0.2">
      <c r="A8" s="993" t="s">
        <v>378</v>
      </c>
      <c r="B8" s="993"/>
      <c r="C8" s="993"/>
      <c r="D8" s="993"/>
      <c r="E8" s="993"/>
      <c r="F8" s="993"/>
      <c r="G8" s="991" t="b">
        <f>OR(CMDS!V6="501 QC/QA PCCP (Binary)",CMDS!V6="501 QC/QA PCCP (Ternary)")</f>
        <v>0</v>
      </c>
      <c r="H8" s="991"/>
      <c r="I8" s="991"/>
    </row>
    <row r="9" spans="1:29" x14ac:dyDescent="0.2">
      <c r="A9" s="992" t="s">
        <v>379</v>
      </c>
      <c r="B9" s="992"/>
      <c r="C9" s="992"/>
      <c r="D9" s="992"/>
      <c r="E9" s="992"/>
      <c r="F9" s="992"/>
      <c r="G9" s="316" t="b">
        <f>IF(AND(G8=TRUE,CMDS!E31&gt;0),TRUE,FALSE)</f>
        <v>0</v>
      </c>
      <c r="H9" s="316"/>
      <c r="I9" s="316"/>
    </row>
    <row r="10" spans="1:29" x14ac:dyDescent="0.2">
      <c r="A10" s="992" t="s">
        <v>380</v>
      </c>
      <c r="B10" s="992"/>
      <c r="C10" s="992"/>
      <c r="D10" s="992"/>
      <c r="E10" s="992"/>
      <c r="F10" s="992"/>
      <c r="G10" s="316" t="b">
        <f>IF(AND(G8=TRUE,CMDS!E32&gt;0),TRUE,FALSE)</f>
        <v>0</v>
      </c>
      <c r="H10" s="316"/>
      <c r="I10" s="316"/>
    </row>
    <row r="11" spans="1:29" x14ac:dyDescent="0.2">
      <c r="A11" s="992" t="s">
        <v>381</v>
      </c>
      <c r="B11" s="992"/>
      <c r="C11" s="992"/>
      <c r="D11" s="992"/>
      <c r="E11" s="992"/>
      <c r="F11" s="992"/>
      <c r="G11" s="316" t="str">
        <f>IF(G9=TRUE,CMDS!E30/CMDS!E31,"NA")</f>
        <v>NA</v>
      </c>
      <c r="H11" s="316"/>
      <c r="I11" s="316"/>
    </row>
    <row r="12" spans="1:29" x14ac:dyDescent="0.2">
      <c r="A12" s="992" t="s">
        <v>382</v>
      </c>
      <c r="B12" s="992"/>
      <c r="C12" s="992"/>
      <c r="D12" s="992"/>
      <c r="E12" s="992"/>
      <c r="F12" s="992"/>
      <c r="G12" s="316" t="str">
        <f>IF(G10=TRUE,CMDS!E30/CMDS!E32,"NA")</f>
        <v>NA</v>
      </c>
      <c r="H12" s="316"/>
      <c r="I12" s="316"/>
    </row>
    <row r="13" spans="1:29" x14ac:dyDescent="0.2">
      <c r="A13" s="992" t="s">
        <v>383</v>
      </c>
      <c r="B13" s="992"/>
      <c r="C13" s="992"/>
      <c r="D13" s="992"/>
      <c r="E13" s="992"/>
      <c r="F13" s="992"/>
      <c r="G13" s="316" t="b">
        <f>IF(AND(CMDS!V6="SP 730",CMDS!E33&gt;0),TRUE,FALSE)</f>
        <v>0</v>
      </c>
      <c r="H13" s="316"/>
      <c r="I13" s="316"/>
    </row>
    <row r="14" spans="1:29" x14ac:dyDescent="0.2">
      <c r="A14" s="992" t="s">
        <v>384</v>
      </c>
      <c r="B14" s="992"/>
      <c r="C14" s="992"/>
      <c r="D14" s="992"/>
      <c r="E14" s="992"/>
      <c r="F14" s="992"/>
      <c r="G14" s="316">
        <f>IF(G13=TRUE,CMDS!E33*100/(CMDS!E30+CMDS!E31+CMDS!E32+CMDS!E33),0)</f>
        <v>0</v>
      </c>
      <c r="H14" s="316"/>
      <c r="I14" s="316"/>
    </row>
    <row r="16" spans="1:29" x14ac:dyDescent="0.2">
      <c r="A16" s="993" t="s">
        <v>4673</v>
      </c>
      <c r="B16" s="993"/>
      <c r="C16" s="993"/>
      <c r="D16" s="993"/>
      <c r="E16" s="993"/>
      <c r="F16" s="993"/>
      <c r="G16" s="991" t="b">
        <f>OR(CMDS!V6="502 Standard Strength (Formed)",CMDS!V6="502 Standard Strength (Slipformed")</f>
        <v>0</v>
      </c>
      <c r="H16" s="991"/>
      <c r="I16" s="991"/>
    </row>
    <row r="17" spans="1:9" x14ac:dyDescent="0.2">
      <c r="A17" s="992" t="s">
        <v>385</v>
      </c>
      <c r="B17" s="992"/>
      <c r="C17" s="992"/>
      <c r="D17" s="992"/>
      <c r="E17" s="992"/>
      <c r="F17" s="992"/>
      <c r="G17" s="316">
        <f>IF(AND(G16=TRUE,OR(G18=TRUE,G20=TRUE)),(564-CMDS!E30)*100/564,0)</f>
        <v>0</v>
      </c>
      <c r="H17" s="316"/>
      <c r="I17" s="316"/>
    </row>
    <row r="18" spans="1:9" x14ac:dyDescent="0.2">
      <c r="A18" s="992" t="s">
        <v>379</v>
      </c>
      <c r="B18" s="992"/>
      <c r="C18" s="992"/>
      <c r="D18" s="992"/>
      <c r="E18" s="992"/>
      <c r="F18" s="992"/>
      <c r="G18" s="316" t="b">
        <f>AND(G16=TRUE,CMDS!E31&gt;0)</f>
        <v>0</v>
      </c>
      <c r="H18" s="316"/>
      <c r="I18" s="316"/>
    </row>
    <row r="19" spans="1:9" x14ac:dyDescent="0.2">
      <c r="A19" s="992" t="s">
        <v>386</v>
      </c>
      <c r="B19" s="992"/>
      <c r="C19" s="992"/>
      <c r="D19" s="992"/>
      <c r="E19" s="992"/>
      <c r="F19" s="992"/>
      <c r="G19" s="316">
        <f>IF(G18=TRUE,CMDS!E31/(564-CMDS!E30),0)</f>
        <v>0</v>
      </c>
      <c r="H19" s="316"/>
      <c r="I19" s="316"/>
    </row>
    <row r="20" spans="1:9" x14ac:dyDescent="0.2">
      <c r="A20" s="992" t="s">
        <v>380</v>
      </c>
      <c r="B20" s="992"/>
      <c r="C20" s="992"/>
      <c r="D20" s="992"/>
      <c r="E20" s="992"/>
      <c r="F20" s="992"/>
      <c r="G20" s="316" t="b">
        <f>AND(G16=TRUE,CMDS!E32&gt;0)</f>
        <v>0</v>
      </c>
      <c r="H20" s="316"/>
      <c r="I20" s="316"/>
    </row>
    <row r="21" spans="1:9" x14ac:dyDescent="0.2">
      <c r="A21" s="992" t="s">
        <v>387</v>
      </c>
      <c r="B21" s="992"/>
      <c r="C21" s="992"/>
      <c r="D21" s="992"/>
      <c r="E21" s="992"/>
      <c r="F21" s="992"/>
      <c r="G21" s="316">
        <f>IF(G20=TRUE,CMDS!E32/(564-CMDS!E30),0)</f>
        <v>0</v>
      </c>
      <c r="H21" s="316"/>
      <c r="I21" s="316"/>
    </row>
    <row r="23" spans="1:9" x14ac:dyDescent="0.2">
      <c r="A23" s="993" t="s">
        <v>4674</v>
      </c>
      <c r="B23" s="993"/>
      <c r="C23" s="993"/>
      <c r="D23" s="993"/>
      <c r="E23" s="993"/>
      <c r="F23" s="993"/>
      <c r="G23" s="991" t="b">
        <f>OR(CMDS!V6="506 Full Depth Patch (Length ≤ 15-ft)",CMDS!V6="506 Partial Depth Patch (Length ≤ 15-ft)",CMDS!V6="506 Full Depth Patch (Length &gt; 15-ft)")</f>
        <v>0</v>
      </c>
      <c r="H23" s="991"/>
      <c r="I23" s="991"/>
    </row>
    <row r="24" spans="1:9" x14ac:dyDescent="0.2">
      <c r="A24" s="992" t="s">
        <v>388</v>
      </c>
      <c r="B24" s="992"/>
      <c r="C24" s="992"/>
      <c r="D24" s="992"/>
      <c r="E24" s="992"/>
      <c r="F24" s="992"/>
      <c r="G24" s="316">
        <f>IF(G23=TRUE,CMDS!E31*100/CMDS!E30,0)</f>
        <v>0</v>
      </c>
      <c r="H24" s="316"/>
      <c r="I24" s="316"/>
    </row>
    <row r="25" spans="1:9" x14ac:dyDescent="0.2">
      <c r="A25" s="992" t="s">
        <v>389</v>
      </c>
      <c r="B25" s="992"/>
      <c r="C25" s="992"/>
      <c r="D25" s="992"/>
      <c r="E25" s="992"/>
      <c r="F25" s="992"/>
      <c r="G25" s="316">
        <f>IF(G23=TRUE,CMDS!E32*100/CMDS!E30,0)</f>
        <v>0</v>
      </c>
      <c r="H25" s="316"/>
      <c r="I25" s="316"/>
    </row>
    <row r="26" spans="1:9" x14ac:dyDescent="0.2">
      <c r="A26" s="205"/>
      <c r="B26" s="205"/>
      <c r="C26" s="205"/>
      <c r="D26" s="205"/>
      <c r="E26" s="205"/>
      <c r="F26" s="205"/>
      <c r="G26" s="1"/>
      <c r="H26" s="1"/>
      <c r="I26" s="1"/>
    </row>
    <row r="27" spans="1:9" x14ac:dyDescent="0.2">
      <c r="A27" s="993" t="s">
        <v>4675</v>
      </c>
      <c r="B27" s="992"/>
      <c r="C27" s="992"/>
      <c r="D27" s="992"/>
      <c r="E27" s="992"/>
      <c r="F27" s="992"/>
      <c r="G27" s="991" t="b">
        <f>IF(CMDS!V6="702 Structural (Class B)",TRUE,FALSE)</f>
        <v>0</v>
      </c>
      <c r="H27" s="991"/>
      <c r="I27" s="991"/>
    </row>
    <row r="28" spans="1:9" x14ac:dyDescent="0.2">
      <c r="A28" s="992" t="s">
        <v>385</v>
      </c>
      <c r="B28" s="992"/>
      <c r="C28" s="992"/>
      <c r="D28" s="992"/>
      <c r="E28" s="992"/>
      <c r="F28" s="992"/>
      <c r="G28" s="316">
        <f>IF(AND(G27=TRUE,OR(G29=TRUE,G31=TRUE)),(470-CMDS!E30)*100/470,0)</f>
        <v>0</v>
      </c>
      <c r="H28" s="316"/>
      <c r="I28" s="316"/>
    </row>
    <row r="29" spans="1:9" x14ac:dyDescent="0.2">
      <c r="A29" s="992" t="s">
        <v>379</v>
      </c>
      <c r="B29" s="992"/>
      <c r="C29" s="992"/>
      <c r="D29" s="992"/>
      <c r="E29" s="992"/>
      <c r="F29" s="992"/>
      <c r="G29" s="316" t="b">
        <f>AND(G27=TRUE,CMDS!E31&gt;0)</f>
        <v>0</v>
      </c>
      <c r="H29" s="316"/>
      <c r="I29" s="316"/>
    </row>
    <row r="30" spans="1:9" x14ac:dyDescent="0.2">
      <c r="A30" s="992" t="s">
        <v>390</v>
      </c>
      <c r="B30" s="992"/>
      <c r="C30" s="992"/>
      <c r="D30" s="992"/>
      <c r="E30" s="992"/>
      <c r="F30" s="992"/>
      <c r="G30" s="316">
        <f>IF(G29=TRUE,CMDS!E31/(470-CMDS!E30),0)</f>
        <v>0</v>
      </c>
      <c r="H30" s="316"/>
      <c r="I30" s="316"/>
    </row>
    <row r="31" spans="1:9" x14ac:dyDescent="0.2">
      <c r="A31" s="992" t="s">
        <v>380</v>
      </c>
      <c r="B31" s="992"/>
      <c r="C31" s="992"/>
      <c r="D31" s="992"/>
      <c r="E31" s="992"/>
      <c r="F31" s="992"/>
      <c r="G31" s="316" t="b">
        <f>AND(G27=TRUE,CMDS!E32&gt;0)</f>
        <v>0</v>
      </c>
      <c r="H31" s="316"/>
      <c r="I31" s="316"/>
    </row>
    <row r="32" spans="1:9" x14ac:dyDescent="0.2">
      <c r="A32" s="992" t="s">
        <v>391</v>
      </c>
      <c r="B32" s="992"/>
      <c r="C32" s="992"/>
      <c r="D32" s="992"/>
      <c r="E32" s="992"/>
      <c r="F32" s="992"/>
      <c r="G32" s="994">
        <f>IF(G31=TRUE,CMDS!E32/(470-CMDS!E30),0)</f>
        <v>0</v>
      </c>
      <c r="H32" s="994"/>
      <c r="I32" s="994"/>
    </row>
    <row r="34" spans="1:12" x14ac:dyDescent="0.2">
      <c r="A34" s="993" t="s">
        <v>392</v>
      </c>
      <c r="B34" s="993"/>
      <c r="C34" s="993"/>
      <c r="D34" s="993"/>
      <c r="E34" s="993"/>
      <c r="F34" s="993"/>
      <c r="G34" s="991" t="b">
        <f>OR(CMDS!V6="702 Structural (Class C)",CMDS!V6="702 Structural (Class C, AP Agg)",CMDS!V6="702 Structural (Class C, Slipformed)")</f>
        <v>0</v>
      </c>
      <c r="H34" s="991"/>
      <c r="I34" s="991"/>
    </row>
    <row r="35" spans="1:12" x14ac:dyDescent="0.2">
      <c r="A35" s="992" t="s">
        <v>385</v>
      </c>
      <c r="B35" s="992"/>
      <c r="C35" s="992"/>
      <c r="D35" s="992"/>
      <c r="E35" s="992"/>
      <c r="F35" s="992"/>
      <c r="G35" s="316">
        <f>IF(AND(G34=TRUE,OR(G36=TRUE,G38=TRUE)),(658-CMDS!E30)*100/658,0)</f>
        <v>0</v>
      </c>
      <c r="H35" s="316"/>
      <c r="I35" s="316"/>
    </row>
    <row r="36" spans="1:12" x14ac:dyDescent="0.2">
      <c r="A36" s="992" t="s">
        <v>379</v>
      </c>
      <c r="B36" s="992"/>
      <c r="C36" s="992"/>
      <c r="D36" s="992"/>
      <c r="E36" s="992"/>
      <c r="F36" s="992"/>
      <c r="G36" s="316" t="b">
        <f>AND(G34=TRUE,CMDS!E31&gt;0)</f>
        <v>0</v>
      </c>
      <c r="H36" s="316"/>
      <c r="I36" s="316"/>
    </row>
    <row r="37" spans="1:12" x14ac:dyDescent="0.2">
      <c r="A37" s="992" t="s">
        <v>386</v>
      </c>
      <c r="B37" s="992"/>
      <c r="C37" s="992"/>
      <c r="D37" s="992"/>
      <c r="E37" s="992"/>
      <c r="F37" s="992"/>
      <c r="G37" s="316">
        <f>IF(G36=TRUE,CMDS!E31/(658-CMDS!E30),0)</f>
        <v>0</v>
      </c>
      <c r="H37" s="316"/>
      <c r="I37" s="316"/>
    </row>
    <row r="38" spans="1:12" x14ac:dyDescent="0.2">
      <c r="A38" s="992" t="s">
        <v>393</v>
      </c>
      <c r="B38" s="992"/>
      <c r="C38" s="992"/>
      <c r="D38" s="992"/>
      <c r="E38" s="992"/>
      <c r="F38" s="992"/>
      <c r="G38" s="316" t="b">
        <f>AND(G34=TRUE,CMDS!E32&gt;0)</f>
        <v>0</v>
      </c>
      <c r="H38" s="316"/>
      <c r="I38" s="316"/>
    </row>
    <row r="39" spans="1:12" x14ac:dyDescent="0.2">
      <c r="A39" s="992" t="s">
        <v>394</v>
      </c>
      <c r="B39" s="992"/>
      <c r="C39" s="992"/>
      <c r="D39" s="992"/>
      <c r="E39" s="992"/>
      <c r="F39" s="992"/>
      <c r="G39" s="316">
        <f>IF(G38=TRUE,CMDS!E32/(658-CMDS!E30),0)</f>
        <v>0</v>
      </c>
      <c r="H39" s="316"/>
      <c r="I39" s="316"/>
    </row>
    <row r="41" spans="1:12" x14ac:dyDescent="0.2">
      <c r="A41" s="993" t="s">
        <v>4676</v>
      </c>
      <c r="B41" s="993"/>
      <c r="C41" s="993"/>
      <c r="D41" s="993"/>
      <c r="E41" s="993"/>
      <c r="F41" s="993"/>
      <c r="G41" s="991" t="b">
        <f>OR(CMDS!V6="702 Structural (Class A)",CMDS!V6="702 Structural (Class A, Slipformed)")</f>
        <v>0</v>
      </c>
      <c r="H41" s="991"/>
      <c r="I41" s="991"/>
    </row>
    <row r="42" spans="1:12" x14ac:dyDescent="0.2">
      <c r="A42" s="992" t="s">
        <v>383</v>
      </c>
      <c r="B42" s="992"/>
      <c r="C42" s="992"/>
      <c r="D42" s="992"/>
      <c r="E42" s="992"/>
      <c r="F42" s="992"/>
      <c r="G42" s="316" t="b">
        <v>1</v>
      </c>
      <c r="H42" s="316"/>
      <c r="I42" s="316"/>
    </row>
    <row r="43" spans="1:12" x14ac:dyDescent="0.2">
      <c r="A43" s="992" t="s">
        <v>384</v>
      </c>
      <c r="B43" s="992"/>
      <c r="C43" s="992"/>
      <c r="D43" s="992"/>
      <c r="E43" s="992"/>
      <c r="F43" s="992"/>
      <c r="G43" s="316" t="e">
        <f>IF(G42=TRUE,CMDS!E33*100/(CMDS!E30+CMDS!E31+CMDS!E32+CMDS!E33),0)</f>
        <v>#DIV/0!</v>
      </c>
      <c r="H43" s="316"/>
      <c r="I43" s="316"/>
    </row>
    <row r="44" spans="1:12" x14ac:dyDescent="0.2">
      <c r="A44" s="992" t="s">
        <v>393</v>
      </c>
      <c r="B44" s="992"/>
      <c r="C44" s="992"/>
      <c r="D44" s="992"/>
      <c r="E44" s="992"/>
      <c r="F44" s="992"/>
      <c r="G44" s="316" t="b">
        <f>IF(AND(G41=TRUE,CMDS!E32&gt;0),TRUE,FALSE)</f>
        <v>0</v>
      </c>
      <c r="H44" s="316"/>
      <c r="I44" s="316"/>
    </row>
    <row r="45" spans="1:12" x14ac:dyDescent="0.2">
      <c r="A45" s="992" t="s">
        <v>395</v>
      </c>
      <c r="B45" s="992"/>
      <c r="C45" s="992"/>
      <c r="D45" s="992"/>
      <c r="E45" s="992"/>
      <c r="F45" s="992"/>
      <c r="G45" s="994">
        <f>IF(G44=TRUE,CMDS!E32*100/CMDS!E30+CMDS!E31,0)</f>
        <v>0</v>
      </c>
      <c r="H45" s="994"/>
      <c r="I45" s="994"/>
    </row>
    <row r="47" spans="1:12" x14ac:dyDescent="0.2">
      <c r="A47" t="s">
        <v>396</v>
      </c>
      <c r="H47" s="19">
        <v>6.5</v>
      </c>
      <c r="L47" s="4" t="s">
        <v>397</v>
      </c>
    </row>
    <row r="48" spans="1:12" x14ac:dyDescent="0.2">
      <c r="H48" s="19">
        <v>7</v>
      </c>
      <c r="L48" s="4"/>
    </row>
  </sheetData>
  <sheetProtection algorithmName="SHA-512" hashValue="fdDwBaenQxpzMRdPmsZPfa+Q1tIjCF0GsPqWkHAu0pZuUf0Bl0gXyJbvQuViqR3NbIKV8/ko5xxdFoCpxI9+fw==" saltValue="FVi4A9jARVsSA0lgbPlaGw==" spinCount="100000" sheet="1" objects="1" scenarios="1"/>
  <mergeCells count="71">
    <mergeCell ref="G42:I42"/>
    <mergeCell ref="G43:I43"/>
    <mergeCell ref="A42:F42"/>
    <mergeCell ref="A43:F43"/>
    <mergeCell ref="G45:I45"/>
    <mergeCell ref="A44:F44"/>
    <mergeCell ref="A45:F45"/>
    <mergeCell ref="G44:I44"/>
    <mergeCell ref="A41:F41"/>
    <mergeCell ref="G41:I41"/>
    <mergeCell ref="A34:F34"/>
    <mergeCell ref="G34:I34"/>
    <mergeCell ref="A35:F35"/>
    <mergeCell ref="A36:F36"/>
    <mergeCell ref="A37:F37"/>
    <mergeCell ref="A38:F38"/>
    <mergeCell ref="A39:F39"/>
    <mergeCell ref="G35:I35"/>
    <mergeCell ref="G36:I36"/>
    <mergeCell ref="G37:I37"/>
    <mergeCell ref="G38:I38"/>
    <mergeCell ref="G39:I39"/>
    <mergeCell ref="A32:F32"/>
    <mergeCell ref="A31:F31"/>
    <mergeCell ref="A30:F30"/>
    <mergeCell ref="G27:I27"/>
    <mergeCell ref="A28:F28"/>
    <mergeCell ref="A29:F29"/>
    <mergeCell ref="G28:I28"/>
    <mergeCell ref="G29:I29"/>
    <mergeCell ref="G30:I30"/>
    <mergeCell ref="G31:I31"/>
    <mergeCell ref="G32:I32"/>
    <mergeCell ref="G21:I21"/>
    <mergeCell ref="A27:F27"/>
    <mergeCell ref="A23:F23"/>
    <mergeCell ref="G23:I23"/>
    <mergeCell ref="A24:F24"/>
    <mergeCell ref="A25:F25"/>
    <mergeCell ref="G24:I24"/>
    <mergeCell ref="G25:I25"/>
    <mergeCell ref="A21:F21"/>
    <mergeCell ref="A16:F16"/>
    <mergeCell ref="G16:I16"/>
    <mergeCell ref="A17:F17"/>
    <mergeCell ref="G17:I17"/>
    <mergeCell ref="G20:I20"/>
    <mergeCell ref="A20:F20"/>
    <mergeCell ref="G19:I19"/>
    <mergeCell ref="A18:F18"/>
    <mergeCell ref="A19:F19"/>
    <mergeCell ref="G18:I18"/>
    <mergeCell ref="A13:F13"/>
    <mergeCell ref="A14:F14"/>
    <mergeCell ref="G13:I13"/>
    <mergeCell ref="G14:I14"/>
    <mergeCell ref="A10:F10"/>
    <mergeCell ref="A12:F12"/>
    <mergeCell ref="A11:F11"/>
    <mergeCell ref="G11:I11"/>
    <mergeCell ref="G12:I12"/>
    <mergeCell ref="G10:I10"/>
    <mergeCell ref="G8:I8"/>
    <mergeCell ref="A9:F9"/>
    <mergeCell ref="A1:AC1"/>
    <mergeCell ref="A3:B3"/>
    <mergeCell ref="A4:B4"/>
    <mergeCell ref="A5:B5"/>
    <mergeCell ref="A6:B6"/>
    <mergeCell ref="G9:I9"/>
    <mergeCell ref="A8:F8"/>
  </mergeCells>
  <phoneticPr fontId="9" type="noConversion"/>
  <pageMargins left="0.5" right="0.5" top="0.5" bottom="0.5"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G293"/>
  <sheetViews>
    <sheetView zoomScale="115" zoomScaleNormal="115" workbookViewId="0">
      <selection activeCell="F12" sqref="F12"/>
    </sheetView>
  </sheetViews>
  <sheetFormatPr defaultColWidth="9.140625" defaultRowHeight="12.75" x14ac:dyDescent="0.2"/>
  <cols>
    <col min="1" max="1" width="79.85546875" customWidth="1"/>
    <col min="2" max="2" width="9.140625" style="277" customWidth="1"/>
    <col min="3" max="3" width="6.28515625" style="277" customWidth="1"/>
    <col min="4" max="4" width="6.85546875" style="277" customWidth="1"/>
    <col min="5" max="5" width="46.140625" customWidth="1"/>
    <col min="6" max="6" width="30.28515625" customWidth="1"/>
    <col min="7" max="7" width="6.85546875" customWidth="1"/>
    <col min="8" max="16384" width="9.140625" style="272"/>
  </cols>
  <sheetData>
    <row r="1" spans="1:6" ht="12.75" customHeight="1" x14ac:dyDescent="0.2">
      <c r="A1" t="str">
        <f t="shared" ref="A1:A75" si="0">E1&amp;"  "&amp;C1&amp;"  "&amp;F1&amp;"  "&amp;D1</f>
        <v>ROCK CREEK STONE QUARRY  0021  BLUFFTON, IN  0021</v>
      </c>
      <c r="B1" s="269" t="s">
        <v>656</v>
      </c>
      <c r="C1" s="270" t="s">
        <v>657</v>
      </c>
      <c r="D1" s="269" t="s">
        <v>657</v>
      </c>
      <c r="E1" s="271" t="s">
        <v>658</v>
      </c>
      <c r="F1" s="271" t="s">
        <v>659</v>
      </c>
    </row>
    <row r="2" spans="1:6" ht="12.75" customHeight="1" x14ac:dyDescent="0.2">
      <c r="A2" t="str">
        <f t="shared" si="0"/>
        <v>U.S AGGREGATES, INC  0041  CLOVERDALE, IN  0041</v>
      </c>
      <c r="B2" s="269" t="s">
        <v>624</v>
      </c>
      <c r="C2" s="270" t="s">
        <v>625</v>
      </c>
      <c r="D2" s="269" t="s">
        <v>625</v>
      </c>
      <c r="E2" s="271" t="s">
        <v>4783</v>
      </c>
      <c r="F2" s="271" t="s">
        <v>626</v>
      </c>
    </row>
    <row r="3" spans="1:6" ht="12.75" customHeight="1" x14ac:dyDescent="0.2">
      <c r="A3" t="str">
        <f t="shared" si="0"/>
        <v>Milestone Contractors North, LLC  0045  SOUTH BEND, IN  2461</v>
      </c>
      <c r="B3" s="269" t="s">
        <v>635</v>
      </c>
      <c r="C3" s="270" t="s">
        <v>636</v>
      </c>
      <c r="D3" s="269" t="s">
        <v>4784</v>
      </c>
      <c r="E3" s="271" t="s">
        <v>4785</v>
      </c>
      <c r="F3" s="271" t="s">
        <v>650</v>
      </c>
    </row>
    <row r="4" spans="1:6" ht="12.75" customHeight="1" x14ac:dyDescent="0.2">
      <c r="A4" t="str">
        <f t="shared" si="0"/>
        <v>Milestone Contractors North, LLC  0045  SOUTH BEND, IN  2451</v>
      </c>
      <c r="B4" s="269" t="s">
        <v>635</v>
      </c>
      <c r="C4" s="273" t="s">
        <v>636</v>
      </c>
      <c r="D4" s="274" t="s">
        <v>4786</v>
      </c>
      <c r="E4" s="271" t="s">
        <v>4785</v>
      </c>
      <c r="F4" s="271" t="s">
        <v>650</v>
      </c>
    </row>
    <row r="5" spans="1:6" ht="12.75" customHeight="1" x14ac:dyDescent="0.2">
      <c r="A5" t="str">
        <f t="shared" si="0"/>
        <v>Milestone Contractors North, LLC  0045  SOUTH BEND, IN  2791</v>
      </c>
      <c r="B5" s="269" t="s">
        <v>635</v>
      </c>
      <c r="C5" s="270" t="s">
        <v>636</v>
      </c>
      <c r="D5" s="269" t="s">
        <v>4787</v>
      </c>
      <c r="E5" s="271" t="s">
        <v>4785</v>
      </c>
      <c r="F5" s="271" t="s">
        <v>650</v>
      </c>
    </row>
    <row r="6" spans="1:6" ht="12.75" customHeight="1" x14ac:dyDescent="0.2">
      <c r="A6" t="str">
        <f t="shared" si="0"/>
        <v>SOUTH LAKE STONE  0057  HEBRON, IN  0057</v>
      </c>
      <c r="B6" s="269" t="s">
        <v>690</v>
      </c>
      <c r="C6" s="270" t="s">
        <v>691</v>
      </c>
      <c r="D6" s="269" t="s">
        <v>691</v>
      </c>
      <c r="E6" s="271" t="s">
        <v>692</v>
      </c>
      <c r="F6" s="271" t="s">
        <v>693</v>
      </c>
    </row>
    <row r="7" spans="1:6" ht="12.75" customHeight="1" x14ac:dyDescent="0.2">
      <c r="A7" t="str">
        <f t="shared" si="0"/>
        <v>IRVING MATERIALS - FALL CREEK  0063  FORTVILLE, IN  0063</v>
      </c>
      <c r="B7" s="269" t="s">
        <v>511</v>
      </c>
      <c r="C7" s="270" t="s">
        <v>512</v>
      </c>
      <c r="D7" s="269" t="s">
        <v>512</v>
      </c>
      <c r="E7" s="271" t="s">
        <v>513</v>
      </c>
      <c r="F7" s="271" t="s">
        <v>514</v>
      </c>
    </row>
    <row r="8" spans="1:6" ht="12.75" customHeight="1" x14ac:dyDescent="0.2">
      <c r="A8" t="str">
        <f t="shared" si="0"/>
        <v>WEST PLAINS MINING/KENTNER CRE  0077  WABASH, IN  0077</v>
      </c>
      <c r="B8" s="269" t="s">
        <v>748</v>
      </c>
      <c r="C8" s="270" t="s">
        <v>749</v>
      </c>
      <c r="D8" s="269" t="s">
        <v>749</v>
      </c>
      <c r="E8" s="271" t="s">
        <v>750</v>
      </c>
      <c r="F8" s="271" t="s">
        <v>751</v>
      </c>
    </row>
    <row r="9" spans="1:6" ht="12.75" customHeight="1" x14ac:dyDescent="0.2">
      <c r="A9" t="str">
        <f t="shared" si="0"/>
        <v>U.S AGGREGATES, INC  0097  LOWELL, IN  0097</v>
      </c>
      <c r="B9" s="269" t="s">
        <v>733</v>
      </c>
      <c r="C9" s="270" t="s">
        <v>734</v>
      </c>
      <c r="D9" s="269" t="s">
        <v>734</v>
      </c>
      <c r="E9" s="271" t="s">
        <v>4783</v>
      </c>
      <c r="F9" s="271" t="s">
        <v>735</v>
      </c>
    </row>
    <row r="10" spans="1:6" ht="12.75" customHeight="1" x14ac:dyDescent="0.2">
      <c r="A10" t="str">
        <f t="shared" si="0"/>
        <v>U.S AGGREGATES, INC  0097  LOWELL, IN  2461</v>
      </c>
      <c r="B10" s="269" t="s">
        <v>733</v>
      </c>
      <c r="C10" s="270" t="s">
        <v>734</v>
      </c>
      <c r="D10" s="269" t="s">
        <v>4784</v>
      </c>
      <c r="E10" s="271" t="s">
        <v>4783</v>
      </c>
      <c r="F10" s="271" t="s">
        <v>735</v>
      </c>
    </row>
    <row r="11" spans="1:6" ht="12.75" customHeight="1" x14ac:dyDescent="0.2">
      <c r="A11" t="str">
        <f t="shared" si="0"/>
        <v>U.S AGGREGATES, INC  0097  LOWELL, IN  0097</v>
      </c>
      <c r="B11" s="269" t="s">
        <v>733</v>
      </c>
      <c r="C11" s="270" t="s">
        <v>734</v>
      </c>
      <c r="D11" s="269" t="s">
        <v>734</v>
      </c>
      <c r="E11" s="271" t="s">
        <v>4783</v>
      </c>
      <c r="F11" s="271" t="s">
        <v>735</v>
      </c>
    </row>
    <row r="12" spans="1:6" ht="12.75" customHeight="1" x14ac:dyDescent="0.2">
      <c r="A12" t="str">
        <f t="shared" si="0"/>
        <v>Landmark Materials, LLC  0106  Union Mills, IN  0106</v>
      </c>
      <c r="B12" s="269" t="s">
        <v>556</v>
      </c>
      <c r="C12" s="270" t="s">
        <v>557</v>
      </c>
      <c r="D12" s="269" t="s">
        <v>557</v>
      </c>
      <c r="E12" s="271" t="s">
        <v>4788</v>
      </c>
      <c r="F12" s="271" t="s">
        <v>4789</v>
      </c>
    </row>
    <row r="13" spans="1:6" ht="12.75" customHeight="1" x14ac:dyDescent="0.2">
      <c r="A13" t="str">
        <f t="shared" si="0"/>
        <v>IRVING MATERIALS INC. - GRANT CO. S&amp;G  0124  JONESBORO, IN  0124</v>
      </c>
      <c r="B13" s="269" t="s">
        <v>552</v>
      </c>
      <c r="C13" s="270" t="s">
        <v>553</v>
      </c>
      <c r="D13" s="269" t="s">
        <v>553</v>
      </c>
      <c r="E13" s="271" t="s">
        <v>4790</v>
      </c>
      <c r="F13" s="271" t="s">
        <v>4791</v>
      </c>
    </row>
    <row r="14" spans="1:6" ht="12.75" customHeight="1" x14ac:dyDescent="0.2">
      <c r="A14" t="str">
        <f t="shared" si="0"/>
        <v>YELLOW CREEK GRAVEL SERVICES  0125  GOSHEN, IN  0125</v>
      </c>
      <c r="B14" s="269" t="s">
        <v>752</v>
      </c>
      <c r="C14" s="270" t="s">
        <v>753</v>
      </c>
      <c r="D14" s="269" t="s">
        <v>753</v>
      </c>
      <c r="E14" s="271" t="s">
        <v>754</v>
      </c>
      <c r="F14" s="271" t="s">
        <v>755</v>
      </c>
    </row>
    <row r="15" spans="1:6" ht="12.75" customHeight="1" x14ac:dyDescent="0.2">
      <c r="A15" t="str">
        <f t="shared" si="0"/>
        <v>IMI - LOGANSPORT SAND &amp; GRAVEL  0136  LOGANSPORT, IN  0136</v>
      </c>
      <c r="B15" s="269" t="s">
        <v>453</v>
      </c>
      <c r="C15" s="270" t="s">
        <v>454</v>
      </c>
      <c r="D15" s="269" t="s">
        <v>454</v>
      </c>
      <c r="E15" s="271" t="s">
        <v>5012</v>
      </c>
      <c r="F15" s="271" t="s">
        <v>455</v>
      </c>
    </row>
    <row r="16" spans="1:6" ht="12.75" customHeight="1" x14ac:dyDescent="0.2">
      <c r="A16" t="str">
        <f t="shared" si="0"/>
        <v>MELVIN ST. CO. KILBY RAILYARD  0142  CINCINNATI, OH  0040</v>
      </c>
      <c r="B16" s="269" t="s">
        <v>586</v>
      </c>
      <c r="C16" s="270" t="s">
        <v>587</v>
      </c>
      <c r="D16" s="269" t="s">
        <v>588</v>
      </c>
      <c r="E16" s="271" t="s">
        <v>4792</v>
      </c>
      <c r="F16" s="271" t="s">
        <v>589</v>
      </c>
    </row>
    <row r="17" spans="1:6" ht="12.75" customHeight="1" x14ac:dyDescent="0.2">
      <c r="A17" t="str">
        <f t="shared" si="0"/>
        <v>RIETH RILEY CONSTRUCTION CO.  0144  ELKHART, IN  2472</v>
      </c>
      <c r="B17" s="269" t="s">
        <v>4793</v>
      </c>
      <c r="C17" s="270" t="s">
        <v>4794</v>
      </c>
      <c r="D17" s="269" t="s">
        <v>4795</v>
      </c>
      <c r="E17" s="271" t="s">
        <v>649</v>
      </c>
      <c r="F17" s="271" t="s">
        <v>4796</v>
      </c>
    </row>
    <row r="18" spans="1:6" ht="12.75" customHeight="1" x14ac:dyDescent="0.2">
      <c r="A18" t="str">
        <f t="shared" si="0"/>
        <v>RIETH RILEY CONSTRUCTION CO.  0144  ELKHART, IN  2473</v>
      </c>
      <c r="B18" s="269" t="s">
        <v>4793</v>
      </c>
      <c r="C18" s="270" t="s">
        <v>4794</v>
      </c>
      <c r="D18" s="269" t="s">
        <v>4797</v>
      </c>
      <c r="E18" s="271" t="s">
        <v>649</v>
      </c>
      <c r="F18" s="271" t="s">
        <v>4796</v>
      </c>
    </row>
    <row r="19" spans="1:6" ht="12.75" customHeight="1" x14ac:dyDescent="0.2">
      <c r="A19" t="str">
        <f t="shared" si="0"/>
        <v>OLD PRAIRIE PRODUCTS INC.   0145  ANGOLA, IN  0145</v>
      </c>
      <c r="B19" s="269" t="s">
        <v>4798</v>
      </c>
      <c r="C19" s="270" t="s">
        <v>4799</v>
      </c>
      <c r="D19" s="269" t="s">
        <v>4799</v>
      </c>
      <c r="E19" s="271" t="s">
        <v>4800</v>
      </c>
      <c r="F19" s="271" t="s">
        <v>437</v>
      </c>
    </row>
    <row r="20" spans="1:6" ht="12.75" customHeight="1" x14ac:dyDescent="0.2">
      <c r="A20" t="str">
        <f t="shared" si="0"/>
        <v>ELKHART COUNTY GRAVEL, INC.  0146  MILFORD, IN.  0146</v>
      </c>
      <c r="B20" s="269" t="s">
        <v>4801</v>
      </c>
      <c r="C20" s="270" t="s">
        <v>4802</v>
      </c>
      <c r="D20" s="269" t="s">
        <v>4802</v>
      </c>
      <c r="E20" s="271" t="s">
        <v>441</v>
      </c>
      <c r="F20" s="271" t="s">
        <v>442</v>
      </c>
    </row>
    <row r="21" spans="1:6" ht="12.75" customHeight="1" x14ac:dyDescent="0.2">
      <c r="A21" t="str">
        <f t="shared" si="0"/>
        <v>AUDUBON SAND AND GRAVEL  0151  HENDERSON, KY  0151</v>
      </c>
      <c r="B21" s="269" t="s">
        <v>405</v>
      </c>
      <c r="C21" s="270" t="s">
        <v>406</v>
      </c>
      <c r="D21" s="269" t="s">
        <v>406</v>
      </c>
      <c r="E21" s="271" t="s">
        <v>4803</v>
      </c>
      <c r="F21" s="271" t="s">
        <v>407</v>
      </c>
    </row>
    <row r="22" spans="1:6" ht="12.75" customHeight="1" x14ac:dyDescent="0.2">
      <c r="A22" t="str">
        <f t="shared" si="0"/>
        <v>MARTIN MARIETTA  0156  PETERSBURG, KY  0156</v>
      </c>
      <c r="B22" s="269" t="s">
        <v>4804</v>
      </c>
      <c r="C22" s="270" t="s">
        <v>4805</v>
      </c>
      <c r="D22" s="269" t="s">
        <v>4805</v>
      </c>
      <c r="E22" s="271" t="s">
        <v>571</v>
      </c>
      <c r="F22" s="271" t="s">
        <v>627</v>
      </c>
    </row>
    <row r="23" spans="1:6" ht="12.75" customHeight="1" x14ac:dyDescent="0.2">
      <c r="A23" t="str">
        <f t="shared" si="0"/>
        <v>HEIDELBERG MATERIALS MIDWEST   0159  PEEBLES, OH  0159</v>
      </c>
      <c r="B23" s="269" t="s">
        <v>4806</v>
      </c>
      <c r="C23" s="270" t="s">
        <v>4807</v>
      </c>
      <c r="D23" s="269" t="s">
        <v>4807</v>
      </c>
      <c r="E23" s="271" t="s">
        <v>4808</v>
      </c>
      <c r="F23" s="271" t="s">
        <v>4809</v>
      </c>
    </row>
    <row r="24" spans="1:6" ht="12.75" customHeight="1" x14ac:dyDescent="0.2">
      <c r="A24" t="str">
        <f t="shared" si="0"/>
        <v>KIMMELL SAND AND GRAVEL LIGONIER  0161  LIGONIER, IN  0161</v>
      </c>
      <c r="B24" s="269" t="s">
        <v>4810</v>
      </c>
      <c r="C24" s="270" t="s">
        <v>4811</v>
      </c>
      <c r="D24" s="269" t="s">
        <v>4811</v>
      </c>
      <c r="E24" s="271" t="s">
        <v>4812</v>
      </c>
      <c r="F24" s="271" t="s">
        <v>432</v>
      </c>
    </row>
    <row r="25" spans="1:6" ht="12.75" customHeight="1" x14ac:dyDescent="0.2">
      <c r="A25" t="str">
        <f t="shared" si="0"/>
        <v>KIMMELL SAND AND GRAVEL LIGONIER  0161  LIGONIER, IN  2232</v>
      </c>
      <c r="B25" s="269" t="s">
        <v>4810</v>
      </c>
      <c r="C25" s="270" t="s">
        <v>4811</v>
      </c>
      <c r="D25" s="269" t="s">
        <v>4813</v>
      </c>
      <c r="E25" s="271" t="s">
        <v>4812</v>
      </c>
      <c r="F25" s="271" t="s">
        <v>432</v>
      </c>
    </row>
    <row r="26" spans="1:6" ht="12.75" customHeight="1" x14ac:dyDescent="0.2">
      <c r="A26" t="str">
        <f t="shared" si="0"/>
        <v>SITE WORX AGGREGATES LLC  0162  GOSHEN, IN  0162</v>
      </c>
      <c r="B26" s="269" t="s">
        <v>4814</v>
      </c>
      <c r="C26" s="270" t="s">
        <v>4815</v>
      </c>
      <c r="D26" s="269" t="s">
        <v>4815</v>
      </c>
      <c r="E26" s="271" t="s">
        <v>4816</v>
      </c>
      <c r="F26" s="271" t="s">
        <v>755</v>
      </c>
    </row>
    <row r="27" spans="1:6" ht="12.75" customHeight="1" x14ac:dyDescent="0.2">
      <c r="A27" t="str">
        <f t="shared" si="0"/>
        <v>AUDUBON SAND AND GRAVEL - NORTH  0164  HENDERSON, KY  0151</v>
      </c>
      <c r="B27" s="269" t="s">
        <v>4817</v>
      </c>
      <c r="C27" s="270" t="s">
        <v>4818</v>
      </c>
      <c r="D27" s="269" t="s">
        <v>406</v>
      </c>
      <c r="E27" s="271" t="s">
        <v>4819</v>
      </c>
      <c r="F27" s="271" t="s">
        <v>407</v>
      </c>
    </row>
    <row r="28" spans="1:6" ht="12.75" customHeight="1" x14ac:dyDescent="0.2">
      <c r="A28" t="str">
        <f t="shared" si="0"/>
        <v>AUDUBON SAND AND GRAVEL - NORTH  0164  HENDERSON, KY  2601</v>
      </c>
      <c r="B28" s="269" t="s">
        <v>4817</v>
      </c>
      <c r="C28" s="270" t="s">
        <v>4818</v>
      </c>
      <c r="D28" s="269" t="s">
        <v>4820</v>
      </c>
      <c r="E28" s="271" t="s">
        <v>4819</v>
      </c>
      <c r="F28" s="271" t="s">
        <v>407</v>
      </c>
    </row>
    <row r="29" spans="1:6" ht="12.75" customHeight="1" x14ac:dyDescent="0.2">
      <c r="A29" t="str">
        <f t="shared" si="0"/>
        <v>AUDUBON SAND AND GRAVEL - NORTH  0164  HENDERSON, KY  0151</v>
      </c>
      <c r="B29" s="269" t="s">
        <v>4817</v>
      </c>
      <c r="C29" s="270" t="s">
        <v>4818</v>
      </c>
      <c r="D29" s="269" t="s">
        <v>406</v>
      </c>
      <c r="E29" s="271" t="s">
        <v>4819</v>
      </c>
      <c r="F29" s="271" t="s">
        <v>407</v>
      </c>
    </row>
    <row r="30" spans="1:6" ht="12.75" customHeight="1" x14ac:dyDescent="0.2">
      <c r="A30" t="str">
        <f t="shared" si="0"/>
        <v>PURDY MATERIALS INC.  2109  LAFAYETTE, IN  2109</v>
      </c>
      <c r="B30" s="269" t="s">
        <v>646</v>
      </c>
      <c r="C30" s="270" t="s">
        <v>4821</v>
      </c>
      <c r="D30" s="269" t="s">
        <v>4821</v>
      </c>
      <c r="E30" s="271" t="s">
        <v>647</v>
      </c>
      <c r="F30" s="271" t="s">
        <v>645</v>
      </c>
    </row>
    <row r="31" spans="1:6" ht="12.75" customHeight="1" x14ac:dyDescent="0.2">
      <c r="A31" t="str">
        <f t="shared" si="0"/>
        <v>ROSKOVENSKY CONC. AND GRAVEL  2111  CLINTON, IN.  2111</v>
      </c>
      <c r="B31" s="269" t="s">
        <v>674</v>
      </c>
      <c r="C31" s="270" t="s">
        <v>4822</v>
      </c>
      <c r="D31" s="269" t="s">
        <v>4822</v>
      </c>
      <c r="E31" s="271" t="s">
        <v>4823</v>
      </c>
      <c r="F31" s="271" t="s">
        <v>675</v>
      </c>
    </row>
    <row r="32" spans="1:6" ht="12.75" customHeight="1" x14ac:dyDescent="0.2">
      <c r="A32" t="str">
        <f t="shared" si="0"/>
        <v>S AND G EXC. - MORRIS/LOMBARDI  2113  TERRE HAUTE, IN.  2113</v>
      </c>
      <c r="B32" s="269" t="s">
        <v>560</v>
      </c>
      <c r="C32" s="270" t="s">
        <v>4824</v>
      </c>
      <c r="D32" s="269" t="s">
        <v>4824</v>
      </c>
      <c r="E32" s="271" t="s">
        <v>678</v>
      </c>
      <c r="F32" s="271" t="s">
        <v>679</v>
      </c>
    </row>
    <row r="33" spans="1:6" ht="12.75" customHeight="1" x14ac:dyDescent="0.2">
      <c r="A33" t="str">
        <f t="shared" si="0"/>
        <v>S AND G EXC. - MORRIS/LOMBARDI  2113  TERRE HAUTE, IN.  2180</v>
      </c>
      <c r="B33" s="269" t="s">
        <v>560</v>
      </c>
      <c r="C33" s="270" t="s">
        <v>4824</v>
      </c>
      <c r="D33" s="269" t="s">
        <v>4825</v>
      </c>
      <c r="E33" s="271" t="s">
        <v>678</v>
      </c>
      <c r="F33" s="271" t="s">
        <v>679</v>
      </c>
    </row>
    <row r="34" spans="1:6" ht="12.75" customHeight="1" x14ac:dyDescent="0.2">
      <c r="A34" t="str">
        <f t="shared" si="0"/>
        <v>HEIDELBERG MATERIALS MIDWEST   2135  PUTNAMVILLE, IN  2135</v>
      </c>
      <c r="B34" s="269" t="s">
        <v>472</v>
      </c>
      <c r="C34" s="270" t="s">
        <v>4826</v>
      </c>
      <c r="D34" s="269" t="s">
        <v>4826</v>
      </c>
      <c r="E34" s="271" t="s">
        <v>4808</v>
      </c>
      <c r="F34" s="271" t="s">
        <v>473</v>
      </c>
    </row>
    <row r="35" spans="1:6" ht="12.75" customHeight="1" x14ac:dyDescent="0.2">
      <c r="A35" t="str">
        <f t="shared" si="0"/>
        <v>U.S AGGREGATES, INC  2136  CRAWFORDSVILLE, IN  0041</v>
      </c>
      <c r="B35" s="269" t="s">
        <v>720</v>
      </c>
      <c r="C35" s="270" t="s">
        <v>4827</v>
      </c>
      <c r="D35" s="269" t="s">
        <v>625</v>
      </c>
      <c r="E35" s="271" t="s">
        <v>4783</v>
      </c>
      <c r="F35" s="271" t="s">
        <v>590</v>
      </c>
    </row>
    <row r="36" spans="1:6" ht="12.75" customHeight="1" x14ac:dyDescent="0.2">
      <c r="A36" t="str">
        <f t="shared" si="0"/>
        <v>U.S AGGREGATES, INC  2136  CRAWFORDSVILLE, IN  2136</v>
      </c>
      <c r="B36" s="269" t="s">
        <v>720</v>
      </c>
      <c r="C36" s="270" t="s">
        <v>4827</v>
      </c>
      <c r="D36" s="269" t="s">
        <v>4827</v>
      </c>
      <c r="E36" s="271" t="s">
        <v>4783</v>
      </c>
      <c r="F36" s="271" t="s">
        <v>590</v>
      </c>
    </row>
    <row r="37" spans="1:6" ht="12.75" customHeight="1" x14ac:dyDescent="0.2">
      <c r="A37" t="str">
        <f t="shared" si="0"/>
        <v>U.S AGGREGATES, INC  2136  CRAWFORDSVILLE, IN  2183</v>
      </c>
      <c r="B37" s="269" t="s">
        <v>720</v>
      </c>
      <c r="C37" s="270" t="s">
        <v>4827</v>
      </c>
      <c r="D37" s="269" t="s">
        <v>732</v>
      </c>
      <c r="E37" s="271" t="s">
        <v>4783</v>
      </c>
      <c r="F37" s="271" t="s">
        <v>590</v>
      </c>
    </row>
    <row r="38" spans="1:6" ht="12.75" customHeight="1" x14ac:dyDescent="0.2">
      <c r="A38" t="str">
        <f t="shared" si="0"/>
        <v>U.S AGGREGATES, INC  2136  CRAWFORDSVILLE, IN  2421</v>
      </c>
      <c r="B38" s="269" t="s">
        <v>720</v>
      </c>
      <c r="C38" s="270" t="s">
        <v>4827</v>
      </c>
      <c r="D38" s="269" t="s">
        <v>4828</v>
      </c>
      <c r="E38" s="271" t="s">
        <v>4783</v>
      </c>
      <c r="F38" s="271" t="s">
        <v>590</v>
      </c>
    </row>
    <row r="39" spans="1:6" ht="12.75" customHeight="1" x14ac:dyDescent="0.2">
      <c r="A39" t="str">
        <f t="shared" si="0"/>
        <v>U.S AGGREGATES, INC  2143  THORNTOWN, IN.  2143</v>
      </c>
      <c r="B39" s="269" t="s">
        <v>721</v>
      </c>
      <c r="C39" s="270" t="s">
        <v>4829</v>
      </c>
      <c r="D39" s="269" t="s">
        <v>4829</v>
      </c>
      <c r="E39" s="271" t="s">
        <v>4783</v>
      </c>
      <c r="F39" s="271" t="s">
        <v>722</v>
      </c>
    </row>
    <row r="40" spans="1:6" ht="12.75" customHeight="1" x14ac:dyDescent="0.2">
      <c r="A40" t="str">
        <f t="shared" si="0"/>
        <v>U.S AGGREGATES, INC  2143  THORNTOWN, IN.  2183</v>
      </c>
      <c r="B40" s="269" t="s">
        <v>721</v>
      </c>
      <c r="C40" s="270" t="s">
        <v>4829</v>
      </c>
      <c r="D40" s="269" t="s">
        <v>732</v>
      </c>
      <c r="E40" s="271" t="s">
        <v>4783</v>
      </c>
      <c r="F40" s="271" t="s">
        <v>722</v>
      </c>
    </row>
    <row r="41" spans="1:6" ht="12.75" customHeight="1" x14ac:dyDescent="0.2">
      <c r="A41" t="str">
        <f t="shared" si="0"/>
        <v>U.S AGGREGATES, INC  2143  THORNTOWN, IN.  2421</v>
      </c>
      <c r="B41" s="269" t="s">
        <v>721</v>
      </c>
      <c r="C41" s="270" t="s">
        <v>4829</v>
      </c>
      <c r="D41" s="269" t="s">
        <v>4828</v>
      </c>
      <c r="E41" s="271" t="s">
        <v>4783</v>
      </c>
      <c r="F41" s="271" t="s">
        <v>722</v>
      </c>
    </row>
    <row r="42" spans="1:6" ht="12.75" customHeight="1" x14ac:dyDescent="0.2">
      <c r="A42" t="str">
        <f t="shared" si="0"/>
        <v>MARTIN MARIETTA  2157  CLOVERDALE, IN.  2157</v>
      </c>
      <c r="B42" s="269" t="s">
        <v>566</v>
      </c>
      <c r="C42" s="270" t="s">
        <v>4830</v>
      </c>
      <c r="D42" s="269" t="s">
        <v>4830</v>
      </c>
      <c r="E42" s="271" t="s">
        <v>571</v>
      </c>
      <c r="F42" s="271" t="s">
        <v>567</v>
      </c>
    </row>
    <row r="43" spans="1:6" ht="12.75" customHeight="1" x14ac:dyDescent="0.2">
      <c r="A43" t="str">
        <f t="shared" si="0"/>
        <v>S AND G EXCAVATING  2163  MONTEZUMA, IN.  2163</v>
      </c>
      <c r="B43" s="269" t="s">
        <v>562</v>
      </c>
      <c r="C43" s="270" t="s">
        <v>4831</v>
      </c>
      <c r="D43" s="269" t="s">
        <v>4831</v>
      </c>
      <c r="E43" s="271" t="s">
        <v>680</v>
      </c>
      <c r="F43" s="271" t="s">
        <v>681</v>
      </c>
    </row>
    <row r="44" spans="1:6" ht="12.75" customHeight="1" x14ac:dyDescent="0.2">
      <c r="A44" t="str">
        <f t="shared" si="0"/>
        <v>S AND G EXCAVATING  2163  MONTEZUMA, IN.  2180</v>
      </c>
      <c r="B44" s="269" t="s">
        <v>562</v>
      </c>
      <c r="C44" s="270" t="s">
        <v>4831</v>
      </c>
      <c r="D44" s="269" t="s">
        <v>4825</v>
      </c>
      <c r="E44" s="271" t="s">
        <v>680</v>
      </c>
      <c r="F44" s="271" t="s">
        <v>681</v>
      </c>
    </row>
    <row r="45" spans="1:6" ht="12.75" customHeight="1" x14ac:dyDescent="0.2">
      <c r="A45" t="str">
        <f t="shared" si="0"/>
        <v>ROGERS GROUP  2164  WILLAMSPORT, IN  2164</v>
      </c>
      <c r="B45" s="269" t="s">
        <v>508</v>
      </c>
      <c r="C45" s="270" t="s">
        <v>4832</v>
      </c>
      <c r="D45" s="269" t="s">
        <v>4832</v>
      </c>
      <c r="E45" s="271" t="s">
        <v>663</v>
      </c>
      <c r="F45" s="271" t="s">
        <v>509</v>
      </c>
    </row>
    <row r="46" spans="1:6" ht="12.75" customHeight="1" x14ac:dyDescent="0.2">
      <c r="A46" t="str">
        <f t="shared" si="0"/>
        <v>ROGERS GROUP  2164  WILLAMSPORT, IN  2445</v>
      </c>
      <c r="B46" s="269" t="s">
        <v>508</v>
      </c>
      <c r="C46" s="270" t="s">
        <v>4832</v>
      </c>
      <c r="D46" s="269" t="s">
        <v>4833</v>
      </c>
      <c r="E46" s="271" t="s">
        <v>663</v>
      </c>
      <c r="F46" s="271" t="s">
        <v>509</v>
      </c>
    </row>
    <row r="47" spans="1:6" ht="12.75" customHeight="1" x14ac:dyDescent="0.2">
      <c r="A47" t="str">
        <f t="shared" si="0"/>
        <v>PRO-AGR INC.  2165  CAYUGA, IN.  2165</v>
      </c>
      <c r="B47" s="269" t="s">
        <v>642</v>
      </c>
      <c r="C47" s="270" t="s">
        <v>4834</v>
      </c>
      <c r="D47" s="269" t="s">
        <v>4834</v>
      </c>
      <c r="E47" s="271" t="s">
        <v>643</v>
      </c>
      <c r="F47" s="271" t="s">
        <v>644</v>
      </c>
    </row>
    <row r="48" spans="1:6" ht="12.75" customHeight="1" x14ac:dyDescent="0.2">
      <c r="A48" t="str">
        <f t="shared" si="0"/>
        <v>LINCOLN PARK STONE  2180  PUTNAMVILLE, IN  2113</v>
      </c>
      <c r="B48" s="269" t="s">
        <v>563</v>
      </c>
      <c r="C48" s="270" t="s">
        <v>4825</v>
      </c>
      <c r="D48" s="269" t="s">
        <v>4824</v>
      </c>
      <c r="E48" s="271" t="s">
        <v>561</v>
      </c>
      <c r="F48" s="271" t="s">
        <v>473</v>
      </c>
    </row>
    <row r="49" spans="1:6" ht="12.75" customHeight="1" x14ac:dyDescent="0.2">
      <c r="A49" t="str">
        <f t="shared" si="0"/>
        <v>LINCOLN PARK STONE  2180  PUTNAMVILLE, IN  2180</v>
      </c>
      <c r="B49" s="269" t="s">
        <v>563</v>
      </c>
      <c r="C49" s="270" t="s">
        <v>4825</v>
      </c>
      <c r="D49" s="269" t="s">
        <v>4825</v>
      </c>
      <c r="E49" s="271" t="s">
        <v>561</v>
      </c>
      <c r="F49" s="271" t="s">
        <v>473</v>
      </c>
    </row>
    <row r="50" spans="1:6" ht="12.75" customHeight="1" x14ac:dyDescent="0.2">
      <c r="A50" t="str">
        <f t="shared" si="0"/>
        <v>U.S AGGREGATES, INC  2183  BATTLEGROUND, IN  2136</v>
      </c>
      <c r="B50" s="269" t="s">
        <v>715</v>
      </c>
      <c r="C50" s="270" t="s">
        <v>732</v>
      </c>
      <c r="D50" s="269" t="s">
        <v>4827</v>
      </c>
      <c r="E50" s="271" t="s">
        <v>4783</v>
      </c>
      <c r="F50" s="271" t="s">
        <v>731</v>
      </c>
    </row>
    <row r="51" spans="1:6" ht="12.75" customHeight="1" x14ac:dyDescent="0.2">
      <c r="A51" t="str">
        <f t="shared" si="0"/>
        <v>U.S AGGREGATES, INC  2183  BATTLEGROUND, IN  2143</v>
      </c>
      <c r="B51" s="269" t="s">
        <v>715</v>
      </c>
      <c r="C51" s="270" t="s">
        <v>732</v>
      </c>
      <c r="D51" s="269" t="s">
        <v>4829</v>
      </c>
      <c r="E51" s="271" t="s">
        <v>4783</v>
      </c>
      <c r="F51" s="271" t="s">
        <v>731</v>
      </c>
    </row>
    <row r="52" spans="1:6" ht="12.75" customHeight="1" x14ac:dyDescent="0.2">
      <c r="A52" t="str">
        <f t="shared" si="0"/>
        <v>U.S AGGREGATES, INC  2183  BATTLEGROUND, IN  2183</v>
      </c>
      <c r="B52" s="269" t="s">
        <v>715</v>
      </c>
      <c r="C52" s="270" t="s">
        <v>732</v>
      </c>
      <c r="D52" s="269" t="s">
        <v>732</v>
      </c>
      <c r="E52" s="271" t="s">
        <v>4783</v>
      </c>
      <c r="F52" s="271" t="s">
        <v>731</v>
      </c>
    </row>
    <row r="53" spans="1:6" ht="12.75" customHeight="1" x14ac:dyDescent="0.2">
      <c r="A53" t="str">
        <f t="shared" si="0"/>
        <v>U.S AGGREGATES, INC  2183  BATTLEGROUND, IN  2428</v>
      </c>
      <c r="B53" s="269" t="s">
        <v>715</v>
      </c>
      <c r="C53" s="270" t="s">
        <v>732</v>
      </c>
      <c r="D53" s="269" t="s">
        <v>4835</v>
      </c>
      <c r="E53" s="271" t="s">
        <v>4783</v>
      </c>
      <c r="F53" s="271" t="s">
        <v>731</v>
      </c>
    </row>
    <row r="54" spans="1:6" ht="12.75" customHeight="1" x14ac:dyDescent="0.2">
      <c r="A54" t="str">
        <f t="shared" si="0"/>
        <v>U.S AGGREGATES, INC  2183  BATTLEGROUND, IN  2461</v>
      </c>
      <c r="B54" s="269" t="s">
        <v>715</v>
      </c>
      <c r="C54" s="270" t="s">
        <v>732</v>
      </c>
      <c r="D54" s="269" t="s">
        <v>4784</v>
      </c>
      <c r="E54" s="271" t="s">
        <v>4783</v>
      </c>
      <c r="F54" s="271" t="s">
        <v>731</v>
      </c>
    </row>
    <row r="55" spans="1:6" ht="12.75" customHeight="1" x14ac:dyDescent="0.2">
      <c r="A55" t="str">
        <f t="shared" si="0"/>
        <v>ELKHART COUNTY GRAVEL, INC.  2206  NEW PARIS, IN  2206</v>
      </c>
      <c r="B55" s="269" t="s">
        <v>440</v>
      </c>
      <c r="C55" s="270" t="s">
        <v>4836</v>
      </c>
      <c r="D55" s="269" t="s">
        <v>4836</v>
      </c>
      <c r="E55" s="271" t="s">
        <v>441</v>
      </c>
      <c r="F55" s="271" t="s">
        <v>4837</v>
      </c>
    </row>
    <row r="56" spans="1:6" ht="12.75" customHeight="1" x14ac:dyDescent="0.2">
      <c r="A56" t="str">
        <f t="shared" si="0"/>
        <v>ELKHART COUNTY GRAVEL, INC.  2206  NEW PARIS, IN  2232</v>
      </c>
      <c r="B56" s="269" t="s">
        <v>440</v>
      </c>
      <c r="C56" s="270" t="s">
        <v>4836</v>
      </c>
      <c r="D56" s="269" t="s">
        <v>4813</v>
      </c>
      <c r="E56" s="271" t="s">
        <v>441</v>
      </c>
      <c r="F56" s="271" t="s">
        <v>4837</v>
      </c>
    </row>
    <row r="57" spans="1:6" ht="12.75" customHeight="1" x14ac:dyDescent="0.2">
      <c r="A57" t="str">
        <f t="shared" si="0"/>
        <v>NIBLOCK EXCAVATING AND ASPHALT  2207  KIMMEL, IN  2207</v>
      </c>
      <c r="B57" s="269" t="s">
        <v>619</v>
      </c>
      <c r="C57" s="270" t="s">
        <v>4838</v>
      </c>
      <c r="D57" s="269" t="s">
        <v>4838</v>
      </c>
      <c r="E57" s="271" t="s">
        <v>620</v>
      </c>
      <c r="F57" s="271" t="s">
        <v>621</v>
      </c>
    </row>
    <row r="58" spans="1:6" ht="12.75" customHeight="1" x14ac:dyDescent="0.2">
      <c r="A58" t="str">
        <f t="shared" si="0"/>
        <v>IRVING MATERIALS, INC  2211  HUNTINGTON, IN.  2211</v>
      </c>
      <c r="B58" s="269" t="s">
        <v>521</v>
      </c>
      <c r="C58" s="270" t="s">
        <v>4839</v>
      </c>
      <c r="D58" s="269" t="s">
        <v>4839</v>
      </c>
      <c r="E58" s="271" t="s">
        <v>522</v>
      </c>
      <c r="F58" s="271" t="s">
        <v>523</v>
      </c>
    </row>
    <row r="59" spans="1:6" ht="12.75" customHeight="1" x14ac:dyDescent="0.2">
      <c r="A59" t="str">
        <f t="shared" si="0"/>
        <v>LEESBURG SAND AND GRAVEL  2217  LEESBURG, IN.  2217</v>
      </c>
      <c r="B59" s="269" t="s">
        <v>480</v>
      </c>
      <c r="C59" s="270" t="s">
        <v>4840</v>
      </c>
      <c r="D59" s="269" t="s">
        <v>4840</v>
      </c>
      <c r="E59" s="271" t="s">
        <v>558</v>
      </c>
      <c r="F59" s="271" t="s">
        <v>559</v>
      </c>
    </row>
    <row r="60" spans="1:6" ht="12.75" customHeight="1" x14ac:dyDescent="0.2">
      <c r="A60" t="str">
        <f t="shared" si="0"/>
        <v>LEHIGH HANSON AGGREGATES  2217  FORT WAYNE, IN.  2232</v>
      </c>
      <c r="B60" s="269" t="s">
        <v>480</v>
      </c>
      <c r="C60" s="270" t="s">
        <v>4840</v>
      </c>
      <c r="D60" s="269" t="s">
        <v>4813</v>
      </c>
      <c r="E60" s="271" t="s">
        <v>4841</v>
      </c>
      <c r="F60" s="271" t="s">
        <v>479</v>
      </c>
    </row>
    <row r="61" spans="1:6" ht="12.75" customHeight="1" x14ac:dyDescent="0.2">
      <c r="A61" t="str">
        <f t="shared" si="0"/>
        <v>HEIDELBERG MATERIALS MIDWEST   2232  FORT WAYNE, IN.  2232</v>
      </c>
      <c r="B61" s="269" t="s">
        <v>481</v>
      </c>
      <c r="C61" s="270" t="s">
        <v>4813</v>
      </c>
      <c r="D61" s="269" t="s">
        <v>4813</v>
      </c>
      <c r="E61" s="271" t="s">
        <v>4808</v>
      </c>
      <c r="F61" s="271" t="s">
        <v>479</v>
      </c>
    </row>
    <row r="62" spans="1:6" ht="12.75" customHeight="1" x14ac:dyDescent="0.2">
      <c r="A62" t="str">
        <f t="shared" si="0"/>
        <v>HEIDELBERG MATERIALS MIDWEST   2232  FORT WAYNE, IN.  2240</v>
      </c>
      <c r="B62" s="269" t="s">
        <v>474</v>
      </c>
      <c r="C62" s="270" t="s">
        <v>4813</v>
      </c>
      <c r="D62" s="269" t="s">
        <v>4842</v>
      </c>
      <c r="E62" s="271" t="s">
        <v>4808</v>
      </c>
      <c r="F62" s="271" t="s">
        <v>479</v>
      </c>
    </row>
    <row r="63" spans="1:6" ht="12.75" customHeight="1" x14ac:dyDescent="0.2">
      <c r="A63" t="str">
        <f t="shared" si="0"/>
        <v>HEIDELBERG MATERIALS MIDWEST   2237  EDGERTON, IN.  2232</v>
      </c>
      <c r="B63" s="269" t="s">
        <v>482</v>
      </c>
      <c r="C63" s="270" t="s">
        <v>4843</v>
      </c>
      <c r="D63" s="269" t="s">
        <v>4813</v>
      </c>
      <c r="E63" s="271" t="s">
        <v>4808</v>
      </c>
      <c r="F63" s="271" t="s">
        <v>489</v>
      </c>
    </row>
    <row r="64" spans="1:6" ht="12.75" customHeight="1" x14ac:dyDescent="0.2">
      <c r="A64" t="str">
        <f t="shared" si="0"/>
        <v>HEIDELBERG MATERIALS MIDWEST   2237  EDGERTON, IN.  2237</v>
      </c>
      <c r="B64" s="269" t="s">
        <v>482</v>
      </c>
      <c r="C64" s="270" t="s">
        <v>4843</v>
      </c>
      <c r="D64" s="269" t="s">
        <v>4843</v>
      </c>
      <c r="E64" s="271" t="s">
        <v>4808</v>
      </c>
      <c r="F64" s="271" t="s">
        <v>489</v>
      </c>
    </row>
    <row r="65" spans="1:6" ht="12.75" customHeight="1" x14ac:dyDescent="0.2">
      <c r="A65" t="str">
        <f t="shared" si="0"/>
        <v>STONE STREET QUARRIES, INC  2238  POE, IN.  2238</v>
      </c>
      <c r="B65" s="269" t="s">
        <v>706</v>
      </c>
      <c r="C65" s="270" t="s">
        <v>4844</v>
      </c>
      <c r="D65" s="269" t="s">
        <v>4844</v>
      </c>
      <c r="E65" s="271" t="s">
        <v>707</v>
      </c>
      <c r="F65" s="271" t="s">
        <v>708</v>
      </c>
    </row>
    <row r="66" spans="1:6" ht="12.75" customHeight="1" x14ac:dyDescent="0.2">
      <c r="A66" t="str">
        <f t="shared" si="0"/>
        <v>STONE STREET QUARRIES, INC  2238  POE, IN.  2797</v>
      </c>
      <c r="B66" s="269" t="s">
        <v>706</v>
      </c>
      <c r="C66" s="270" t="s">
        <v>4844</v>
      </c>
      <c r="D66" s="269" t="s">
        <v>4845</v>
      </c>
      <c r="E66" s="271" t="s">
        <v>707</v>
      </c>
      <c r="F66" s="271" t="s">
        <v>708</v>
      </c>
    </row>
    <row r="67" spans="1:6" ht="12.75" customHeight="1" x14ac:dyDescent="0.2">
      <c r="A67" t="str">
        <f t="shared" si="0"/>
        <v>HEIDELBERG MATERIALS MIDWEST   2240  ANGOLA, IN.  2232</v>
      </c>
      <c r="B67" s="269" t="s">
        <v>474</v>
      </c>
      <c r="C67" s="270" t="s">
        <v>4842</v>
      </c>
      <c r="D67" s="269" t="s">
        <v>4813</v>
      </c>
      <c r="E67" s="271" t="s">
        <v>4808</v>
      </c>
      <c r="F67" s="271" t="s">
        <v>475</v>
      </c>
    </row>
    <row r="68" spans="1:6" ht="12.75" customHeight="1" x14ac:dyDescent="0.2">
      <c r="A68" t="str">
        <f t="shared" si="0"/>
        <v>HEIDELBERG MATERIALS MIDWEST   2240  ANGOLA, IN.  2240</v>
      </c>
      <c r="B68" s="269" t="s">
        <v>474</v>
      </c>
      <c r="C68" s="270" t="s">
        <v>4842</v>
      </c>
      <c r="D68" s="269" t="s">
        <v>4842</v>
      </c>
      <c r="E68" s="271" t="s">
        <v>4808</v>
      </c>
      <c r="F68" s="271" t="s">
        <v>475</v>
      </c>
    </row>
    <row r="69" spans="1:6" ht="12.75" customHeight="1" x14ac:dyDescent="0.2">
      <c r="A69" t="str">
        <f t="shared" si="0"/>
        <v>CLIFFORD AGGREGATE, INC  2247  AUBURN, IN.  2247</v>
      </c>
      <c r="B69" s="269" t="s">
        <v>433</v>
      </c>
      <c r="C69" s="270" t="s">
        <v>4846</v>
      </c>
      <c r="D69" s="269" t="s">
        <v>4846</v>
      </c>
      <c r="E69" s="271" t="s">
        <v>4847</v>
      </c>
      <c r="F69" s="271" t="s">
        <v>438</v>
      </c>
    </row>
    <row r="70" spans="1:6" ht="12.75" customHeight="1" x14ac:dyDescent="0.2">
      <c r="A70" t="str">
        <f t="shared" si="0"/>
        <v>CLIFFORD AGGREGATE, INC  2247  AUBURN, IN.  2473</v>
      </c>
      <c r="B70" s="269" t="s">
        <v>433</v>
      </c>
      <c r="C70" s="270" t="s">
        <v>4846</v>
      </c>
      <c r="D70" s="269" t="s">
        <v>4797</v>
      </c>
      <c r="E70" s="271" t="s">
        <v>4847</v>
      </c>
      <c r="F70" s="271" t="s">
        <v>438</v>
      </c>
    </row>
    <row r="71" spans="1:6" ht="12.75" customHeight="1" x14ac:dyDescent="0.2">
      <c r="A71" t="str">
        <f t="shared" si="0"/>
        <v>CLIFFORD AGGREGATE, INC  2247  AUBURN, IN.  2283</v>
      </c>
      <c r="B71" s="269" t="s">
        <v>433</v>
      </c>
      <c r="C71" s="270" t="s">
        <v>4846</v>
      </c>
      <c r="D71" s="269" t="s">
        <v>4848</v>
      </c>
      <c r="E71" s="271" t="s">
        <v>4847</v>
      </c>
      <c r="F71" s="271" t="s">
        <v>438</v>
      </c>
    </row>
    <row r="72" spans="1:6" ht="12.75" customHeight="1" x14ac:dyDescent="0.2">
      <c r="A72" t="str">
        <f t="shared" si="0"/>
        <v>IRVING MATERIALS, INC.  2254  PERU, IN.  2254</v>
      </c>
      <c r="B72" s="269" t="s">
        <v>524</v>
      </c>
      <c r="C72" s="270" t="s">
        <v>4849</v>
      </c>
      <c r="D72" s="269" t="s">
        <v>4849</v>
      </c>
      <c r="E72" s="271" t="s">
        <v>525</v>
      </c>
      <c r="F72" s="271" t="s">
        <v>526</v>
      </c>
    </row>
    <row r="73" spans="1:6" ht="12.75" customHeight="1" x14ac:dyDescent="0.2">
      <c r="A73" t="str">
        <f t="shared" si="0"/>
        <v>IRVING MATERIALS, INC.  2254  PERU, IN.  2355</v>
      </c>
      <c r="B73" s="269" t="s">
        <v>524</v>
      </c>
      <c r="C73" s="270" t="s">
        <v>4849</v>
      </c>
      <c r="D73" s="269" t="s">
        <v>4850</v>
      </c>
      <c r="E73" s="271" t="s">
        <v>525</v>
      </c>
      <c r="F73" s="271" t="s">
        <v>526</v>
      </c>
    </row>
    <row r="74" spans="1:6" ht="12.75" customHeight="1" x14ac:dyDescent="0.2">
      <c r="A74" t="str">
        <f t="shared" si="0"/>
        <v>IRVING MATERIALS, INC.  2254  PERU, IN.  2431</v>
      </c>
      <c r="B74" s="269" t="s">
        <v>524</v>
      </c>
      <c r="C74" s="270" t="s">
        <v>4849</v>
      </c>
      <c r="D74" s="269" t="s">
        <v>4851</v>
      </c>
      <c r="E74" s="271" t="s">
        <v>525</v>
      </c>
      <c r="F74" s="271" t="s">
        <v>526</v>
      </c>
    </row>
    <row r="75" spans="1:6" ht="12.75" customHeight="1" x14ac:dyDescent="0.2">
      <c r="A75" t="str">
        <f t="shared" si="0"/>
        <v>IRVING MATERIALS, INC.  2262  BLUFFTON, IN.  2262</v>
      </c>
      <c r="B75" s="269" t="s">
        <v>529</v>
      </c>
      <c r="C75" s="270" t="s">
        <v>4852</v>
      </c>
      <c r="D75" s="269" t="s">
        <v>4852</v>
      </c>
      <c r="E75" s="271" t="s">
        <v>525</v>
      </c>
      <c r="F75" s="271" t="s">
        <v>530</v>
      </c>
    </row>
    <row r="76" spans="1:6" ht="12.75" customHeight="1" x14ac:dyDescent="0.2">
      <c r="A76" t="str">
        <f t="shared" ref="A76:A126" si="1">E76&amp;"  "&amp;C76&amp;"  "&amp;F76&amp;"  "&amp;D76</f>
        <v>U.S AGGREGATES, INC  2266  LINN GROVE, IN.  2266</v>
      </c>
      <c r="B76" s="269" t="s">
        <v>711</v>
      </c>
      <c r="C76" s="270" t="s">
        <v>4853</v>
      </c>
      <c r="D76" s="269" t="s">
        <v>4853</v>
      </c>
      <c r="E76" s="271" t="s">
        <v>4783</v>
      </c>
      <c r="F76" s="271" t="s">
        <v>712</v>
      </c>
    </row>
    <row r="77" spans="1:6" ht="12.75" customHeight="1" x14ac:dyDescent="0.2">
      <c r="A77" t="str">
        <f t="shared" si="1"/>
        <v>U.S AGGREGATES, INC  2267  DECATUR, IN.  2267</v>
      </c>
      <c r="B77" s="269" t="s">
        <v>709</v>
      </c>
      <c r="C77" s="270" t="s">
        <v>4854</v>
      </c>
      <c r="D77" s="269" t="s">
        <v>4854</v>
      </c>
      <c r="E77" s="271" t="s">
        <v>4783</v>
      </c>
      <c r="F77" s="271" t="s">
        <v>710</v>
      </c>
    </row>
    <row r="78" spans="1:6" ht="12.75" customHeight="1" x14ac:dyDescent="0.2">
      <c r="A78" t="str">
        <f t="shared" si="1"/>
        <v>NIBLOCK EXCAVATING INC-BRISTOL  2273  BRISTOL, IN.  2273</v>
      </c>
      <c r="B78" s="269" t="s">
        <v>622</v>
      </c>
      <c r="C78" s="270" t="s">
        <v>4855</v>
      </c>
      <c r="D78" s="269" t="s">
        <v>4855</v>
      </c>
      <c r="E78" s="271" t="s">
        <v>4856</v>
      </c>
      <c r="F78" s="271" t="s">
        <v>623</v>
      </c>
    </row>
    <row r="79" spans="1:6" ht="12.75" customHeight="1" x14ac:dyDescent="0.2">
      <c r="A79" t="str">
        <f t="shared" si="1"/>
        <v>CLIFFORD AGGREGATE, INC  2283  SOUTH MILFORD, IN.  2211</v>
      </c>
      <c r="B79" s="269" t="s">
        <v>435</v>
      </c>
      <c r="C79" s="270" t="s">
        <v>4848</v>
      </c>
      <c r="D79" s="269" t="s">
        <v>4839</v>
      </c>
      <c r="E79" s="271" t="s">
        <v>4847</v>
      </c>
      <c r="F79" s="271" t="s">
        <v>434</v>
      </c>
    </row>
    <row r="80" spans="1:6" ht="12.75" customHeight="1" x14ac:dyDescent="0.2">
      <c r="A80" t="str">
        <f t="shared" si="1"/>
        <v>CLIFFORD AGGREGATE, INC  2283  SOUTH MILFORD, IN.  2232</v>
      </c>
      <c r="B80" s="269" t="s">
        <v>435</v>
      </c>
      <c r="C80" s="270" t="s">
        <v>4848</v>
      </c>
      <c r="D80" s="269" t="s">
        <v>4813</v>
      </c>
      <c r="E80" s="271" t="s">
        <v>4847</v>
      </c>
      <c r="F80" s="271" t="s">
        <v>434</v>
      </c>
    </row>
    <row r="81" spans="1:6" ht="12.75" customHeight="1" x14ac:dyDescent="0.2">
      <c r="A81" t="str">
        <f t="shared" si="1"/>
        <v>CLIFFORD AGGREGATE, INC  2283  SOUTH MILFORD, IN.  2238</v>
      </c>
      <c r="B81" s="269" t="s">
        <v>435</v>
      </c>
      <c r="C81" s="270" t="s">
        <v>4848</v>
      </c>
      <c r="D81" s="269" t="s">
        <v>4844</v>
      </c>
      <c r="E81" s="271" t="s">
        <v>4847</v>
      </c>
      <c r="F81" s="271" t="s">
        <v>434</v>
      </c>
    </row>
    <row r="82" spans="1:6" ht="12.75" customHeight="1" x14ac:dyDescent="0.2">
      <c r="A82" t="str">
        <f t="shared" si="1"/>
        <v>CLIFFORD AGGREGATE, INC  2283  SOUTH MILFORD, IN.  2283</v>
      </c>
      <c r="B82" s="269" t="s">
        <v>435</v>
      </c>
      <c r="C82" s="270" t="s">
        <v>4848</v>
      </c>
      <c r="D82" s="269" t="s">
        <v>4848</v>
      </c>
      <c r="E82" s="271" t="s">
        <v>4847</v>
      </c>
      <c r="F82" s="271" t="s">
        <v>434</v>
      </c>
    </row>
    <row r="83" spans="1:6" ht="12.75" customHeight="1" x14ac:dyDescent="0.2">
      <c r="A83" t="str">
        <f t="shared" si="1"/>
        <v>STONECO OF ANGOLA  2294  ANGOLA, IN  2294</v>
      </c>
      <c r="B83" s="269" t="s">
        <v>648</v>
      </c>
      <c r="C83" s="270" t="s">
        <v>4857</v>
      </c>
      <c r="D83" s="269" t="s">
        <v>4857</v>
      </c>
      <c r="E83" s="271" t="s">
        <v>4858</v>
      </c>
      <c r="F83" s="271" t="s">
        <v>437</v>
      </c>
    </row>
    <row r="84" spans="1:6" ht="12.75" customHeight="1" x14ac:dyDescent="0.2">
      <c r="A84" t="str">
        <f t="shared" si="1"/>
        <v>SPEEDWAY SAND AND GRAVEL, INC  2295  DISKO, IN.  2295</v>
      </c>
      <c r="B84" s="269" t="s">
        <v>694</v>
      </c>
      <c r="C84" s="270" t="s">
        <v>4859</v>
      </c>
      <c r="D84" s="269" t="s">
        <v>4859</v>
      </c>
      <c r="E84" s="271" t="s">
        <v>695</v>
      </c>
      <c r="F84" s="271" t="s">
        <v>696</v>
      </c>
    </row>
    <row r="85" spans="1:6" ht="12.75" customHeight="1" x14ac:dyDescent="0.2">
      <c r="A85" t="str">
        <f t="shared" si="1"/>
        <v>MARTIN MARIETTA  2303  CARMEL, IN.  2303</v>
      </c>
      <c r="B85" s="269" t="s">
        <v>580</v>
      </c>
      <c r="C85" s="273" t="s">
        <v>4860</v>
      </c>
      <c r="D85" s="274" t="s">
        <v>4860</v>
      </c>
      <c r="E85" s="271" t="s">
        <v>571</v>
      </c>
      <c r="F85" s="271" t="s">
        <v>581</v>
      </c>
    </row>
    <row r="86" spans="1:6" ht="12.75" customHeight="1" x14ac:dyDescent="0.2">
      <c r="A86" t="str">
        <f t="shared" si="1"/>
        <v>IRVING MATERIALS, INC.  2306  ANDERSON, IN  2306</v>
      </c>
      <c r="B86" s="269" t="s">
        <v>531</v>
      </c>
      <c r="C86" s="270" t="s">
        <v>4861</v>
      </c>
      <c r="D86" s="269" t="s">
        <v>4861</v>
      </c>
      <c r="E86" s="271" t="s">
        <v>525</v>
      </c>
      <c r="F86" s="271" t="s">
        <v>532</v>
      </c>
    </row>
    <row r="87" spans="1:6" ht="12.75" customHeight="1" x14ac:dyDescent="0.2">
      <c r="A87" t="str">
        <f t="shared" si="1"/>
        <v>MARTIN MARIETTA  2310  INDIANAPOLIS, IN.  2310</v>
      </c>
      <c r="B87" s="269" t="s">
        <v>582</v>
      </c>
      <c r="C87" s="270" t="s">
        <v>4862</v>
      </c>
      <c r="D87" s="269" t="s">
        <v>4862</v>
      </c>
      <c r="E87" s="271" t="s">
        <v>571</v>
      </c>
      <c r="F87" s="271" t="s">
        <v>492</v>
      </c>
    </row>
    <row r="88" spans="1:6" ht="12.75" customHeight="1" x14ac:dyDescent="0.2">
      <c r="A88" t="str">
        <f t="shared" si="1"/>
        <v>MARTIN MARIETTA  2310  INDIANAPOLIS, IN.  2389</v>
      </c>
      <c r="B88" s="269" t="s">
        <v>582</v>
      </c>
      <c r="C88" s="270" t="s">
        <v>4862</v>
      </c>
      <c r="D88" s="269" t="s">
        <v>4863</v>
      </c>
      <c r="E88" s="271" t="s">
        <v>571</v>
      </c>
      <c r="F88" s="271" t="s">
        <v>492</v>
      </c>
    </row>
    <row r="89" spans="1:6" ht="12.75" customHeight="1" x14ac:dyDescent="0.2">
      <c r="A89" t="str">
        <f t="shared" si="1"/>
        <v>MARTIN MARIETTA  2310  INDIANAPOLIS, IN.  2310</v>
      </c>
      <c r="B89" s="269" t="s">
        <v>582</v>
      </c>
      <c r="C89" s="270" t="s">
        <v>4862</v>
      </c>
      <c r="D89" s="269" t="s">
        <v>4862</v>
      </c>
      <c r="E89" s="271" t="s">
        <v>571</v>
      </c>
      <c r="F89" s="271" t="s">
        <v>492</v>
      </c>
    </row>
    <row r="90" spans="1:6" ht="12.75" customHeight="1" x14ac:dyDescent="0.2">
      <c r="A90" t="str">
        <f t="shared" si="1"/>
        <v>MARTIN MARIETTA  2311  INDIANAPOLIS, IN.  2311</v>
      </c>
      <c r="B90" s="269" t="s">
        <v>577</v>
      </c>
      <c r="C90" s="270" t="s">
        <v>4864</v>
      </c>
      <c r="D90" s="269" t="s">
        <v>4864</v>
      </c>
      <c r="E90" s="271" t="s">
        <v>571</v>
      </c>
      <c r="F90" s="271" t="s">
        <v>492</v>
      </c>
    </row>
    <row r="91" spans="1:6" ht="12.75" customHeight="1" x14ac:dyDescent="0.2">
      <c r="A91" t="str">
        <f t="shared" si="1"/>
        <v>MARTIN MARIETTA  2311  INDIANAPOLIS, IN.  2314</v>
      </c>
      <c r="B91" s="269" t="s">
        <v>577</v>
      </c>
      <c r="C91" s="270" t="s">
        <v>4864</v>
      </c>
      <c r="D91" s="269" t="s">
        <v>4865</v>
      </c>
      <c r="E91" s="271" t="s">
        <v>571</v>
      </c>
      <c r="F91" s="271" t="s">
        <v>492</v>
      </c>
    </row>
    <row r="92" spans="1:6" ht="12.75" customHeight="1" x14ac:dyDescent="0.2">
      <c r="A92" t="str">
        <f t="shared" si="1"/>
        <v>MARTIN MARIETTA  2311  INDIANAPOLIS, IN.  2311</v>
      </c>
      <c r="B92" s="269" t="s">
        <v>577</v>
      </c>
      <c r="C92" s="270" t="s">
        <v>4864</v>
      </c>
      <c r="D92" s="269" t="s">
        <v>4864</v>
      </c>
      <c r="E92" s="271" t="s">
        <v>571</v>
      </c>
      <c r="F92" s="271" t="s">
        <v>492</v>
      </c>
    </row>
    <row r="93" spans="1:6" ht="15" customHeight="1" x14ac:dyDescent="0.2">
      <c r="A93" t="str">
        <f t="shared" si="1"/>
        <v>HEIDELBERG MATERIALS MIDWEST   2312  INDIANAPOLIS, IN.  2135</v>
      </c>
      <c r="B93" s="269" t="s">
        <v>476</v>
      </c>
      <c r="C93" s="270" t="s">
        <v>4866</v>
      </c>
      <c r="D93" s="269" t="s">
        <v>4826</v>
      </c>
      <c r="E93" s="271" t="s">
        <v>4808</v>
      </c>
      <c r="F93" s="271" t="s">
        <v>492</v>
      </c>
    </row>
    <row r="94" spans="1:6" ht="12.75" customHeight="1" x14ac:dyDescent="0.2">
      <c r="A94" t="str">
        <f t="shared" si="1"/>
        <v>HEIDELBERG MATERIALS MIDWEST   2312  INDIANAPOLIS, IN.  2312</v>
      </c>
      <c r="B94" s="269" t="s">
        <v>476</v>
      </c>
      <c r="C94" s="270" t="s">
        <v>4866</v>
      </c>
      <c r="D94" s="269" t="s">
        <v>4866</v>
      </c>
      <c r="E94" s="271" t="s">
        <v>4808</v>
      </c>
      <c r="F94" s="271" t="s">
        <v>492</v>
      </c>
    </row>
    <row r="95" spans="1:6" ht="15" customHeight="1" x14ac:dyDescent="0.2">
      <c r="A95" t="str">
        <f t="shared" si="1"/>
        <v>MARTIN MARIETTA  2314  INDIANAPOLIS, IN.  2389</v>
      </c>
      <c r="B95" s="269" t="s">
        <v>570</v>
      </c>
      <c r="C95" s="270" t="s">
        <v>4865</v>
      </c>
      <c r="D95" s="269" t="s">
        <v>4863</v>
      </c>
      <c r="E95" s="271" t="s">
        <v>571</v>
      </c>
      <c r="F95" s="271" t="s">
        <v>492</v>
      </c>
    </row>
    <row r="96" spans="1:6" ht="12.75" customHeight="1" x14ac:dyDescent="0.2">
      <c r="A96" t="str">
        <f t="shared" si="1"/>
        <v>MARTIN MARIETTA  2314  INDIANAPOLIS, IN.  2157</v>
      </c>
      <c r="B96" s="269" t="s">
        <v>570</v>
      </c>
      <c r="C96" s="270" t="s">
        <v>4865</v>
      </c>
      <c r="D96" s="269" t="s">
        <v>4830</v>
      </c>
      <c r="E96" s="271" t="s">
        <v>571</v>
      </c>
      <c r="F96" s="271" t="s">
        <v>492</v>
      </c>
    </row>
    <row r="97" spans="1:6" ht="15" customHeight="1" x14ac:dyDescent="0.2">
      <c r="A97" t="str">
        <f t="shared" si="1"/>
        <v>MARTIN MARIETTA  2314  INDIANAPOLIS, IN.  2314</v>
      </c>
      <c r="B97" s="269" t="s">
        <v>570</v>
      </c>
      <c r="C97" s="270" t="s">
        <v>4865</v>
      </c>
      <c r="D97" s="269" t="s">
        <v>4865</v>
      </c>
      <c r="E97" s="271" t="s">
        <v>571</v>
      </c>
      <c r="F97" s="271" t="s">
        <v>492</v>
      </c>
    </row>
    <row r="98" spans="1:6" ht="12.75" customHeight="1" x14ac:dyDescent="0.2">
      <c r="A98" t="str">
        <f t="shared" si="1"/>
        <v>RUSH COUNTY STONE CO.  2322  MILROY, IN.  2322</v>
      </c>
      <c r="B98" s="269" t="s">
        <v>676</v>
      </c>
      <c r="C98" s="270" t="s">
        <v>4867</v>
      </c>
      <c r="D98" s="269" t="s">
        <v>4867</v>
      </c>
      <c r="E98" s="271" t="s">
        <v>4868</v>
      </c>
      <c r="F98" s="271" t="s">
        <v>677</v>
      </c>
    </row>
    <row r="99" spans="1:6" ht="15" customHeight="1" x14ac:dyDescent="0.2">
      <c r="A99" t="str">
        <f t="shared" si="1"/>
        <v>U.S AGGREGATES, INC  2331  RICHMOND, IN.  2331</v>
      </c>
      <c r="B99" s="269" t="s">
        <v>723</v>
      </c>
      <c r="C99" s="270" t="s">
        <v>4869</v>
      </c>
      <c r="D99" s="269" t="s">
        <v>4869</v>
      </c>
      <c r="E99" s="271" t="s">
        <v>4783</v>
      </c>
      <c r="F99" s="271" t="s">
        <v>410</v>
      </c>
    </row>
    <row r="100" spans="1:6" ht="12.75" customHeight="1" x14ac:dyDescent="0.2">
      <c r="A100" t="str">
        <f t="shared" si="1"/>
        <v>IRVING MATERIALS, INC.  2333  CAMBRIDGE CITY, IN.  2333</v>
      </c>
      <c r="B100" s="269" t="s">
        <v>533</v>
      </c>
      <c r="C100" s="270" t="s">
        <v>4870</v>
      </c>
      <c r="D100" s="269" t="s">
        <v>4870</v>
      </c>
      <c r="E100" s="271" t="s">
        <v>525</v>
      </c>
      <c r="F100" s="271" t="s">
        <v>534</v>
      </c>
    </row>
    <row r="101" spans="1:6" ht="12.75" customHeight="1" x14ac:dyDescent="0.2">
      <c r="A101" t="str">
        <f t="shared" si="1"/>
        <v>BARRETT PAVING MATERIALS, INC.  2334  RICHMOND, IN.  2334</v>
      </c>
      <c r="B101" s="269" t="s">
        <v>408</v>
      </c>
      <c r="C101" s="270" t="s">
        <v>4871</v>
      </c>
      <c r="D101" s="269" t="s">
        <v>4871</v>
      </c>
      <c r="E101" s="271" t="s">
        <v>409</v>
      </c>
      <c r="F101" s="271" t="s">
        <v>410</v>
      </c>
    </row>
    <row r="102" spans="1:6" ht="15" customHeight="1" x14ac:dyDescent="0.2">
      <c r="A102" t="str">
        <f t="shared" si="1"/>
        <v>IRVING MATERIALS, INC.  2338  CAMBRIDGE CITY, IN.  2333</v>
      </c>
      <c r="B102" s="269" t="s">
        <v>535</v>
      </c>
      <c r="C102" s="270" t="s">
        <v>4872</v>
      </c>
      <c r="D102" s="269" t="s">
        <v>4870</v>
      </c>
      <c r="E102" s="271" t="s">
        <v>525</v>
      </c>
      <c r="F102" s="271" t="s">
        <v>534</v>
      </c>
    </row>
    <row r="103" spans="1:6" ht="15" customHeight="1" x14ac:dyDescent="0.2">
      <c r="A103" t="str">
        <f t="shared" si="1"/>
        <v>IRVING MATERIALS, INC.  2338  CONNERSVILLE, IN.  2338</v>
      </c>
      <c r="B103" s="269" t="s">
        <v>535</v>
      </c>
      <c r="C103" s="270" t="s">
        <v>4872</v>
      </c>
      <c r="D103" s="269" t="s">
        <v>4872</v>
      </c>
      <c r="E103" s="271" t="s">
        <v>525</v>
      </c>
      <c r="F103" s="271" t="s">
        <v>536</v>
      </c>
    </row>
    <row r="104" spans="1:6" ht="12.75" customHeight="1" x14ac:dyDescent="0.2">
      <c r="A104" t="str">
        <f t="shared" si="1"/>
        <v>IRVING MATERIALS, INC.  2347  NEW CASTLE, IN  2347</v>
      </c>
      <c r="B104" s="269" t="s">
        <v>537</v>
      </c>
      <c r="C104" s="270" t="s">
        <v>4873</v>
      </c>
      <c r="D104" s="269" t="s">
        <v>4873</v>
      </c>
      <c r="E104" s="271" t="s">
        <v>525</v>
      </c>
      <c r="F104" s="271" t="s">
        <v>538</v>
      </c>
    </row>
    <row r="105" spans="1:6" ht="15" customHeight="1" x14ac:dyDescent="0.2">
      <c r="A105" t="str">
        <f t="shared" si="1"/>
        <v>IRVING MATERIALS, INC.  2348  PENDLETON, IN.  2348</v>
      </c>
      <c r="B105" s="269" t="s">
        <v>539</v>
      </c>
      <c r="C105" s="270" t="s">
        <v>4874</v>
      </c>
      <c r="D105" s="269" t="s">
        <v>4874</v>
      </c>
      <c r="E105" s="271" t="s">
        <v>525</v>
      </c>
      <c r="F105" s="271" t="s">
        <v>540</v>
      </c>
    </row>
    <row r="106" spans="1:6" ht="12.75" customHeight="1" x14ac:dyDescent="0.2">
      <c r="A106" t="str">
        <f t="shared" si="1"/>
        <v>IRVING MATERIALS, INC.  2348  PENDLETON, IN.  2362</v>
      </c>
      <c r="B106" s="269" t="s">
        <v>539</v>
      </c>
      <c r="C106" s="270" t="s">
        <v>4874</v>
      </c>
      <c r="D106" s="269" t="s">
        <v>4875</v>
      </c>
      <c r="E106" s="271" t="s">
        <v>525</v>
      </c>
      <c r="F106" s="271" t="s">
        <v>540</v>
      </c>
    </row>
    <row r="107" spans="1:6" ht="15" customHeight="1" x14ac:dyDescent="0.2">
      <c r="A107" t="str">
        <f t="shared" si="1"/>
        <v>IRVING MATERIALS, INC.  2348  PENDLETON, IN.  2348</v>
      </c>
      <c r="B107" s="269" t="s">
        <v>539</v>
      </c>
      <c r="C107" s="270" t="s">
        <v>4874</v>
      </c>
      <c r="D107" s="269" t="s">
        <v>4874</v>
      </c>
      <c r="E107" s="271" t="s">
        <v>525</v>
      </c>
      <c r="F107" s="271" t="s">
        <v>540</v>
      </c>
    </row>
    <row r="108" spans="1:6" ht="12.75" customHeight="1" x14ac:dyDescent="0.2">
      <c r="A108" t="str">
        <f t="shared" si="1"/>
        <v>IRVING MATERIALS, INC.  2348  PENDLETON, IN.  2362</v>
      </c>
      <c r="B108" s="269" t="s">
        <v>539</v>
      </c>
      <c r="C108" s="270" t="s">
        <v>4874</v>
      </c>
      <c r="D108" s="269" t="s">
        <v>4875</v>
      </c>
      <c r="E108" s="271" t="s">
        <v>525</v>
      </c>
      <c r="F108" s="271" t="s">
        <v>540</v>
      </c>
    </row>
    <row r="109" spans="1:6" ht="15" customHeight="1" x14ac:dyDescent="0.2">
      <c r="A109" t="str">
        <f t="shared" si="1"/>
        <v>IRVING MATERIALS, INC.  2348  PENDLETON, IN.  2348</v>
      </c>
      <c r="B109" s="269" t="s">
        <v>539</v>
      </c>
      <c r="C109" s="270" t="s">
        <v>4874</v>
      </c>
      <c r="D109" s="269" t="s">
        <v>4874</v>
      </c>
      <c r="E109" s="271" t="s">
        <v>525</v>
      </c>
      <c r="F109" s="271" t="s">
        <v>540</v>
      </c>
    </row>
    <row r="110" spans="1:6" ht="12.75" customHeight="1" x14ac:dyDescent="0.2">
      <c r="A110" t="str">
        <f t="shared" si="1"/>
        <v>IRVING MATERIALS, INC.  2348  PENDLETON, IN.  2362</v>
      </c>
      <c r="B110" s="269" t="s">
        <v>539</v>
      </c>
      <c r="C110" s="270" t="s">
        <v>4874</v>
      </c>
      <c r="D110" s="269" t="s">
        <v>4875</v>
      </c>
      <c r="E110" s="271" t="s">
        <v>525</v>
      </c>
      <c r="F110" s="271" t="s">
        <v>540</v>
      </c>
    </row>
    <row r="111" spans="1:6" ht="15" customHeight="1" x14ac:dyDescent="0.2">
      <c r="A111" t="str">
        <f t="shared" si="1"/>
        <v>IRVING MATERIALS, INC.  2348  PENDLETON, IN.  2348</v>
      </c>
      <c r="B111" s="269" t="s">
        <v>539</v>
      </c>
      <c r="C111" s="270" t="s">
        <v>4874</v>
      </c>
      <c r="D111" s="269" t="s">
        <v>4874</v>
      </c>
      <c r="E111" s="271" t="s">
        <v>525</v>
      </c>
      <c r="F111" s="271" t="s">
        <v>540</v>
      </c>
    </row>
    <row r="112" spans="1:6" ht="12.75" customHeight="1" x14ac:dyDescent="0.2">
      <c r="A112" t="str">
        <f t="shared" si="1"/>
        <v>IRVING MATERIALS, INC.  2348  PENDLETON, IN.  2362</v>
      </c>
      <c r="B112" s="269" t="s">
        <v>539</v>
      </c>
      <c r="C112" s="270" t="s">
        <v>4874</v>
      </c>
      <c r="D112" s="269" t="s">
        <v>4875</v>
      </c>
      <c r="E112" s="271" t="s">
        <v>525</v>
      </c>
      <c r="F112" s="271" t="s">
        <v>540</v>
      </c>
    </row>
    <row r="113" spans="1:6" ht="15" customHeight="1" x14ac:dyDescent="0.2">
      <c r="A113" t="str">
        <f t="shared" si="1"/>
        <v>IRVING MATERIALS, INC.  2348  PENDLETON, IN.  2348</v>
      </c>
      <c r="B113" s="269" t="s">
        <v>539</v>
      </c>
      <c r="C113" s="270" t="s">
        <v>4874</v>
      </c>
      <c r="D113" s="269" t="s">
        <v>4874</v>
      </c>
      <c r="E113" s="271" t="s">
        <v>525</v>
      </c>
      <c r="F113" s="271" t="s">
        <v>540</v>
      </c>
    </row>
    <row r="114" spans="1:6" ht="15" customHeight="1" x14ac:dyDescent="0.2">
      <c r="A114" t="str">
        <f t="shared" si="1"/>
        <v>MARTIN MARIETTA  2353  KOKOMO, IN.  2353</v>
      </c>
      <c r="B114" s="269" t="s">
        <v>573</v>
      </c>
      <c r="C114" s="270" t="s">
        <v>4876</v>
      </c>
      <c r="D114" s="269" t="s">
        <v>4876</v>
      </c>
      <c r="E114" s="271" t="s">
        <v>571</v>
      </c>
      <c r="F114" s="271" t="s">
        <v>439</v>
      </c>
    </row>
    <row r="115" spans="1:6" ht="15" customHeight="1" x14ac:dyDescent="0.2">
      <c r="A115" t="str">
        <f t="shared" si="1"/>
        <v>IRVING MATERIALS, INC.  2355  SWAYZEE, IN.  2355</v>
      </c>
      <c r="B115" s="269" t="s">
        <v>541</v>
      </c>
      <c r="C115" s="270" t="s">
        <v>4850</v>
      </c>
      <c r="D115" s="269" t="s">
        <v>4850</v>
      </c>
      <c r="E115" s="271" t="s">
        <v>525</v>
      </c>
      <c r="F115" s="271" t="s">
        <v>528</v>
      </c>
    </row>
    <row r="116" spans="1:6" ht="15" customHeight="1" x14ac:dyDescent="0.2">
      <c r="A116" t="str">
        <f t="shared" si="1"/>
        <v>IRVING MATERIALS-STONEY CREEK  2359  NOBLESVILLE, IN.  2359</v>
      </c>
      <c r="B116" s="269" t="s">
        <v>520</v>
      </c>
      <c r="C116" s="270" t="s">
        <v>4877</v>
      </c>
      <c r="D116" s="269" t="s">
        <v>4877</v>
      </c>
      <c r="E116" s="271" t="s">
        <v>4878</v>
      </c>
      <c r="F116" s="271" t="s">
        <v>413</v>
      </c>
    </row>
    <row r="117" spans="1:6" ht="15" customHeight="1" x14ac:dyDescent="0.2">
      <c r="A117" t="str">
        <f t="shared" si="1"/>
        <v>U.S AGGREGATES, INC  2361  PORTLAND, IN.  2217</v>
      </c>
      <c r="B117" s="269" t="s">
        <v>724</v>
      </c>
      <c r="C117" s="270" t="s">
        <v>4879</v>
      </c>
      <c r="D117" s="269" t="s">
        <v>4840</v>
      </c>
      <c r="E117" s="271" t="s">
        <v>4783</v>
      </c>
      <c r="F117" s="271" t="s">
        <v>725</v>
      </c>
    </row>
    <row r="118" spans="1:6" ht="15" customHeight="1" x14ac:dyDescent="0.2">
      <c r="A118" t="str">
        <f t="shared" si="1"/>
        <v>U.S AGGREGATES, INC  2361  PORTLAND, IN.  2361</v>
      </c>
      <c r="B118" s="269" t="s">
        <v>724</v>
      </c>
      <c r="C118" s="270" t="s">
        <v>4879</v>
      </c>
      <c r="D118" s="269" t="s">
        <v>4879</v>
      </c>
      <c r="E118" s="271" t="s">
        <v>4783</v>
      </c>
      <c r="F118" s="271" t="s">
        <v>725</v>
      </c>
    </row>
    <row r="119" spans="1:6" ht="15" customHeight="1" x14ac:dyDescent="0.2">
      <c r="A119" t="str">
        <f t="shared" si="1"/>
        <v>IRVING MATERIALS INC  2362  MUNCIE, IN.  2362</v>
      </c>
      <c r="B119" s="269" t="s">
        <v>515</v>
      </c>
      <c r="C119" s="270" t="s">
        <v>4875</v>
      </c>
      <c r="D119" s="269" t="s">
        <v>4875</v>
      </c>
      <c r="E119" s="271" t="s">
        <v>516</v>
      </c>
      <c r="F119" s="271" t="s">
        <v>517</v>
      </c>
    </row>
    <row r="120" spans="1:6" ht="15" customHeight="1" x14ac:dyDescent="0.2">
      <c r="A120" t="str">
        <f t="shared" si="1"/>
        <v>U.S AGGREGATES, INC  2363  RIDGEVILLE, IN.  2363</v>
      </c>
      <c r="B120" s="269" t="s">
        <v>726</v>
      </c>
      <c r="C120" s="270" t="s">
        <v>4880</v>
      </c>
      <c r="D120" s="269" t="s">
        <v>4880</v>
      </c>
      <c r="E120" s="271" t="s">
        <v>4783</v>
      </c>
      <c r="F120" s="271" t="s">
        <v>727</v>
      </c>
    </row>
    <row r="121" spans="1:6" ht="15" customHeight="1" x14ac:dyDescent="0.2">
      <c r="A121" t="str">
        <f t="shared" si="1"/>
        <v>IRVING MATERIALS, INC.  2367  MONTPELIER, IN.  2367</v>
      </c>
      <c r="B121" s="269" t="s">
        <v>542</v>
      </c>
      <c r="C121" s="273" t="s">
        <v>4881</v>
      </c>
      <c r="D121" s="274" t="s">
        <v>4881</v>
      </c>
      <c r="E121" s="271" t="s">
        <v>525</v>
      </c>
      <c r="F121" s="271" t="s">
        <v>543</v>
      </c>
    </row>
    <row r="122" spans="1:6" ht="15" customHeight="1" x14ac:dyDescent="0.2">
      <c r="A122" t="str">
        <f t="shared" si="1"/>
        <v>BEAVER MATERIALS  2381  NOBLESVILLE, IN.  2381</v>
      </c>
      <c r="B122" s="269" t="s">
        <v>411</v>
      </c>
      <c r="C122" s="270" t="s">
        <v>4882</v>
      </c>
      <c r="D122" s="269" t="s">
        <v>4882</v>
      </c>
      <c r="E122" s="271" t="s">
        <v>412</v>
      </c>
      <c r="F122" s="271" t="s">
        <v>413</v>
      </c>
    </row>
    <row r="123" spans="1:6" ht="15" customHeight="1" x14ac:dyDescent="0.2">
      <c r="A123" t="str">
        <f t="shared" si="1"/>
        <v>MARTIN MARIETTA  2389  NOBLESVILLE, IN  2389</v>
      </c>
      <c r="B123" s="269" t="s">
        <v>574</v>
      </c>
      <c r="C123" s="270" t="s">
        <v>4863</v>
      </c>
      <c r="D123" s="269" t="s">
        <v>4863</v>
      </c>
      <c r="E123" s="271" t="s">
        <v>571</v>
      </c>
      <c r="F123" s="271" t="s">
        <v>572</v>
      </c>
    </row>
    <row r="124" spans="1:6" ht="15" customHeight="1" x14ac:dyDescent="0.2">
      <c r="A124" t="str">
        <f t="shared" si="1"/>
        <v>SHELBY MATERIALS  2399  SHELBYVILLE, IN  2399</v>
      </c>
      <c r="B124" s="269" t="s">
        <v>685</v>
      </c>
      <c r="C124" s="270" t="s">
        <v>4883</v>
      </c>
      <c r="D124" s="269" t="s">
        <v>4883</v>
      </c>
      <c r="E124" s="271" t="s">
        <v>686</v>
      </c>
      <c r="F124" s="271" t="s">
        <v>687</v>
      </c>
    </row>
    <row r="125" spans="1:6" ht="15" customHeight="1" x14ac:dyDescent="0.2">
      <c r="A125" t="str">
        <f t="shared" si="1"/>
        <v>AMERICAN AGGREGATES, INC.  2408  NILES, MI  2408</v>
      </c>
      <c r="B125" s="269" t="s">
        <v>401</v>
      </c>
      <c r="C125" s="270" t="s">
        <v>4884</v>
      </c>
      <c r="D125" s="269" t="s">
        <v>4884</v>
      </c>
      <c r="E125" s="271" t="s">
        <v>402</v>
      </c>
      <c r="F125" s="271" t="s">
        <v>403</v>
      </c>
    </row>
    <row r="126" spans="1:6" ht="15" customHeight="1" x14ac:dyDescent="0.2">
      <c r="A126" t="str">
        <f t="shared" si="1"/>
        <v>HEIDELBERG MATERIALS MIDWEST   2409  MONON, IN  2409</v>
      </c>
      <c r="B126" s="269" t="s">
        <v>493</v>
      </c>
      <c r="C126" s="270" t="s">
        <v>4885</v>
      </c>
      <c r="D126" s="269" t="s">
        <v>4885</v>
      </c>
      <c r="E126" s="271" t="s">
        <v>4808</v>
      </c>
      <c r="F126" s="271" t="s">
        <v>498</v>
      </c>
    </row>
    <row r="127" spans="1:6" ht="12.75" customHeight="1" x14ac:dyDescent="0.2">
      <c r="A127" t="str">
        <f t="shared" ref="A127:A190" si="2">E127&amp;"  "&amp;C127&amp;"  "&amp;F127&amp;"  "&amp;D127</f>
        <v>AGGREGATE INDUSTRIES  2410  EDWARDSBURG, MI  2410</v>
      </c>
      <c r="B127" s="269" t="s">
        <v>398</v>
      </c>
      <c r="C127" s="270" t="s">
        <v>4886</v>
      </c>
      <c r="D127" s="269" t="s">
        <v>4886</v>
      </c>
      <c r="E127" s="271" t="s">
        <v>399</v>
      </c>
      <c r="F127" s="271" t="s">
        <v>400</v>
      </c>
    </row>
    <row r="128" spans="1:6" ht="12.75" customHeight="1" x14ac:dyDescent="0.2">
      <c r="A128" t="str">
        <f t="shared" si="2"/>
        <v>U.S AGGREGATES, INC  2421  DELPHI, IN.  2421</v>
      </c>
      <c r="B128" s="269" t="s">
        <v>717</v>
      </c>
      <c r="C128" s="273" t="s">
        <v>4828</v>
      </c>
      <c r="D128" s="274" t="s">
        <v>4828</v>
      </c>
      <c r="E128" s="271" t="s">
        <v>4783</v>
      </c>
      <c r="F128" s="271" t="s">
        <v>684</v>
      </c>
    </row>
    <row r="129" spans="1:6" ht="12.75" customHeight="1" x14ac:dyDescent="0.2">
      <c r="A129" t="str">
        <f t="shared" si="2"/>
        <v>IMI - LOGANSPORT STONE  2423  LOGANSPORT, IN.  2423</v>
      </c>
      <c r="B129" s="269" t="s">
        <v>451</v>
      </c>
      <c r="C129" s="270" t="s">
        <v>4887</v>
      </c>
      <c r="D129" s="269" t="s">
        <v>4887</v>
      </c>
      <c r="E129" s="271" t="s">
        <v>5011</v>
      </c>
      <c r="F129" s="271" t="s">
        <v>452</v>
      </c>
    </row>
    <row r="130" spans="1:6" ht="12.75" customHeight="1" x14ac:dyDescent="0.2">
      <c r="A130" t="str">
        <f t="shared" si="2"/>
        <v>IRVING MATERIALS INC. - CARROL COUNTY S&amp;G  2427  DELPHI, IN.  2427</v>
      </c>
      <c r="B130" s="269" t="s">
        <v>4888</v>
      </c>
      <c r="C130" s="270" t="s">
        <v>4889</v>
      </c>
      <c r="D130" s="269" t="s">
        <v>4889</v>
      </c>
      <c r="E130" s="271" t="s">
        <v>4890</v>
      </c>
      <c r="F130" s="271" t="s">
        <v>684</v>
      </c>
    </row>
    <row r="131" spans="1:6" ht="12.75" customHeight="1" x14ac:dyDescent="0.2">
      <c r="A131" t="str">
        <f t="shared" si="2"/>
        <v>U.S AGGREGATES, INC  2428  MONON, IN.  2428</v>
      </c>
      <c r="B131" s="269" t="s">
        <v>718</v>
      </c>
      <c r="C131" s="270" t="s">
        <v>4835</v>
      </c>
      <c r="D131" s="269" t="s">
        <v>4835</v>
      </c>
      <c r="E131" s="271" t="s">
        <v>4783</v>
      </c>
      <c r="F131" s="271" t="s">
        <v>716</v>
      </c>
    </row>
    <row r="132" spans="1:6" ht="12.75" customHeight="1" x14ac:dyDescent="0.2">
      <c r="A132" t="str">
        <f t="shared" si="2"/>
        <v>U.S AGGREGATES, INC  2428  MONON, IN.  2461</v>
      </c>
      <c r="B132" s="269" t="s">
        <v>718</v>
      </c>
      <c r="C132" s="270" t="s">
        <v>4835</v>
      </c>
      <c r="D132" s="269" t="s">
        <v>4784</v>
      </c>
      <c r="E132" s="271" t="s">
        <v>4783</v>
      </c>
      <c r="F132" s="271" t="s">
        <v>716</v>
      </c>
    </row>
    <row r="133" spans="1:6" ht="12.75" customHeight="1" x14ac:dyDescent="0.2">
      <c r="A133" t="str">
        <f t="shared" si="2"/>
        <v>IRVING MATERIALS, INC  2431  PLYMOUTH, IN.  2211</v>
      </c>
      <c r="B133" s="269" t="s">
        <v>544</v>
      </c>
      <c r="C133" s="270" t="s">
        <v>4851</v>
      </c>
      <c r="D133" s="269" t="s">
        <v>4839</v>
      </c>
      <c r="E133" s="271" t="s">
        <v>522</v>
      </c>
      <c r="F133" s="271" t="s">
        <v>527</v>
      </c>
    </row>
    <row r="134" spans="1:6" ht="12.75" customHeight="1" x14ac:dyDescent="0.2">
      <c r="A134" t="str">
        <f t="shared" si="2"/>
        <v>IRVING MATERIALS, INC.  2431  PLYMOUTH, IN.  2431</v>
      </c>
      <c r="B134" s="269" t="s">
        <v>544</v>
      </c>
      <c r="C134" s="270" t="s">
        <v>4851</v>
      </c>
      <c r="D134" s="269" t="s">
        <v>4851</v>
      </c>
      <c r="E134" s="271" t="s">
        <v>525</v>
      </c>
      <c r="F134" s="271" t="s">
        <v>527</v>
      </c>
    </row>
    <row r="135" spans="1:6" ht="12.75" customHeight="1" x14ac:dyDescent="0.2">
      <c r="A135" t="str">
        <f t="shared" si="2"/>
        <v>STOCKBERGER TRUCKING, INC  2439  PLYMOUTH, IN  2439</v>
      </c>
      <c r="B135" s="269" t="s">
        <v>703</v>
      </c>
      <c r="C135" s="270" t="s">
        <v>4891</v>
      </c>
      <c r="D135" s="269" t="s">
        <v>4891</v>
      </c>
      <c r="E135" s="271" t="s">
        <v>704</v>
      </c>
      <c r="F135" s="271" t="s">
        <v>705</v>
      </c>
    </row>
    <row r="136" spans="1:6" ht="12.75" customHeight="1" x14ac:dyDescent="0.2">
      <c r="A136" t="str">
        <f t="shared" si="2"/>
        <v>HEIDELBERG MATERIALS MIDWEST   2440  FRANCESVILLE, IN.  2240</v>
      </c>
      <c r="B136" s="269" t="s">
        <v>499</v>
      </c>
      <c r="C136" s="270" t="s">
        <v>4892</v>
      </c>
      <c r="D136" s="269" t="s">
        <v>4842</v>
      </c>
      <c r="E136" s="271" t="s">
        <v>4808</v>
      </c>
      <c r="F136" s="271" t="s">
        <v>500</v>
      </c>
    </row>
    <row r="137" spans="1:6" ht="12.75" customHeight="1" x14ac:dyDescent="0.2">
      <c r="A137" t="str">
        <f t="shared" si="2"/>
        <v>HEIDELBERG MATERIALS MIDWEST   2440  FRANCESVILLE, IN.  2440</v>
      </c>
      <c r="B137" s="269" t="s">
        <v>499</v>
      </c>
      <c r="C137" s="270" t="s">
        <v>4892</v>
      </c>
      <c r="D137" s="269" t="s">
        <v>4892</v>
      </c>
      <c r="E137" s="271" t="s">
        <v>4808</v>
      </c>
      <c r="F137" s="271" t="s">
        <v>500</v>
      </c>
    </row>
    <row r="138" spans="1:6" ht="12.75" customHeight="1" x14ac:dyDescent="0.2">
      <c r="A138" t="str">
        <f t="shared" si="2"/>
        <v>ROGERS GROUP  2445  KENTLAND, IN.  2164</v>
      </c>
      <c r="B138" s="269" t="s">
        <v>510</v>
      </c>
      <c r="C138" s="270" t="s">
        <v>4833</v>
      </c>
      <c r="D138" s="269" t="s">
        <v>4832</v>
      </c>
      <c r="E138" s="271" t="s">
        <v>663</v>
      </c>
      <c r="F138" s="271" t="s">
        <v>664</v>
      </c>
    </row>
    <row r="139" spans="1:6" ht="12.75" customHeight="1" x14ac:dyDescent="0.2">
      <c r="A139" t="str">
        <f t="shared" si="2"/>
        <v>ROGERS GROUP  2445  KENTLAND, IN.  2445</v>
      </c>
      <c r="B139" s="269" t="s">
        <v>510</v>
      </c>
      <c r="C139" s="270" t="s">
        <v>4833</v>
      </c>
      <c r="D139" s="269" t="s">
        <v>4833</v>
      </c>
      <c r="E139" s="271" t="s">
        <v>663</v>
      </c>
      <c r="F139" s="271" t="s">
        <v>664</v>
      </c>
    </row>
    <row r="140" spans="1:6" ht="12.75" customHeight="1" x14ac:dyDescent="0.2">
      <c r="A140" t="str">
        <f t="shared" si="2"/>
        <v>U.S AGGREGATES, INC  2449  LOWELL, IN.  2449</v>
      </c>
      <c r="B140" s="269" t="s">
        <v>713</v>
      </c>
      <c r="C140" s="270" t="s">
        <v>4893</v>
      </c>
      <c r="D140" s="269" t="s">
        <v>4893</v>
      </c>
      <c r="E140" s="271" t="s">
        <v>4783</v>
      </c>
      <c r="F140" s="271" t="s">
        <v>714</v>
      </c>
    </row>
    <row r="141" spans="1:6" ht="12.75" customHeight="1" x14ac:dyDescent="0.2">
      <c r="A141" t="str">
        <f t="shared" si="2"/>
        <v>U.S AGGREGATES, INC  2449  LOWELL, IN.  2461</v>
      </c>
      <c r="B141" s="269" t="s">
        <v>713</v>
      </c>
      <c r="C141" s="270" t="s">
        <v>4893</v>
      </c>
      <c r="D141" s="269" t="s">
        <v>4784</v>
      </c>
      <c r="E141" s="271" t="s">
        <v>4783</v>
      </c>
      <c r="F141" s="271" t="s">
        <v>714</v>
      </c>
    </row>
    <row r="142" spans="1:6" ht="12.75" customHeight="1" x14ac:dyDescent="0.2">
      <c r="A142" t="str">
        <f t="shared" si="2"/>
        <v>PHOENIX SERVICES, LLC  2451  PORTAGE, IN.  2451</v>
      </c>
      <c r="B142" s="269" t="s">
        <v>639</v>
      </c>
      <c r="C142" s="270" t="s">
        <v>4786</v>
      </c>
      <c r="D142" s="269" t="s">
        <v>4786</v>
      </c>
      <c r="E142" s="271" t="s">
        <v>637</v>
      </c>
      <c r="F142" s="271" t="s">
        <v>638</v>
      </c>
    </row>
    <row r="143" spans="1:6" ht="12.75" customHeight="1" x14ac:dyDescent="0.2">
      <c r="A143" t="str">
        <f t="shared" si="2"/>
        <v>U.S AGGREGATES, INC  2461  FRANCESVILLE, IN.  2461</v>
      </c>
      <c r="B143" s="269" t="s">
        <v>719</v>
      </c>
      <c r="C143" s="270" t="s">
        <v>4784</v>
      </c>
      <c r="D143" s="269" t="s">
        <v>4784</v>
      </c>
      <c r="E143" s="271" t="s">
        <v>4783</v>
      </c>
      <c r="F143" s="271" t="s">
        <v>500</v>
      </c>
    </row>
    <row r="144" spans="1:6" ht="12.75" customHeight="1" x14ac:dyDescent="0.2">
      <c r="A144" t="str">
        <f t="shared" si="2"/>
        <v>HEIDELBERG MATERIALS MIDWEST   2472  THORNTON, IL  2472</v>
      </c>
      <c r="B144" s="269" t="s">
        <v>501</v>
      </c>
      <c r="C144" s="270" t="s">
        <v>4795</v>
      </c>
      <c r="D144" s="269" t="s">
        <v>4795</v>
      </c>
      <c r="E144" s="271" t="s">
        <v>4808</v>
      </c>
      <c r="F144" s="271" t="s">
        <v>502</v>
      </c>
    </row>
    <row r="145" spans="1:6" ht="12.75" customHeight="1" x14ac:dyDescent="0.2">
      <c r="A145" t="str">
        <f t="shared" si="2"/>
        <v>BEEMSTERBOER-SOUTH SHORE SLAG  2473  HAMMOMD, IN  2473</v>
      </c>
      <c r="B145" s="269" t="s">
        <v>419</v>
      </c>
      <c r="C145" s="273" t="s">
        <v>4797</v>
      </c>
      <c r="D145" s="274" t="s">
        <v>4797</v>
      </c>
      <c r="E145" s="271" t="s">
        <v>420</v>
      </c>
      <c r="F145" s="271" t="s">
        <v>421</v>
      </c>
    </row>
    <row r="146" spans="1:6" ht="12.75" customHeight="1" x14ac:dyDescent="0.2">
      <c r="A146" t="str">
        <f t="shared" si="2"/>
        <v>VULCAN MATERIALS  2477  KANKAKEE, ILL  2477</v>
      </c>
      <c r="B146" s="269" t="s">
        <v>740</v>
      </c>
      <c r="C146" s="270" t="s">
        <v>4894</v>
      </c>
      <c r="D146" s="269" t="s">
        <v>4894</v>
      </c>
      <c r="E146" s="271" t="s">
        <v>741</v>
      </c>
      <c r="F146" s="271" t="s">
        <v>4895</v>
      </c>
    </row>
    <row r="147" spans="1:6" ht="12.75" customHeight="1" x14ac:dyDescent="0.2">
      <c r="A147" t="str">
        <f t="shared" si="2"/>
        <v>PHOENIX SERVICES, LLC  2478  EAST CHICAGO, IN.  2478</v>
      </c>
      <c r="B147" s="269" t="s">
        <v>4896</v>
      </c>
      <c r="C147" s="270" t="s">
        <v>4897</v>
      </c>
      <c r="D147" s="269" t="s">
        <v>4897</v>
      </c>
      <c r="E147" s="271" t="s">
        <v>637</v>
      </c>
      <c r="F147" s="271" t="s">
        <v>640</v>
      </c>
    </row>
    <row r="148" spans="1:6" ht="12.75" customHeight="1" x14ac:dyDescent="0.2">
      <c r="A148" t="str">
        <f t="shared" si="2"/>
        <v>RIETH RILEY CONSTRUCTION CO.  2498  SOUTH BEND, IN  2473</v>
      </c>
      <c r="B148" s="269" t="s">
        <v>545</v>
      </c>
      <c r="C148" s="270" t="s">
        <v>4898</v>
      </c>
      <c r="D148" s="269" t="s">
        <v>4797</v>
      </c>
      <c r="E148" s="271" t="s">
        <v>649</v>
      </c>
      <c r="F148" s="271" t="s">
        <v>650</v>
      </c>
    </row>
    <row r="149" spans="1:6" ht="12.75" customHeight="1" x14ac:dyDescent="0.2">
      <c r="A149" t="str">
        <f t="shared" si="2"/>
        <v>RIETH RILEY CONSTRUCTION CO.  2498  SOUTH BEND, IN  2498</v>
      </c>
      <c r="B149" s="269" t="s">
        <v>545</v>
      </c>
      <c r="C149" s="270" t="s">
        <v>4898</v>
      </c>
      <c r="D149" s="269" t="s">
        <v>4898</v>
      </c>
      <c r="E149" s="271" t="s">
        <v>649</v>
      </c>
      <c r="F149" s="271" t="s">
        <v>650</v>
      </c>
    </row>
    <row r="150" spans="1:6" ht="12.75" customHeight="1" x14ac:dyDescent="0.2">
      <c r="A150" t="str">
        <f t="shared" si="2"/>
        <v>RIETH RILEY CONSTRUCTION CO.  2498  SOUTH BEND, IN  2440</v>
      </c>
      <c r="B150" s="269" t="s">
        <v>545</v>
      </c>
      <c r="C150" s="270" t="s">
        <v>4898</v>
      </c>
      <c r="D150" s="269" t="s">
        <v>4892</v>
      </c>
      <c r="E150" s="271" t="s">
        <v>649</v>
      </c>
      <c r="F150" s="271" t="s">
        <v>650</v>
      </c>
    </row>
    <row r="151" spans="1:6" ht="12.75" customHeight="1" x14ac:dyDescent="0.2">
      <c r="A151" t="str">
        <f t="shared" si="2"/>
        <v>RIETH RILEY CONSTRUCTION CO.  2498  SOUTH BEND, IN  2498</v>
      </c>
      <c r="B151" s="269" t="s">
        <v>545</v>
      </c>
      <c r="C151" s="270" t="s">
        <v>4898</v>
      </c>
      <c r="D151" s="269" t="s">
        <v>4898</v>
      </c>
      <c r="E151" s="271" t="s">
        <v>649</v>
      </c>
      <c r="F151" s="271" t="s">
        <v>650</v>
      </c>
    </row>
    <row r="152" spans="1:6" ht="12.75" customHeight="1" x14ac:dyDescent="0.2">
      <c r="A152" t="str">
        <f t="shared" si="2"/>
        <v>RIETH RILEY CONSTRUCTION CO.  2498  SOUTH BEND, IN  2473</v>
      </c>
      <c r="B152" s="269" t="s">
        <v>545</v>
      </c>
      <c r="C152" s="270" t="s">
        <v>4898</v>
      </c>
      <c r="D152" s="269" t="s">
        <v>4797</v>
      </c>
      <c r="E152" s="271" t="s">
        <v>649</v>
      </c>
      <c r="F152" s="271" t="s">
        <v>650</v>
      </c>
    </row>
    <row r="153" spans="1:6" ht="12.75" customHeight="1" x14ac:dyDescent="0.2">
      <c r="A153" t="str">
        <f t="shared" si="2"/>
        <v>ROGERS GROUP-OLDHAM CO. STONE  2503  CRESTWOOD, KY.  2503</v>
      </c>
      <c r="B153" s="269" t="s">
        <v>671</v>
      </c>
      <c r="C153" s="270" t="s">
        <v>4899</v>
      </c>
      <c r="D153" s="269" t="s">
        <v>4899</v>
      </c>
      <c r="E153" s="271" t="s">
        <v>672</v>
      </c>
      <c r="F153" s="271" t="s">
        <v>673</v>
      </c>
    </row>
    <row r="154" spans="1:6" ht="12.75" customHeight="1" x14ac:dyDescent="0.2">
      <c r="A154" t="str">
        <f t="shared" si="2"/>
        <v>MARTIN MARIETTA-E-TOWN S AND G  2506  HARRISON, OH  2506</v>
      </c>
      <c r="B154" s="269" t="s">
        <v>583</v>
      </c>
      <c r="C154" s="270" t="s">
        <v>4900</v>
      </c>
      <c r="D154" s="269" t="s">
        <v>4900</v>
      </c>
      <c r="E154" s="271" t="s">
        <v>584</v>
      </c>
      <c r="F154" s="271" t="s">
        <v>585</v>
      </c>
    </row>
    <row r="155" spans="1:6" ht="12.75" customHeight="1" x14ac:dyDescent="0.2">
      <c r="A155" t="str">
        <f t="shared" si="2"/>
        <v>HARRISON SAND AND GRAVEL CO.  2509  METAMORA, IN.  2509</v>
      </c>
      <c r="B155" s="269" t="s">
        <v>463</v>
      </c>
      <c r="C155" s="270" t="s">
        <v>4901</v>
      </c>
      <c r="D155" s="269" t="s">
        <v>4901</v>
      </c>
      <c r="E155" s="271" t="s">
        <v>464</v>
      </c>
      <c r="F155" s="271" t="s">
        <v>465</v>
      </c>
    </row>
    <row r="156" spans="1:6" ht="12.75" customHeight="1" x14ac:dyDescent="0.2">
      <c r="A156" t="str">
        <f t="shared" si="2"/>
        <v>NEW POINT STONE CO-DERBYSHIRE  2510  LAUREL, IN.  2509</v>
      </c>
      <c r="B156" s="269" t="s">
        <v>616</v>
      </c>
      <c r="C156" s="270" t="s">
        <v>4902</v>
      </c>
      <c r="D156" s="269" t="s">
        <v>4901</v>
      </c>
      <c r="E156" s="271" t="s">
        <v>617</v>
      </c>
      <c r="F156" s="271" t="s">
        <v>618</v>
      </c>
    </row>
    <row r="157" spans="1:6" ht="12.75" customHeight="1" x14ac:dyDescent="0.2">
      <c r="A157" t="str">
        <f t="shared" si="2"/>
        <v>NEW POINT STONE CO-DERBYSHIRE  2510  LAUREL, IN.  2510</v>
      </c>
      <c r="B157" s="269" t="s">
        <v>616</v>
      </c>
      <c r="C157" s="270" t="s">
        <v>4902</v>
      </c>
      <c r="D157" s="269" t="s">
        <v>4902</v>
      </c>
      <c r="E157" s="271" t="s">
        <v>617</v>
      </c>
      <c r="F157" s="271" t="s">
        <v>618</v>
      </c>
    </row>
    <row r="158" spans="1:6" ht="12.75" customHeight="1" x14ac:dyDescent="0.2">
      <c r="A158" t="str">
        <f t="shared" si="2"/>
        <v>HEIDELBERG MATERIALS MIDWEST   2512  CLEVES, OHIO  2512</v>
      </c>
      <c r="B158" s="269" t="s">
        <v>422</v>
      </c>
      <c r="C158" s="270" t="s">
        <v>4903</v>
      </c>
      <c r="D158" s="269" t="s">
        <v>4903</v>
      </c>
      <c r="E158" s="271" t="s">
        <v>4808</v>
      </c>
      <c r="F158" s="271" t="s">
        <v>423</v>
      </c>
    </row>
    <row r="159" spans="1:6" ht="12.75" customHeight="1" x14ac:dyDescent="0.2">
      <c r="A159" t="str">
        <f t="shared" si="2"/>
        <v>HARRISON SAND AND GRAVEL CO.  2514  NEW TRENTON, IN.  2514</v>
      </c>
      <c r="B159" s="269" t="s">
        <v>466</v>
      </c>
      <c r="C159" s="270" t="s">
        <v>467</v>
      </c>
      <c r="D159" s="269" t="s">
        <v>467</v>
      </c>
      <c r="E159" s="271" t="s">
        <v>464</v>
      </c>
      <c r="F159" s="271" t="s">
        <v>468</v>
      </c>
    </row>
    <row r="160" spans="1:6" ht="12.75" customHeight="1" x14ac:dyDescent="0.2">
      <c r="A160" t="str">
        <f t="shared" si="2"/>
        <v>MARTIN MARIETTA - ROSS PLANT  2519  ROSS, OH.  2519</v>
      </c>
      <c r="B160" s="269" t="s">
        <v>568</v>
      </c>
      <c r="C160" s="270" t="s">
        <v>4904</v>
      </c>
      <c r="D160" s="269" t="s">
        <v>4904</v>
      </c>
      <c r="E160" s="271" t="s">
        <v>4905</v>
      </c>
      <c r="F160" s="271" t="s">
        <v>569</v>
      </c>
    </row>
    <row r="161" spans="1:6" ht="12.75" customHeight="1" x14ac:dyDescent="0.2">
      <c r="A161" t="str">
        <f t="shared" si="2"/>
        <v>ROGERS GROUP - BLOOMINGTON  2521  BLOOMINGTON, IN.  2521</v>
      </c>
      <c r="B161" s="269" t="s">
        <v>660</v>
      </c>
      <c r="C161" s="270" t="s">
        <v>4906</v>
      </c>
      <c r="D161" s="269" t="s">
        <v>4906</v>
      </c>
      <c r="E161" s="271" t="s">
        <v>4907</v>
      </c>
      <c r="F161" s="271" t="s">
        <v>661</v>
      </c>
    </row>
    <row r="162" spans="1:6" ht="12.75" customHeight="1" x14ac:dyDescent="0.2">
      <c r="A162" t="str">
        <f t="shared" si="2"/>
        <v>ROGERS GROUP - BLOOMINGTON  2521  BLOOMINGTON, IN.  2523</v>
      </c>
      <c r="B162" s="269" t="s">
        <v>660</v>
      </c>
      <c r="C162" s="270" t="s">
        <v>4906</v>
      </c>
      <c r="D162" s="269" t="s">
        <v>4908</v>
      </c>
      <c r="E162" s="271" t="s">
        <v>4907</v>
      </c>
      <c r="F162" s="271" t="s">
        <v>661</v>
      </c>
    </row>
    <row r="163" spans="1:6" ht="12.75" customHeight="1" x14ac:dyDescent="0.2">
      <c r="A163" t="str">
        <f t="shared" si="2"/>
        <v>MARTIN MARIETTA  2522  WAVERLY, IN.  2522</v>
      </c>
      <c r="B163" s="269" t="s">
        <v>575</v>
      </c>
      <c r="C163" s="270" t="s">
        <v>4909</v>
      </c>
      <c r="D163" s="269" t="s">
        <v>4909</v>
      </c>
      <c r="E163" s="271" t="s">
        <v>571</v>
      </c>
      <c r="F163" s="271" t="s">
        <v>576</v>
      </c>
    </row>
    <row r="164" spans="1:6" ht="12.75" customHeight="1" x14ac:dyDescent="0.2">
      <c r="A164" t="str">
        <f t="shared" si="2"/>
        <v>ROGERS GROUP-MORGAN CO.  2523  MARTINSVILLE, IN.  2521</v>
      </c>
      <c r="B164" s="269" t="s">
        <v>662</v>
      </c>
      <c r="C164" s="270" t="s">
        <v>4908</v>
      </c>
      <c r="D164" s="269" t="s">
        <v>4906</v>
      </c>
      <c r="E164" s="271" t="s">
        <v>669</v>
      </c>
      <c r="F164" s="271" t="s">
        <v>670</v>
      </c>
    </row>
    <row r="165" spans="1:6" x14ac:dyDescent="0.2">
      <c r="A165" t="str">
        <f t="shared" si="2"/>
        <v>ROGERS GROUP-MORGAN CO.  2523  MARTINSVILLE, IN.  2523</v>
      </c>
      <c r="B165" s="269" t="s">
        <v>662</v>
      </c>
      <c r="C165" s="270" t="s">
        <v>4908</v>
      </c>
      <c r="D165" s="269" t="s">
        <v>4908</v>
      </c>
      <c r="E165" s="271" t="s">
        <v>669</v>
      </c>
      <c r="F165" s="271" t="s">
        <v>670</v>
      </c>
    </row>
    <row r="166" spans="1:6" x14ac:dyDescent="0.2">
      <c r="A166" t="str">
        <f t="shared" si="2"/>
        <v>U.S AGGREGATES, INC  2531  FLAT ROCK, IN.  2531</v>
      </c>
      <c r="B166" s="269" t="s">
        <v>729</v>
      </c>
      <c r="C166" s="270" t="s">
        <v>4910</v>
      </c>
      <c r="D166" s="269" t="s">
        <v>4910</v>
      </c>
      <c r="E166" s="271" t="s">
        <v>4783</v>
      </c>
      <c r="F166" s="271" t="s">
        <v>730</v>
      </c>
    </row>
    <row r="167" spans="1:6" x14ac:dyDescent="0.2">
      <c r="A167" t="str">
        <f t="shared" si="2"/>
        <v>NEW POINT STONE - HARRIS CITY  2533  GREENSBURG, IN.  2533</v>
      </c>
      <c r="B167" s="269" t="s">
        <v>605</v>
      </c>
      <c r="C167" s="270" t="s">
        <v>4911</v>
      </c>
      <c r="D167" s="269" t="s">
        <v>4911</v>
      </c>
      <c r="E167" s="271" t="s">
        <v>606</v>
      </c>
      <c r="F167" s="271" t="s">
        <v>607</v>
      </c>
    </row>
    <row r="168" spans="1:6" x14ac:dyDescent="0.2">
      <c r="A168" t="str">
        <f t="shared" si="2"/>
        <v>SHELBY MATERIALS  2534  EDINBURG, IN.  2534</v>
      </c>
      <c r="B168" s="269" t="s">
        <v>688</v>
      </c>
      <c r="C168" s="270" t="s">
        <v>4912</v>
      </c>
      <c r="D168" s="269" t="s">
        <v>4912</v>
      </c>
      <c r="E168" s="271" t="s">
        <v>686</v>
      </c>
      <c r="F168" s="271" t="s">
        <v>689</v>
      </c>
    </row>
    <row r="169" spans="1:6" x14ac:dyDescent="0.2">
      <c r="A169" t="str">
        <f t="shared" si="2"/>
        <v>U.S AGGREGATES, INC  2535  COLUMBUS, IN.  2535</v>
      </c>
      <c r="B169" s="269" t="s">
        <v>728</v>
      </c>
      <c r="C169" s="270" t="s">
        <v>4913</v>
      </c>
      <c r="D169" s="269" t="s">
        <v>4913</v>
      </c>
      <c r="E169" s="271" t="s">
        <v>4783</v>
      </c>
      <c r="F169" s="271" t="s">
        <v>634</v>
      </c>
    </row>
    <row r="170" spans="1:6" x14ac:dyDescent="0.2">
      <c r="A170" t="str">
        <f t="shared" si="2"/>
        <v>NEW POINT STONE CO - NEW POINT  2536  GREENSBURG, IN  2536</v>
      </c>
      <c r="B170" s="269" t="s">
        <v>613</v>
      </c>
      <c r="C170" s="270" t="s">
        <v>4914</v>
      </c>
      <c r="D170" s="269" t="s">
        <v>4914</v>
      </c>
      <c r="E170" s="271" t="s">
        <v>614</v>
      </c>
      <c r="F170" s="271" t="s">
        <v>615</v>
      </c>
    </row>
    <row r="171" spans="1:6" x14ac:dyDescent="0.2">
      <c r="A171" t="str">
        <f t="shared" si="2"/>
        <v>NEW POINT STONE CO - NAPOLEON  2537  BATESVILLE, IN  2537</v>
      </c>
      <c r="B171" s="269" t="s">
        <v>610</v>
      </c>
      <c r="C171" s="270" t="s">
        <v>4915</v>
      </c>
      <c r="D171" s="269" t="s">
        <v>4915</v>
      </c>
      <c r="E171" s="271" t="s">
        <v>611</v>
      </c>
      <c r="F171" s="271" t="s">
        <v>612</v>
      </c>
    </row>
    <row r="172" spans="1:6" x14ac:dyDescent="0.2">
      <c r="A172" t="str">
        <f t="shared" si="2"/>
        <v>NEW POINT STONE CO - ST. PAUL  2538  ST. PAUL, IN.  2538</v>
      </c>
      <c r="B172" s="269" t="s">
        <v>608</v>
      </c>
      <c r="C172" s="270" t="s">
        <v>4916</v>
      </c>
      <c r="D172" s="269" t="s">
        <v>4916</v>
      </c>
      <c r="E172" s="271" t="s">
        <v>4917</v>
      </c>
      <c r="F172" s="271" t="s">
        <v>609</v>
      </c>
    </row>
    <row r="173" spans="1:6" x14ac:dyDescent="0.2">
      <c r="A173" t="str">
        <f t="shared" si="2"/>
        <v>MULZER CRUSHED STONE  2540  CHARLESTOWN, IN.  2540</v>
      </c>
      <c r="B173" s="269" t="s">
        <v>594</v>
      </c>
      <c r="C173" s="270" t="s">
        <v>4918</v>
      </c>
      <c r="D173" s="269" t="s">
        <v>4918</v>
      </c>
      <c r="E173" s="271" t="s">
        <v>595</v>
      </c>
      <c r="F173" s="271" t="s">
        <v>596</v>
      </c>
    </row>
    <row r="174" spans="1:6" x14ac:dyDescent="0.2">
      <c r="A174" t="str">
        <f t="shared" si="2"/>
        <v>IRVING MATERIALS, INC.  2542  SELLERSBURG, IN.  2542</v>
      </c>
      <c r="B174" s="269" t="s">
        <v>546</v>
      </c>
      <c r="C174" s="270" t="s">
        <v>4919</v>
      </c>
      <c r="D174" s="269" t="s">
        <v>4919</v>
      </c>
      <c r="E174" s="271" t="s">
        <v>525</v>
      </c>
      <c r="F174" s="271" t="s">
        <v>547</v>
      </c>
    </row>
    <row r="175" spans="1:6" x14ac:dyDescent="0.2">
      <c r="A175" t="str">
        <f t="shared" si="2"/>
        <v>IRVING MATERIALS, INC.  2542  SELLERSBURG, IN.  2572</v>
      </c>
      <c r="B175" s="269" t="s">
        <v>546</v>
      </c>
      <c r="C175" s="270" t="s">
        <v>4919</v>
      </c>
      <c r="D175" s="269" t="s">
        <v>4920</v>
      </c>
      <c r="E175" s="271" t="s">
        <v>525</v>
      </c>
      <c r="F175" s="271" t="s">
        <v>547</v>
      </c>
    </row>
    <row r="176" spans="1:6" x14ac:dyDescent="0.2">
      <c r="A176" t="str">
        <f t="shared" si="2"/>
        <v>IRVING MATERIALS, INC.  2542  SELLERSBURG, IN.  2542</v>
      </c>
      <c r="B176" s="269" t="s">
        <v>546</v>
      </c>
      <c r="C176" s="270" t="s">
        <v>4919</v>
      </c>
      <c r="D176" s="269" t="s">
        <v>4919</v>
      </c>
      <c r="E176" s="271" t="s">
        <v>525</v>
      </c>
      <c r="F176" s="271" t="s">
        <v>547</v>
      </c>
    </row>
    <row r="177" spans="1:6" x14ac:dyDescent="0.2">
      <c r="A177" t="str">
        <f t="shared" si="2"/>
        <v>IRVING MATERIALS, INC.  2542  SELLERSBURG, IN.  2572</v>
      </c>
      <c r="B177" s="269" t="s">
        <v>550</v>
      </c>
      <c r="C177" s="270" t="s">
        <v>4919</v>
      </c>
      <c r="D177" s="269" t="s">
        <v>4920</v>
      </c>
      <c r="E177" s="271" t="s">
        <v>525</v>
      </c>
      <c r="F177" s="271" t="s">
        <v>547</v>
      </c>
    </row>
    <row r="178" spans="1:6" x14ac:dyDescent="0.2">
      <c r="A178" t="str">
        <f t="shared" si="2"/>
        <v>ROBERTSON CRUSHED STONE  2543  MILLTOWN, IN.  2543</v>
      </c>
      <c r="B178" s="269" t="s">
        <v>653</v>
      </c>
      <c r="C178" s="270" t="s">
        <v>4921</v>
      </c>
      <c r="D178" s="269" t="s">
        <v>4921</v>
      </c>
      <c r="E178" s="271" t="s">
        <v>654</v>
      </c>
      <c r="F178" s="271" t="s">
        <v>655</v>
      </c>
    </row>
    <row r="179" spans="1:6" x14ac:dyDescent="0.2">
      <c r="A179" t="str">
        <f t="shared" si="2"/>
        <v>HEIDELBERG MATERIALS MIDWEST   2552  VERSAILLES, IN.  2552</v>
      </c>
      <c r="B179" s="269" t="s">
        <v>494</v>
      </c>
      <c r="C179" s="270" t="s">
        <v>4922</v>
      </c>
      <c r="D179" s="269" t="s">
        <v>4922</v>
      </c>
      <c r="E179" s="271" t="s">
        <v>4808</v>
      </c>
      <c r="F179" s="271" t="s">
        <v>495</v>
      </c>
    </row>
    <row r="180" spans="1:6" x14ac:dyDescent="0.2">
      <c r="A180" t="str">
        <f t="shared" si="2"/>
        <v>NUGENT SAND COMPANY  2553  MILTON, KY.  2553</v>
      </c>
      <c r="B180" s="269" t="s">
        <v>628</v>
      </c>
      <c r="C180" s="270" t="s">
        <v>4923</v>
      </c>
      <c r="D180" s="269" t="s">
        <v>4923</v>
      </c>
      <c r="E180" s="271" t="s">
        <v>629</v>
      </c>
      <c r="F180" s="271" t="s">
        <v>630</v>
      </c>
    </row>
    <row r="181" spans="1:6" x14ac:dyDescent="0.2">
      <c r="A181" t="str">
        <f t="shared" si="2"/>
        <v>HEIDELBERG MATERIALS MIDWEST   2556  HAYDEN, IN.  2556</v>
      </c>
      <c r="B181" s="269" t="s">
        <v>496</v>
      </c>
      <c r="C181" s="270" t="s">
        <v>4924</v>
      </c>
      <c r="D181" s="269" t="s">
        <v>4924</v>
      </c>
      <c r="E181" s="271" t="s">
        <v>4808</v>
      </c>
      <c r="F181" s="271" t="s">
        <v>497</v>
      </c>
    </row>
    <row r="182" spans="1:6" x14ac:dyDescent="0.2">
      <c r="A182" t="str">
        <f t="shared" si="2"/>
        <v>IRVING MATERIALS, INC.  2561  BROWNSTOWN, IN  2542</v>
      </c>
      <c r="B182" s="269" t="s">
        <v>518</v>
      </c>
      <c r="C182" s="270" t="s">
        <v>4925</v>
      </c>
      <c r="D182" s="269" t="s">
        <v>4919</v>
      </c>
      <c r="E182" s="271" t="s">
        <v>525</v>
      </c>
      <c r="F182" s="271" t="s">
        <v>4926</v>
      </c>
    </row>
    <row r="183" spans="1:6" x14ac:dyDescent="0.2">
      <c r="A183" t="str">
        <f t="shared" si="2"/>
        <v>IRVING MATERIALS, INC.  2561  BROWNSTOWN, IN.  2561</v>
      </c>
      <c r="B183" s="269" t="s">
        <v>518</v>
      </c>
      <c r="C183" s="270" t="s">
        <v>4925</v>
      </c>
      <c r="D183" s="269" t="s">
        <v>4925</v>
      </c>
      <c r="E183" s="271" t="s">
        <v>525</v>
      </c>
      <c r="F183" s="271" t="s">
        <v>519</v>
      </c>
    </row>
    <row r="184" spans="1:6" x14ac:dyDescent="0.2">
      <c r="A184" t="str">
        <f t="shared" si="2"/>
        <v>HEIDELBERG MATERIALS MIDWEST   2563  BLOCHER, IN.  2563</v>
      </c>
      <c r="B184" s="269" t="s">
        <v>487</v>
      </c>
      <c r="C184" s="270" t="s">
        <v>4927</v>
      </c>
      <c r="D184" s="269" t="s">
        <v>4927</v>
      </c>
      <c r="E184" s="271" t="s">
        <v>4808</v>
      </c>
      <c r="F184" s="271" t="s">
        <v>488</v>
      </c>
    </row>
    <row r="185" spans="1:6" x14ac:dyDescent="0.2">
      <c r="A185" t="str">
        <f t="shared" si="2"/>
        <v>IRVING MATERIALS, INC.  2570  WALESBORO, IN  2570</v>
      </c>
      <c r="B185" s="269" t="s">
        <v>548</v>
      </c>
      <c r="C185" s="270" t="s">
        <v>4928</v>
      </c>
      <c r="D185" s="269" t="s">
        <v>4928</v>
      </c>
      <c r="E185" s="271" t="s">
        <v>525</v>
      </c>
      <c r="F185" s="271" t="s">
        <v>549</v>
      </c>
    </row>
    <row r="186" spans="1:6" x14ac:dyDescent="0.2">
      <c r="A186" t="str">
        <f t="shared" si="2"/>
        <v>IRVING MATERIALS, INC.  2572  CORYDON, IN.  2631</v>
      </c>
      <c r="B186" s="269" t="s">
        <v>550</v>
      </c>
      <c r="C186" s="270" t="s">
        <v>4920</v>
      </c>
      <c r="D186" s="269" t="s">
        <v>4929</v>
      </c>
      <c r="E186" s="271" t="s">
        <v>525</v>
      </c>
      <c r="F186" s="271" t="s">
        <v>551</v>
      </c>
    </row>
    <row r="187" spans="1:6" x14ac:dyDescent="0.2">
      <c r="A187" t="str">
        <f t="shared" si="2"/>
        <v>IRVING MATERIALS, INC.  2572  CORYDON, IN.  2572</v>
      </c>
      <c r="B187" s="269" t="s">
        <v>550</v>
      </c>
      <c r="C187" s="273" t="s">
        <v>4920</v>
      </c>
      <c r="D187" s="274" t="s">
        <v>4920</v>
      </c>
      <c r="E187" s="271" t="s">
        <v>525</v>
      </c>
      <c r="F187" s="271" t="s">
        <v>551</v>
      </c>
    </row>
    <row r="188" spans="1:6" x14ac:dyDescent="0.2">
      <c r="A188" t="str">
        <f t="shared" si="2"/>
        <v>IRVING MATERIALS, INC.  2572  CORYDON, IN.  2542</v>
      </c>
      <c r="B188" s="269" t="s">
        <v>550</v>
      </c>
      <c r="C188" s="270" t="s">
        <v>4920</v>
      </c>
      <c r="D188" s="269" t="s">
        <v>4919</v>
      </c>
      <c r="E188" s="271" t="s">
        <v>525</v>
      </c>
      <c r="F188" s="271" t="s">
        <v>551</v>
      </c>
    </row>
    <row r="189" spans="1:6" x14ac:dyDescent="0.2">
      <c r="A189" t="str">
        <f t="shared" si="2"/>
        <v>IRVING MATERIALS, INC.  2572  CORYDON, IN.  2572</v>
      </c>
      <c r="B189" s="269" t="s">
        <v>550</v>
      </c>
      <c r="C189" s="270" t="s">
        <v>4920</v>
      </c>
      <c r="D189" s="269" t="s">
        <v>4920</v>
      </c>
      <c r="E189" s="271" t="s">
        <v>525</v>
      </c>
      <c r="F189" s="271" t="s">
        <v>551</v>
      </c>
    </row>
    <row r="190" spans="1:6" x14ac:dyDescent="0.2">
      <c r="A190" t="str">
        <f t="shared" si="2"/>
        <v>IRVING MATERIALS, INC.  2572  CORYDON, IN.  2542</v>
      </c>
      <c r="B190" s="269" t="s">
        <v>550</v>
      </c>
      <c r="C190" s="270" t="s">
        <v>4920</v>
      </c>
      <c r="D190" s="269" t="s">
        <v>4919</v>
      </c>
      <c r="E190" s="271" t="s">
        <v>525</v>
      </c>
      <c r="F190" s="271" t="s">
        <v>551</v>
      </c>
    </row>
    <row r="191" spans="1:6" x14ac:dyDescent="0.2">
      <c r="A191" t="str">
        <f t="shared" ref="A191:A254" si="3">E191&amp;"  "&amp;C191&amp;"  "&amp;F191&amp;"  "&amp;D191</f>
        <v>IRVING MATERIALS, INC.  2572  CORYDON, IN.  2651</v>
      </c>
      <c r="B191" s="269" t="s">
        <v>550</v>
      </c>
      <c r="C191" s="270" t="s">
        <v>4920</v>
      </c>
      <c r="D191" s="269" t="s">
        <v>4930</v>
      </c>
      <c r="E191" s="271" t="s">
        <v>525</v>
      </c>
      <c r="F191" s="271" t="s">
        <v>551</v>
      </c>
    </row>
    <row r="192" spans="1:6" x14ac:dyDescent="0.2">
      <c r="A192" t="str">
        <f t="shared" si="3"/>
        <v>HEIDELBERG MATERIALS MIDWEST   2573  JEFFERSONVILLE, IN.  2573</v>
      </c>
      <c r="B192" s="269" t="s">
        <v>483</v>
      </c>
      <c r="C192" s="270" t="s">
        <v>4931</v>
      </c>
      <c r="D192" s="269" t="s">
        <v>4931</v>
      </c>
      <c r="E192" s="271" t="s">
        <v>4808</v>
      </c>
      <c r="F192" s="271" t="s">
        <v>484</v>
      </c>
    </row>
    <row r="193" spans="1:6" x14ac:dyDescent="0.2">
      <c r="A193" t="str">
        <f t="shared" si="3"/>
        <v>HEIDELBERG MATERIALS MIDWEST   2575  JEFFERSONVILLE, IN.  2575</v>
      </c>
      <c r="B193" s="269" t="s">
        <v>491</v>
      </c>
      <c r="C193" s="270" t="s">
        <v>4932</v>
      </c>
      <c r="D193" s="269" t="s">
        <v>4932</v>
      </c>
      <c r="E193" s="271" t="s">
        <v>4808</v>
      </c>
      <c r="F193" s="271" t="s">
        <v>484</v>
      </c>
    </row>
    <row r="194" spans="1:6" x14ac:dyDescent="0.2">
      <c r="A194" t="str">
        <f t="shared" si="3"/>
        <v>NUGENT SAND COMPANY  2576  LOUISVILLE, KY.  2553</v>
      </c>
      <c r="B194" s="269" t="s">
        <v>631</v>
      </c>
      <c r="C194" s="270" t="s">
        <v>4933</v>
      </c>
      <c r="D194" s="269" t="s">
        <v>4923</v>
      </c>
      <c r="E194" s="271" t="s">
        <v>629</v>
      </c>
      <c r="F194" s="271" t="s">
        <v>632</v>
      </c>
    </row>
    <row r="195" spans="1:6" x14ac:dyDescent="0.2">
      <c r="A195" t="str">
        <f t="shared" si="3"/>
        <v>NUGENT SAND COMPANY  2576  LOUISVILLE, KY.  2576</v>
      </c>
      <c r="B195" s="269" t="s">
        <v>631</v>
      </c>
      <c r="C195" s="273" t="s">
        <v>4933</v>
      </c>
      <c r="D195" s="269" t="s">
        <v>4933</v>
      </c>
      <c r="E195" s="271" t="s">
        <v>629</v>
      </c>
      <c r="F195" s="271" t="s">
        <v>632</v>
      </c>
    </row>
    <row r="196" spans="1:6" x14ac:dyDescent="0.2">
      <c r="A196" t="str">
        <f t="shared" si="3"/>
        <v>BEAVER MATERIALS  2578  WAVERLY, IN  2578</v>
      </c>
      <c r="B196" s="269" t="s">
        <v>414</v>
      </c>
      <c r="C196" s="270" t="s">
        <v>4934</v>
      </c>
      <c r="D196" s="269" t="s">
        <v>4934</v>
      </c>
      <c r="E196" s="271" t="s">
        <v>412</v>
      </c>
      <c r="F196" s="271" t="s">
        <v>415</v>
      </c>
    </row>
    <row r="197" spans="1:6" x14ac:dyDescent="0.2">
      <c r="A197" t="str">
        <f t="shared" si="3"/>
        <v>ROGERS GROUP INC. JEFF.CO. ST.  2580  LOUISVILLE, KY.  2580</v>
      </c>
      <c r="B197" s="269" t="s">
        <v>667</v>
      </c>
      <c r="C197" s="270" t="s">
        <v>4935</v>
      </c>
      <c r="D197" s="269" t="s">
        <v>4935</v>
      </c>
      <c r="E197" s="271" t="s">
        <v>668</v>
      </c>
      <c r="F197" s="271" t="s">
        <v>632</v>
      </c>
    </row>
    <row r="198" spans="1:6" x14ac:dyDescent="0.2">
      <c r="A198" t="str">
        <f t="shared" si="3"/>
        <v>ROGERS GROUP INC. BULLITT CO.  2588  SHEPERDSVILLE, KY  2588</v>
      </c>
      <c r="B198" s="269" t="s">
        <v>4936</v>
      </c>
      <c r="C198" s="270" t="s">
        <v>4937</v>
      </c>
      <c r="D198" s="269" t="s">
        <v>4937</v>
      </c>
      <c r="E198" s="271" t="s">
        <v>4938</v>
      </c>
      <c r="F198" s="271" t="s">
        <v>4939</v>
      </c>
    </row>
    <row r="199" spans="1:6" x14ac:dyDescent="0.2">
      <c r="A199" t="str">
        <f t="shared" si="3"/>
        <v>NUGENT SAND COMPANY  2590  COLUMBUS, IN.  2590</v>
      </c>
      <c r="B199" s="269" t="s">
        <v>633</v>
      </c>
      <c r="C199" s="270" t="s">
        <v>4940</v>
      </c>
      <c r="D199" s="269" t="s">
        <v>4940</v>
      </c>
      <c r="E199" s="271" t="s">
        <v>629</v>
      </c>
      <c r="F199" s="271" t="s">
        <v>634</v>
      </c>
    </row>
    <row r="200" spans="1:6" x14ac:dyDescent="0.2">
      <c r="A200" t="str">
        <f t="shared" si="3"/>
        <v>SPRAY SAND AND GRAVEL  2591  SEYMOUR, IN.  2591</v>
      </c>
      <c r="B200" s="269" t="s">
        <v>699</v>
      </c>
      <c r="C200" s="270" t="s">
        <v>4941</v>
      </c>
      <c r="D200" s="269" t="s">
        <v>4941</v>
      </c>
      <c r="E200" s="271" t="s">
        <v>700</v>
      </c>
      <c r="F200" s="271" t="s">
        <v>701</v>
      </c>
    </row>
    <row r="201" spans="1:6" x14ac:dyDescent="0.2">
      <c r="A201" t="str">
        <f t="shared" si="3"/>
        <v>HOLCIM CAVE IN ROCK  2601  CAVE IN ROCK, IL  2601</v>
      </c>
      <c r="B201" s="269" t="s">
        <v>4942</v>
      </c>
      <c r="C201" s="270" t="s">
        <v>4820</v>
      </c>
      <c r="D201" s="269" t="s">
        <v>4820</v>
      </c>
      <c r="E201" s="271" t="s">
        <v>4943</v>
      </c>
      <c r="F201" s="271" t="s">
        <v>4944</v>
      </c>
    </row>
    <row r="202" spans="1:6" x14ac:dyDescent="0.2">
      <c r="A202" t="str">
        <f t="shared" si="3"/>
        <v>J &amp; B SAND &amp; GRAVEL, LLC  2607  CARMI, IL  2607</v>
      </c>
      <c r="B202" s="269" t="s">
        <v>4945</v>
      </c>
      <c r="C202" s="270" t="s">
        <v>4946</v>
      </c>
      <c r="D202" s="269" t="s">
        <v>4946</v>
      </c>
      <c r="E202" s="271" t="s">
        <v>4947</v>
      </c>
      <c r="F202" s="271" t="s">
        <v>4948</v>
      </c>
    </row>
    <row r="203" spans="1:6" x14ac:dyDescent="0.2">
      <c r="A203" t="str">
        <f t="shared" si="3"/>
        <v>MULZER CRUSHED STONE CO.  2624  LEAVENWORTH, IN.  2624</v>
      </c>
      <c r="B203" s="269" t="s">
        <v>593</v>
      </c>
      <c r="C203" s="270" t="s">
        <v>4949</v>
      </c>
      <c r="D203" s="269" t="s">
        <v>4949</v>
      </c>
      <c r="E203" s="271" t="s">
        <v>599</v>
      </c>
      <c r="F203" s="271" t="s">
        <v>600</v>
      </c>
    </row>
    <row r="204" spans="1:6" x14ac:dyDescent="0.2">
      <c r="A204" t="str">
        <f t="shared" si="3"/>
        <v>MULZER CRUSHED STONE-GRIFFIN  2631  GRIFFIN, IN.  2631</v>
      </c>
      <c r="B204" s="269" t="s">
        <v>598</v>
      </c>
      <c r="C204" s="273" t="s">
        <v>4929</v>
      </c>
      <c r="D204" s="274" t="s">
        <v>4929</v>
      </c>
      <c r="E204" s="271" t="s">
        <v>4950</v>
      </c>
      <c r="F204" s="271" t="s">
        <v>597</v>
      </c>
    </row>
    <row r="205" spans="1:6" x14ac:dyDescent="0.2">
      <c r="A205" t="str">
        <f t="shared" si="3"/>
        <v>MULZER CRUSHED STONE CO.  2632  EVANSVILLE, IN.  2621</v>
      </c>
      <c r="B205" s="269" t="s">
        <v>456</v>
      </c>
      <c r="C205" s="270" t="s">
        <v>4951</v>
      </c>
      <c r="D205" s="269" t="s">
        <v>4952</v>
      </c>
      <c r="E205" s="271" t="s">
        <v>599</v>
      </c>
      <c r="F205" s="271" t="s">
        <v>457</v>
      </c>
    </row>
    <row r="206" spans="1:6" x14ac:dyDescent="0.2">
      <c r="A206" t="str">
        <f t="shared" si="3"/>
        <v>MULZER CRUSHED STONE CO.  2632  EVANSVILLE, IN.  2776</v>
      </c>
      <c r="B206" s="269" t="s">
        <v>456</v>
      </c>
      <c r="C206" s="270" t="s">
        <v>4951</v>
      </c>
      <c r="D206" s="269" t="s">
        <v>4953</v>
      </c>
      <c r="E206" s="271" t="s">
        <v>599</v>
      </c>
      <c r="F206" s="271" t="s">
        <v>457</v>
      </c>
    </row>
    <row r="207" spans="1:6" x14ac:dyDescent="0.2">
      <c r="A207" t="str">
        <f t="shared" si="3"/>
        <v>MULZER CRUSHED STONE CO.  2632  EVANSVILLE, IN.  2621</v>
      </c>
      <c r="B207" s="269" t="s">
        <v>456</v>
      </c>
      <c r="C207" s="270" t="s">
        <v>4951</v>
      </c>
      <c r="D207" s="269" t="s">
        <v>4952</v>
      </c>
      <c r="E207" s="271" t="s">
        <v>599</v>
      </c>
      <c r="F207" s="271" t="s">
        <v>457</v>
      </c>
    </row>
    <row r="208" spans="1:6" x14ac:dyDescent="0.2">
      <c r="A208" t="str">
        <f t="shared" si="3"/>
        <v>MULZER CRUSHED STONE CO.  2632  EVANSVILLE, IN.  2631</v>
      </c>
      <c r="B208" s="269" t="s">
        <v>456</v>
      </c>
      <c r="C208" s="270" t="s">
        <v>4951</v>
      </c>
      <c r="D208" s="269" t="s">
        <v>4929</v>
      </c>
      <c r="E208" s="271" t="s">
        <v>599</v>
      </c>
      <c r="F208" s="271" t="s">
        <v>457</v>
      </c>
    </row>
    <row r="209" spans="1:6" x14ac:dyDescent="0.2">
      <c r="A209" t="str">
        <f t="shared" si="3"/>
        <v>MULZER CRUSHED STONE CO.  2632  EVANSVILLE, IN.  2632</v>
      </c>
      <c r="B209" s="269" t="s">
        <v>456</v>
      </c>
      <c r="C209" s="270" t="s">
        <v>4951</v>
      </c>
      <c r="D209" s="269" t="s">
        <v>4951</v>
      </c>
      <c r="E209" s="271" t="s">
        <v>599</v>
      </c>
      <c r="F209" s="271" t="s">
        <v>457</v>
      </c>
    </row>
    <row r="210" spans="1:6" x14ac:dyDescent="0.2">
      <c r="A210" t="str">
        <f t="shared" si="3"/>
        <v>MULZER CRUSHED STONE CO.  2632  EVANSVILLE, IN.  2668</v>
      </c>
      <c r="B210" s="269" t="s">
        <v>456</v>
      </c>
      <c r="C210" s="270" t="s">
        <v>4951</v>
      </c>
      <c r="D210" s="269" t="s">
        <v>4954</v>
      </c>
      <c r="E210" s="271" t="s">
        <v>599</v>
      </c>
      <c r="F210" s="271" t="s">
        <v>457</v>
      </c>
    </row>
    <row r="211" spans="1:6" x14ac:dyDescent="0.2">
      <c r="A211" t="str">
        <f t="shared" si="3"/>
        <v>CAVE QUARRIES, INC.  2641  PAOLI, IN.  2641</v>
      </c>
      <c r="B211" s="269" t="s">
        <v>427</v>
      </c>
      <c r="C211" s="273" t="s">
        <v>4955</v>
      </c>
      <c r="D211" s="274" t="s">
        <v>4955</v>
      </c>
      <c r="E211" s="271" t="s">
        <v>428</v>
      </c>
      <c r="F211" s="271" t="s">
        <v>429</v>
      </c>
    </row>
    <row r="212" spans="1:6" x14ac:dyDescent="0.2">
      <c r="A212" t="str">
        <f t="shared" si="3"/>
        <v>CAVE QUARRIES, INC.  2641  PAOLI, IN.  2686</v>
      </c>
      <c r="B212" s="269" t="s">
        <v>427</v>
      </c>
      <c r="C212" s="270" t="s">
        <v>4955</v>
      </c>
      <c r="D212" s="269" t="s">
        <v>4956</v>
      </c>
      <c r="E212" s="271" t="s">
        <v>428</v>
      </c>
      <c r="F212" s="271" t="s">
        <v>429</v>
      </c>
    </row>
    <row r="213" spans="1:6" x14ac:dyDescent="0.2">
      <c r="A213" t="str">
        <f t="shared" si="3"/>
        <v>HERITAGE AGGREGATE  2642  SPRINGVILLE, IN.  2642</v>
      </c>
      <c r="B213" s="269" t="s">
        <v>503</v>
      </c>
      <c r="C213" s="270" t="s">
        <v>4957</v>
      </c>
      <c r="D213" s="269" t="s">
        <v>4957</v>
      </c>
      <c r="E213" s="271" t="s">
        <v>504</v>
      </c>
      <c r="F213" s="271" t="s">
        <v>505</v>
      </c>
    </row>
    <row r="214" spans="1:6" x14ac:dyDescent="0.2">
      <c r="A214" t="str">
        <f t="shared" si="3"/>
        <v>CALCAR QUARRIES, INC.  2643  PAOLI, IN.  2641</v>
      </c>
      <c r="B214" s="269" t="s">
        <v>430</v>
      </c>
      <c r="C214" s="270" t="s">
        <v>4958</v>
      </c>
      <c r="D214" s="269" t="s">
        <v>4955</v>
      </c>
      <c r="E214" s="271" t="s">
        <v>4959</v>
      </c>
      <c r="F214" s="271" t="s">
        <v>429</v>
      </c>
    </row>
    <row r="215" spans="1:6" x14ac:dyDescent="0.2">
      <c r="A215" t="str">
        <f t="shared" si="3"/>
        <v>CALCAR QUARRIES, INC.  2643  PAOLI, IN.  2643</v>
      </c>
      <c r="B215" s="269" t="s">
        <v>430</v>
      </c>
      <c r="C215" s="270" t="s">
        <v>4958</v>
      </c>
      <c r="D215" s="269" t="s">
        <v>4958</v>
      </c>
      <c r="E215" s="271" t="s">
        <v>4959</v>
      </c>
      <c r="F215" s="271" t="s">
        <v>429</v>
      </c>
    </row>
    <row r="216" spans="1:6" x14ac:dyDescent="0.2">
      <c r="A216" t="str">
        <f t="shared" si="3"/>
        <v>ROGERS GROUP  2645  MITCHELL, IN.  2645</v>
      </c>
      <c r="B216" s="269" t="s">
        <v>665</v>
      </c>
      <c r="C216" s="270" t="s">
        <v>4960</v>
      </c>
      <c r="D216" s="269" t="s">
        <v>4960</v>
      </c>
      <c r="E216" s="271" t="s">
        <v>663</v>
      </c>
      <c r="F216" s="271" t="s">
        <v>666</v>
      </c>
    </row>
    <row r="217" spans="1:6" x14ac:dyDescent="0.2">
      <c r="A217" t="str">
        <f t="shared" si="3"/>
        <v>MULZER CRUSHED STONE CO.  2646  ENGLISH, IN.  2646</v>
      </c>
      <c r="B217" s="269" t="s">
        <v>601</v>
      </c>
      <c r="C217" s="270" t="s">
        <v>4961</v>
      </c>
      <c r="D217" s="269" t="s">
        <v>4961</v>
      </c>
      <c r="E217" s="271" t="s">
        <v>599</v>
      </c>
      <c r="F217" s="271" t="s">
        <v>602</v>
      </c>
    </row>
    <row r="218" spans="1:6" x14ac:dyDescent="0.2">
      <c r="A218" t="str">
        <f t="shared" si="3"/>
        <v>ROGERS GROUP  2651  VINCENNES, IN.  2645</v>
      </c>
      <c r="B218" s="269" t="s">
        <v>554</v>
      </c>
      <c r="C218" s="270" t="s">
        <v>4930</v>
      </c>
      <c r="D218" s="269" t="s">
        <v>4960</v>
      </c>
      <c r="E218" s="271" t="s">
        <v>663</v>
      </c>
      <c r="F218" s="271" t="s">
        <v>555</v>
      </c>
    </row>
    <row r="219" spans="1:6" x14ac:dyDescent="0.2">
      <c r="A219" t="str">
        <f t="shared" si="3"/>
        <v>ROGERS GROUP  2651  VINCENNES, IN.  2651</v>
      </c>
      <c r="B219" s="269" t="s">
        <v>554</v>
      </c>
      <c r="C219" s="270" t="s">
        <v>4930</v>
      </c>
      <c r="D219" s="269" t="s">
        <v>4930</v>
      </c>
      <c r="E219" s="271" t="s">
        <v>663</v>
      </c>
      <c r="F219" s="271" t="s">
        <v>555</v>
      </c>
    </row>
    <row r="220" spans="1:6" x14ac:dyDescent="0.2">
      <c r="A220" t="str">
        <f t="shared" si="3"/>
        <v>MULZER CRUSHED STONE I-164 PIT  2668  EVANSVILLE, IN.  2668</v>
      </c>
      <c r="B220" s="269" t="s">
        <v>604</v>
      </c>
      <c r="C220" s="270" t="s">
        <v>4954</v>
      </c>
      <c r="D220" s="269" t="s">
        <v>4954</v>
      </c>
      <c r="E220" s="271" t="s">
        <v>603</v>
      </c>
      <c r="F220" s="271" t="s">
        <v>457</v>
      </c>
    </row>
    <row r="221" spans="1:6" x14ac:dyDescent="0.2">
      <c r="A221" t="str">
        <f t="shared" si="3"/>
        <v>VCNA PRAIRIE AGGREGATE, IN,INC  2687  BLOOMFIELD, IN  2687</v>
      </c>
      <c r="B221" s="269" t="s">
        <v>736</v>
      </c>
      <c r="C221" s="270" t="s">
        <v>4962</v>
      </c>
      <c r="D221" s="269" t="s">
        <v>4962</v>
      </c>
      <c r="E221" s="271" t="s">
        <v>737</v>
      </c>
      <c r="F221" s="271" t="s">
        <v>738</v>
      </c>
    </row>
    <row r="222" spans="1:6" x14ac:dyDescent="0.2">
      <c r="A222" t="str">
        <f t="shared" si="3"/>
        <v>ELKHART COUNTY GRAVEL-PLANT 2  2700  MIDDLEBURY, IN.  2700</v>
      </c>
      <c r="B222" s="269" t="s">
        <v>448</v>
      </c>
      <c r="C222" s="270" t="s">
        <v>4963</v>
      </c>
      <c r="D222" s="269" t="s">
        <v>4963</v>
      </c>
      <c r="E222" s="271" t="s">
        <v>449</v>
      </c>
      <c r="F222" s="271" t="s">
        <v>450</v>
      </c>
    </row>
    <row r="223" spans="1:6" x14ac:dyDescent="0.2">
      <c r="A223" t="str">
        <f t="shared" si="3"/>
        <v>SPEEDWAY SAND AND GRAVEL, INC.  2703  FORT WAYNE,  IN  2703</v>
      </c>
      <c r="B223" s="269" t="s">
        <v>698</v>
      </c>
      <c r="C223" s="270" t="s">
        <v>4964</v>
      </c>
      <c r="D223" s="269" t="s">
        <v>4964</v>
      </c>
      <c r="E223" s="271" t="s">
        <v>697</v>
      </c>
      <c r="F223" s="271" t="s">
        <v>4965</v>
      </c>
    </row>
    <row r="224" spans="1:6" x14ac:dyDescent="0.2">
      <c r="A224" t="str">
        <f t="shared" si="3"/>
        <v>ELKHART COUNTY GRAVEL, INC.  2718  WARSAW, IN.  2718</v>
      </c>
      <c r="B224" s="269" t="s">
        <v>443</v>
      </c>
      <c r="C224" s="270" t="s">
        <v>4966</v>
      </c>
      <c r="D224" s="269" t="s">
        <v>4966</v>
      </c>
      <c r="E224" s="271" t="s">
        <v>441</v>
      </c>
      <c r="F224" s="271" t="s">
        <v>444</v>
      </c>
    </row>
    <row r="225" spans="1:6" x14ac:dyDescent="0.2">
      <c r="A225" t="str">
        <f t="shared" si="3"/>
        <v>CLIFFORD AGGREGATE, INC  2743  LIGONIER, IN  2211</v>
      </c>
      <c r="B225" s="269" t="s">
        <v>431</v>
      </c>
      <c r="C225" s="270" t="s">
        <v>4967</v>
      </c>
      <c r="D225" s="269" t="s">
        <v>4839</v>
      </c>
      <c r="E225" s="271" t="s">
        <v>4847</v>
      </c>
      <c r="F225" s="271" t="s">
        <v>432</v>
      </c>
    </row>
    <row r="226" spans="1:6" x14ac:dyDescent="0.2">
      <c r="A226" t="str">
        <f t="shared" si="3"/>
        <v>CLIFFORD AGGREGATE, INC  2743  LIGONIER, IN  2232</v>
      </c>
      <c r="B226" s="269" t="s">
        <v>431</v>
      </c>
      <c r="C226" s="270" t="s">
        <v>4967</v>
      </c>
      <c r="D226" s="269" t="s">
        <v>4813</v>
      </c>
      <c r="E226" s="271" t="s">
        <v>4847</v>
      </c>
      <c r="F226" s="271" t="s">
        <v>432</v>
      </c>
    </row>
    <row r="227" spans="1:6" x14ac:dyDescent="0.2">
      <c r="A227" t="str">
        <f t="shared" si="3"/>
        <v>CLIFFORD AGGREGATE, INC  2743  LIGONIER, IN  2238</v>
      </c>
      <c r="B227" s="269" t="s">
        <v>431</v>
      </c>
      <c r="C227" s="270" t="s">
        <v>4967</v>
      </c>
      <c r="D227" s="269" t="s">
        <v>4844</v>
      </c>
      <c r="E227" s="271" t="s">
        <v>4847</v>
      </c>
      <c r="F227" s="271" t="s">
        <v>432</v>
      </c>
    </row>
    <row r="228" spans="1:6" x14ac:dyDescent="0.2">
      <c r="A228" t="str">
        <f t="shared" si="3"/>
        <v>CLIFFORD AGGREGATE, INC  2743  LIGONIER, IN  2743</v>
      </c>
      <c r="B228" s="269" t="s">
        <v>431</v>
      </c>
      <c r="C228" s="270" t="s">
        <v>4967</v>
      </c>
      <c r="D228" s="269" t="s">
        <v>4967</v>
      </c>
      <c r="E228" s="271" t="s">
        <v>4847</v>
      </c>
      <c r="F228" s="271" t="s">
        <v>432</v>
      </c>
    </row>
    <row r="229" spans="1:6" x14ac:dyDescent="0.2">
      <c r="A229" t="str">
        <f t="shared" si="3"/>
        <v>LAFONTAINE GRAVEL, INC  2747  LAFONTAINE, IN  2747</v>
      </c>
      <c r="B229" s="269" t="s">
        <v>4968</v>
      </c>
      <c r="C229" s="270" t="s">
        <v>4969</v>
      </c>
      <c r="D229" s="269" t="s">
        <v>4969</v>
      </c>
      <c r="E229" s="271" t="s">
        <v>4970</v>
      </c>
      <c r="F229" s="271" t="s">
        <v>4971</v>
      </c>
    </row>
    <row r="230" spans="1:6" x14ac:dyDescent="0.2">
      <c r="A230" t="str">
        <f t="shared" si="3"/>
        <v>STAFFORD GRAVEL, INC.  2749  BUTLER, IN  2749</v>
      </c>
      <c r="B230" s="269" t="s">
        <v>490</v>
      </c>
      <c r="C230" s="270" t="s">
        <v>4972</v>
      </c>
      <c r="D230" s="269" t="s">
        <v>4972</v>
      </c>
      <c r="E230" s="271" t="s">
        <v>702</v>
      </c>
      <c r="F230" s="271" t="s">
        <v>426</v>
      </c>
    </row>
    <row r="231" spans="1:6" x14ac:dyDescent="0.2">
      <c r="A231" t="str">
        <f t="shared" si="3"/>
        <v>MARTIN MARIETTA  2762  RUSS&amp;IAVILLE, IN  2762</v>
      </c>
      <c r="B231" s="269" t="s">
        <v>4973</v>
      </c>
      <c r="C231" s="273" t="s">
        <v>4974</v>
      </c>
      <c r="D231" s="274" t="s">
        <v>4974</v>
      </c>
      <c r="E231" s="271" t="s">
        <v>571</v>
      </c>
      <c r="F231" s="271" t="s">
        <v>4975</v>
      </c>
    </row>
    <row r="232" spans="1:6" x14ac:dyDescent="0.2">
      <c r="A232" t="str">
        <f t="shared" si="3"/>
        <v>CLIFFORD AGGREGATE, INC  2763  ANGOLA, IN  2763</v>
      </c>
      <c r="B232" s="269" t="s">
        <v>436</v>
      </c>
      <c r="C232" s="270" t="s">
        <v>4976</v>
      </c>
      <c r="D232" s="269" t="s">
        <v>4976</v>
      </c>
      <c r="E232" s="271" t="s">
        <v>4847</v>
      </c>
      <c r="F232" s="271" t="s">
        <v>437</v>
      </c>
    </row>
    <row r="233" spans="1:6" x14ac:dyDescent="0.2">
      <c r="A233" t="str">
        <f t="shared" si="3"/>
        <v>HEIDELBERG MATERIALS MIDWEST   2764  BUNKER HILL, IN  2764</v>
      </c>
      <c r="B233" s="269" t="s">
        <v>485</v>
      </c>
      <c r="C233" s="270" t="s">
        <v>4977</v>
      </c>
      <c r="D233" s="269" t="s">
        <v>4977</v>
      </c>
      <c r="E233" s="271" t="s">
        <v>4808</v>
      </c>
      <c r="F233" s="271" t="s">
        <v>486</v>
      </c>
    </row>
    <row r="234" spans="1:6" x14ac:dyDescent="0.2">
      <c r="A234" t="str">
        <f t="shared" si="3"/>
        <v>MOOSE LAKE AGGREGATE  2771  NILES, MI  2771</v>
      </c>
      <c r="B234" s="269" t="s">
        <v>591</v>
      </c>
      <c r="C234" s="270" t="s">
        <v>4978</v>
      </c>
      <c r="D234" s="269" t="s">
        <v>4978</v>
      </c>
      <c r="E234" s="271" t="s">
        <v>592</v>
      </c>
      <c r="F234" s="271" t="s">
        <v>403</v>
      </c>
    </row>
    <row r="235" spans="1:6" x14ac:dyDescent="0.2">
      <c r="A235" t="str">
        <f t="shared" si="3"/>
        <v>BUTLER MILL SERVICE  2772  BUTLER, IN  2772</v>
      </c>
      <c r="B235" s="269" t="s">
        <v>424</v>
      </c>
      <c r="C235" s="273" t="s">
        <v>4979</v>
      </c>
      <c r="D235" s="274" t="s">
        <v>4979</v>
      </c>
      <c r="E235" s="271" t="s">
        <v>425</v>
      </c>
      <c r="F235" s="271" t="s">
        <v>426</v>
      </c>
    </row>
    <row r="236" spans="1:6" x14ac:dyDescent="0.2">
      <c r="A236" t="str">
        <f t="shared" si="3"/>
        <v>SMYRNA READY MIX SAND &amp; GRAVEL  2777  DALEVILLE, IN  2777</v>
      </c>
      <c r="B236" s="269" t="s">
        <v>682</v>
      </c>
      <c r="C236" s="270" t="s">
        <v>4980</v>
      </c>
      <c r="D236" s="269" t="s">
        <v>4980</v>
      </c>
      <c r="E236" s="271" t="s">
        <v>4981</v>
      </c>
      <c r="F236" s="271" t="s">
        <v>683</v>
      </c>
    </row>
    <row r="237" spans="1:6" x14ac:dyDescent="0.2">
      <c r="A237" t="str">
        <f t="shared" si="3"/>
        <v>BEEMSTERBOER SLAG CORP.  2781  HAMMOND, IN  2781</v>
      </c>
      <c r="B237" s="269" t="s">
        <v>416</v>
      </c>
      <c r="C237" s="273" t="s">
        <v>4982</v>
      </c>
      <c r="D237" s="274" t="s">
        <v>4982</v>
      </c>
      <c r="E237" s="271" t="s">
        <v>417</v>
      </c>
      <c r="F237" s="271" t="s">
        <v>418</v>
      </c>
    </row>
    <row r="238" spans="1:6" x14ac:dyDescent="0.2">
      <c r="A238" t="str">
        <f t="shared" si="3"/>
        <v>HEIDELBERG MATERIALS MIDWEST   2783  SELLERSBURG, IN  2783</v>
      </c>
      <c r="B238" s="269" t="s">
        <v>477</v>
      </c>
      <c r="C238" s="270" t="s">
        <v>4983</v>
      </c>
      <c r="D238" s="269" t="s">
        <v>4983</v>
      </c>
      <c r="E238" s="271" t="s">
        <v>4808</v>
      </c>
      <c r="F238" s="271" t="s">
        <v>478</v>
      </c>
    </row>
    <row r="239" spans="1:6" x14ac:dyDescent="0.2">
      <c r="A239" t="str">
        <f t="shared" si="3"/>
        <v>WATSON GRAVEL INC.  2786  CLEVES, OH  0126</v>
      </c>
      <c r="B239" s="269" t="s">
        <v>745</v>
      </c>
      <c r="C239" s="270" t="s">
        <v>4984</v>
      </c>
      <c r="D239" s="269" t="s">
        <v>4985</v>
      </c>
      <c r="E239" s="271" t="s">
        <v>4986</v>
      </c>
      <c r="F239" s="271" t="s">
        <v>4987</v>
      </c>
    </row>
    <row r="240" spans="1:6" x14ac:dyDescent="0.2">
      <c r="A240" t="str">
        <f t="shared" si="3"/>
        <v>WATSON GRAVEL INC - PLANT #2  2786  HARRISON, OH.  2786</v>
      </c>
      <c r="B240" s="269" t="s">
        <v>745</v>
      </c>
      <c r="C240" s="270" t="s">
        <v>4984</v>
      </c>
      <c r="D240" s="269" t="s">
        <v>4984</v>
      </c>
      <c r="E240" s="271" t="s">
        <v>746</v>
      </c>
      <c r="F240" s="271" t="s">
        <v>747</v>
      </c>
    </row>
    <row r="241" spans="1:6" x14ac:dyDescent="0.2">
      <c r="A241" t="str">
        <f t="shared" si="3"/>
        <v>VCNA PRAIRIE AGGREGATES, INC  2788  WAVERLY, IN  2788</v>
      </c>
      <c r="B241" s="269" t="s">
        <v>739</v>
      </c>
      <c r="C241" s="270" t="s">
        <v>4988</v>
      </c>
      <c r="D241" s="269" t="s">
        <v>4988</v>
      </c>
      <c r="E241" s="271" t="s">
        <v>4989</v>
      </c>
      <c r="F241" s="271" t="s">
        <v>415</v>
      </c>
    </row>
    <row r="242" spans="1:6" x14ac:dyDescent="0.2">
      <c r="A242" t="str">
        <f t="shared" si="3"/>
        <v>ELKHART COUNTY GRAVEL-PLANT 1  2789  MIDDLEBURY, IN  2789</v>
      </c>
      <c r="B242" s="269" t="s">
        <v>445</v>
      </c>
      <c r="C242" s="270" t="s">
        <v>4990</v>
      </c>
      <c r="D242" s="269" t="s">
        <v>4990</v>
      </c>
      <c r="E242" s="271" t="s">
        <v>446</v>
      </c>
      <c r="F242" s="271" t="s">
        <v>447</v>
      </c>
    </row>
    <row r="243" spans="1:6" x14ac:dyDescent="0.2">
      <c r="A243" t="str">
        <f t="shared" si="3"/>
        <v>PHOENIX SERVICES, LLC  2791  EAST CHICAGO, IN.  2791</v>
      </c>
      <c r="B243" s="269" t="s">
        <v>641</v>
      </c>
      <c r="C243" s="270" t="s">
        <v>4787</v>
      </c>
      <c r="D243" s="269" t="s">
        <v>4787</v>
      </c>
      <c r="E243" s="271" t="s">
        <v>637</v>
      </c>
      <c r="F243" s="271" t="s">
        <v>640</v>
      </c>
    </row>
    <row r="244" spans="1:6" x14ac:dyDescent="0.2">
      <c r="A244" t="str">
        <f t="shared" si="3"/>
        <v>IRVING MATERIALS, INC.  2792  GREENWOOD, IN  2792</v>
      </c>
      <c r="B244" s="269" t="s">
        <v>506</v>
      </c>
      <c r="C244" s="270" t="s">
        <v>4991</v>
      </c>
      <c r="D244" s="269" t="s">
        <v>4991</v>
      </c>
      <c r="E244" s="271" t="s">
        <v>525</v>
      </c>
      <c r="F244" s="271" t="s">
        <v>507</v>
      </c>
    </row>
    <row r="245" spans="1:6" x14ac:dyDescent="0.2">
      <c r="A245" t="str">
        <f t="shared" si="3"/>
        <v>LINCOLN PARK STONE  2793  GOSPORT, IN  2113</v>
      </c>
      <c r="B245" s="269" t="s">
        <v>564</v>
      </c>
      <c r="C245" s="270" t="s">
        <v>4992</v>
      </c>
      <c r="D245" s="269" t="s">
        <v>4824</v>
      </c>
      <c r="E245" s="271" t="s">
        <v>561</v>
      </c>
      <c r="F245" s="271" t="s">
        <v>565</v>
      </c>
    </row>
    <row r="246" spans="1:6" x14ac:dyDescent="0.2">
      <c r="A246" t="str">
        <f t="shared" si="3"/>
        <v>LINCOLN PARK STONE  2793  GOSPORT, IN  2793</v>
      </c>
      <c r="B246" s="269" t="s">
        <v>564</v>
      </c>
      <c r="C246" s="270" t="s">
        <v>4992</v>
      </c>
      <c r="D246" s="269" t="s">
        <v>4992</v>
      </c>
      <c r="E246" s="271" t="s">
        <v>561</v>
      </c>
      <c r="F246" s="271" t="s">
        <v>565</v>
      </c>
    </row>
    <row r="247" spans="1:6" x14ac:dyDescent="0.2">
      <c r="A247" t="str">
        <f t="shared" si="3"/>
        <v>HAYNES SAND AND GRAVEL  2797  FT. WAYNE, IN  2238</v>
      </c>
      <c r="B247" s="269" t="s">
        <v>471</v>
      </c>
      <c r="C247" s="270" t="s">
        <v>4845</v>
      </c>
      <c r="D247" s="269" t="s">
        <v>4844</v>
      </c>
      <c r="E247" s="271" t="s">
        <v>469</v>
      </c>
      <c r="F247" s="271" t="s">
        <v>470</v>
      </c>
    </row>
    <row r="248" spans="1:6" x14ac:dyDescent="0.2">
      <c r="A248" t="str">
        <f t="shared" si="3"/>
        <v>HAYNES SAND AND GRAVEL  2797  FT. WAYNE, IN  2797</v>
      </c>
      <c r="B248" s="269" t="s">
        <v>471</v>
      </c>
      <c r="C248" s="270" t="s">
        <v>4845</v>
      </c>
      <c r="D248" s="269" t="s">
        <v>4845</v>
      </c>
      <c r="E248" s="271" t="s">
        <v>469</v>
      </c>
      <c r="F248" s="271" t="s">
        <v>470</v>
      </c>
    </row>
    <row r="249" spans="1:6" x14ac:dyDescent="0.2">
      <c r="A249" t="str">
        <f t="shared" si="3"/>
        <v>WARD STONE, LLC  2798  FLAT ROCK, IN  2798</v>
      </c>
      <c r="B249" s="269" t="s">
        <v>742</v>
      </c>
      <c r="C249" s="270" t="s">
        <v>4993</v>
      </c>
      <c r="D249" s="269" t="s">
        <v>4993</v>
      </c>
      <c r="E249" s="271" t="s">
        <v>743</v>
      </c>
      <c r="F249" s="271" t="s">
        <v>744</v>
      </c>
    </row>
    <row r="250" spans="1:6" x14ac:dyDescent="0.2">
      <c r="A250" t="str">
        <f t="shared" si="3"/>
        <v>Mulzer Crushed Stone  2969  Mt Vernon, IN  2776</v>
      </c>
      <c r="B250" s="269" t="s">
        <v>458</v>
      </c>
      <c r="C250" s="270" t="s">
        <v>4994</v>
      </c>
      <c r="D250" s="269" t="s">
        <v>4953</v>
      </c>
      <c r="E250" s="271" t="s">
        <v>4995</v>
      </c>
      <c r="F250" s="271" t="s">
        <v>4996</v>
      </c>
    </row>
    <row r="251" spans="1:6" x14ac:dyDescent="0.2">
      <c r="A251" t="str">
        <f t="shared" si="3"/>
        <v>Mulzer Crushed Stone  2969  Mt Vernon, IN  2621</v>
      </c>
      <c r="B251" s="269" t="s">
        <v>458</v>
      </c>
      <c r="C251" s="270" t="s">
        <v>4994</v>
      </c>
      <c r="D251" s="269" t="s">
        <v>4952</v>
      </c>
      <c r="E251" s="271" t="s">
        <v>4995</v>
      </c>
      <c r="F251" s="271" t="s">
        <v>4996</v>
      </c>
    </row>
    <row r="252" spans="1:6" x14ac:dyDescent="0.2">
      <c r="A252" t="str">
        <f t="shared" si="3"/>
        <v>Mulzer Crushed Stone  2969  Mt Vernon, IN  2776</v>
      </c>
      <c r="B252" s="269" t="s">
        <v>458</v>
      </c>
      <c r="C252" s="270" t="s">
        <v>4994</v>
      </c>
      <c r="D252" s="269" t="s">
        <v>4953</v>
      </c>
      <c r="E252" s="271" t="s">
        <v>4995</v>
      </c>
      <c r="F252" s="271" t="s">
        <v>4996</v>
      </c>
    </row>
    <row r="253" spans="1:6" x14ac:dyDescent="0.2">
      <c r="A253" t="str">
        <f t="shared" si="3"/>
        <v>Mulzer Crushed Stone  2969  Mt Vernon, IN  2621</v>
      </c>
      <c r="B253" s="269" t="s">
        <v>458</v>
      </c>
      <c r="C253" s="270" t="s">
        <v>4994</v>
      </c>
      <c r="D253" s="269" t="s">
        <v>4952</v>
      </c>
      <c r="E253" s="271" t="s">
        <v>4995</v>
      </c>
      <c r="F253" s="271" t="s">
        <v>4996</v>
      </c>
    </row>
    <row r="254" spans="1:6" x14ac:dyDescent="0.2">
      <c r="A254" t="str">
        <f t="shared" si="3"/>
        <v>Mulzer Crushed Stone  2969  Mt Vernon, IN  2631</v>
      </c>
      <c r="B254" s="269" t="s">
        <v>458</v>
      </c>
      <c r="C254" s="270" t="s">
        <v>4994</v>
      </c>
      <c r="D254" s="269" t="s">
        <v>4929</v>
      </c>
      <c r="E254" s="271" t="s">
        <v>4995</v>
      </c>
      <c r="F254" s="271" t="s">
        <v>4996</v>
      </c>
    </row>
    <row r="255" spans="1:6" x14ac:dyDescent="0.2">
      <c r="A255" t="str">
        <f t="shared" ref="A255:A284" si="4">E255&amp;"  "&amp;C255&amp;"  "&amp;F255&amp;"  "&amp;D255</f>
        <v>Mulzer Crushed Stone  2969  EVANSVILLE, IN.  2632</v>
      </c>
      <c r="B255" s="269" t="s">
        <v>458</v>
      </c>
      <c r="C255" s="270" t="s">
        <v>4994</v>
      </c>
      <c r="D255" s="269" t="s">
        <v>4951</v>
      </c>
      <c r="E255" s="271" t="s">
        <v>4995</v>
      </c>
      <c r="F255" s="271" t="s">
        <v>457</v>
      </c>
    </row>
    <row r="256" spans="1:6" x14ac:dyDescent="0.2">
      <c r="A256" t="str">
        <f t="shared" si="4"/>
        <v>Mulzer Crushed Stone  2969  Mt Vernon, IN  2776</v>
      </c>
      <c r="B256" s="269" t="s">
        <v>458</v>
      </c>
      <c r="C256" s="270" t="s">
        <v>4994</v>
      </c>
      <c r="D256" s="269" t="s">
        <v>4953</v>
      </c>
      <c r="E256" s="271" t="s">
        <v>4995</v>
      </c>
      <c r="F256" s="271" t="s">
        <v>4996</v>
      </c>
    </row>
    <row r="257" spans="1:6" x14ac:dyDescent="0.2">
      <c r="A257" t="str">
        <f t="shared" si="4"/>
        <v>Mulzer Crushed Stone  2970  Newburgh, IN  2540</v>
      </c>
      <c r="B257" s="269" t="s">
        <v>459</v>
      </c>
      <c r="C257" s="270" t="s">
        <v>4997</v>
      </c>
      <c r="D257" s="269" t="s">
        <v>4918</v>
      </c>
      <c r="E257" s="271" t="s">
        <v>4995</v>
      </c>
      <c r="F257" s="271" t="s">
        <v>4998</v>
      </c>
    </row>
    <row r="258" spans="1:6" x14ac:dyDescent="0.2">
      <c r="A258" t="str">
        <f t="shared" si="4"/>
        <v>Mulzer Crushed Stone  2970  Newburgh, IN  2776</v>
      </c>
      <c r="B258" s="269" t="s">
        <v>459</v>
      </c>
      <c r="C258" s="270" t="s">
        <v>4997</v>
      </c>
      <c r="D258" s="269" t="s">
        <v>4953</v>
      </c>
      <c r="E258" s="271" t="s">
        <v>4995</v>
      </c>
      <c r="F258" s="271" t="s">
        <v>4998</v>
      </c>
    </row>
    <row r="259" spans="1:6" x14ac:dyDescent="0.2">
      <c r="A259" t="str">
        <f t="shared" si="4"/>
        <v>Mulzer Crushed Stone  2970  Newburgh, IN  2540</v>
      </c>
      <c r="B259" s="269" t="s">
        <v>459</v>
      </c>
      <c r="C259" s="270" t="s">
        <v>4997</v>
      </c>
      <c r="D259" s="269" t="s">
        <v>4918</v>
      </c>
      <c r="E259" s="271" t="s">
        <v>4995</v>
      </c>
      <c r="F259" s="271" t="s">
        <v>4998</v>
      </c>
    </row>
    <row r="260" spans="1:6" x14ac:dyDescent="0.2">
      <c r="A260" t="str">
        <f t="shared" si="4"/>
        <v>Mulzer Crushed Stone  2970  Newburgh, IN  2621</v>
      </c>
      <c r="B260" s="269" t="s">
        <v>459</v>
      </c>
      <c r="C260" s="270" t="s">
        <v>4997</v>
      </c>
      <c r="D260" s="269" t="s">
        <v>4952</v>
      </c>
      <c r="E260" s="271" t="s">
        <v>4995</v>
      </c>
      <c r="F260" s="271" t="s">
        <v>4998</v>
      </c>
    </row>
    <row r="261" spans="1:6" x14ac:dyDescent="0.2">
      <c r="A261" t="str">
        <f t="shared" si="4"/>
        <v>Mulzer Crushed Stone  2970  Newburgh, IN  2631</v>
      </c>
      <c r="B261" s="269" t="s">
        <v>459</v>
      </c>
      <c r="C261" s="270" t="s">
        <v>4997</v>
      </c>
      <c r="D261" s="269" t="s">
        <v>4929</v>
      </c>
      <c r="E261" s="271" t="s">
        <v>4995</v>
      </c>
      <c r="F261" s="271" t="s">
        <v>4998</v>
      </c>
    </row>
    <row r="262" spans="1:6" x14ac:dyDescent="0.2">
      <c r="A262" t="str">
        <f t="shared" si="4"/>
        <v>Mulzer Crushed Stone  2970  Newburgh, IN  2632</v>
      </c>
      <c r="B262" s="269" t="s">
        <v>459</v>
      </c>
      <c r="C262" s="270" t="s">
        <v>4997</v>
      </c>
      <c r="D262" s="269" t="s">
        <v>4951</v>
      </c>
      <c r="E262" s="271" t="s">
        <v>4995</v>
      </c>
      <c r="F262" s="271" t="s">
        <v>4998</v>
      </c>
    </row>
    <row r="263" spans="1:6" x14ac:dyDescent="0.2">
      <c r="A263" t="str">
        <f t="shared" si="4"/>
        <v>Mulzer Crushed Stone  2970  Newburgh, IN  2668</v>
      </c>
      <c r="B263" s="269" t="s">
        <v>459</v>
      </c>
      <c r="C263" s="270" t="s">
        <v>4997</v>
      </c>
      <c r="D263" s="269" t="s">
        <v>4954</v>
      </c>
      <c r="E263" s="271" t="s">
        <v>4995</v>
      </c>
      <c r="F263" s="271" t="s">
        <v>4998</v>
      </c>
    </row>
    <row r="264" spans="1:6" x14ac:dyDescent="0.2">
      <c r="A264" t="str">
        <f t="shared" si="4"/>
        <v>Mulzer Crushed Stone  2970  Newburgh, IN  2776</v>
      </c>
      <c r="B264" s="269" t="s">
        <v>459</v>
      </c>
      <c r="C264" s="270" t="s">
        <v>4997</v>
      </c>
      <c r="D264" s="269" t="s">
        <v>4953</v>
      </c>
      <c r="E264" s="271" t="s">
        <v>4995</v>
      </c>
      <c r="F264" s="271" t="s">
        <v>4998</v>
      </c>
    </row>
    <row r="265" spans="1:6" x14ac:dyDescent="0.2">
      <c r="A265" t="str">
        <f t="shared" si="4"/>
        <v>Mulzer Crushed Stone  2971  Rockport, IN  2621</v>
      </c>
      <c r="B265" s="269" t="s">
        <v>460</v>
      </c>
      <c r="C265" s="270" t="s">
        <v>4999</v>
      </c>
      <c r="D265" s="269" t="s">
        <v>4952</v>
      </c>
      <c r="E265" s="271" t="s">
        <v>4995</v>
      </c>
      <c r="F265" s="271" t="s">
        <v>5000</v>
      </c>
    </row>
    <row r="266" spans="1:6" x14ac:dyDescent="0.2">
      <c r="A266" t="str">
        <f t="shared" si="4"/>
        <v>Mulzer Crushed Stone  2971  Rockport, IN  2632</v>
      </c>
      <c r="B266" s="269" t="s">
        <v>460</v>
      </c>
      <c r="C266" s="270" t="s">
        <v>4999</v>
      </c>
      <c r="D266" s="269" t="s">
        <v>4951</v>
      </c>
      <c r="E266" s="271" t="s">
        <v>4995</v>
      </c>
      <c r="F266" s="271" t="s">
        <v>5000</v>
      </c>
    </row>
    <row r="267" spans="1:6" x14ac:dyDescent="0.2">
      <c r="A267" t="str">
        <f t="shared" si="4"/>
        <v>Mulzer Crushed Stone  2971  Rockport, IN  2776</v>
      </c>
      <c r="B267" s="269" t="s">
        <v>460</v>
      </c>
      <c r="C267" s="270" t="s">
        <v>4999</v>
      </c>
      <c r="D267" s="269" t="s">
        <v>4953</v>
      </c>
      <c r="E267" s="271" t="s">
        <v>4995</v>
      </c>
      <c r="F267" s="271" t="s">
        <v>5000</v>
      </c>
    </row>
    <row r="268" spans="1:6" x14ac:dyDescent="0.2">
      <c r="A268" t="str">
        <f t="shared" si="4"/>
        <v>Mulzer Crushed Stone  2972  Tell City, IN  2621</v>
      </c>
      <c r="B268" s="269" t="s">
        <v>461</v>
      </c>
      <c r="C268" s="270" t="s">
        <v>5001</v>
      </c>
      <c r="D268" s="269" t="s">
        <v>4952</v>
      </c>
      <c r="E268" s="271" t="s">
        <v>4995</v>
      </c>
      <c r="F268" s="271" t="s">
        <v>5002</v>
      </c>
    </row>
    <row r="269" spans="1:6" x14ac:dyDescent="0.2">
      <c r="A269" t="str">
        <f t="shared" si="4"/>
        <v>Mulzer Crushed Stone  2972  Tell City, IN  2624</v>
      </c>
      <c r="B269" s="269" t="s">
        <v>461</v>
      </c>
      <c r="C269" s="270" t="s">
        <v>5001</v>
      </c>
      <c r="D269" s="269" t="s">
        <v>4949</v>
      </c>
      <c r="E269" s="271" t="s">
        <v>4995</v>
      </c>
      <c r="F269" s="271" t="s">
        <v>5002</v>
      </c>
    </row>
    <row r="270" spans="1:6" x14ac:dyDescent="0.2">
      <c r="A270" t="str">
        <f t="shared" si="4"/>
        <v>Mulzer Crushed Stone  2972  Tell City, IN  2632</v>
      </c>
      <c r="B270" s="269" t="s">
        <v>461</v>
      </c>
      <c r="C270" s="270" t="s">
        <v>5001</v>
      </c>
      <c r="D270" s="269" t="s">
        <v>4951</v>
      </c>
      <c r="E270" s="271" t="s">
        <v>4995</v>
      </c>
      <c r="F270" s="271" t="s">
        <v>5002</v>
      </c>
    </row>
    <row r="271" spans="1:6" x14ac:dyDescent="0.2">
      <c r="A271" t="str">
        <f t="shared" si="4"/>
        <v>KLINK TRUCKING, INC  2973  SOUTH BEND, IN  2451</v>
      </c>
      <c r="B271" s="269" t="s">
        <v>404</v>
      </c>
      <c r="C271" s="270" t="s">
        <v>5003</v>
      </c>
      <c r="D271" s="269" t="s">
        <v>4786</v>
      </c>
      <c r="E271" s="271" t="s">
        <v>5004</v>
      </c>
      <c r="F271" s="271" t="s">
        <v>650</v>
      </c>
    </row>
    <row r="272" spans="1:6" x14ac:dyDescent="0.2">
      <c r="A272" t="str">
        <f t="shared" si="4"/>
        <v>KLINK TRUCKING, INC  2973  SOUTH BEND, IN  0106</v>
      </c>
      <c r="B272" s="269" t="s">
        <v>404</v>
      </c>
      <c r="C272" s="270" t="s">
        <v>5003</v>
      </c>
      <c r="D272" s="269" t="s">
        <v>557</v>
      </c>
      <c r="E272" s="271" t="s">
        <v>5004</v>
      </c>
      <c r="F272" s="271" t="s">
        <v>650</v>
      </c>
    </row>
    <row r="273" spans="1:6" x14ac:dyDescent="0.2">
      <c r="A273" t="str">
        <f t="shared" si="4"/>
        <v>KLINK TRUCKING, INC  2973  SOUTH BEND, IN  2472</v>
      </c>
      <c r="B273" s="269" t="s">
        <v>404</v>
      </c>
      <c r="C273" s="270" t="s">
        <v>5003</v>
      </c>
      <c r="D273" s="269" t="s">
        <v>4795</v>
      </c>
      <c r="E273" s="271" t="s">
        <v>5004</v>
      </c>
      <c r="F273" s="271" t="s">
        <v>650</v>
      </c>
    </row>
    <row r="274" spans="1:6" x14ac:dyDescent="0.2">
      <c r="A274" t="str">
        <f t="shared" si="4"/>
        <v>KLINK TRUCKING, INC  2973  SOUTH BEND, IN  2473</v>
      </c>
      <c r="B274" s="269" t="s">
        <v>404</v>
      </c>
      <c r="C274" s="270" t="s">
        <v>5003</v>
      </c>
      <c r="D274" s="269" t="s">
        <v>4797</v>
      </c>
      <c r="E274" s="271" t="s">
        <v>5004</v>
      </c>
      <c r="F274" s="271" t="s">
        <v>650</v>
      </c>
    </row>
    <row r="275" spans="1:6" x14ac:dyDescent="0.2">
      <c r="A275" t="str">
        <f t="shared" si="4"/>
        <v>KLINK TRUCKING, INC  2973  SOUTH BEND, IN  2700</v>
      </c>
      <c r="B275" s="269" t="s">
        <v>404</v>
      </c>
      <c r="C275" s="270" t="s">
        <v>5003</v>
      </c>
      <c r="D275" s="269" t="s">
        <v>4963</v>
      </c>
      <c r="E275" s="271" t="s">
        <v>5004</v>
      </c>
      <c r="F275" s="271" t="s">
        <v>650</v>
      </c>
    </row>
    <row r="276" spans="1:6" x14ac:dyDescent="0.2">
      <c r="A276" t="str">
        <f t="shared" si="4"/>
        <v>KLINK TRUCKING, INC  2973  SOUTH BEND, IN  2764</v>
      </c>
      <c r="B276" s="274" t="s">
        <v>404</v>
      </c>
      <c r="C276" s="270" t="s">
        <v>5003</v>
      </c>
      <c r="D276" s="269" t="s">
        <v>4977</v>
      </c>
      <c r="E276" s="271" t="s">
        <v>5004</v>
      </c>
      <c r="F276" s="271" t="s">
        <v>650</v>
      </c>
    </row>
    <row r="277" spans="1:6" x14ac:dyDescent="0.2">
      <c r="A277" t="str">
        <f t="shared" si="4"/>
        <v>Mulzer Crushed Stone  2974  EVANSVILLE, IN.  2540</v>
      </c>
      <c r="B277" s="269" t="s">
        <v>462</v>
      </c>
      <c r="C277" s="270" t="s">
        <v>5005</v>
      </c>
      <c r="D277" s="269" t="s">
        <v>4918</v>
      </c>
      <c r="E277" s="271" t="s">
        <v>4995</v>
      </c>
      <c r="F277" s="275" t="s">
        <v>457</v>
      </c>
    </row>
    <row r="278" spans="1:6" x14ac:dyDescent="0.2">
      <c r="A278" t="str">
        <f t="shared" si="4"/>
        <v>Mulzer Crushed Stone  2974  EVANSVILLE, IN.  2621</v>
      </c>
      <c r="B278" s="269" t="s">
        <v>462</v>
      </c>
      <c r="C278" s="273" t="s">
        <v>5005</v>
      </c>
      <c r="D278" s="274" t="s">
        <v>4952</v>
      </c>
      <c r="E278" s="271" t="s">
        <v>4995</v>
      </c>
      <c r="F278" s="271" t="s">
        <v>457</v>
      </c>
    </row>
    <row r="279" spans="1:6" x14ac:dyDescent="0.2">
      <c r="A279" t="str">
        <f t="shared" si="4"/>
        <v>Mulzer Crushed Stone  2974  EVANSVILLE, IN.  2631</v>
      </c>
      <c r="B279" s="269" t="s">
        <v>462</v>
      </c>
      <c r="C279" s="270" t="s">
        <v>5005</v>
      </c>
      <c r="D279" s="269" t="s">
        <v>4929</v>
      </c>
      <c r="E279" s="271" t="s">
        <v>4995</v>
      </c>
      <c r="F279" s="271" t="s">
        <v>457</v>
      </c>
    </row>
    <row r="280" spans="1:6" x14ac:dyDescent="0.2">
      <c r="A280" t="str">
        <f t="shared" si="4"/>
        <v>Mulzer Crushed Stone  2974  EVANSVILLE, IN.  2632</v>
      </c>
      <c r="B280" s="269" t="s">
        <v>462</v>
      </c>
      <c r="C280" s="270" t="s">
        <v>5005</v>
      </c>
      <c r="D280" s="269" t="s">
        <v>4951</v>
      </c>
      <c r="E280" s="271" t="s">
        <v>4995</v>
      </c>
      <c r="F280" s="271" t="s">
        <v>457</v>
      </c>
    </row>
    <row r="281" spans="1:6" x14ac:dyDescent="0.2">
      <c r="A281" t="str">
        <f t="shared" si="4"/>
        <v>Mulzer Crushed Stone  2974  EVANSVILLE, IN.  2668</v>
      </c>
      <c r="B281" s="269" t="s">
        <v>462</v>
      </c>
      <c r="C281" s="270" t="s">
        <v>5005</v>
      </c>
      <c r="D281" s="269" t="s">
        <v>4954</v>
      </c>
      <c r="E281" s="271" t="s">
        <v>4995</v>
      </c>
      <c r="F281" s="271" t="s">
        <v>457</v>
      </c>
    </row>
    <row r="282" spans="1:6" x14ac:dyDescent="0.2">
      <c r="A282" t="str">
        <f t="shared" si="4"/>
        <v>MARTIN MARIETTA-PERKINSVILLE  2980  NOBLESVILLE, IN  2980</v>
      </c>
      <c r="B282" s="269" t="s">
        <v>4782</v>
      </c>
      <c r="C282" s="270" t="s">
        <v>5006</v>
      </c>
      <c r="D282" s="269" t="s">
        <v>5006</v>
      </c>
      <c r="E282" s="271" t="s">
        <v>5007</v>
      </c>
      <c r="F282" s="271" t="s">
        <v>572</v>
      </c>
    </row>
    <row r="283" spans="1:6" x14ac:dyDescent="0.2">
      <c r="A283" t="str">
        <f t="shared" si="4"/>
        <v>MARTIN MARIETTA-JOHNSON CO  2985  GREENWOOD, IN  2985</v>
      </c>
      <c r="B283" s="269" t="s">
        <v>578</v>
      </c>
      <c r="C283" s="270" t="s">
        <v>579</v>
      </c>
      <c r="D283" s="269" t="s">
        <v>579</v>
      </c>
      <c r="E283" s="271" t="s">
        <v>5008</v>
      </c>
      <c r="F283" s="271" t="s">
        <v>507</v>
      </c>
    </row>
    <row r="284" spans="1:6" x14ac:dyDescent="0.2">
      <c r="A284" t="str">
        <f t="shared" si="4"/>
        <v>RIETH-RILEY CONSTRUCTION CO.,  2987  GARY, IN  2987</v>
      </c>
      <c r="B284" s="269" t="s">
        <v>5009</v>
      </c>
      <c r="C284" s="270" t="s">
        <v>5010</v>
      </c>
      <c r="D284" s="269" t="s">
        <v>5010</v>
      </c>
      <c r="E284" s="271" t="s">
        <v>651</v>
      </c>
      <c r="F284" s="271" t="s">
        <v>652</v>
      </c>
    </row>
    <row r="285" spans="1:6" x14ac:dyDescent="0.2">
      <c r="B285" s="269"/>
      <c r="C285" s="270"/>
      <c r="D285" s="269"/>
      <c r="E285" s="271"/>
      <c r="F285" s="271"/>
    </row>
    <row r="286" spans="1:6" x14ac:dyDescent="0.2">
      <c r="B286" s="269"/>
      <c r="C286" s="273"/>
      <c r="D286" s="274"/>
      <c r="E286" s="271"/>
      <c r="F286" s="271"/>
    </row>
    <row r="287" spans="1:6" x14ac:dyDescent="0.2">
      <c r="B287" s="269"/>
      <c r="C287" s="270"/>
      <c r="D287" s="269"/>
      <c r="E287" s="271"/>
      <c r="F287" s="271"/>
    </row>
    <row r="288" spans="1:6" x14ac:dyDescent="0.2">
      <c r="B288" s="269"/>
      <c r="C288" s="270"/>
      <c r="D288" s="269"/>
      <c r="E288" s="271"/>
      <c r="F288" s="271"/>
    </row>
    <row r="289" spans="2:6" x14ac:dyDescent="0.2">
      <c r="B289" s="269"/>
      <c r="C289" s="270"/>
      <c r="D289" s="269"/>
      <c r="E289" s="271"/>
      <c r="F289" s="271"/>
    </row>
    <row r="290" spans="2:6" x14ac:dyDescent="0.2">
      <c r="B290" s="269"/>
      <c r="C290" s="270"/>
      <c r="D290" s="269"/>
      <c r="E290" s="271"/>
      <c r="F290" s="271"/>
    </row>
    <row r="291" spans="2:6" x14ac:dyDescent="0.2">
      <c r="B291" s="269"/>
      <c r="C291" s="270"/>
      <c r="D291" s="269"/>
      <c r="E291" s="271"/>
      <c r="F291" s="271"/>
    </row>
    <row r="292" spans="2:6" x14ac:dyDescent="0.2">
      <c r="B292" s="269"/>
      <c r="C292" s="270"/>
      <c r="D292" s="269"/>
      <c r="E292" s="271"/>
      <c r="F292" s="271"/>
    </row>
    <row r="293" spans="2:6" x14ac:dyDescent="0.2">
      <c r="B293" s="276"/>
    </row>
  </sheetData>
  <sheetProtection algorithmName="SHA-512" hashValue="nPokFFlrkaKxZvhXYweAGEV3IDyTp7dM45o58B5xqDM5mGGHyC679NTdn0cwXCLtKJp7By9lWRHr8nOsl5vxmA==" saltValue="bzjkljzQi3ZwlFP+w9+bWA==" spinCount="100000" sheet="1" objects="1" scenarios="1" selectLockedCells="1" selectUnlockedCells="1"/>
  <sortState xmlns:xlrd2="http://schemas.microsoft.com/office/spreadsheetml/2017/richdata2" ref="A1:F298">
    <sortCondition ref="A1"/>
  </sortState>
  <pageMargins left="0.7" right="0.7" top="0.75" bottom="0.75" header="0.3" footer="0.3"/>
  <pageSetup orientation="portrait" r:id="rId1"/>
  <ignoredErrors>
    <ignoredError sqref="G102:G125 G10:G25 G127 G138:G261 B294:B1048576 G263:G283 G27:G67 G69:G100 G129:G13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8661a92-3d43-470a-8e87-2fbcd69c62a4" xsi:nil="true"/>
    <lcf76f155ced4ddcb4097134ff3c332f xmlns="446cb2fe-71e4-4ae0-9943-2ea0a627a5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B721AEF0E05048804448FCF7D2FA92" ma:contentTypeVersion="15" ma:contentTypeDescription="Create a new document." ma:contentTypeScope="" ma:versionID="5d24ad0503c360331d19a912fd696b65">
  <xsd:schema xmlns:xsd="http://www.w3.org/2001/XMLSchema" xmlns:xs="http://www.w3.org/2001/XMLSchema" xmlns:p="http://schemas.microsoft.com/office/2006/metadata/properties" xmlns:ns2="a8661a92-3d43-470a-8e87-2fbcd69c62a4" xmlns:ns3="446cb2fe-71e4-4ae0-9943-2ea0a627a59c" targetNamespace="http://schemas.microsoft.com/office/2006/metadata/properties" ma:root="true" ma:fieldsID="d7771b5bc414384f89705e66deb6a7f6" ns2:_="" ns3:_="">
    <xsd:import namespace="a8661a92-3d43-470a-8e87-2fbcd69c62a4"/>
    <xsd:import namespace="446cb2fe-71e4-4ae0-9943-2ea0a627a59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661a92-3d43-470a-8e87-2fbcd69c62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47bbbe9-7587-41ab-84a0-2e7f68e4f03f}" ma:internalName="TaxCatchAll" ma:showField="CatchAllData" ma:web="a8661a92-3d43-470a-8e87-2fbcd69c62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6cb2fe-71e4-4ae0-9943-2ea0a627a59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CD4FBD-8E23-4999-9496-88DFE8C78E96}">
  <ds:schemaRefs>
    <ds:schemaRef ds:uri="http://schemas.microsoft.com/sharepoint/v3/contenttype/forms"/>
  </ds:schemaRefs>
</ds:datastoreItem>
</file>

<file path=customXml/itemProps2.xml><?xml version="1.0" encoding="utf-8"?>
<ds:datastoreItem xmlns:ds="http://schemas.openxmlformats.org/officeDocument/2006/customXml" ds:itemID="{99A9674D-B306-41D6-9973-77DF001E9C29}">
  <ds:schemaRefs>
    <ds:schemaRef ds:uri="http://purl.org/dc/elements/1.1/"/>
    <ds:schemaRef ds:uri="a8661a92-3d43-470a-8e87-2fbcd69c62a4"/>
    <ds:schemaRef ds:uri="http://www.w3.org/XML/1998/namespace"/>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purl.org/dc/dcmitype/"/>
    <ds:schemaRef ds:uri="446cb2fe-71e4-4ae0-9943-2ea0a627a59c"/>
    <ds:schemaRef ds:uri="http://schemas.microsoft.com/office/2006/metadata/properties"/>
  </ds:schemaRefs>
</ds:datastoreItem>
</file>

<file path=customXml/itemProps3.xml><?xml version="1.0" encoding="utf-8"?>
<ds:datastoreItem xmlns:ds="http://schemas.openxmlformats.org/officeDocument/2006/customXml" ds:itemID="{EAABE591-C862-4C07-93A8-1C019EF8AC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661a92-3d43-470a-8e87-2fbcd69c62a4"/>
    <ds:schemaRef ds:uri="446cb2fe-71e4-4ae0-9943-2ea0a627a5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TRIAL BATCH WORKSHEET OG</vt:lpstr>
      <vt:lpstr>CMDS</vt:lpstr>
      <vt:lpstr>FBMD</vt:lpstr>
      <vt:lpstr>Gradation</vt:lpstr>
      <vt:lpstr>Contract Log</vt:lpstr>
      <vt:lpstr>TRIAL BATCH WORKSHEET</vt:lpstr>
      <vt:lpstr>Water-Cem Ratio &amp; Slump Limits</vt:lpstr>
      <vt:lpstr>Sheet2</vt:lpstr>
      <vt:lpstr>AGG SOURCES</vt:lpstr>
      <vt:lpstr>CEMENT &amp; POZZOLAN SOURCES</vt:lpstr>
      <vt:lpstr>ADMIXTURES</vt:lpstr>
      <vt:lpstr>Contract Approval Log</vt:lpstr>
      <vt:lpstr>Items List</vt:lpstr>
      <vt:lpstr>ADMIXTURES!OLE_LINK1</vt:lpstr>
      <vt:lpstr>CMDS!Print_Area</vt:lpstr>
      <vt:lpstr>'Contract Approval Log'!Print_Area</vt:lpstr>
      <vt:lpstr>'Contract Log'!Print_Area</vt:lpstr>
      <vt:lpstr>FBMD!Print_Area</vt:lpstr>
      <vt:lpstr>Gradation!Print_Area</vt:lpstr>
      <vt:lpstr>Sheet2!Print_Area</vt:lpstr>
      <vt:lpstr>'TRIAL BATCH WORKSHEET'!Print_Area</vt:lpstr>
      <vt:lpstr>'TRIAL BATCH WORKSHEET OG'!Print_Area</vt:lpstr>
      <vt:lpstr>'Contract Log'!Print_Titles</vt:lpstr>
      <vt:lpstr>FBMD!VMA</vt:lpstr>
      <vt:lpstr>VMA</vt:lpstr>
    </vt:vector>
  </TitlesOfParts>
  <Manager/>
  <Company>INDOT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mrharris</dc:creator>
  <cp:keywords/>
  <dc:description/>
  <cp:lastModifiedBy>Mazumder, Abul</cp:lastModifiedBy>
  <cp:revision/>
  <cp:lastPrinted>2024-02-16T19:03:08Z</cp:lastPrinted>
  <dcterms:created xsi:type="dcterms:W3CDTF">2005-02-10T20:23:45Z</dcterms:created>
  <dcterms:modified xsi:type="dcterms:W3CDTF">2025-04-08T16:16:19Z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0x01010044B721AEF0E05048804448FCF7D2FA92</vt:lpwstr>
  </property>
  <property fmtid="{D5CDD505-2E9C-101B-9397-08002B2CF9AE}" pid="5" name="MediaServiceImageTags">
    <vt:lpwstr/>
  </property>
  <property fmtid="{D5CDD505-2E9C-101B-9397-08002B2CF9AE}" pid="6" name="Folder_Number">
    <vt:lpwstr/>
  </property>
  <property fmtid="{D5CDD505-2E9C-101B-9397-08002B2CF9AE}" pid="7" name="Folder_Code">
    <vt:lpwstr/>
  </property>
  <property fmtid="{D5CDD505-2E9C-101B-9397-08002B2CF9AE}" pid="8" name="Folder_Name">
    <vt:lpwstr/>
  </property>
  <property fmtid="{D5CDD505-2E9C-101B-9397-08002B2CF9AE}" pid="9" name="Folder_Description">
    <vt:lpwstr/>
  </property>
  <property fmtid="{D5CDD505-2E9C-101B-9397-08002B2CF9AE}" pid="10" name="/Folder_Name/">
    <vt:lpwstr/>
  </property>
  <property fmtid="{D5CDD505-2E9C-101B-9397-08002B2CF9AE}" pid="11" name="/Folder_Description/">
    <vt:lpwstr/>
  </property>
  <property fmtid="{D5CDD505-2E9C-101B-9397-08002B2CF9AE}" pid="12" name="Folder_Version">
    <vt:lpwstr/>
  </property>
  <property fmtid="{D5CDD505-2E9C-101B-9397-08002B2CF9AE}" pid="13" name="Folder_VersionSeq">
    <vt:lpwstr/>
  </property>
  <property fmtid="{D5CDD505-2E9C-101B-9397-08002B2CF9AE}" pid="14" name="Folder_Manager">
    <vt:lpwstr/>
  </property>
  <property fmtid="{D5CDD505-2E9C-101B-9397-08002B2CF9AE}" pid="15" name="Folder_ManagerDesc">
    <vt:lpwstr/>
  </property>
  <property fmtid="{D5CDD505-2E9C-101B-9397-08002B2CF9AE}" pid="16" name="Folder_Storage">
    <vt:lpwstr/>
  </property>
  <property fmtid="{D5CDD505-2E9C-101B-9397-08002B2CF9AE}" pid="17" name="Folder_StorageDesc">
    <vt:lpwstr/>
  </property>
  <property fmtid="{D5CDD505-2E9C-101B-9397-08002B2CF9AE}" pid="18" name="Folder_Creator">
    <vt:lpwstr/>
  </property>
  <property fmtid="{D5CDD505-2E9C-101B-9397-08002B2CF9AE}" pid="19" name="Folder_CreatorDesc">
    <vt:lpwstr/>
  </property>
  <property fmtid="{D5CDD505-2E9C-101B-9397-08002B2CF9AE}" pid="20" name="Folder_CreateDate">
    <vt:lpwstr/>
  </property>
  <property fmtid="{D5CDD505-2E9C-101B-9397-08002B2CF9AE}" pid="21" name="Folder_Updater">
    <vt:lpwstr/>
  </property>
  <property fmtid="{D5CDD505-2E9C-101B-9397-08002B2CF9AE}" pid="22" name="Folder_UpdaterDesc">
    <vt:lpwstr/>
  </property>
  <property fmtid="{D5CDD505-2E9C-101B-9397-08002B2CF9AE}" pid="23" name="Folder_UpdateDate">
    <vt:lpwstr/>
  </property>
  <property fmtid="{D5CDD505-2E9C-101B-9397-08002B2CF9AE}" pid="24" name="Document_Number">
    <vt:lpwstr/>
  </property>
  <property fmtid="{D5CDD505-2E9C-101B-9397-08002B2CF9AE}" pid="25" name="Document_Name">
    <vt:lpwstr/>
  </property>
  <property fmtid="{D5CDD505-2E9C-101B-9397-08002B2CF9AE}" pid="26" name="Document_FileName">
    <vt:lpwstr/>
  </property>
  <property fmtid="{D5CDD505-2E9C-101B-9397-08002B2CF9AE}" pid="27" name="Document_Version">
    <vt:lpwstr/>
  </property>
  <property fmtid="{D5CDD505-2E9C-101B-9397-08002B2CF9AE}" pid="28" name="Document_VersionSeq">
    <vt:lpwstr/>
  </property>
  <property fmtid="{D5CDD505-2E9C-101B-9397-08002B2CF9AE}" pid="29" name="Document_Creator">
    <vt:lpwstr/>
  </property>
  <property fmtid="{D5CDD505-2E9C-101B-9397-08002B2CF9AE}" pid="30" name="Document_CreatorDesc">
    <vt:lpwstr/>
  </property>
  <property fmtid="{D5CDD505-2E9C-101B-9397-08002B2CF9AE}" pid="31" name="Document_CreateDate">
    <vt:lpwstr/>
  </property>
  <property fmtid="{D5CDD505-2E9C-101B-9397-08002B2CF9AE}" pid="32" name="Document_Updater">
    <vt:lpwstr/>
  </property>
  <property fmtid="{D5CDD505-2E9C-101B-9397-08002B2CF9AE}" pid="33" name="Document_UpdaterDesc">
    <vt:lpwstr/>
  </property>
  <property fmtid="{D5CDD505-2E9C-101B-9397-08002B2CF9AE}" pid="34" name="Document_UpdateDate">
    <vt:lpwstr/>
  </property>
  <property fmtid="{D5CDD505-2E9C-101B-9397-08002B2CF9AE}" pid="35" name="Document_Size">
    <vt:lpwstr/>
  </property>
  <property fmtid="{D5CDD505-2E9C-101B-9397-08002B2CF9AE}" pid="36" name="Document_Storage">
    <vt:lpwstr/>
  </property>
  <property fmtid="{D5CDD505-2E9C-101B-9397-08002B2CF9AE}" pid="37" name="Document_StorageDesc">
    <vt:lpwstr/>
  </property>
  <property fmtid="{D5CDD505-2E9C-101B-9397-08002B2CF9AE}" pid="38" name="Document_Department">
    <vt:lpwstr/>
  </property>
  <property fmtid="{D5CDD505-2E9C-101B-9397-08002B2CF9AE}" pid="39" name="Document_DepartmentDesc">
    <vt:lpwstr/>
  </property>
</Properties>
</file>