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https://ingov-my.sharepoint.com/personal/rharris_indot_in_gov/Documents/Desktop/"/>
    </mc:Choice>
  </mc:AlternateContent>
  <xr:revisionPtr revIDLastSave="471" documentId="8_{723C82BD-B684-4F8B-A6D1-F1F1E3C62FD1}" xr6:coauthVersionLast="47" xr6:coauthVersionMax="47" xr10:uidLastSave="{324F0161-D500-4556-981B-EB1BD1463F9C}"/>
  <workbookProtection workbookAlgorithmName="SHA-512" workbookHashValue="5zuuG66ZZm0PoK3lA9//1pbWiPGDUXBXvCKW6MpSFVSCxQfMS+Iu2ScYISMO1skEeyEMvxH8E3iwEcSqHPWPLw==" workbookSaltValue="KxHh1ihaQWvTS9WmHgYZ6A==" workbookSpinCount="100000" lockStructure="1"/>
  <bookViews>
    <workbookView xWindow="1230" yWindow="165" windowWidth="23040" windowHeight="16485" tabRatio="834" activeTab="1"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state="hidden"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ADMIXTURES!$H$321</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H8" i="18" l="1"/>
  <c r="AR6" i="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<sst xmlns="http://schemas.openxmlformats.org/spreadsheetml/2006/main" count="11288" uniqueCount="4961">
  <si>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</si>
  <si>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</si>
  <si>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</si>
  <si>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</si>
  <si>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</si>
  <si>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</si>
  <si>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</si>
  <si>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</si>
  <si>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</si>
  <si>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</si>
  <si>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</si>
  <si>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</si>
  <si>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</si>
  <si>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</si>
  <si>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</si>
  <si>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</si>
  <si>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</si>
  <si>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</si>
  <si>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</si>
  <si>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</si>
  <si>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</si>
  <si>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</si>
  <si>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</si>
  <si>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</si>
  <si>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</si>
  <si>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</si>
  <si>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</si>
  <si>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</si>
  <si>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</si>
  <si>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</si>
  <si>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</si>
  <si>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</si>
  <si>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</si>
  <si>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</si>
  <si>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</si>
  <si>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</si>
  <si>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</si>
  <si>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</si>
  <si>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</si>
  <si>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</si>
  <si>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</si>
  <si>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</si>
  <si>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</si>
  <si>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</si>
  <si>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</si>
  <si>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</si>
  <si>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</si>
  <si>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</si>
  <si>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</si>
  <si>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</si>
  <si>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</si>
  <si>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</si>
  <si>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</si>
  <si>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</si>
  <si>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</si>
  <si>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</si>
  <si>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</si>
  <si>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</si>
  <si>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</si>
  <si>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</si>
  <si>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</si>
  <si>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</si>
  <si>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</si>
  <si>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</si>
  <si>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</si>
  <si>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</si>
  <si>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</si>
  <si>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</si>
  <si>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</si>
  <si>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</si>
  <si>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</si>
  <si>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</si>
  <si>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</si>
  <si>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</si>
  <si>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</si>
  <si>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</si>
  <si>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</si>
  <si>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</si>
  <si>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</si>
  <si>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</si>
  <si>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</si>
  <si>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</si>
  <si>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</si>
  <si>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</si>
  <si>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</si>
  <si>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</si>
  <si>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</si>
  <si>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</si>
  <si>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</si>
  <si>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</si>
  <si>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</si>
  <si>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</si>
  <si>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</si>
  <si>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</si>
  <si>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</si>
  <si>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</si>
  <si>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</si>
  <si>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</si>
  <si>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</si>
  <si>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</si>
  <si>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</si>
  <si>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</si>
  <si>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</si>
  <si>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</si>
  <si>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</si>
  <si>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</si>
  <si>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</si>
  <si>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</si>
  <si>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</si>
  <si>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</si>
  <si>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</si>
  <si>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</si>
  <si>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</si>
  <si>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</si>
  <si>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</si>
  <si>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</si>
  <si>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</si>
  <si>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</si>
  <si>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</si>
  <si>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</si>
  <si>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</si>
  <si>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</si>
  <si>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</si>
  <si>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</si>
  <si>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</si>
  <si>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</si>
  <si>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</si>
  <si>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</si>
  <si>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</si>
  <si>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</si>
  <si>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</si>
  <si>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</si>
  <si>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</si>
  <si>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</si>
  <si>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</si>
  <si>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</si>
  <si>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</si>
  <si>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</si>
  <si>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</si>
  <si>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</si>
  <si>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</si>
  <si>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</si>
  <si>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</si>
  <si>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</si>
  <si>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</si>
  <si>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</si>
  <si>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</si>
  <si>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</si>
  <si>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</si>
  <si>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</si>
  <si>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</si>
  <si>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</si>
  <si>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</si>
  <si>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</si>
  <si>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</si>
  <si>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</si>
  <si>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</si>
  <si>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</si>
  <si>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</si>
  <si>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</si>
  <si>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</si>
  <si>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</si>
  <si>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</si>
  <si>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</si>
  <si>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</si>
  <si>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</si>
  <si>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</si>
  <si>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</si>
  <si>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</si>
  <si>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</si>
  <si>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</si>
  <si>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</si>
  <si>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</si>
  <si>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</si>
  <si>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</si>
  <si>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</si>
  <si>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</si>
  <si>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</si>
  <si>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</si>
  <si>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</si>
  <si>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</si>
  <si>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</si>
  <si>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</si>
  <si>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</si>
  <si>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</si>
  <si>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</si>
  <si>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</si>
  <si>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</si>
  <si>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</si>
  <si>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</si>
  <si>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</si>
  <si>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</si>
  <si>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</si>
  <si>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</si>
  <si>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</si>
  <si>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</si>
  <si>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</si>
  <si>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</si>
  <si>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</si>
  <si>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</si>
  <si>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</si>
  <si>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</si>
  <si>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</si>
  <si>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</si>
  <si>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</si>
  <si>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</si>
  <si>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</si>
  <si>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</si>
  <si>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</si>
  <si>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</si>
  <si>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</si>
  <si>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</si>
  <si>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</si>
  <si>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</si>
  <si>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</si>
  <si>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</si>
  <si>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</si>
  <si>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</si>
  <si>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</si>
  <si>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</si>
  <si>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</si>
  <si>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</si>
  <si>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</si>
  <si>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</si>
  <si>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</si>
  <si>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</si>
  <si>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</si>
  <si>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</si>
  <si>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</si>
  <si>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</si>
  <si>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</si>
  <si>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</si>
  <si>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</si>
  <si>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</si>
  <si>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</si>
  <si>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</si>
  <si>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</si>
  <si>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</si>
  <si>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</si>
  <si>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</si>
  <si>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</si>
  <si>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</si>
  <si>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</si>
  <si>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</si>
  <si>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</si>
  <si>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</si>
  <si>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</si>
  <si>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</si>
  <si>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</si>
  <si>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</si>
  <si>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</si>
  <si>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</si>
  <si>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</si>
  <si>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</si>
  <si>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</si>
  <si>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</si>
  <si>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</si>
  <si>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</si>
  <si>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</si>
  <si>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</si>
  <si>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</si>
  <si>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</si>
  <si>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</si>
  <si>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</si>
  <si>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</si>
  <si>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</si>
  <si>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</si>
  <si>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</si>
  <si>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</si>
  <si>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</si>
  <si>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</si>
  <si>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</si>
  <si>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</si>
  <si>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</si>
  <si>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</si>
  <si>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</si>
  <si>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</si>
  <si>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</si>
  <si>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</si>
  <si>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</si>
  <si>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</si>
  <si>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</si>
  <si>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</si>
  <si>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</si>
  <si>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</si>
  <si>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</si>
  <si>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</si>
  <si>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</si>
  <si>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</si>
  <si>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</si>
  <si>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</si>
  <si>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</si>
  <si>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</si>
  <si>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</si>
  <si>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</si>
  <si>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</si>
  <si>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</si>
  <si>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</si>
  <si>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</si>
  <si>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</si>
  <si>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</si>
  <si>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</si>
  <si>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</si>
  <si>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</si>
  <si>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</si>
  <si>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</si>
  <si>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</si>
  <si>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</si>
  <si>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</si>
  <si>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</si>
  <si>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</si>
  <si>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</si>
  <si>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</si>
  <si>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</si>
  <si>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</si>
  <si>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</si>
  <si>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</si>
  <si>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</si>
  <si>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</si>
  <si>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</si>
  <si>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</si>
  <si>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</si>
  <si>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</si>
  <si>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</si>
  <si>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</si>
  <si>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</si>
  <si>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</si>
  <si>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</si>
  <si>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</si>
  <si>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</si>
  <si>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</si>
  <si>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</si>
  <si>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</si>
  <si>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</si>
  <si>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</si>
  <si>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</si>
  <si>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</si>
  <si>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</si>
  <si>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</si>
  <si>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</si>
  <si>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</si>
  <si>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</si>
  <si>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</si>
  <si>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</si>
  <si>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</si>
  <si>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</si>
  <si>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</si>
  <si>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</si>
  <si>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</si>
  <si>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</si>
  <si>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</si>
  <si>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</si>
  <si>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</si>
  <si>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</si>
  <si>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</si>
  <si>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</si>
  <si>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</si>
  <si>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</si>
  <si>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</si>
  <si>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</si>
  <si>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</si>
  <si>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</si>
  <si>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</si>
  <si>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</si>
  <si>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</si>
  <si>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</si>
  <si>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</si>
  <si>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</si>
  <si>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</si>
  <si>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</si>
  <si>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</si>
  <si>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</si>
  <si>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</si>
  <si>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</si>
  <si>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</si>
  <si>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</si>
  <si>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</si>
  <si>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</si>
  <si>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</si>
  <si>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</si>
  <si>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</si>
  <si>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</si>
  <si>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</si>
  <si>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</si>
  <si>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</si>
  <si>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</si>
  <si>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</si>
  <si>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</si>
  <si>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</si>
  <si>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</si>
  <si>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</si>
  <si>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</si>
  <si>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</si>
  <si>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</si>
  <si>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</si>
  <si>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</si>
  <si>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</si>
  <si>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</si>
  <si>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</si>
  <si>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</si>
  <si>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</si>
  <si>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</si>
  <si>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</si>
  <si>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</si>
  <si>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</si>
  <si>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</si>
  <si>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</si>
  <si>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</si>
  <si>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</si>
  <si>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</si>
  <si>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</si>
  <si>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</si>
  <si>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</si>
  <si>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</si>
  <si>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</si>
  <si>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</si>
  <si>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</si>
  <si>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</si>
  <si>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</si>
  <si>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</si>
  <si>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</si>
  <si>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</si>
  <si>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</si>
  <si>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</si>
  <si>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</si>
  <si>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</si>
  <si>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</si>
  <si>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</si>
  <si>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</si>
  <si>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</si>
  <si>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</si>
  <si>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</si>
  <si>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</si>
  <si>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</si>
  <si>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</si>
  <si>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</si>
  <si>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</si>
  <si>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</si>
  <si>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</si>
  <si>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</si>
  <si>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</si>
  <si>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</si>
  <si>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</si>
  <si>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</si>
  <si>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</si>
  <si>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</si>
  <si>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</si>
  <si>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</si>
  <si>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</si>
  <si>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</si>
  <si>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</si>
  <si>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</si>
  <si>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</si>
  <si>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</si>
  <si>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</si>
  <si>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</si>
  <si>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</si>
  <si>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</si>
  <si>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</si>
  <si>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</si>
  <si>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</si>
  <si>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</si>
  <si>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</si>
  <si>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</si>
  <si>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</si>
  <si>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</si>
  <si>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</si>
  <si>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</si>
  <si>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</si>
  <si>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</si>
  <si>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</si>
  <si>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</si>
  <si>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</si>
  <si>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</si>
  <si>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</si>
  <si>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</si>
  <si>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</si>
  <si>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</si>
  <si>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</si>
  <si>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</si>
  <si>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</si>
  <si>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</si>
  <si>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</si>
  <si>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</si>
  <si>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</si>
  <si>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</si>
  <si>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</si>
  <si>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</si>
  <si>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</si>
  <si>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</si>
  <si>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</si>
  <si>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</si>
  <si>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</si>
  <si>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</si>
  <si>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</si>
  <si>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</si>
  <si>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</si>
  <si>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</si>
  <si>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</si>
  <si>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</si>
  <si>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</si>
  <si>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</si>
  <si>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</si>
  <si>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</si>
  <si>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</si>
  <si>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</si>
  <si>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</si>
  <si>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</si>
  <si>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</si>
  <si>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</si>
  <si>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</si>
  <si>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</si>
  <si>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</si>
  <si>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</si>
  <si>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</si>
  <si>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</si>
  <si>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</si>
  <si>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</si>
  <si>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</si>
  <si>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</si>
  <si>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</si>
  <si>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</si>
  <si>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</si>
  <si>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</si>
  <si>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</si>
  <si>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</si>
  <si>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</si>
  <si>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</si>
  <si>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</si>
  <si>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</si>
  <si>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</si>
  <si>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</si>
  <si>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</si>
  <si>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</si>
  <si>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</si>
  <si>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</si>
  <si>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</si>
  <si>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</si>
  <si>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</si>
  <si>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</si>
  <si>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</si>
  <si>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</si>
  <si>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</si>
  <si>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</si>
  <si>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</si>
  <si>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</si>
  <si>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</si>
  <si>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</si>
  <si>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</si>
  <si>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</si>
  <si>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</si>
  <si>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</si>
  <si>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</si>
  <si>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</si>
  <si>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</si>
  <si>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</si>
  <si>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</si>
  <si>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</si>
  <si>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</si>
  <si>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</si>
  <si>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</si>
  <si>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</si>
  <si>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</si>
  <si>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</si>
  <si>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</si>
  <si>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</si>
  <si>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</si>
  <si>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</si>
  <si>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</si>
  <si>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</si>
  <si>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</si>
  <si>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</si>
  <si>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</si>
  <si>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</si>
  <si>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</si>
  <si>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</si>
  <si>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</si>
  <si>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</si>
  <si>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</si>
  <si>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</si>
  <si>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</si>
  <si>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</si>
  <si>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</si>
  <si>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</si>
  <si>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</si>
  <si>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</si>
  <si>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</si>
  <si>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</si>
  <si>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</si>
  <si>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</si>
  <si>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</si>
  <si>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</si>
  <si>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</si>
  <si>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</si>
  <si>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</si>
  <si>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</si>
  <si>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</si>
  <si>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</si>
  <si>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</si>
  <si>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</si>
  <si>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</si>
  <si>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</si>
  <si>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</si>
  <si>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</si>
  <si>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</si>
  <si>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</si>
  <si>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</si>
  <si>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</si>
  <si>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</si>
  <si>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</si>
  <si>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</si>
  <si>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</si>
  <si>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</si>
  <si>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</si>
  <si>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</si>
  <si>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</si>
  <si>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</si>
  <si>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</si>
  <si>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</si>
  <si>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</si>
  <si>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</si>
  <si>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</si>
  <si>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</si>
  <si>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</si>
  <si>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</si>
  <si>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</si>
  <si>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</si>
  <si>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</si>
  <si>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</si>
  <si>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</si>
  <si>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</si>
  <si>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</si>
  <si>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</si>
  <si>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</si>
  <si>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</si>
  <si>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</si>
  <si>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</si>
  <si>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</si>
  <si>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</si>
  <si>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</si>
  <si>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</si>
  <si>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</si>
  <si>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</si>
  <si>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</si>
  <si>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</si>
  <si>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</si>
  <si>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</si>
  <si>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</si>
  <si>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</si>
  <si>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</si>
  <si>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</si>
  <si>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</si>
  <si>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</si>
  <si>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</si>
  <si>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</si>
  <si>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</si>
  <si>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</si>
  <si>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</si>
  <si>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</si>
  <si>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</si>
  <si>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</si>
  <si>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</si>
  <si>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</si>
  <si>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</si>
  <si>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</si>
  <si>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</si>
  <si>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</si>
  <si>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</si>
  <si>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</si>
  <si>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</si>
  <si>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</si>
  <si>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</si>
  <si>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</si>
  <si>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</si>
  <si>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</si>
  <si>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</si>
  <si>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</si>
  <si>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</si>
  <si>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</si>
  <si>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</si>
  <si>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</si>
  <si>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</si>
  <si>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</si>
  <si>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</si>
  <si>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</si>
  <si>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</si>
  <si>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</si>
  <si>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</si>
  <si>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</si>
  <si>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</si>
  <si>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</si>
  <si>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</si>
  <si>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</si>
  <si>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</si>
  <si>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</si>
  <si>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</si>
  <si>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</si>
  <si>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</si>
  <si>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</si>
  <si>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</si>
  <si>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</si>
  <si>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</si>
  <si>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</si>
  <si>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</si>
  <si>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</si>
  <si>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</si>
  <si>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</si>
  <si>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</si>
  <si>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</si>
  <si>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</si>
  <si>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</si>
  <si>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</si>
  <si>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</si>
  <si>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</si>
  <si>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</si>
  <si>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</si>
  <si>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</si>
  <si>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</si>
  <si>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</si>
  <si>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</si>
  <si>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</si>
  <si>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</si>
  <si>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</si>
  <si>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</si>
  <si>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</si>
  <si>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</si>
  <si>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</si>
  <si>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</si>
  <si>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</si>
  <si>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</si>
  <si>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</si>
  <si>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</si>
  <si>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</si>
  <si>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</si>
  <si>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</si>
  <si>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</si>
  <si>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</si>
  <si>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</si>
  <si>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</si>
  <si>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</si>
  <si>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</si>
  <si>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</si>
  <si>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</si>
  <si>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</si>
  <si>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</si>
  <si>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</si>
  <si>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</si>
  <si>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</si>
  <si>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</si>
  <si>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</si>
  <si>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</si>
  <si>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</si>
  <si>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</si>
  <si>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</si>
  <si>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</si>
  <si>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</si>
  <si>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</si>
  <si>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</si>
  <si>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</si>
  <si>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</si>
  <si>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</si>
  <si>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</si>
  <si>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</si>
  <si>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</si>
  <si>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</si>
  <si>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</si>
  <si>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</si>
  <si>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</si>
  <si>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</si>
  <si>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</si>
  <si>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</si>
  <si>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</si>
  <si>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</si>
  <si>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</si>
  <si>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</si>
  <si>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</si>
  <si>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</si>
  <si>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</si>
  <si>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</si>
  <si>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</si>
  <si>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</si>
  <si>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</si>
  <si>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</si>
  <si>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</si>
  <si>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</si>
  <si>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</si>
  <si>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</si>
  <si>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</si>
  <si>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</si>
  <si>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</si>
  <si>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</si>
  <si>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</si>
  <si>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</si>
  <si>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</si>
  <si>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</si>
  <si>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</si>
  <si>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</si>
  <si>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</si>
  <si>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</si>
  <si>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</si>
  <si>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</si>
  <si>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</si>
  <si>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</si>
  <si>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</si>
  <si>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</si>
  <si>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</si>
  <si>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</si>
  <si>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</si>
  <si>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</si>
  <si>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</si>
  <si>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</si>
  <si>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</si>
  <si>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</si>
  <si>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</si>
  <si>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</si>
  <si>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</si>
  <si>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</si>
  <si>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</si>
  <si>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</si>
  <si>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</si>
  <si>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</si>
  <si>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</si>
  <si>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</si>
  <si>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</si>
  <si>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</si>
  <si>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</si>
  <si>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</si>
  <si>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</si>
  <si>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</si>
  <si>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</si>
  <si>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</si>
  <si>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</si>
  <si>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</si>
  <si>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</si>
  <si>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</si>
  <si>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</si>
  <si>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</si>
  <si>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</si>
  <si>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</si>
  <si>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</si>
  <si>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</si>
  <si>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</si>
  <si>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</si>
  <si>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</si>
  <si>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</si>
  <si>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</si>
  <si>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</si>
  <si>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</si>
  <si>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</si>
  <si>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</si>
  <si>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</si>
  <si>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</si>
  <si>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</si>
  <si>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</si>
  <si>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</si>
  <si>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</si>
  <si>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</si>
  <si>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</si>
  <si>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</si>
  <si>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</si>
  <si>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</si>
  <si>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</si>
  <si>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</si>
  <si>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</si>
  <si>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</si>
  <si>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</si>
  <si>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</si>
  <si>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</si>
  <si>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</si>
  <si>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</si>
  <si>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</si>
  <si>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</si>
  <si>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</si>
  <si>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</si>
  <si>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</si>
  <si>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</si>
  <si>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</si>
  <si>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</si>
  <si>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</si>
  <si>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</si>
  <si>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</si>
  <si>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</si>
  <si>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</si>
  <si>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</si>
  <si>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</si>
  <si>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</si>
  <si>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</si>
  <si>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</si>
  <si>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</si>
  <si>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</si>
  <si>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</si>
  <si>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</si>
  <si>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</si>
  <si>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</si>
  <si>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</si>
  <si>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</si>
  <si>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</si>
  <si>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</si>
  <si>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</si>
  <si>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</si>
  <si>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</si>
  <si>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</si>
  <si>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</si>
  <si>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</si>
  <si>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</si>
  <si>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</si>
  <si>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</si>
  <si>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</si>
  <si>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</si>
  <si>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</si>
  <si>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</si>
  <si>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</si>
  <si>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</si>
  <si>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</si>
  <si>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</si>
  <si>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</si>
  <si>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</si>
  <si>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</si>
  <si>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</si>
  <si>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</si>
  <si>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</si>
  <si>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</si>
  <si>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</si>
  <si>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</si>
  <si>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</si>
  <si>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</si>
  <si>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</si>
  <si>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</si>
  <si>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</si>
  <si>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</si>
  <si>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</si>
  <si>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</si>
  <si>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</si>
  <si>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</si>
  <si>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</si>
  <si>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</si>
  <si>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</si>
  <si>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</si>
  <si>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</si>
  <si>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</si>
  <si>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</si>
  <si>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</si>
  <si>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</si>
  <si>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</si>
  <si>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</si>
  <si>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</si>
  <si>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</si>
  <si>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</si>
  <si>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</si>
  <si>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</si>
  <si>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</si>
  <si>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</si>
  <si>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</si>
  <si>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</si>
  <si>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</si>
  <si>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</si>
  <si>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</si>
  <si>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</si>
  <si>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</si>
  <si>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</si>
  <si>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</si>
  <si>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</si>
  <si>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</si>
  <si>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</si>
  <si>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</si>
  <si>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</si>
  <si>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</si>
  <si>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</si>
  <si>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</si>
  <si>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</si>
  <si>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</si>
  <si>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</si>
  <si>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</si>
  <si>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</si>
  <si>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</si>
  <si>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</si>
  <si>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</si>
  <si>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</si>
  <si>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</si>
  <si>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</si>
  <si>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</si>
  <si>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</si>
  <si>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</si>
  <si>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</si>
  <si>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</si>
  <si>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</si>
  <si>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</si>
  <si>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</si>
  <si>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</si>
  <si>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</si>
  <si>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</si>
  <si>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</si>
  <si>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</si>
  <si>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</si>
  <si>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</si>
  <si>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</si>
  <si>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</si>
  <si>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</si>
  <si>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</si>
  <si>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</si>
  <si>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</si>
  <si>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</si>
  <si>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</si>
  <si>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</si>
  <si>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</si>
  <si>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</si>
  <si>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</si>
  <si>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</si>
  <si>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</si>
  <si>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</si>
  <si>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</si>
  <si>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</si>
  <si>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</si>
  <si>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</si>
  <si>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</si>
  <si>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</si>
  <si>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</si>
  <si>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</si>
  <si>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</si>
  <si>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</si>
  <si>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</si>
  <si>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</si>
  <si>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</si>
  <si>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</si>
  <si>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</si>
  <si>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</si>
  <si>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</si>
  <si>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</si>
  <si>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</si>
  <si>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</si>
  <si>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</si>
  <si>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</si>
  <si>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</si>
  <si>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</si>
  <si>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</si>
  <si>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</si>
  <si>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</si>
  <si>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</si>
  <si>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</si>
  <si>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</si>
  <si>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</si>
  <si>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</si>
  <si>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</si>
  <si>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</si>
  <si>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</si>
  <si>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</si>
  <si>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</si>
  <si>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</si>
  <si>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</si>
  <si>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</si>
  <si>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</si>
  <si>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</si>
  <si>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</si>
  <si>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</si>
  <si>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</si>
  <si>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</si>
  <si>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</si>
  <si>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</si>
  <si>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</si>
  <si>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</si>
  <si>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</si>
  <si>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</si>
  <si>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</si>
  <si>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</si>
  <si>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</si>
  <si>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</si>
  <si>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</si>
  <si>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</si>
  <si>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</si>
  <si>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</si>
  <si>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</si>
  <si>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</si>
  <si>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</si>
  <si>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</si>
  <si>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</si>
  <si>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</si>
  <si>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</si>
  <si>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</si>
  <si>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</si>
  <si>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</si>
  <si>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</si>
  <si>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</si>
  <si>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</si>
  <si>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</si>
  <si>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</si>
  <si>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</si>
  <si>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</si>
  <si>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</si>
  <si>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</si>
  <si>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</si>
  <si>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</si>
  <si>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</si>
  <si>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</si>
  <si>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</si>
  <si>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</si>
  <si>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</si>
  <si>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</si>
  <si>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</si>
  <si>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</si>
  <si>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</si>
  <si>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</si>
  <si>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</si>
  <si>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</si>
  <si>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</si>
  <si>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</si>
  <si>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</si>
  <si>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</si>
  <si>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</si>
  <si>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</si>
  <si>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</si>
  <si>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</si>
  <si>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</si>
  <si>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</si>
  <si>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</si>
  <si>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</si>
  <si>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</si>
  <si>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</si>
  <si>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</si>
  <si>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</si>
  <si>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</si>
  <si>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</si>
  <si>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</si>
  <si>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</si>
  <si>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</si>
  <si>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</si>
  <si>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</si>
  <si>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</si>
  <si>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</si>
  <si>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</si>
  <si>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</si>
  <si>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</si>
  <si>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</si>
  <si>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</si>
  <si>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</si>
  <si>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</si>
  <si>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</si>
  <si>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</si>
  <si>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</si>
  <si>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</si>
  <si>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</si>
  <si>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</si>
  <si>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</si>
  <si>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</si>
  <si>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</si>
  <si>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</si>
  <si>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</si>
  <si>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</si>
  <si>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</si>
  <si>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</si>
  <si>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</si>
  <si>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</si>
  <si>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</si>
  <si>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</si>
  <si>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</si>
  <si>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CHRYSO ENVIROMIX 159 (F)</t>
  </si>
  <si>
    <t xml:space="preserve">12.0 to 20.0
</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</si>
  <si>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</si>
  <si>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</si>
  <si>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</si>
  <si>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</si>
  <si>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</si>
  <si>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</si>
  <si>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</si>
  <si>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</si>
  <si>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</si>
  <si>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</si>
  <si>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</si>
  <si>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</si>
  <si>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</si>
  <si>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</si>
  <si>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</si>
  <si>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</si>
  <si>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</si>
  <si>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</si>
  <si>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</si>
  <si>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</si>
  <si>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</si>
  <si>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</si>
  <si>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</si>
  <si>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</si>
  <si>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CHRYSO FLUID PREMIA 198 (F)</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</si>
  <si>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</si>
  <si>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</si>
  <si>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</si>
  <si>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</si>
  <si>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</si>
  <si>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</si>
  <si>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</si>
  <si>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</si>
  <si>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</si>
  <si>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</si>
  <si>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</si>
  <si>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</si>
  <si>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</si>
  <si>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</si>
  <si>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</si>
  <si>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</si>
  <si>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</si>
  <si>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</si>
  <si>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</si>
  <si>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</si>
  <si>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</si>
  <si>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</si>
  <si>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</si>
  <si>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</si>
  <si>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</si>
  <si>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</si>
  <si>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</si>
  <si>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</si>
  <si>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</si>
  <si>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</si>
  <si>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</si>
  <si>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</si>
  <si>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</si>
  <si>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</si>
  <si>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</si>
  <si>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</si>
  <si>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</si>
  <si>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</si>
  <si>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</si>
  <si>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</si>
  <si>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</si>
  <si>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</si>
  <si>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</si>
  <si>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</si>
  <si>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</si>
  <si>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</si>
  <si>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</si>
  <si>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</si>
  <si>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</si>
  <si>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</si>
  <si>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</si>
  <si>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 xml:space="preserve">9.0 TO 54.0
</t>
  </si>
  <si>
    <t>DELAY SET, STANDARD &amp; MINI</t>
  </si>
  <si>
    <t>1.0 TO 1.7 (POWDER)</t>
  </si>
  <si>
    <t>DYNAMON SX 37</t>
  </si>
  <si>
    <t>9581</t>
  </si>
  <si>
    <t>MAPEI CORPORATION</t>
  </si>
  <si>
    <t xml:space="preserve">2.0 TO 11.0
</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</si>
  <si>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</si>
  <si>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</si>
  <si>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</si>
  <si>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</si>
  <si>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</si>
  <si>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</si>
  <si>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</si>
  <si>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</si>
  <si>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</si>
  <si>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</si>
  <si>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</si>
  <si>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</si>
  <si>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</si>
  <si>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</si>
  <si>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</si>
  <si>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</si>
  <si>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</si>
  <si>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</si>
  <si>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</si>
  <si>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</si>
  <si>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</si>
  <si>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</si>
  <si>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</si>
  <si>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</si>
  <si>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</si>
  <si>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</si>
  <si>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</si>
  <si>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</si>
  <si>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</si>
  <si>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</si>
  <si>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</si>
  <si>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</si>
  <si>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</si>
  <si>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</si>
  <si>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</si>
  <si>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</si>
  <si>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</si>
  <si>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</si>
  <si>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</si>
  <si>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</si>
  <si>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</si>
  <si>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</si>
  <si>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</si>
  <si>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</si>
  <si>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</si>
  <si>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</si>
  <si>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</si>
  <si>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</si>
  <si>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</si>
  <si>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</si>
  <si>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</si>
  <si>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</si>
  <si>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</si>
  <si>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</si>
  <si>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</si>
  <si>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</si>
  <si>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</si>
  <si>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</si>
  <si>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</si>
  <si>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</si>
  <si>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</si>
  <si>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</si>
  <si>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</si>
  <si>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</si>
  <si>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</si>
  <si>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</si>
  <si>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</si>
  <si>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</si>
  <si>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</si>
  <si>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</si>
  <si>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</si>
  <si>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</si>
  <si>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</si>
  <si>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</si>
  <si>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</si>
  <si>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</si>
  <si>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</si>
  <si>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</si>
  <si>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</si>
  <si>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</si>
  <si>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</si>
  <si>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</si>
  <si>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</si>
  <si>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</si>
  <si>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</si>
  <si>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</si>
  <si>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</si>
  <si>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</si>
  <si>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</si>
  <si>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</si>
  <si>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</si>
  <si>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</si>
  <si>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</si>
  <si>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</si>
  <si>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</si>
  <si>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</si>
  <si>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</si>
  <si>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</si>
  <si>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</si>
  <si>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</si>
  <si>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</si>
  <si>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</si>
  <si>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</si>
  <si>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</si>
  <si>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</si>
  <si>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</si>
  <si>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</si>
  <si>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</si>
  <si>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</si>
  <si>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</si>
  <si>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</si>
  <si>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</si>
  <si>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</si>
  <si>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</si>
  <si>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</si>
  <si>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</si>
  <si>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</si>
  <si>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</si>
  <si>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</si>
  <si>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</si>
  <si>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</si>
  <si>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</si>
  <si>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</si>
  <si>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</si>
  <si>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</si>
  <si>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</si>
  <si>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</si>
  <si>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</si>
  <si>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</si>
  <si>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</si>
  <si>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</si>
  <si>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</si>
  <si>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</si>
  <si>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</si>
  <si>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</si>
  <si>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</si>
  <si>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</si>
  <si>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</si>
  <si>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</si>
  <si>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</si>
  <si>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</si>
  <si>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</si>
  <si>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</si>
  <si>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</si>
  <si>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</si>
  <si>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</si>
  <si>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</si>
  <si>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</si>
  <si>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</si>
  <si>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</si>
  <si>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</si>
  <si>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</si>
  <si>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</si>
  <si>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</si>
  <si>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</si>
  <si>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</si>
  <si>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</si>
  <si>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</si>
  <si>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</si>
  <si>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</si>
  <si>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</si>
  <si>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</si>
  <si>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</si>
  <si>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</si>
  <si>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</si>
  <si>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</si>
  <si>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</si>
  <si>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</si>
  <si>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</si>
  <si>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</si>
  <si>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</si>
  <si>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</si>
  <si>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</si>
  <si>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</si>
  <si>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</si>
  <si>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</si>
  <si>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</si>
  <si>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</si>
  <si>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</si>
  <si>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</si>
  <si>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</si>
  <si>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</si>
  <si>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</si>
  <si>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</si>
  <si>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</si>
  <si>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</si>
  <si>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</si>
  <si>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</si>
  <si>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</si>
  <si>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</si>
  <si>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</si>
  <si>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</si>
  <si>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</si>
  <si>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</si>
  <si>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</si>
  <si>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</si>
  <si>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</si>
  <si>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</si>
  <si>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</si>
  <si>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</si>
  <si>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</si>
  <si>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</si>
  <si>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</si>
  <si>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</si>
  <si>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</si>
  <si>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</si>
  <si>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</si>
  <si>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</si>
  <si>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</si>
  <si>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</si>
  <si>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</si>
  <si>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</si>
  <si>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</si>
  <si>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</si>
  <si>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</si>
  <si>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</si>
  <si>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</si>
  <si>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</si>
  <si>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</si>
  <si>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</si>
  <si>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</si>
  <si>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</si>
  <si>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</si>
  <si>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</si>
  <si>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</si>
  <si>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</si>
  <si>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</si>
  <si>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</si>
  <si>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</si>
  <si>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</si>
  <si>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</si>
  <si>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</si>
  <si>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</si>
  <si>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</si>
  <si>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</si>
  <si>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</si>
  <si>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</si>
  <si>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</si>
  <si>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</si>
  <si>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</si>
  <si>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</si>
  <si>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</si>
  <si>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</si>
  <si>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</si>
  <si>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</si>
  <si>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</si>
  <si>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</si>
  <si>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</si>
  <si>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</si>
  <si>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</si>
  <si>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</si>
  <si>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</si>
  <si>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</si>
  <si>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</si>
  <si>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</si>
  <si>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</si>
  <si>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</si>
  <si>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</si>
  <si>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</si>
  <si>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</si>
  <si>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</si>
  <si>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</si>
  <si>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</si>
  <si>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</si>
  <si>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</si>
  <si>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</si>
  <si>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</si>
  <si>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</si>
  <si>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</si>
  <si>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</si>
  <si>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</si>
  <si>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</si>
  <si>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</si>
  <si>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</si>
  <si>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</si>
  <si>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</si>
  <si>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</si>
  <si>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</si>
  <si>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</si>
  <si>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</si>
  <si>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</si>
  <si>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</si>
  <si>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</si>
  <si>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</si>
  <si>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</si>
  <si>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</si>
  <si>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</si>
  <si>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</si>
  <si>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</si>
  <si>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</si>
  <si>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</si>
  <si>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</si>
  <si>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</si>
  <si>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</si>
  <si>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</si>
  <si>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</si>
  <si>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</si>
  <si>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</si>
  <si>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</si>
  <si>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</si>
  <si>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</si>
  <si>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</si>
  <si>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</si>
  <si>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</si>
  <si>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</si>
  <si>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</si>
  <si>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</si>
  <si>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</si>
  <si>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</si>
  <si>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</si>
  <si>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</si>
  <si>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</si>
  <si>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</si>
  <si>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</si>
  <si>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</si>
  <si>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</si>
  <si>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</si>
  <si>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</si>
  <si>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</si>
  <si>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</si>
  <si>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</si>
  <si>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</si>
  <si>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</si>
  <si>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</si>
  <si>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</si>
  <si>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</si>
  <si>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</si>
  <si>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</si>
  <si>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</si>
  <si>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</si>
  <si>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</si>
  <si>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</si>
  <si>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</si>
  <si>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</si>
  <si>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</si>
  <si>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</si>
  <si>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</si>
  <si>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</si>
  <si>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</si>
  <si>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</si>
  <si>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</si>
  <si>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</si>
  <si>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</si>
  <si>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</si>
  <si>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</si>
  <si>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</si>
  <si>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</si>
  <si>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</si>
  <si>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</si>
  <si>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</si>
  <si>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</si>
  <si>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</si>
  <si>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</si>
  <si>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</si>
  <si>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</si>
  <si>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</si>
  <si>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</si>
  <si>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</si>
  <si>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</si>
  <si>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</si>
  <si>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RAE-260</t>
  </si>
  <si>
    <t>168611</t>
  </si>
  <si>
    <t>0.5 TO 2.0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</si>
  <si>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</si>
  <si>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</si>
  <si>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</si>
  <si>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</si>
  <si>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</si>
  <si>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</si>
  <si>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</si>
  <si>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</si>
  <si>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</si>
  <si>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</si>
  <si>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</si>
  <si>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</si>
  <si>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</si>
  <si>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</si>
  <si>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</si>
  <si>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</si>
  <si>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</si>
  <si>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</si>
  <si>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</si>
  <si>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</si>
  <si>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</si>
  <si>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</si>
  <si>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</si>
  <si>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</si>
  <si>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</si>
  <si>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</si>
  <si>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</si>
  <si>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</si>
  <si>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</si>
  <si>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</si>
  <si>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</si>
  <si>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</si>
  <si>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</si>
  <si>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</si>
  <si>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</si>
  <si>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</si>
  <si>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</si>
  <si>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</si>
  <si>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</si>
  <si>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</si>
  <si>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</si>
  <si>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</si>
  <si>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</si>
  <si>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</si>
  <si>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</si>
  <si>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</si>
  <si>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</si>
  <si>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</si>
  <si>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</si>
  <si>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</si>
  <si>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</si>
  <si>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</si>
  <si>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</si>
  <si>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</si>
  <si>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</si>
  <si>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</si>
  <si>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</si>
  <si>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</si>
  <si>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</si>
  <si>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</si>
  <si>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</si>
  <si>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</si>
  <si>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</si>
  <si>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</si>
  <si>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</si>
  <si>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</si>
  <si>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</si>
  <si>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</si>
  <si>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</si>
  <si>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</si>
  <si>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</si>
  <si>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</si>
  <si>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</si>
  <si>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</si>
  <si>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</si>
  <si>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</si>
  <si>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</si>
  <si>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</si>
  <si>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</si>
  <si>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</si>
  <si>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</si>
  <si>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</si>
  <si>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</si>
  <si>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</si>
  <si>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</si>
  <si>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</si>
  <si>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</si>
  <si>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</si>
  <si>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</si>
  <si>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</si>
  <si>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</si>
  <si>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</si>
  <si>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</si>
  <si>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</si>
  <si>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</si>
  <si>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</si>
  <si>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</si>
  <si>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</si>
  <si>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</si>
  <si>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</si>
  <si>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</si>
  <si>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</si>
  <si>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</si>
  <si>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</si>
  <si>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</si>
  <si>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</si>
  <si>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</si>
  <si>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</si>
  <si>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</si>
  <si>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</si>
  <si>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</si>
  <si>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</si>
  <si>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</si>
  <si>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</si>
  <si>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</si>
  <si>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</si>
  <si>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</si>
  <si>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</si>
  <si>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</si>
  <si>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</si>
  <si>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</si>
  <si>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</si>
  <si>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</si>
  <si>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</si>
  <si>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</si>
  <si>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</si>
  <si>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</si>
  <si>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</si>
  <si>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</si>
  <si>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</si>
  <si>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</si>
  <si>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</si>
  <si>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</si>
  <si>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</si>
  <si>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</si>
  <si>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</si>
  <si>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</si>
  <si>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</si>
  <si>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</si>
  <si>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</si>
  <si>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</si>
  <si>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</si>
  <si>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</si>
  <si>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</si>
  <si>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</si>
  <si>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</si>
  <si>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</si>
  <si>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</si>
  <si>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</si>
  <si>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</si>
  <si>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</si>
  <si>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</si>
  <si>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</si>
  <si>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</si>
  <si>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</si>
  <si>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</si>
  <si>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</si>
  <si>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</si>
  <si>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</si>
  <si>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</si>
  <si>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</si>
  <si>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</si>
  <si>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</si>
  <si>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</si>
  <si>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</si>
  <si>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</si>
  <si>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</si>
  <si>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</si>
  <si>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</si>
  <si>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</si>
  <si>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</si>
  <si>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</si>
  <si>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</si>
  <si>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</si>
  <si>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</si>
  <si>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</si>
  <si>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</si>
  <si>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</si>
  <si>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</si>
  <si>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</si>
  <si>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</si>
  <si>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</si>
  <si>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</si>
  <si>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</si>
  <si>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</si>
  <si>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</si>
  <si>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</si>
  <si>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</si>
  <si>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CMDS</t>
  </si>
  <si>
    <t>OZINGA CEMENT  BELLE RIVER POWER PLANT EAST CHINA, MI</t>
  </si>
  <si>
    <t>238101</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</si>
  <si>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</si>
  <si>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</si>
  <si>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</si>
  <si>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</si>
  <si>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</si>
  <si>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</si>
  <si>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</si>
  <si>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</si>
  <si>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</si>
  <si>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</si>
  <si>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</si>
  <si>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</si>
  <si>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</si>
  <si>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</si>
  <si>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</si>
  <si>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</si>
  <si>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</si>
  <si>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</si>
  <si>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</si>
  <si>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</si>
  <si>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</si>
  <si>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</si>
  <si>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</si>
  <si>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</si>
  <si>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</si>
  <si>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</si>
  <si>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</si>
  <si>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</si>
  <si>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</si>
  <si>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</si>
  <si>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</si>
  <si>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</si>
  <si>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</si>
  <si>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</si>
  <si>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</si>
  <si>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</si>
  <si>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</si>
  <si>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</si>
  <si>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</si>
  <si>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</si>
  <si>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</si>
  <si>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</si>
  <si>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</si>
  <si>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</si>
  <si>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</si>
  <si>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</si>
  <si>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</si>
  <si>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</si>
  <si>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</si>
  <si>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</si>
  <si>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</si>
  <si>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</si>
  <si>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</si>
  <si>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</si>
  <si>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</si>
  <si>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</si>
  <si>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</si>
  <si>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</si>
  <si>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</si>
  <si>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</si>
  <si>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</si>
  <si>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</si>
  <si>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</si>
  <si>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</si>
  <si>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</si>
  <si>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</si>
  <si>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</si>
  <si>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</si>
  <si>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</si>
  <si>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</si>
  <si>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</si>
  <si>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</si>
  <si>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</si>
  <si>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</si>
  <si>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</si>
  <si>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</si>
  <si>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</si>
  <si>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</si>
  <si>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</si>
  <si>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</si>
  <si>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</si>
  <si>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</si>
  <si>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</si>
  <si>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</si>
  <si>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</si>
  <si>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</si>
  <si>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</si>
  <si>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</si>
  <si>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</si>
  <si>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</si>
  <si>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</si>
  <si>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</si>
  <si>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</si>
  <si>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</si>
  <si>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</si>
  <si>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</si>
  <si>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</si>
  <si>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</si>
  <si>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</si>
  <si>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</si>
  <si>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</si>
  <si>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</si>
  <si>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</si>
  <si>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</si>
  <si>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</si>
  <si>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</si>
  <si>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</si>
  <si>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</si>
  <si>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</si>
  <si>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</si>
  <si>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</si>
  <si>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</si>
  <si>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</si>
  <si>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</si>
  <si>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</si>
  <si>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</si>
  <si>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</si>
  <si>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</si>
  <si>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</si>
  <si>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</si>
  <si>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</si>
  <si>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</si>
  <si>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</si>
  <si>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</si>
  <si>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</si>
  <si>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</si>
  <si>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</si>
  <si>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</si>
  <si>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</si>
  <si>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</si>
  <si>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</si>
  <si>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</si>
  <si>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</si>
  <si>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</si>
  <si>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</si>
  <si>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</si>
  <si>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</si>
  <si>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</si>
  <si>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</si>
  <si>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</si>
  <si>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</si>
  <si>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</si>
  <si>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</si>
  <si>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</si>
  <si>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</si>
  <si>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</si>
  <si>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</si>
  <si>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</si>
  <si>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</si>
  <si>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</si>
  <si>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</si>
  <si>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</si>
  <si>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</si>
  <si>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</si>
  <si>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</si>
  <si>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</si>
  <si>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</si>
  <si>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</si>
  <si>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</si>
  <si>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</si>
  <si>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</si>
  <si>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</si>
  <si>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</si>
  <si>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</si>
  <si>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</si>
  <si>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</si>
  <si>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</si>
  <si>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</si>
  <si>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</si>
  <si>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</si>
  <si>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</si>
  <si>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</si>
  <si>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</si>
  <si>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</si>
  <si>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</si>
  <si>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</si>
  <si>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</si>
  <si>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</si>
  <si>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</si>
  <si>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</si>
  <si>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</si>
  <si>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</si>
  <si>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</si>
  <si>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</si>
  <si>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</si>
  <si>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</si>
  <si>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</si>
  <si>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</si>
  <si>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</si>
  <si>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</si>
  <si>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</si>
  <si>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</si>
  <si>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</si>
  <si>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</si>
  <si>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</si>
  <si>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</si>
  <si>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</si>
  <si>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</si>
  <si>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</si>
  <si>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</si>
  <si>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</si>
  <si>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</si>
  <si>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</si>
  <si>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</si>
  <si>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</si>
  <si>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</si>
  <si>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</si>
  <si>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</si>
  <si>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</si>
  <si>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</si>
  <si>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</si>
  <si>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</si>
  <si>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</si>
  <si>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</si>
  <si>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</si>
  <si>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</si>
  <si>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</si>
  <si>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</si>
  <si>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</si>
  <si>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</si>
  <si>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</si>
  <si>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</si>
  <si>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</si>
  <si>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</si>
  <si>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</si>
  <si>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</si>
  <si>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</si>
  <si>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</si>
  <si>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</si>
  <si>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</si>
  <si>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</si>
  <si>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</si>
  <si>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</si>
  <si>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</si>
  <si>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</si>
  <si>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</si>
  <si>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</si>
  <si>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</si>
  <si>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</si>
  <si>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</si>
  <si>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</si>
  <si>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</si>
  <si>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</si>
  <si>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</si>
  <si>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</si>
  <si>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</si>
  <si>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</si>
  <si>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</si>
  <si>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</si>
  <si>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</si>
  <si>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</si>
  <si>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</si>
  <si>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</si>
  <si>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</si>
  <si>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</si>
  <si>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</si>
  <si>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</si>
  <si>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</si>
  <si>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</si>
  <si>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</si>
  <si>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</si>
  <si>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</si>
  <si>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</si>
  <si>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</si>
  <si>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</si>
  <si>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</si>
  <si>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</si>
  <si>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</si>
  <si>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</si>
  <si>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</si>
  <si>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</si>
  <si>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</si>
  <si>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</si>
  <si>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</si>
  <si>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</si>
  <si>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</si>
  <si>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</si>
  <si>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</si>
  <si>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</si>
  <si>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</si>
  <si>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</si>
  <si>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</si>
  <si>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</si>
  <si>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</si>
  <si>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</si>
  <si>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</si>
  <si>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</si>
  <si>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</si>
  <si>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</si>
  <si>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</si>
  <si>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</si>
  <si>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</si>
  <si>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</si>
  <si>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</si>
  <si>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</si>
  <si>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</si>
  <si>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</si>
  <si>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</si>
  <si>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</si>
  <si>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</si>
  <si>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</si>
  <si>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</si>
  <si>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</si>
  <si>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</si>
  <si>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</si>
  <si>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</si>
  <si>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</si>
  <si>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</si>
  <si>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</si>
  <si>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</si>
  <si>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</si>
  <si>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</si>
  <si>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</si>
  <si>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</si>
  <si>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</si>
  <si>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</si>
  <si>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</si>
  <si>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</si>
  <si>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</si>
  <si>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</si>
  <si>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</si>
  <si>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</si>
  <si>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</si>
  <si>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</si>
  <si>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</si>
  <si>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</si>
  <si>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</si>
  <si>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</si>
  <si>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</si>
  <si>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</si>
  <si>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</si>
  <si>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</si>
  <si>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</si>
  <si>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</si>
  <si>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</si>
  <si>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</si>
  <si>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</si>
  <si>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</si>
  <si>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</si>
  <si>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</si>
  <si>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</si>
  <si>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</si>
  <si>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</si>
  <si>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</si>
  <si>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</si>
  <si>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</si>
  <si>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</si>
  <si>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</si>
  <si>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</si>
  <si>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</si>
  <si>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</si>
  <si>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</si>
  <si>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</si>
  <si>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</si>
  <si>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</si>
  <si>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</si>
  <si>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</si>
  <si>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</si>
  <si>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</si>
  <si>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</si>
  <si>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</si>
  <si>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</si>
  <si>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</si>
  <si>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</si>
  <si>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</si>
  <si>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</si>
  <si>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</si>
  <si>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</si>
  <si>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</si>
  <si>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</si>
  <si>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</si>
  <si>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</si>
  <si>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</si>
  <si>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</si>
  <si>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</si>
  <si>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</si>
  <si>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</si>
  <si>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</si>
  <si>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</si>
  <si>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</si>
  <si>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</si>
  <si>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</si>
  <si>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</si>
  <si>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</si>
  <si>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</si>
  <si>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</si>
  <si>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</si>
  <si>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</si>
  <si>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</si>
  <si>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</si>
  <si>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</si>
  <si>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</si>
  <si>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</si>
  <si>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</si>
  <si>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</si>
  <si>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</si>
  <si>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</si>
  <si>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</si>
  <si>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</si>
  <si>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</si>
  <si>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</si>
  <si>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</si>
  <si>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</si>
  <si>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</si>
  <si>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</si>
  <si>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</si>
  <si>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</si>
  <si>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</si>
  <si>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</si>
  <si>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</si>
  <si>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</si>
  <si>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</si>
  <si>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</si>
  <si>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</si>
  <si>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</si>
  <si>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</si>
  <si>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</si>
  <si>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</si>
  <si>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</si>
  <si>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</si>
  <si>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</si>
  <si>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</si>
  <si>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</si>
  <si>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</si>
  <si>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</si>
  <si>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</si>
  <si>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</si>
  <si>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</si>
  <si>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</si>
  <si>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</si>
  <si>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</si>
  <si>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</si>
  <si>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</si>
  <si>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</si>
  <si>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</si>
  <si>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</si>
  <si>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</si>
  <si>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</si>
  <si>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</si>
  <si>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</si>
  <si>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</si>
  <si>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</si>
  <si>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</si>
  <si>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</si>
  <si>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</si>
  <si>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</si>
  <si>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</si>
  <si>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</si>
  <si>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</si>
  <si>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</si>
  <si>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</si>
  <si>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</si>
  <si>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</si>
  <si>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</si>
  <si>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</si>
  <si>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</si>
  <si>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</si>
  <si>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</si>
  <si>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</si>
  <si>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</si>
  <si>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</si>
  <si>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</si>
  <si>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</si>
  <si>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</si>
  <si>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</si>
  <si>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</si>
  <si>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</si>
  <si>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</si>
  <si>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</si>
  <si>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</si>
  <si>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</si>
  <si>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</si>
  <si>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</si>
  <si>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</si>
  <si>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</si>
  <si>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</si>
  <si>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</si>
  <si>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</si>
  <si>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</si>
  <si>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</si>
  <si>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</si>
  <si>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</si>
  <si>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</si>
  <si>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</si>
  <si>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</si>
  <si>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</si>
  <si>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</si>
  <si>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</si>
  <si>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</si>
  <si>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</si>
  <si>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</si>
  <si>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</si>
  <si>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</si>
  <si>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</si>
  <si>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</si>
  <si>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</si>
  <si>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</si>
  <si>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</si>
  <si>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</si>
  <si>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</si>
  <si>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</si>
  <si>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</si>
  <si>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</si>
  <si>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</si>
  <si>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</si>
  <si>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</si>
  <si>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</si>
  <si>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</si>
  <si>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</si>
  <si>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</si>
  <si>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</si>
  <si>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</si>
  <si>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</si>
  <si>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</si>
  <si>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</si>
  <si>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</si>
  <si>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</si>
  <si>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</si>
  <si>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</si>
  <si>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</si>
  <si>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</si>
  <si>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</si>
  <si>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</si>
  <si>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</si>
  <si>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</si>
  <si>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</si>
  <si>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</si>
  <si>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</si>
  <si>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</si>
  <si>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</si>
  <si>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</si>
  <si>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</si>
  <si>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</si>
  <si>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</si>
  <si>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</si>
  <si>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</si>
  <si>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</si>
  <si>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</si>
  <si>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</si>
  <si>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</si>
  <si>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</si>
  <si>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</si>
  <si>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</si>
  <si>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</si>
  <si>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</si>
  <si>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</si>
  <si>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</si>
  <si>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</si>
  <si>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</si>
  <si>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</si>
  <si>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</si>
  <si>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</si>
  <si>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</si>
  <si>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</si>
  <si>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</si>
  <si>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</si>
  <si>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</si>
  <si>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</si>
  <si>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</si>
  <si>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</si>
  <si>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</si>
  <si>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</si>
  <si>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</si>
  <si>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</si>
  <si>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</si>
  <si>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</si>
  <si>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</si>
  <si>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</si>
  <si>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</si>
  <si>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</si>
  <si>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</si>
  <si>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</si>
  <si>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</si>
  <si>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</si>
  <si>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</si>
  <si>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</si>
  <si>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</si>
  <si>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</si>
  <si>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</si>
  <si>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</si>
  <si>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</si>
  <si>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</si>
  <si>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</si>
  <si>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</si>
  <si>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</si>
  <si>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</si>
  <si>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</si>
  <si>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</si>
  <si>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</si>
  <si>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</si>
  <si>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</si>
  <si>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</si>
  <si>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</si>
  <si>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</si>
  <si>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</si>
  <si>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</si>
  <si>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</si>
  <si>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</si>
  <si>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</si>
  <si>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</si>
  <si>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</si>
  <si>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</si>
  <si>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</si>
  <si>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</si>
  <si>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</si>
  <si>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</si>
  <si>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</si>
  <si>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</si>
  <si>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</si>
  <si>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</si>
  <si>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</si>
  <si>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</si>
  <si>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</si>
  <si>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</si>
  <si>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</si>
  <si>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</si>
  <si>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</si>
  <si>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</si>
  <si>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</si>
  <si>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</si>
  <si>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</si>
  <si>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</si>
  <si>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</si>
  <si>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</si>
  <si>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</si>
  <si>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</si>
  <si>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</si>
  <si>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</si>
  <si>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</si>
  <si>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</si>
  <si>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</si>
  <si>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</si>
  <si>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</si>
  <si>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</si>
  <si>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</si>
  <si>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</si>
  <si>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</si>
  <si>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</si>
  <si>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</si>
  <si>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</si>
  <si>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</si>
  <si>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</si>
  <si>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</si>
  <si>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</si>
  <si>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</si>
  <si>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</si>
  <si>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</si>
  <si>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</si>
  <si>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</si>
  <si>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</si>
  <si>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</si>
  <si>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</si>
  <si>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</si>
  <si>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</si>
  <si>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</si>
  <si>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</si>
  <si>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</si>
  <si>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</si>
  <si>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</si>
  <si>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</si>
  <si>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</si>
  <si>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</si>
  <si>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</si>
  <si>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</si>
  <si>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</si>
  <si>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</si>
  <si>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</si>
  <si>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</si>
  <si>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</si>
  <si>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</si>
  <si>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</si>
  <si>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</si>
  <si>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</si>
  <si>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</si>
  <si>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</si>
  <si>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</si>
  <si>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</si>
  <si>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</si>
  <si>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</si>
  <si>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</si>
  <si>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</si>
  <si>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</si>
  <si>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</si>
  <si>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</si>
  <si>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</si>
  <si>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</si>
  <si>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</si>
  <si>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</si>
  <si>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</si>
  <si>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</si>
  <si>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</si>
  <si>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</si>
  <si>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</si>
  <si>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</si>
  <si>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</si>
  <si>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</si>
  <si>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</si>
  <si>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</si>
  <si>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</si>
  <si>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</si>
  <si>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</si>
  <si>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</si>
  <si>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</si>
  <si>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</si>
  <si>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</si>
  <si>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</si>
  <si>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</si>
  <si>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</si>
  <si>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</si>
  <si>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</si>
  <si>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</si>
  <si>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</si>
  <si>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</si>
  <si>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</si>
  <si>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</si>
  <si>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</si>
  <si>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</si>
  <si>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</si>
  <si>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</si>
  <si>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</si>
  <si>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</si>
  <si>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</si>
  <si>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</si>
  <si>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</si>
  <si>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</si>
  <si>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</si>
  <si>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</si>
  <si>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</si>
  <si>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</si>
  <si>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</si>
  <si>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</si>
  <si>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</si>
  <si>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</si>
  <si>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</si>
  <si>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</si>
  <si>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</si>
  <si>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</si>
  <si>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</si>
  <si>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</si>
  <si>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</si>
  <si>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</si>
  <si>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</si>
  <si>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</si>
  <si>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</si>
  <si>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</si>
  <si>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</si>
  <si>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</si>
  <si>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</si>
  <si>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</si>
  <si>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</si>
  <si>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</si>
  <si>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</si>
  <si>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</si>
  <si>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</si>
  <si>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</si>
  <si>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</si>
  <si>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</si>
  <si>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</si>
  <si>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</si>
  <si>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</si>
  <si>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</si>
  <si>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</si>
  <si>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</si>
  <si>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</si>
  <si>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</si>
  <si>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</si>
  <si>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</si>
  <si>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</si>
  <si>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</si>
  <si>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</si>
  <si>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</si>
  <si>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</si>
  <si>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</si>
  <si>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</si>
  <si>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</si>
  <si>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</si>
  <si>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</si>
  <si>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</si>
  <si>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</si>
  <si>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</si>
  <si>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</si>
  <si>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</si>
  <si>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</si>
  <si>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</si>
  <si>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</si>
  <si>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</si>
  <si>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</si>
  <si>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</si>
  <si>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</si>
  <si>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</si>
  <si>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</si>
  <si>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</si>
  <si>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</si>
  <si>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</si>
  <si>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</si>
  <si>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</si>
  <si>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</si>
  <si>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</si>
  <si>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</si>
  <si>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</si>
  <si>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</si>
  <si>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</si>
  <si>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</si>
  <si>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</si>
  <si>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</si>
  <si>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</si>
  <si>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</si>
  <si>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</si>
  <si>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</si>
  <si>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</si>
  <si>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</si>
  <si>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</si>
  <si>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</si>
  <si>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</si>
  <si>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</si>
  <si>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</si>
  <si>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</si>
  <si>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</si>
  <si>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</si>
  <si>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</si>
  <si>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</si>
  <si>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</si>
  <si>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</si>
  <si>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</si>
  <si>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</si>
  <si>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</si>
  <si>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</si>
  <si>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</si>
  <si>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</si>
  <si>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</si>
  <si>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</si>
  <si>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</si>
  <si>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</si>
  <si>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</si>
  <si>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</si>
  <si>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</si>
  <si>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</si>
  <si>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</si>
  <si>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</si>
  <si>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</si>
  <si>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</si>
  <si>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</si>
  <si>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</si>
  <si>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</si>
  <si>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</si>
  <si>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</si>
  <si>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</si>
  <si>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</si>
  <si>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</si>
  <si>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</si>
  <si>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</si>
  <si>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</si>
  <si>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</si>
  <si>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</si>
  <si>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</si>
  <si>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</si>
  <si>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</si>
  <si>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</si>
  <si>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</si>
  <si>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</si>
  <si>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</si>
  <si>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</si>
  <si>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</si>
  <si>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</si>
  <si>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</si>
  <si>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</si>
  <si>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</si>
  <si>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</si>
  <si>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</si>
  <si>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</si>
  <si>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</si>
  <si>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</si>
  <si>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</si>
  <si>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</si>
  <si>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</si>
  <si>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</si>
  <si>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</si>
  <si>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</si>
  <si>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</si>
  <si>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</si>
  <si>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</si>
  <si>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</si>
  <si>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</si>
  <si>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</si>
  <si>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</si>
  <si>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</si>
  <si>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</si>
  <si>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</si>
  <si>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</si>
  <si>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</si>
  <si>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</si>
  <si>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</si>
  <si>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</si>
  <si>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</si>
  <si>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</si>
  <si>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</si>
  <si>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</si>
  <si>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</si>
  <si>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</si>
  <si>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</si>
  <si>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</si>
  <si>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</si>
  <si>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</si>
  <si>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</si>
  <si>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</si>
  <si>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</si>
  <si>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</si>
  <si>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</si>
  <si>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</si>
  <si>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</si>
  <si>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</si>
  <si>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</si>
  <si>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</si>
  <si>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</si>
  <si>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</si>
  <si>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</si>
  <si>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</si>
  <si>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</si>
  <si>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</si>
  <si>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</si>
  <si>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</si>
  <si>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</si>
  <si>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</si>
  <si>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</si>
  <si>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</si>
  <si>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</si>
  <si>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</si>
  <si>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</si>
  <si>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</si>
  <si>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</si>
  <si>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</si>
  <si>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</si>
  <si>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</si>
  <si>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</si>
  <si>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</si>
  <si>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</si>
  <si>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</si>
  <si>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</si>
  <si>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</si>
  <si>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</si>
  <si>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</si>
  <si>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</si>
  <si>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</si>
  <si>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</si>
  <si>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</si>
  <si>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</si>
  <si>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</si>
  <si>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</si>
  <si>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</si>
  <si>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</si>
  <si>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</si>
  <si>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</si>
  <si>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</si>
  <si>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</si>
  <si>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</si>
  <si>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</si>
  <si>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</si>
  <si>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</si>
  <si>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</si>
  <si>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</si>
  <si>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</si>
  <si>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</si>
  <si>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</si>
  <si>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</si>
  <si>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</si>
  <si>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</si>
  <si>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</si>
  <si>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</si>
  <si>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</si>
  <si>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</si>
  <si>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</si>
  <si>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</si>
  <si>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</si>
  <si>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</si>
  <si>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</si>
  <si>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</si>
  <si>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</si>
  <si>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</si>
  <si>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</si>
  <si>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</si>
  <si>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</si>
  <si>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</si>
  <si>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</si>
  <si>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</si>
  <si>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</si>
  <si>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</si>
  <si>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</si>
  <si>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</si>
  <si>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</si>
  <si>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</si>
  <si>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</si>
  <si>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</si>
  <si>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</si>
  <si>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</si>
  <si>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</si>
  <si>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</si>
  <si>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</si>
  <si>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</si>
  <si>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</si>
  <si>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</si>
  <si>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</si>
  <si>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</si>
  <si>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</si>
  <si>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</si>
  <si>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</si>
  <si>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</si>
  <si>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</si>
  <si>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</si>
  <si>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</si>
  <si>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</si>
  <si>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</si>
  <si>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</si>
  <si>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</si>
  <si>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</si>
  <si>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</si>
  <si>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</si>
  <si>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</si>
  <si>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</si>
  <si>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</si>
  <si>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</si>
  <si>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</si>
  <si>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</si>
  <si>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</si>
  <si>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</si>
  <si>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</si>
  <si>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</si>
  <si>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</si>
  <si>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</si>
  <si>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</si>
  <si>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</si>
  <si>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</si>
  <si>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</si>
  <si>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</si>
  <si>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</si>
  <si>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</si>
  <si>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</si>
  <si>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</si>
  <si>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</si>
  <si>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</si>
  <si>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</si>
  <si>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</si>
  <si>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</si>
  <si>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</si>
  <si>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</si>
  <si>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</si>
  <si>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</si>
  <si>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</si>
  <si>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</si>
  <si>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</si>
  <si>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</si>
  <si>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</si>
  <si>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</si>
  <si>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</si>
  <si>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</si>
  <si>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</si>
  <si>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</si>
  <si>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</si>
  <si>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</si>
  <si>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</si>
  <si>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</si>
  <si>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</si>
  <si>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</si>
  <si>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</si>
  <si>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</si>
  <si>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</si>
  <si>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</si>
  <si>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</si>
  <si>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</si>
  <si>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</si>
  <si>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</si>
  <si>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</si>
  <si>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</si>
  <si>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</si>
  <si>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</si>
  <si>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</si>
  <si>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</si>
  <si>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</si>
  <si>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</si>
  <si>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</si>
  <si>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</si>
  <si>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</si>
  <si>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</si>
  <si>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</si>
  <si>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</si>
  <si>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</si>
  <si>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</si>
  <si>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</si>
  <si>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</si>
  <si>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</si>
  <si>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</si>
  <si>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</si>
  <si>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</si>
  <si>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</si>
  <si>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</si>
  <si>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</si>
  <si>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</si>
  <si>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</si>
  <si>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</si>
  <si>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</si>
  <si>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</si>
  <si>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</si>
  <si>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</si>
  <si>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</si>
  <si>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</si>
  <si>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</si>
  <si>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</si>
  <si>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</si>
  <si>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</si>
  <si>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</si>
  <si>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</si>
  <si>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</si>
  <si>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</si>
  <si>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</si>
  <si>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</si>
  <si>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</si>
  <si>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</si>
  <si>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</si>
  <si>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</si>
  <si>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</si>
  <si>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</si>
  <si>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</si>
  <si>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</si>
  <si>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</si>
  <si>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</si>
  <si>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</si>
  <si>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</si>
  <si>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</si>
  <si>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</si>
  <si>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</si>
  <si>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</si>
  <si>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</si>
  <si>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</si>
  <si>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</si>
  <si>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</si>
  <si>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</si>
  <si>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</si>
  <si>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</si>
  <si>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</si>
  <si>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</si>
  <si>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</si>
  <si>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</si>
  <si>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</si>
  <si>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</si>
  <si>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</si>
  <si>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</si>
  <si>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</si>
  <si>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</si>
  <si>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</si>
  <si>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</si>
  <si>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</si>
  <si>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</si>
  <si>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</si>
  <si>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</si>
  <si>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</si>
  <si>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</si>
  <si>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</si>
  <si>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</si>
  <si>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</si>
  <si>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</si>
  <si>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</si>
  <si>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</si>
  <si>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</si>
  <si>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</si>
  <si>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</si>
  <si>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</si>
  <si>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</si>
  <si>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</si>
  <si>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</si>
  <si>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</si>
  <si>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</si>
  <si>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</si>
  <si>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</si>
  <si>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</si>
  <si>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</si>
  <si>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</si>
  <si>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</si>
  <si>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</si>
  <si>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</si>
  <si>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</si>
  <si>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</si>
  <si>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</si>
  <si>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</si>
  <si>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</si>
  <si>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</si>
  <si>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</si>
  <si>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</si>
  <si>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</si>
  <si>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</si>
  <si>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</si>
  <si>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</si>
  <si>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</si>
  <si>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</si>
  <si>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</si>
  <si>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</si>
  <si>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</si>
  <si>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</si>
  <si>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</si>
  <si>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</si>
  <si>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</si>
  <si>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</si>
  <si>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</si>
  <si>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</si>
  <si>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</si>
  <si>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</si>
  <si>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</si>
  <si>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</si>
  <si>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</si>
  <si>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</si>
  <si>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</si>
  <si>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</si>
  <si>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</si>
  <si>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</si>
  <si>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</si>
  <si>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</si>
  <si>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</si>
  <si>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</si>
  <si>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</si>
  <si>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</si>
  <si>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</si>
  <si>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</si>
  <si>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</si>
  <si>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</si>
  <si>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</si>
  <si>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</si>
  <si>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</si>
  <si>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</si>
  <si>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</si>
  <si>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</si>
  <si>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</si>
  <si>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</si>
  <si>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</si>
  <si>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</si>
  <si>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</si>
  <si>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</si>
  <si>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</si>
  <si>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</si>
  <si>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</si>
  <si>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</si>
  <si>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</si>
  <si>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</si>
  <si>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</si>
  <si>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</si>
  <si>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</si>
  <si>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</si>
  <si>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</si>
  <si>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</si>
  <si>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</si>
  <si>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</si>
  <si>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</si>
  <si>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</si>
  <si>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</si>
  <si>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</si>
  <si>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</si>
  <si>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</si>
  <si>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</si>
  <si>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</si>
  <si>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</si>
  <si>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</si>
  <si>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</si>
  <si>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</si>
  <si>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</si>
  <si>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</si>
  <si>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</si>
  <si>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</si>
  <si>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</si>
  <si>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</si>
  <si>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</si>
  <si>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</si>
  <si>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</si>
  <si>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</si>
  <si>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</si>
  <si>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</si>
  <si>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</si>
  <si>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</si>
  <si>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</si>
  <si>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</si>
  <si>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</si>
  <si>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</si>
  <si>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</si>
  <si>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</si>
  <si>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</si>
  <si>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</si>
  <si>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</si>
  <si>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</si>
  <si>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</si>
  <si>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</si>
  <si>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</si>
  <si>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</si>
  <si>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</si>
  <si>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</si>
  <si>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</si>
  <si>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</si>
  <si>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</si>
  <si>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</si>
  <si>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</si>
  <si>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</si>
  <si>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</si>
  <si>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</si>
  <si>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</si>
  <si>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</si>
  <si>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</si>
  <si>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</si>
  <si>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</si>
  <si>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</si>
  <si>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</si>
  <si>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</si>
  <si>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</si>
  <si>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</si>
  <si>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</si>
  <si>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</si>
  <si>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</si>
  <si>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</si>
  <si>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</si>
  <si>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</si>
  <si>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</si>
  <si>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</si>
  <si>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</si>
  <si>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</si>
  <si>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</si>
  <si>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</si>
  <si>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</si>
  <si>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</si>
  <si>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</si>
  <si>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</si>
  <si>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</si>
  <si>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</si>
  <si>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</si>
  <si>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</si>
  <si>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</si>
  <si>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</si>
  <si>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</si>
  <si>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</si>
  <si>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</si>
  <si>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</si>
  <si>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</si>
  <si>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</si>
  <si>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</si>
  <si>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</si>
  <si>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</si>
  <si>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</si>
  <si>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</si>
  <si>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</si>
  <si>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</si>
  <si>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</si>
  <si>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</si>
  <si>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</si>
  <si>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</si>
  <si>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</si>
  <si>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</si>
  <si>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</si>
  <si>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</si>
  <si>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</si>
  <si>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</si>
  <si>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</si>
  <si>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</si>
  <si>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</si>
  <si>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</si>
  <si>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</si>
  <si>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</si>
  <si>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</si>
  <si>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</si>
  <si>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</si>
  <si>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</si>
  <si>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</si>
  <si>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</si>
  <si>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</si>
  <si>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</si>
  <si>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</si>
  <si>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</si>
  <si>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</si>
  <si>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</si>
  <si>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</si>
  <si>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</si>
  <si>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</si>
  <si>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</si>
  <si>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</si>
  <si>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</si>
  <si>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</si>
  <si>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</si>
  <si>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</si>
  <si>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</si>
  <si>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</si>
  <si>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</si>
  <si>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</si>
  <si>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</si>
  <si>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</si>
  <si>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</si>
  <si>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</si>
  <si>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</si>
  <si>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</si>
  <si>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</si>
  <si>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</si>
  <si>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</si>
  <si>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</si>
  <si>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</si>
  <si>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</si>
  <si>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</si>
  <si>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</si>
  <si>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</si>
  <si>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</si>
  <si>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</si>
  <si>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</si>
  <si>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</si>
  <si>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</si>
  <si>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</si>
  <si>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</si>
  <si>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</si>
  <si>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</si>
  <si>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</si>
  <si>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</si>
  <si>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</si>
  <si>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</si>
  <si>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</si>
  <si>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</si>
  <si>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</si>
  <si>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</si>
  <si>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</si>
  <si>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</si>
  <si>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</si>
  <si>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</si>
  <si>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</si>
  <si>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</si>
  <si>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</si>
  <si>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</si>
  <si>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</si>
  <si>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</si>
  <si>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</si>
  <si>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</si>
  <si>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</si>
  <si>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</si>
  <si>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</si>
  <si>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</si>
  <si>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</si>
  <si>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</si>
  <si>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</si>
  <si>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</si>
  <si>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</si>
  <si>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</si>
  <si>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</si>
  <si>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</si>
  <si>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</si>
  <si>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</si>
  <si>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</si>
  <si>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</si>
  <si>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</si>
  <si>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</si>
  <si>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</si>
  <si>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</si>
  <si>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</si>
  <si>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</si>
  <si>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</si>
  <si>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</si>
  <si>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</si>
  <si>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</si>
  <si>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</si>
  <si>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</si>
  <si>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</si>
  <si>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</si>
  <si>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</si>
  <si>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</si>
  <si>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</si>
  <si>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</si>
  <si>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</si>
  <si>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</si>
  <si>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</si>
  <si>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</si>
  <si>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</si>
  <si>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</si>
  <si>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</si>
  <si>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</si>
  <si>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</si>
  <si>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</si>
  <si>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</si>
  <si>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</si>
  <si>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</si>
  <si>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</si>
  <si>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</si>
  <si>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</si>
  <si>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</si>
  <si>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</si>
  <si>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</si>
  <si>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</si>
  <si>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</si>
  <si>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</si>
  <si>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</si>
  <si>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</si>
  <si>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</si>
  <si>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</si>
  <si>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</si>
  <si>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</si>
  <si>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</si>
  <si>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</si>
  <si>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</si>
  <si>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</si>
  <si>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</si>
  <si>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</si>
  <si>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</si>
  <si>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</si>
  <si>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</si>
  <si>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</si>
  <si>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</si>
  <si>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</si>
  <si>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</si>
  <si>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</si>
  <si>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</si>
  <si>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</si>
  <si>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</si>
  <si>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</si>
  <si>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</si>
  <si>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</si>
  <si>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</si>
  <si>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</si>
  <si>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</si>
  <si>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</si>
  <si>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</si>
  <si>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</si>
  <si>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</si>
  <si>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</si>
  <si>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</si>
  <si>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</si>
  <si>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</si>
  <si>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</si>
  <si>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</si>
  <si>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</si>
  <si>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</si>
  <si>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</si>
  <si>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</si>
  <si>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</si>
  <si>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</si>
  <si>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</si>
  <si>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</si>
  <si>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</si>
  <si>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</si>
  <si>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</si>
  <si>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</si>
  <si>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</si>
  <si>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</si>
  <si>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</si>
  <si>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</si>
  <si>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</si>
  <si>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</si>
  <si>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</si>
  <si>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</si>
  <si>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</si>
  <si>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</si>
  <si>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</si>
  <si>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</si>
  <si>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</si>
  <si>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</si>
  <si>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</si>
  <si>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</si>
  <si>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</si>
  <si>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</si>
  <si>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</si>
  <si>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</si>
  <si>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</si>
  <si>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</si>
  <si>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</si>
  <si>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</si>
  <si>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</si>
  <si>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</si>
  <si>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</si>
  <si>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</si>
  <si>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</si>
  <si>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</si>
  <si>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</si>
  <si>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</si>
  <si>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</si>
  <si>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</si>
  <si>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</si>
  <si>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</si>
  <si>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</si>
  <si>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</si>
  <si>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</si>
  <si>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</si>
  <si>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</si>
  <si>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</si>
  <si>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</si>
  <si>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</si>
  <si>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</si>
  <si>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</si>
  <si>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</si>
  <si>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</si>
  <si>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</si>
  <si>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</si>
  <si>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</si>
  <si>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</si>
  <si>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</si>
  <si>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</si>
  <si>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</si>
  <si>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</si>
  <si>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</si>
  <si>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</si>
  <si>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</si>
  <si>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</si>
  <si>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</si>
  <si>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</si>
  <si>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</si>
  <si>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</si>
  <si>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</si>
  <si>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</si>
  <si>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</si>
  <si>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</si>
  <si>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</si>
  <si>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</si>
  <si>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</si>
  <si>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</si>
  <si>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</si>
  <si>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</si>
  <si>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</si>
  <si>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</si>
  <si>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</si>
  <si>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</si>
  <si>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</si>
  <si>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</si>
  <si>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</si>
  <si>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</si>
  <si>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</si>
  <si>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</si>
  <si>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</si>
  <si>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</si>
  <si>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</si>
  <si>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</si>
  <si>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</si>
  <si>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</si>
  <si>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</si>
  <si>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</si>
  <si>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</si>
  <si>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</si>
  <si>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</si>
  <si>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</si>
  <si>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</si>
  <si>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</si>
  <si>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</si>
  <si>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</si>
  <si>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</si>
  <si>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</si>
  <si>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</si>
  <si>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</si>
  <si>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</si>
  <si>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</si>
  <si>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</si>
  <si>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</si>
  <si>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</si>
  <si>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</si>
  <si>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</si>
  <si>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</si>
  <si>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</si>
  <si>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</si>
  <si>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</si>
  <si>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</si>
  <si>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</si>
  <si>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</si>
  <si>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</si>
  <si>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</si>
  <si>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</si>
  <si>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</si>
  <si>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</si>
  <si>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</si>
  <si>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</si>
  <si>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</si>
  <si>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</si>
  <si>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</si>
  <si>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</si>
  <si>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</si>
  <si>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</si>
  <si>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</si>
  <si>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</si>
  <si>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</si>
  <si>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</si>
  <si>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</si>
  <si>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</si>
  <si>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</si>
  <si>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</si>
  <si>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</si>
  <si>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</si>
  <si>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</si>
  <si>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</si>
  <si>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</si>
  <si>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</si>
  <si>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</si>
  <si>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</si>
  <si>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</si>
  <si>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</si>
  <si>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</si>
  <si>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</si>
  <si>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</si>
  <si>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</si>
  <si>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</si>
  <si>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</si>
  <si>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</si>
  <si>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</si>
  <si>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</si>
  <si>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</si>
  <si>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</si>
  <si>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</si>
  <si>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</si>
  <si>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</si>
  <si>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</si>
  <si>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</si>
  <si>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</si>
  <si>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</si>
  <si>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</si>
  <si>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</si>
  <si>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</si>
  <si>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</si>
  <si>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</si>
  <si>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</si>
  <si>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</si>
  <si>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</si>
  <si>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</si>
  <si>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</si>
  <si>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</si>
  <si>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</si>
  <si>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</si>
  <si>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</si>
  <si>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</si>
  <si>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</si>
  <si>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</si>
  <si>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</si>
  <si>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</si>
  <si>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</si>
  <si>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</si>
  <si>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</si>
  <si>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</si>
  <si>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</si>
  <si>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</si>
  <si>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</si>
  <si>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</si>
  <si>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</si>
  <si>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</si>
  <si>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</si>
  <si>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</si>
  <si>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</si>
  <si>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</si>
  <si>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</si>
  <si>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</si>
  <si>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</si>
  <si>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</si>
  <si>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</si>
  <si>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</si>
  <si>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</si>
  <si>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</si>
  <si>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</si>
  <si>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</si>
  <si>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</si>
  <si>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</si>
  <si>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</si>
  <si>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</si>
  <si>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</si>
  <si>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</si>
  <si>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</si>
  <si>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</si>
  <si>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</si>
  <si>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</si>
  <si>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</si>
  <si>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</si>
  <si>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</si>
  <si>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</si>
  <si>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</si>
  <si>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</si>
  <si>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</si>
  <si>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</si>
  <si>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</si>
  <si>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</si>
  <si>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</si>
  <si>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</si>
  <si>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</si>
  <si>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</si>
  <si>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</si>
  <si>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</si>
  <si>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</si>
  <si>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</si>
  <si>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</si>
  <si>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</si>
  <si>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</si>
  <si>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</si>
  <si>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</si>
  <si>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</si>
  <si>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</si>
  <si>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</si>
  <si>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</si>
  <si>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</si>
  <si>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</si>
  <si>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</si>
  <si>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</si>
  <si>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</si>
  <si>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</si>
  <si>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</si>
  <si>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</si>
  <si>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</si>
  <si>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</si>
  <si>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</si>
  <si>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</si>
  <si>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</si>
  <si>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</si>
  <si>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</si>
  <si>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</si>
  <si>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</si>
  <si>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</si>
  <si>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</si>
  <si>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</si>
  <si>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</si>
  <si>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</si>
  <si>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</si>
  <si>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</si>
  <si>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</si>
  <si>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</si>
  <si>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</si>
  <si>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</si>
  <si>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</si>
  <si>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</si>
  <si>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</si>
  <si>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</si>
  <si>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</si>
  <si>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</si>
  <si>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</si>
  <si>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</si>
  <si>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</si>
  <si>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</si>
  <si>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</si>
  <si>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</si>
  <si>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</si>
  <si>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</si>
  <si>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</si>
  <si>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</si>
  <si>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</si>
  <si>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</si>
  <si>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</si>
  <si>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</si>
  <si>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</si>
  <si>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</si>
  <si>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</si>
  <si>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</si>
  <si>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</si>
  <si>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</si>
  <si>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</si>
  <si>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</si>
  <si>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</si>
  <si>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</si>
  <si>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</si>
  <si>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</si>
  <si>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</si>
  <si>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</si>
  <si>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</si>
  <si>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</si>
  <si>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</si>
  <si>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</si>
  <si>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</si>
  <si>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</si>
  <si>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</si>
  <si>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</si>
  <si>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</si>
  <si>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</si>
  <si>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</si>
  <si>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</si>
  <si>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</si>
  <si>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</si>
  <si>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</si>
  <si>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</si>
  <si>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</si>
  <si>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</si>
  <si>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</si>
  <si>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</si>
  <si>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</si>
  <si>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</si>
  <si>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</si>
  <si>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</si>
  <si>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</si>
  <si>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</si>
  <si>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</si>
  <si>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</si>
  <si>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</si>
  <si>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</si>
  <si>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</si>
  <si>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</si>
  <si>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</si>
  <si>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</si>
  <si>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</si>
  <si>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</si>
  <si>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</si>
  <si>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</si>
  <si>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</si>
  <si>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</si>
  <si>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</si>
  <si>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</si>
  <si>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</si>
  <si>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</si>
  <si>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</si>
  <si>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</si>
  <si>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</si>
  <si>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</si>
  <si>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</si>
  <si>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</si>
  <si>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</si>
  <si>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</si>
  <si>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</si>
  <si>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</si>
  <si>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</si>
  <si>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</si>
  <si>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</si>
  <si>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</si>
  <si>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</si>
  <si>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</si>
  <si>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</si>
  <si>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</si>
  <si>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</si>
  <si>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</si>
  <si>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</si>
  <si>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</si>
  <si>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</si>
  <si>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</si>
  <si>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</si>
  <si>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</si>
  <si>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</si>
  <si>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</si>
  <si>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</si>
  <si>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</si>
  <si>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</si>
  <si>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</si>
  <si>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</si>
  <si>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</si>
  <si>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</si>
  <si>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</si>
  <si>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</si>
  <si>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</si>
  <si>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</si>
  <si>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</si>
  <si>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</si>
  <si>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</si>
  <si>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</si>
  <si>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</si>
  <si>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</si>
  <si>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</si>
  <si>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</si>
  <si>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</si>
  <si>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</si>
  <si>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</si>
  <si>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</si>
  <si>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</si>
  <si>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</si>
  <si>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</si>
  <si>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</si>
  <si>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</si>
  <si>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</si>
  <si>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</si>
  <si>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</si>
  <si>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</si>
  <si>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</si>
  <si>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</si>
  <si>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</si>
  <si>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</si>
  <si>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</si>
  <si>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</si>
  <si>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</si>
  <si>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</si>
  <si>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</si>
  <si>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</si>
  <si>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</si>
  <si>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</si>
  <si>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</si>
  <si>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</si>
  <si>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</si>
  <si>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</si>
  <si>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</si>
  <si>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</si>
  <si>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</si>
  <si>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</si>
  <si>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</si>
  <si>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</si>
  <si>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</si>
  <si>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</si>
  <si>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</si>
  <si>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</si>
  <si>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</si>
  <si>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</si>
  <si>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</si>
  <si>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</si>
  <si>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</si>
  <si>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</si>
  <si>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</si>
  <si>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</si>
  <si>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</si>
  <si>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</si>
  <si>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</si>
  <si>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</si>
  <si>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</si>
  <si>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</si>
  <si>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</si>
  <si>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</si>
  <si>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</si>
  <si>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</si>
  <si>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</si>
  <si>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</si>
  <si>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</si>
  <si>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</si>
  <si>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</si>
  <si>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</si>
  <si>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</si>
  <si>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</si>
  <si>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</si>
  <si>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</si>
  <si>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</si>
  <si>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</si>
  <si>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</si>
  <si>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</si>
  <si>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</si>
  <si>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</si>
  <si>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</si>
  <si>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</si>
  <si>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</si>
  <si>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</si>
  <si>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</si>
  <si>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</si>
  <si>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</si>
  <si>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</si>
  <si>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</si>
  <si>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</si>
  <si>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</si>
  <si>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</si>
  <si>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</si>
  <si>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</si>
  <si>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</si>
  <si>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</si>
  <si>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</si>
  <si>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</si>
  <si>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</si>
  <si>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</si>
  <si>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</si>
  <si>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</si>
  <si>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</si>
  <si>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</si>
  <si>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</si>
  <si>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</si>
  <si>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</si>
  <si>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</si>
  <si>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</si>
  <si>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</si>
  <si>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</si>
  <si>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</si>
  <si>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</si>
  <si>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</si>
  <si>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</si>
  <si>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</si>
  <si>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</si>
  <si>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</si>
  <si>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</si>
  <si>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</si>
  <si>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</si>
  <si>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</si>
  <si>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</si>
  <si>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</si>
  <si>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</si>
  <si>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</si>
  <si>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</si>
  <si>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</si>
  <si>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</si>
  <si>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</si>
  <si>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</si>
  <si>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</si>
  <si>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</si>
  <si>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</si>
  <si>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</si>
  <si>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</si>
  <si>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</si>
  <si>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</si>
  <si>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</si>
  <si>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</si>
  <si>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</si>
  <si>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</si>
  <si>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</si>
  <si>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</si>
  <si>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</si>
  <si>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</si>
  <si>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</si>
  <si>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</si>
  <si>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</si>
  <si>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</si>
  <si>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</si>
  <si>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</si>
  <si>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</si>
  <si>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</si>
  <si>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</si>
  <si>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</si>
  <si>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</si>
  <si>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</si>
  <si>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</si>
  <si>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</si>
  <si>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</si>
  <si>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</si>
  <si>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</si>
  <si>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</si>
  <si>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</si>
  <si>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</si>
  <si>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</si>
  <si>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</si>
  <si>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</si>
  <si>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</si>
  <si>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</si>
  <si>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</si>
  <si>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</si>
  <si>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</si>
  <si>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</si>
  <si>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</si>
  <si>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</si>
  <si>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</si>
  <si>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</si>
  <si>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</si>
  <si>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</si>
  <si>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</si>
  <si>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</si>
  <si>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</si>
  <si>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</si>
  <si>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</si>
  <si>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</si>
  <si>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</si>
  <si>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</si>
  <si>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</si>
  <si>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</si>
  <si>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</si>
  <si>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</si>
  <si>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</si>
  <si>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</si>
  <si>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</si>
  <si>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</si>
  <si>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</si>
  <si>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</si>
  <si>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</si>
  <si>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</si>
  <si>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</si>
  <si>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</si>
  <si>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</si>
  <si>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</si>
  <si>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</si>
  <si>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</si>
  <si>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</si>
  <si>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</si>
  <si>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</si>
  <si>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</si>
  <si>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</si>
  <si>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</si>
  <si>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</si>
  <si>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</si>
  <si>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</si>
  <si>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</si>
  <si>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</si>
  <si>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</si>
  <si>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</si>
  <si>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</si>
  <si>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</si>
  <si>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</si>
  <si>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</si>
  <si>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</si>
  <si>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</si>
  <si>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</si>
  <si>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</si>
  <si>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</si>
  <si>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</si>
  <si>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</si>
  <si>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</si>
  <si>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</si>
  <si>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</si>
  <si>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</si>
  <si>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</si>
  <si>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</si>
  <si>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</si>
  <si>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</si>
  <si>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</si>
  <si>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</si>
  <si>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</si>
  <si>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</si>
  <si>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</si>
  <si>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</si>
  <si>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</si>
  <si>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</si>
  <si>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</si>
  <si>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</si>
  <si>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</si>
  <si>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</si>
  <si>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</si>
  <si>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</si>
  <si>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</si>
  <si>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</si>
  <si>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</si>
  <si>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</si>
  <si>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</si>
  <si>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</si>
  <si>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</si>
  <si>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</si>
  <si>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</si>
  <si>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</si>
  <si>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</si>
  <si>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</si>
  <si>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</si>
  <si>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</si>
  <si>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</si>
  <si>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</si>
  <si>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</si>
  <si>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</si>
  <si>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</si>
  <si>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</si>
  <si>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</si>
  <si>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</si>
  <si>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</si>
  <si>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</si>
  <si>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</si>
  <si>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</si>
  <si>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</si>
  <si>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</si>
  <si>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</si>
  <si>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</si>
  <si>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</si>
  <si>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</si>
  <si>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</si>
  <si>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</si>
  <si>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</si>
  <si>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</si>
  <si>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</si>
  <si>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</si>
  <si>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</si>
  <si>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</si>
  <si>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</si>
  <si>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</si>
  <si>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</si>
  <si>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</si>
  <si>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</si>
  <si>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</si>
  <si>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</si>
  <si>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</si>
  <si>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</si>
  <si>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</si>
  <si>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</si>
  <si>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</si>
  <si>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</si>
  <si>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</si>
  <si>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</si>
  <si>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</si>
  <si>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</si>
  <si>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</si>
  <si>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</si>
  <si>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</si>
  <si>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</si>
  <si>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</si>
  <si>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</si>
  <si>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</si>
  <si>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</si>
  <si>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</si>
  <si>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</si>
  <si>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</si>
  <si>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</si>
  <si>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</si>
  <si>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</si>
  <si>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</si>
  <si>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</si>
  <si>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</si>
  <si>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</si>
  <si>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</si>
  <si>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</si>
  <si>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</si>
  <si>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</si>
  <si>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</si>
  <si>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</si>
  <si>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</si>
  <si>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</si>
  <si>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</si>
  <si>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</si>
  <si>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</si>
  <si>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</si>
  <si>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</si>
  <si>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</si>
  <si>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</si>
  <si>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</si>
  <si>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</si>
  <si>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</si>
  <si>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</si>
  <si>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</si>
  <si>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</si>
  <si>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</si>
  <si>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</si>
  <si>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</si>
  <si>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</si>
  <si>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</si>
  <si>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</si>
  <si>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</si>
  <si>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</si>
  <si>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</si>
  <si>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</si>
  <si>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</si>
  <si>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</si>
  <si>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</si>
  <si>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</si>
  <si>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</si>
  <si>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</si>
  <si>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</si>
  <si>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</si>
  <si>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</si>
  <si>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</si>
  <si>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</si>
  <si>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</si>
  <si>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</si>
  <si>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</si>
  <si>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</si>
  <si>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</si>
  <si>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</si>
  <si>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</si>
  <si>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</si>
  <si>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</si>
  <si>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</si>
  <si>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</si>
  <si>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</si>
  <si>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</si>
  <si>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</si>
  <si>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</si>
  <si>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</si>
  <si>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</si>
  <si>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</si>
  <si>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</si>
  <si>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</si>
  <si>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</si>
  <si>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</si>
  <si>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</si>
  <si>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</si>
  <si>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</si>
  <si>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</si>
  <si>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</si>
  <si>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</si>
  <si>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</si>
  <si>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</si>
  <si>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</si>
  <si>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</si>
  <si>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</si>
  <si>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</si>
  <si>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</si>
  <si>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</si>
  <si>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</si>
  <si>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</si>
  <si>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</si>
  <si>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</si>
  <si>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</si>
  <si>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</si>
  <si>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</si>
  <si>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</si>
  <si>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</si>
  <si>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</si>
  <si>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</si>
  <si>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</si>
  <si>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</si>
  <si>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</si>
  <si>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</si>
  <si>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</si>
  <si>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</si>
  <si>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</si>
  <si>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</si>
  <si>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</si>
  <si>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</si>
  <si>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</si>
  <si>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</si>
  <si>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</si>
  <si>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</si>
  <si>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</si>
  <si>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</si>
  <si>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</si>
  <si>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</si>
  <si>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</si>
  <si>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</si>
  <si>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</si>
  <si>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</si>
  <si>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</si>
  <si>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</si>
  <si>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</si>
  <si>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</si>
  <si>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</si>
  <si>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</si>
  <si>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</si>
  <si>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</si>
  <si>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</si>
  <si>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</si>
  <si>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</si>
  <si>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</si>
  <si>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</si>
  <si>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</si>
  <si>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</si>
  <si>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</si>
  <si>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</si>
  <si>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</si>
  <si>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</si>
  <si>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</si>
  <si>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</si>
  <si>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</si>
  <si>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</si>
  <si>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</si>
  <si>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</si>
  <si>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</si>
  <si>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</si>
  <si>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</si>
  <si>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</si>
  <si>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</si>
  <si>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</si>
  <si>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</si>
  <si>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</si>
  <si>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</si>
  <si>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</si>
  <si>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</si>
  <si>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</si>
  <si>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</si>
  <si>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</si>
  <si>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</si>
  <si>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</si>
  <si>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</si>
  <si>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</si>
  <si>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</si>
  <si>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</si>
  <si>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</si>
  <si>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</si>
  <si>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</si>
  <si>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</si>
  <si>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</si>
  <si>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</si>
  <si>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</si>
  <si>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</si>
  <si>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</si>
  <si>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</si>
  <si>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</si>
  <si>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</si>
  <si>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</si>
  <si>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</si>
  <si>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</si>
  <si>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</si>
  <si>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</si>
  <si>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</si>
  <si>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</si>
  <si>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</si>
  <si>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</si>
  <si>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</si>
  <si>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</si>
  <si>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</si>
  <si>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</si>
  <si>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</si>
  <si>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</si>
  <si>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</si>
  <si>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</si>
  <si>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</si>
  <si>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</si>
  <si>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</si>
  <si>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</si>
  <si>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</si>
  <si>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</si>
  <si>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</si>
  <si>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</si>
  <si>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</si>
  <si>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</si>
  <si>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</si>
  <si>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</si>
  <si>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</si>
  <si>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</si>
  <si>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</si>
  <si>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</si>
  <si>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</si>
  <si>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</si>
  <si>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</si>
  <si>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</si>
  <si>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</si>
  <si>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</si>
  <si>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</si>
  <si>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</si>
  <si>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</si>
  <si>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</si>
  <si>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</si>
  <si>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</si>
  <si>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</si>
  <si>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</si>
  <si>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</si>
  <si>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</si>
  <si>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</si>
  <si>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</si>
  <si>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</si>
  <si>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</si>
  <si>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</si>
  <si>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</si>
  <si>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</si>
  <si>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</si>
  <si>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</si>
  <si>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</si>
  <si>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</si>
  <si>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</si>
  <si>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</si>
  <si>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</si>
  <si>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</si>
  <si>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</si>
  <si>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</si>
  <si>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</si>
  <si>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</si>
  <si>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</si>
  <si>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</si>
  <si>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</si>
  <si>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</si>
  <si>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</si>
  <si>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</si>
  <si>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</si>
  <si>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</si>
  <si>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</si>
  <si>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</si>
  <si>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</si>
  <si>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</si>
  <si>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</si>
  <si>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</si>
  <si>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</si>
  <si>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</si>
  <si>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</si>
  <si>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</si>
  <si>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</si>
  <si>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</si>
  <si>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</si>
  <si>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</si>
  <si>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</si>
  <si>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</si>
  <si>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</si>
  <si>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</si>
  <si>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</si>
  <si>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</si>
  <si>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</si>
  <si>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</si>
  <si>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</si>
  <si>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</si>
  <si>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</si>
  <si>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</si>
  <si>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</si>
  <si>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</si>
  <si>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</si>
  <si>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</si>
  <si>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</si>
  <si>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</si>
  <si>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</si>
  <si>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</si>
  <si>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</si>
  <si>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</si>
  <si>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</si>
  <si>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</si>
  <si>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</si>
  <si>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</si>
  <si>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</si>
  <si>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</si>
  <si>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</si>
  <si>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</si>
  <si>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</si>
  <si>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</si>
  <si>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</si>
  <si>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</si>
  <si>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</si>
  <si>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</si>
  <si>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</si>
  <si>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</si>
  <si>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</si>
  <si>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</si>
  <si>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</si>
  <si>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</si>
  <si>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</si>
  <si>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</si>
  <si>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</si>
  <si>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</si>
  <si>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</si>
  <si>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</si>
  <si>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</si>
  <si>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</si>
  <si>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</si>
  <si>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</si>
  <si>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</si>
  <si>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</si>
  <si>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</si>
  <si>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</si>
  <si>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</si>
  <si>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</si>
  <si>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</si>
  <si>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</si>
  <si>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</si>
  <si>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</si>
  <si>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</si>
  <si>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</si>
  <si>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</si>
  <si>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</si>
  <si>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</si>
  <si>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</si>
  <si>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</si>
  <si>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</si>
  <si>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</si>
  <si>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</si>
  <si>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</si>
  <si>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</si>
  <si>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</si>
  <si>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</si>
  <si>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</si>
  <si>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</si>
  <si>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</si>
  <si>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</si>
  <si>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</si>
  <si>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</si>
  <si>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</si>
  <si>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</si>
  <si>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</si>
  <si>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</si>
  <si>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</si>
  <si>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</si>
  <si>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</si>
  <si>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</si>
  <si>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</si>
  <si>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</si>
  <si>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</si>
  <si>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</si>
  <si>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</si>
  <si>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</si>
  <si>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</si>
  <si>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</si>
  <si>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</si>
  <si>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</si>
  <si>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</si>
  <si>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</si>
  <si>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</si>
  <si>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</si>
  <si>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</si>
  <si>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</si>
  <si>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</si>
  <si>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</si>
  <si>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</si>
  <si>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</si>
  <si>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</si>
  <si>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</si>
  <si>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</si>
  <si>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</si>
  <si>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</si>
  <si>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</si>
  <si>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</si>
  <si>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</si>
  <si>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</si>
  <si>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</si>
  <si>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</si>
  <si>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</si>
  <si>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</si>
  <si>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</si>
  <si>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</si>
  <si>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</si>
  <si>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</si>
  <si>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</si>
  <si>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</si>
  <si>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</si>
  <si>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</si>
  <si>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</si>
  <si>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</si>
  <si>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</si>
  <si>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</si>
  <si>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</si>
  <si>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</si>
  <si>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</si>
  <si>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</si>
  <si>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</si>
  <si>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</si>
  <si>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</si>
  <si>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</si>
  <si>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</si>
  <si>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</si>
  <si>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</si>
  <si>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</si>
  <si>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</si>
  <si>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</si>
  <si>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</si>
  <si>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</si>
  <si>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</si>
  <si>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</si>
  <si>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</si>
  <si>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</si>
  <si>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</si>
  <si>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</si>
  <si>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</si>
  <si>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</si>
  <si>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</si>
  <si>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</si>
  <si>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</si>
  <si>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</si>
  <si>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</si>
  <si>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</si>
  <si>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</si>
  <si>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</si>
  <si>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</si>
  <si>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</si>
  <si>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</si>
  <si>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</si>
  <si>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</si>
  <si>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</si>
  <si>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</si>
  <si>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</si>
  <si>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</si>
  <si>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</si>
  <si>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</si>
  <si>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</si>
  <si>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</si>
  <si>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</si>
  <si>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</si>
  <si>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</si>
  <si>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</si>
  <si>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</si>
  <si>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</si>
  <si>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</si>
  <si>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</si>
  <si>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</si>
  <si>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</si>
  <si>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</si>
  <si>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</si>
  <si>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</si>
  <si>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</si>
  <si>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</si>
  <si>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</si>
  <si>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</si>
  <si>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</si>
  <si>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</si>
  <si>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</si>
  <si>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</si>
  <si>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</si>
  <si>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</si>
  <si>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</si>
  <si>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</si>
  <si>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</si>
  <si>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</si>
  <si>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</si>
  <si>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</si>
  <si>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</si>
  <si>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</si>
  <si>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</si>
  <si>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</si>
  <si>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</si>
  <si>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</si>
  <si>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</si>
  <si>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</si>
  <si>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</si>
  <si>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</si>
  <si>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</si>
  <si>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</si>
  <si>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</si>
  <si>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</si>
  <si>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</si>
  <si>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</si>
  <si>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</si>
  <si>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</si>
  <si>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</si>
  <si>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</si>
  <si>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</si>
  <si>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</si>
  <si>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</si>
  <si>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</si>
  <si>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</si>
  <si>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</si>
  <si>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</si>
  <si>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</si>
  <si>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</si>
  <si>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</si>
  <si>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</si>
  <si>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</si>
  <si>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</si>
  <si>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</si>
  <si>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</si>
  <si>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</si>
  <si>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</si>
  <si>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</si>
  <si>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</si>
  <si>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</si>
  <si>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</si>
  <si>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</si>
  <si>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</si>
  <si>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</si>
  <si>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</si>
  <si>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</si>
  <si>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</si>
  <si>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</si>
  <si>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</si>
  <si>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</si>
  <si>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</si>
  <si>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</si>
  <si>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</si>
  <si>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</si>
  <si>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</si>
  <si>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</si>
  <si>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</si>
  <si>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</si>
  <si>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</si>
  <si>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</si>
  <si>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</si>
  <si>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</si>
  <si>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</si>
  <si>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</si>
  <si>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</si>
  <si>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</si>
  <si>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</si>
  <si>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</si>
  <si>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</si>
  <si>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</si>
  <si>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</si>
  <si>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</si>
  <si>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</si>
  <si>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</si>
  <si>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</si>
  <si>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</si>
  <si>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</si>
  <si>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</si>
  <si>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</si>
  <si>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</si>
  <si>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</si>
  <si>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</si>
  <si>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</si>
  <si>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</si>
  <si>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</si>
  <si>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</si>
  <si>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</si>
  <si>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</si>
  <si>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</si>
  <si>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</si>
  <si>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</si>
  <si>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</si>
  <si>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</si>
  <si>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</si>
  <si>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</si>
  <si>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</si>
  <si>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</si>
  <si>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</si>
  <si>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</si>
  <si>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</si>
  <si>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</si>
  <si>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</si>
  <si>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</si>
  <si>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</si>
  <si>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</si>
  <si>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</si>
  <si>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</si>
  <si>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</si>
  <si>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</si>
  <si>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</si>
  <si>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</si>
  <si>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</si>
  <si>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</si>
  <si>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</si>
  <si>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</si>
  <si>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</si>
  <si>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</si>
  <si>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</si>
  <si>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</si>
  <si>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</si>
  <si>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</si>
  <si>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</si>
  <si>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</si>
  <si>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</si>
  <si>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</si>
  <si>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</si>
  <si>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</si>
  <si>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</si>
  <si>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</si>
  <si>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</si>
  <si>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</si>
  <si>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</si>
  <si>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</si>
  <si>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</si>
  <si>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</si>
  <si>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</si>
  <si>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</si>
  <si>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</si>
  <si>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</si>
  <si>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</si>
  <si>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</si>
  <si>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</si>
  <si>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</si>
  <si>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</si>
  <si>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</si>
  <si>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</si>
  <si>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</si>
  <si>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</si>
  <si>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</si>
  <si>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</si>
  <si>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</si>
  <si>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</si>
  <si>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</si>
  <si>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</si>
  <si>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</si>
  <si>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</si>
  <si>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</si>
  <si>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</si>
  <si>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</si>
  <si>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</si>
  <si>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</si>
  <si>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</si>
  <si>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</si>
  <si>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</si>
  <si>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</si>
  <si>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</si>
  <si>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</si>
  <si>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</si>
  <si>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</si>
  <si>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</si>
  <si>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</si>
  <si>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</si>
  <si>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</si>
  <si>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</si>
  <si>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</si>
  <si>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</si>
  <si>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</si>
  <si>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</si>
  <si>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</si>
  <si>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</si>
  <si>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</si>
  <si>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</si>
  <si>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</si>
  <si>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</si>
  <si>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</si>
  <si>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</si>
  <si>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</si>
  <si>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</si>
  <si>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</si>
  <si>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</si>
  <si>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</si>
  <si>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</si>
  <si>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</si>
  <si>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</si>
  <si>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</si>
  <si>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</si>
  <si>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</si>
  <si>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</si>
  <si>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</si>
  <si>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</si>
  <si>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</si>
  <si>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</si>
  <si>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</si>
  <si>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</si>
  <si>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</si>
  <si>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</si>
  <si>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</si>
  <si>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</si>
  <si>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</si>
  <si>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</si>
  <si>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</si>
  <si>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</si>
  <si>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</si>
  <si>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</si>
  <si>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</si>
  <si>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</si>
  <si>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</si>
  <si>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</si>
  <si>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</si>
  <si>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</si>
  <si>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</si>
  <si>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</si>
  <si>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</si>
  <si>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</si>
  <si>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</si>
  <si>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</si>
  <si>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</si>
  <si>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</si>
  <si>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</si>
  <si>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</si>
  <si>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</si>
  <si>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</si>
  <si>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</si>
  <si>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</si>
  <si>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</si>
  <si>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</si>
  <si>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</si>
  <si>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</si>
  <si>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</si>
  <si>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</si>
  <si>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</si>
  <si>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</si>
  <si>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</si>
  <si>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</si>
  <si>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</si>
  <si>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</si>
  <si>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</si>
  <si>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</si>
  <si>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</si>
  <si>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</si>
  <si>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</si>
  <si>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</si>
  <si>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</si>
  <si>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</si>
  <si>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</si>
  <si>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</si>
  <si>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</si>
  <si>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</si>
  <si>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</si>
  <si>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</si>
  <si>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</si>
  <si>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</si>
  <si>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</si>
  <si>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</si>
  <si>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</si>
  <si>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</si>
  <si>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</si>
  <si>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</si>
  <si>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</si>
  <si>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</si>
  <si>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</si>
  <si>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</si>
  <si>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</si>
  <si>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</si>
  <si>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</si>
  <si>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</si>
  <si>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</si>
  <si>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</si>
  <si>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</si>
  <si>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</si>
  <si>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</si>
  <si>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</si>
  <si>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</si>
  <si>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</si>
  <si>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</si>
  <si>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</si>
  <si>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</si>
  <si>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</si>
  <si>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</si>
  <si>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</si>
  <si>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</si>
  <si>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</si>
  <si>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</si>
  <si>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</si>
  <si>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</si>
  <si>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</si>
  <si>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</si>
  <si>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</si>
  <si>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</si>
  <si>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</si>
  <si>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</si>
  <si>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</si>
  <si>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</si>
  <si>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</si>
  <si>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</si>
  <si>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</si>
  <si>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</si>
  <si>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</si>
  <si>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</si>
  <si>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</si>
  <si>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</si>
  <si>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</si>
  <si>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</si>
  <si>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</si>
  <si>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</si>
  <si>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</si>
  <si>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</si>
  <si>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</si>
  <si>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</si>
  <si>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</si>
  <si>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</si>
  <si>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</si>
  <si>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</si>
  <si>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</si>
  <si>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</si>
  <si>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</si>
  <si>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</si>
  <si>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</si>
  <si>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</si>
  <si>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</si>
  <si>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</si>
  <si>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</si>
  <si>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</si>
  <si>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</si>
  <si>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</si>
  <si>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</si>
  <si>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</si>
  <si>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</si>
  <si>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</si>
  <si>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</si>
  <si>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</si>
  <si>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</si>
  <si>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</si>
  <si>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</si>
  <si>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</si>
  <si>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</si>
  <si>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</si>
  <si>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</si>
  <si>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</si>
  <si>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</si>
  <si>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</si>
  <si>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</si>
  <si>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</si>
  <si>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</si>
  <si>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</si>
  <si>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</si>
  <si>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</si>
  <si>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</si>
  <si>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</si>
  <si>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</si>
  <si>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</si>
  <si>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</si>
  <si>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</si>
  <si>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</si>
  <si>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</si>
  <si>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</si>
  <si>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</si>
  <si>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</si>
  <si>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</si>
  <si>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</si>
  <si>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</si>
  <si>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</si>
  <si>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</si>
  <si>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</si>
  <si>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</si>
  <si>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</si>
  <si>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</si>
  <si>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</si>
  <si>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</si>
  <si>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</si>
  <si>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</si>
  <si>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</si>
  <si>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</si>
  <si>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</si>
  <si>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</si>
  <si>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</si>
  <si>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</si>
  <si>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</si>
  <si>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</si>
  <si>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</si>
  <si>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</si>
  <si>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</si>
  <si>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</si>
  <si>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</si>
  <si>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</si>
  <si>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SIKA VISCOCRETE-4100 (F)</t>
  </si>
  <si>
    <t>SIKA VISCOCRETE-6100(F)</t>
  </si>
  <si>
    <t>SIKA VISCOFLOW-2020(A)</t>
  </si>
  <si>
    <t>SIKA VISCOFLOW-2020(F)</t>
  </si>
  <si>
    <t>SIKA-CNI( C)</t>
  </si>
  <si>
    <t>SIKAMENT SPMN(F)</t>
  </si>
  <si>
    <t>SIKAPLAST-300GP (A)</t>
  </si>
  <si>
    <t>SIKASET NC ( C)</t>
  </si>
  <si>
    <t>6.0 TO 15.0</t>
  </si>
  <si>
    <t>MASTEREASE 5000 (A)</t>
  </si>
  <si>
    <t>0.5 TO 2.5</t>
  </si>
  <si>
    <t>FRITZ-PAK SUPER AIR PLUS</t>
  </si>
  <si>
    <t xml:space="preserve">0.25 TO 1.25 </t>
  </si>
  <si>
    <t xml:space="preserve">FRITZ-PAK CORP.  </t>
  </si>
  <si>
    <t xml:space="preserve">3.0 to 12.0
</t>
  </si>
  <si>
    <t>CHRYSO ENVIROMIX 300(A)</t>
  </si>
  <si>
    <t>CHRYSO ENVIROMIX 310(A)</t>
  </si>
  <si>
    <t>DYNAMON SX (F)</t>
  </si>
  <si>
    <t>DYNAMON SX)A)</t>
  </si>
  <si>
    <t>TYPYE A</t>
  </si>
  <si>
    <t>MAPPEPLAST PAVER PLUS</t>
  </si>
  <si>
    <t>MAPEPLAST KB-1200</t>
  </si>
  <si>
    <t>MAPPEPLAST 400 NC</t>
  </si>
  <si>
    <t xml:space="preserve">2.0 TO 3.5
</t>
  </si>
  <si>
    <t>MASTERGLENIUM 7960 (A)</t>
  </si>
  <si>
    <t>7217</t>
  </si>
  <si>
    <t xml:space="preserve">4.0 TO 8.0
</t>
  </si>
  <si>
    <t>ECOFLO GREEN (A)</t>
  </si>
  <si>
    <t>LC-600 (A)</t>
  </si>
  <si>
    <t>0.19 TO 0.31 (PUCKS)</t>
  </si>
  <si>
    <t xml:space="preserve">2.0 T0 6.0
</t>
  </si>
  <si>
    <t>DARNSET DNS 130 ( C)</t>
  </si>
  <si>
    <t>MAPPETARD R   (D)</t>
  </si>
  <si>
    <t>CHRYSO ENVIROMIX 310(F)</t>
  </si>
  <si>
    <t>CHRYSO ENVIROMIX 350(A)</t>
  </si>
  <si>
    <t>CHRYSO ENVIROMIX 350(F)</t>
  </si>
  <si>
    <t>8.0 TO 18.0</t>
  </si>
  <si>
    <t>CHRYSO OPTIMA 249 (F)</t>
  </si>
  <si>
    <t>4.0 TO 12.0</t>
  </si>
  <si>
    <t>SUPERCIZER 7</t>
  </si>
  <si>
    <t>4.0 TO 12.0 (POWDER)</t>
  </si>
  <si>
    <t xml:space="preserve">9.0 TO 20.0
</t>
  </si>
  <si>
    <t xml:space="preserve">3.0 TO 20.0
</t>
  </si>
  <si>
    <t>3.0 to 6.0</t>
  </si>
  <si>
    <t>5.0 to 14.0</t>
  </si>
  <si>
    <t>ADVA ITM750</t>
  </si>
  <si>
    <t>MASTERGLENIUM 7960 (f)</t>
  </si>
  <si>
    <t>8.0 TO 12.0</t>
  </si>
  <si>
    <t xml:space="preserve">5.0 TO 20.0
</t>
  </si>
  <si>
    <t>v14f.07.01.24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</si>
</sst>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09">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8"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6"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2" fontId="36" fillId="0" borderId="29" xfId="4" applyNumberFormat="1" applyBorder="1" applyAlignment="1">
      <alignment horizontal="center"/>
    </xf>
    <xf numFmtId="2" fontId="0" fillId="0" borderId="21" xfId="0" applyNumberFormat="1" applyBorder="1" applyAlignment="1">
      <alignment horizontal="center"/>
    </xf>
    <xf numFmtId="0" fontId="10" fillId="0" borderId="31" xfId="0" applyFont="1" applyBorder="1" applyAlignment="1">
      <alignment horizontal="center"/>
    </xf>
    <xf numFmtId="0" fontId="10"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6" fillId="0" borderId="23" xfId="4" applyNumberFormat="1" applyBorder="1" applyAlignment="1">
      <alignment horizontal="center"/>
    </xf>
    <xf numFmtId="0" fontId="0" fillId="0" borderId="23" xfId="0"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8"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8"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8" fillId="0" borderId="0" xfId="0" applyFont="1" applyAlignment="1" applyProtection="1">
      <alignment horizontal="center" vertical="center"/>
      <protection hidden="1"/>
    </xf>
    <xf numFmtId="0" fontId="8"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0" fontId="0" fillId="0" borderId="0" xfId="0"/>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8"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8" fillId="4" borderId="40"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0" fillId="0" borderId="19" xfId="0"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8" fillId="0" borderId="19" xfId="0" applyFont="1" applyBorder="1" applyAlignment="1">
      <alignment horizontal="center"/>
    </xf>
    <xf numFmtId="0" fontId="13" fillId="0" borderId="0" xfId="0" applyFont="1" applyAlignment="1">
      <alignment horizontal="center"/>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7" xfId="0" applyFont="1" applyBorder="1" applyAlignment="1">
      <alignment horizontal="center"/>
    </xf>
    <xf numFmtId="0" fontId="8"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6" fillId="0" borderId="11" xfId="0" applyFont="1" applyBorder="1" applyAlignment="1">
      <alignment horizontal="center"/>
    </xf>
    <xf numFmtId="0" fontId="0" fillId="0" borderId="9" xfId="0"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8" fillId="0" borderId="73" xfId="0" applyFont="1" applyBorder="1" applyAlignment="1">
      <alignment horizontal="center"/>
    </xf>
    <xf numFmtId="0" fontId="8" fillId="0" borderId="25" xfId="0" applyFont="1" applyBorder="1" applyAlignment="1">
      <alignment horizontal="center"/>
    </xf>
    <xf numFmtId="0" fontId="46" fillId="0" borderId="31" xfId="4" applyFont="1" applyBorder="1" applyAlignment="1">
      <alignment vertical="center"/>
    </xf>
    <xf numFmtId="0" fontId="0" fillId="0" borderId="17" xfId="0" applyBorder="1" applyAlignment="1">
      <alignment vertical="center"/>
    </xf>
    <xf numFmtId="0" fontId="8"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10" fillId="0" borderId="23" xfId="0" applyFont="1" applyBorder="1" applyAlignment="1">
      <alignment horizontal="center"/>
    </xf>
    <xf numFmtId="0" fontId="8"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0" fillId="0" borderId="24" xfId="0" applyBorder="1" applyAlignment="1">
      <alignment horizontal="center"/>
    </xf>
    <xf numFmtId="0" fontId="10" fillId="0" borderId="17"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8" fillId="0" borderId="58" xfId="0" applyFont="1" applyBorder="1"/>
    <xf numFmtId="0" fontId="0" fillId="0" borderId="41" xfId="0" applyBorder="1"/>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8" fillId="0" borderId="17" xfId="0" applyFont="1"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12" fillId="0" borderId="13" xfId="0" applyFont="1" applyBorder="1" applyAlignment="1">
      <alignment horizontal="center"/>
    </xf>
    <xf numFmtId="0" fontId="0" fillId="0" borderId="49" xfId="0" applyBorder="1"/>
    <xf numFmtId="0" fontId="0" fillId="0" borderId="50" xfId="0" applyBorder="1"/>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0" borderId="25" xfId="0" applyBorder="1" applyAlignment="1">
      <alignment horizontal="center"/>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10" fillId="0" borderId="0" xfId="4" applyFont="1" applyAlignment="1">
      <alignment horizontal="center" wrapText="1" shrinkToFit="1"/>
    </xf>
    <xf numFmtId="0" fontId="10"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8" fillId="4" borderId="36" xfId="0" applyFont="1" applyFill="1" applyBorder="1" applyAlignment="1" applyProtection="1">
      <alignment horizontal="left" shrinkToFit="1"/>
      <protection locked="0"/>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0" fontId="8" fillId="0" borderId="40" xfId="0" applyFont="1" applyBorder="1" applyAlignment="1">
      <alignment horizontal="center" vertical="center"/>
    </xf>
    <xf numFmtId="0" fontId="0" fillId="0" borderId="23" xfId="0" applyBorder="1" applyAlignment="1">
      <alignment horizontal="center" vertic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49" fontId="8" fillId="4" borderId="22" xfId="0" applyNumberFormat="1" applyFont="1" applyFill="1" applyBorder="1" applyAlignment="1" applyProtection="1">
      <alignment horizontal="center" vertical="center"/>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0" borderId="19" xfId="0"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43"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2" fontId="14" fillId="0" borderId="49" xfId="0" applyNumberFormat="1" applyFont="1"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0" fillId="4" borderId="23" xfId="0" applyFill="1" applyBorder="1" applyAlignment="1" applyProtection="1">
      <alignment horizontal="center" vertical="center"/>
      <protection locked="0"/>
    </xf>
    <xf numFmtId="0" fontId="8" fillId="0" borderId="23" xfId="0" applyFont="1" applyBorder="1" applyAlignment="1">
      <alignment horizontal="center" vertical="center"/>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0" fontId="8" fillId="0" borderId="67" xfId="0" applyFont="1" applyBorder="1" applyAlignment="1">
      <alignment horizontal="center"/>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0" fontId="0" fillId="0" borderId="39" xfId="0"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23" fillId="13" borderId="17" xfId="0" applyFont="1" applyFill="1" applyBorder="1" applyProtection="1">
      <protection locked="0"/>
    </xf>
    <xf numFmtId="0" fontId="23" fillId="13" borderId="2" xfId="0" applyFont="1" applyFill="1" applyBorder="1" applyProtection="1">
      <protection locked="0"/>
    </xf>
    <xf numFmtId="0" fontId="9" fillId="0" borderId="12" xfId="0" applyFont="1" applyBorder="1" applyAlignment="1">
      <alignment horizontal="center"/>
    </xf>
    <xf numFmtId="0" fontId="0" fillId="0" borderId="32" xfId="0" applyBorder="1" applyAlignment="1">
      <alignment horizontal="center"/>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0" borderId="23" xfId="0" applyBorder="1"/>
    <xf numFmtId="0" fontId="0" fillId="0" borderId="39" xfId="0" applyBorder="1"/>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51" xfId="0" applyBorder="1" applyAlignment="1">
      <alignment horizontal="center" vertical="center"/>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0" fontId="0" fillId="0" borderId="40" xfId="0"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31" xfId="0" applyFill="1" applyBorder="1" applyProtection="1">
      <protection locked="0"/>
    </xf>
    <xf numFmtId="0" fontId="0" fillId="13" borderId="17" xfId="0" applyFill="1" applyBorder="1" applyProtection="1">
      <protection locked="0"/>
    </xf>
    <xf numFmtId="0" fontId="0" fillId="13" borderId="87" xfId="0" applyFill="1" applyBorder="1" applyProtection="1">
      <protection locked="0"/>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0" fontId="0" fillId="13" borderId="18" xfId="0" applyFill="1" applyBorder="1" applyProtection="1">
      <protection locked="0"/>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9" fillId="4" borderId="31" xfId="0" applyNumberFormat="1" applyFont="1" applyFill="1" applyBorder="1" applyAlignment="1" applyProtection="1">
      <alignment horizontal="center" vertical="top" wrapText="1"/>
      <protection locked="0"/>
    </xf>
    <xf numFmtId="0" fontId="14" fillId="0" borderId="29" xfId="0" applyFont="1" applyBorder="1" applyAlignment="1">
      <alignment horizontal="center" vertical="center"/>
    </xf>
    <xf numFmtId="0" fontId="23" fillId="13" borderId="88" xfId="0" applyFont="1" applyFill="1" applyBorder="1" applyProtection="1">
      <protection locked="0"/>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14" fillId="0" borderId="31" xfId="0" applyFont="1" applyBorder="1" applyAlignment="1">
      <alignment horizontal="center" vertical="center"/>
    </xf>
    <xf numFmtId="0" fontId="9" fillId="0" borderId="0" xfId="0" applyFont="1" applyAlignment="1">
      <alignment horizontal="center"/>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52" fillId="14" borderId="90" xfId="0" applyFont="1"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53" fillId="14" borderId="90" xfId="0" applyFont="1" applyFill="1" applyBorder="1" applyAlignment="1" applyProtection="1">
      <alignment horizontal="center"/>
      <protection locked="0"/>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10" fillId="15" borderId="0" xfId="0" applyFont="1" applyFill="1" applyAlignment="1">
      <alignment horizont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49" xfId="8" applyBorder="1" applyAlignment="1">
      <alignment horizontal="left" vertical="center" wrapText="1"/>
    </xf>
    <xf numFmtId="0" fontId="7" fillId="0" borderId="50" xfId="8" applyBorder="1" applyAlignment="1">
      <alignment horizontal="left" vertical="center" wrapText="1"/>
    </xf>
    <xf numFmtId="0" fontId="7" fillId="0" borderId="18" xfId="8" applyBorder="1" applyAlignment="1">
      <alignment horizontal="right" vertical="center"/>
    </xf>
    <xf numFmtId="0" fontId="7" fillId="0" borderId="23" xfId="8" applyBorder="1" applyAlignment="1">
      <alignment horizontal="right"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7" fillId="0" borderId="13"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0" fillId="0" borderId="0" xfId="0" applyAlignment="1">
      <alignment horizontal="right"/>
    </xf>
    <xf numFmtId="2" fontId="0" fillId="0" borderId="0" xfId="0" applyNumberFormat="1" applyAlignment="1">
      <alignment horizontal="center"/>
    </xf>
    <xf numFmtId="0" fontId="10" fillId="0" borderId="0" xfId="0" applyFont="1" applyAlignment="1">
      <alignment horizontal="right"/>
    </xf>
    <xf numFmtId="0" fontId="10" fillId="0" borderId="0" xfId="0" applyFont="1" applyAlignment="1">
      <alignment horizontal="center"/>
    </xf>
    <xf numFmtId="164" fontId="0" fillId="0" borderId="23" xfId="0" applyNumberFormat="1" applyBorder="1" applyAlignment="1">
      <alignment horizontal="center"/>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8"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8" fillId="0" borderId="23" xfId="0" applyFont="1" applyBorder="1" applyAlignment="1">
      <alignment horizontal="center" wrapText="1"/>
    </xf>
    <xf numFmtId="1" fontId="0" fillId="0" borderId="11" xfId="0" applyNumberFormat="1" applyBorder="1" applyAlignment="1">
      <alignment horizontal="center"/>
    </xf>
    <xf numFmtId="0" fontId="8" fillId="0" borderId="10" xfId="0" applyFon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165" fontId="0" fillId="0" borderId="23" xfId="0" applyNumberFormat="1" applyBorder="1" applyAlignment="1">
      <alignment horizontal="center"/>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W5" sqref="W5:AB5"/>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5" customWidth="1"/>
    <col min="32" max="32" width="3.140625" style="175" hidden="1" customWidth="1"/>
    <col min="33" max="33" width="0" style="175" hidden="1" customWidth="1"/>
    <col min="34" max="92" width="9.140625" style="175"/>
  </cols>
  <sheetData>
    <row r="1" spans="1:92" ht="20.25" x14ac:dyDescent="0.3">
      <c r="A1" s="434" t="s">
        <v>0</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row>
    <row r="2" spans="1:92" x14ac:dyDescent="0.2">
      <c r="A2" t="s">
        <v>1</v>
      </c>
      <c r="C2" s="442"/>
      <c r="D2" s="409"/>
      <c r="E2" s="409"/>
      <c r="G2" t="s">
        <v>2</v>
      </c>
      <c r="J2" s="439">
        <f>CMDS!G5</f>
        <v>0</v>
      </c>
      <c r="K2" s="303"/>
      <c r="L2" s="303"/>
      <c r="M2" t="s">
        <v>3</v>
      </c>
      <c r="P2" s="439">
        <f>CMDS!G4</f>
        <v>0</v>
      </c>
      <c r="Q2" s="303"/>
      <c r="R2" s="303"/>
      <c r="S2" s="303"/>
      <c r="T2" s="303"/>
      <c r="U2" s="303"/>
      <c r="V2" s="303"/>
      <c r="W2" s="303"/>
      <c r="X2" s="303"/>
      <c r="Y2" s="303"/>
      <c r="Z2" s="303"/>
      <c r="AA2" s="303"/>
      <c r="AB2" s="303"/>
    </row>
    <row r="3" spans="1:92" x14ac:dyDescent="0.2">
      <c r="A3" t="s">
        <v>4</v>
      </c>
      <c r="J3" s="356"/>
      <c r="K3" s="356"/>
      <c r="L3" s="356"/>
      <c r="M3" s="356"/>
      <c r="N3" s="356"/>
      <c r="O3" s="356"/>
      <c r="P3" s="356"/>
      <c r="Q3" s="356"/>
      <c r="R3" s="356"/>
      <c r="S3" s="356"/>
      <c r="T3" s="356"/>
      <c r="U3" s="356"/>
      <c r="V3" s="356"/>
      <c r="W3" s="356"/>
      <c r="X3" s="356"/>
      <c r="Y3" s="356"/>
      <c r="Z3" s="356"/>
      <c r="AA3" s="356"/>
      <c r="AB3" s="356"/>
    </row>
    <row r="4" spans="1:92" x14ac:dyDescent="0.2">
      <c r="A4" t="s">
        <v>5</v>
      </c>
      <c r="F4" s="443" t="str">
        <f>CMDS!V5</f>
        <v>Mix ID Required</v>
      </c>
      <c r="G4" s="443"/>
      <c r="H4" s="443"/>
      <c r="I4" s="443"/>
      <c r="J4" s="443"/>
      <c r="K4" s="443"/>
      <c r="L4" s="443"/>
      <c r="M4" s="443"/>
    </row>
    <row r="5" spans="1:92" x14ac:dyDescent="0.2">
      <c r="A5" s="157" t="s">
        <v>6</v>
      </c>
      <c r="W5" s="356"/>
      <c r="X5" s="356"/>
      <c r="Y5" s="356"/>
      <c r="Z5" s="356"/>
      <c r="AA5" s="356"/>
      <c r="AB5" s="356"/>
    </row>
    <row r="6" spans="1:92" x14ac:dyDescent="0.2">
      <c r="A6" s="356"/>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row>
    <row r="7" spans="1:92" x14ac:dyDescent="0.2">
      <c r="A7" t="s">
        <v>7</v>
      </c>
      <c r="P7" s="438"/>
      <c r="Q7" s="438"/>
      <c r="R7" s="438"/>
      <c r="S7" s="438"/>
      <c r="T7" s="438"/>
      <c r="U7" s="438"/>
      <c r="V7" s="438"/>
      <c r="W7" s="438"/>
      <c r="X7" s="438"/>
      <c r="Y7" s="438"/>
      <c r="Z7" s="438"/>
      <c r="AA7" s="438"/>
      <c r="AB7" s="438"/>
    </row>
    <row r="8" spans="1:92" x14ac:dyDescent="0.2">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row>
    <row r="10" spans="1:92" ht="15.75" x14ac:dyDescent="0.25">
      <c r="A10" s="282" t="s">
        <v>8</v>
      </c>
      <c r="B10" s="283"/>
      <c r="C10" s="283"/>
      <c r="D10" s="283"/>
      <c r="E10" s="283"/>
      <c r="F10" s="283"/>
      <c r="G10" s="283"/>
      <c r="H10" s="283"/>
      <c r="I10" s="283"/>
      <c r="J10" s="283"/>
      <c r="K10" s="283"/>
      <c r="L10" s="283"/>
      <c r="M10" s="283"/>
      <c r="N10" s="283"/>
      <c r="O10" s="283"/>
      <c r="P10" s="283"/>
      <c r="Q10" s="283"/>
      <c r="R10" s="283"/>
      <c r="S10" s="283"/>
      <c r="T10" s="283"/>
      <c r="U10" s="283"/>
      <c r="V10" s="284"/>
      <c r="W10" s="284"/>
      <c r="X10" s="284"/>
      <c r="Y10" s="284"/>
      <c r="Z10" s="284"/>
      <c r="AA10" s="284"/>
      <c r="AB10" s="284"/>
    </row>
    <row r="11" spans="1:92" s="6" customFormat="1" ht="15.75" customHeight="1" x14ac:dyDescent="0.2">
      <c r="A11" s="451"/>
      <c r="B11" s="294"/>
      <c r="C11" s="294"/>
      <c r="D11" s="294"/>
      <c r="E11" s="294"/>
      <c r="F11" s="294"/>
      <c r="G11" s="295"/>
      <c r="H11" s="192"/>
      <c r="I11" s="193"/>
      <c r="J11" s="194"/>
      <c r="K11" s="296" t="s">
        <v>9</v>
      </c>
      <c r="L11" s="294"/>
      <c r="M11" s="294"/>
      <c r="N11" s="295"/>
      <c r="O11" s="296"/>
      <c r="P11" s="294"/>
      <c r="Q11" s="295"/>
      <c r="R11" s="296" t="s">
        <v>9</v>
      </c>
      <c r="S11" s="294"/>
      <c r="T11" s="294"/>
      <c r="U11" s="295"/>
      <c r="V11" s="294" t="s">
        <v>10</v>
      </c>
      <c r="W11" s="294"/>
      <c r="X11" s="295"/>
      <c r="Y11" s="296" t="s">
        <v>9</v>
      </c>
      <c r="Z11" s="294"/>
      <c r="AA11" s="294"/>
      <c r="AB11" s="297"/>
      <c r="AC11" s="4"/>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row>
    <row r="12" spans="1:92" s="6" customFormat="1" x14ac:dyDescent="0.2">
      <c r="A12" s="444" t="s">
        <v>11</v>
      </c>
      <c r="B12" s="298"/>
      <c r="C12" s="298"/>
      <c r="D12" s="298"/>
      <c r="E12" s="298"/>
      <c r="F12" s="298"/>
      <c r="G12" s="299"/>
      <c r="H12" s="317" t="s">
        <v>12</v>
      </c>
      <c r="I12" s="298"/>
      <c r="J12" s="299"/>
      <c r="K12" s="300" t="s">
        <v>13</v>
      </c>
      <c r="L12" s="301"/>
      <c r="M12" s="301"/>
      <c r="N12" s="440"/>
      <c r="O12" s="317" t="s">
        <v>10</v>
      </c>
      <c r="P12" s="298"/>
      <c r="Q12" s="299"/>
      <c r="R12" s="300" t="s">
        <v>14</v>
      </c>
      <c r="S12" s="301"/>
      <c r="T12" s="301"/>
      <c r="U12" s="440"/>
      <c r="V12" s="298" t="s">
        <v>15</v>
      </c>
      <c r="W12" s="298"/>
      <c r="X12" s="299"/>
      <c r="Y12" s="300" t="s">
        <v>14</v>
      </c>
      <c r="Z12" s="301"/>
      <c r="AA12" s="301"/>
      <c r="AB12" s="302"/>
      <c r="AC12" s="4"/>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row>
    <row r="13" spans="1:92" x14ac:dyDescent="0.2">
      <c r="A13" s="463"/>
      <c r="B13" s="303"/>
      <c r="C13" s="303"/>
      <c r="D13" s="303"/>
      <c r="E13" s="303"/>
      <c r="F13" s="303"/>
      <c r="G13" s="304"/>
      <c r="H13" s="305" t="s">
        <v>16</v>
      </c>
      <c r="I13" s="303"/>
      <c r="J13" s="304"/>
      <c r="K13" s="305" t="s">
        <v>17</v>
      </c>
      <c r="L13" s="303"/>
      <c r="M13" s="303"/>
      <c r="N13" s="304"/>
      <c r="O13" s="305" t="s">
        <v>16</v>
      </c>
      <c r="P13" s="303"/>
      <c r="Q13" s="304"/>
      <c r="R13" s="305" t="s">
        <v>17</v>
      </c>
      <c r="S13" s="303"/>
      <c r="T13" s="303"/>
      <c r="U13" s="304"/>
      <c r="V13" s="303" t="s">
        <v>16</v>
      </c>
      <c r="W13" s="303"/>
      <c r="X13" s="304"/>
      <c r="Y13" s="305" t="s">
        <v>15</v>
      </c>
      <c r="Z13" s="303"/>
      <c r="AA13" s="303"/>
      <c r="AB13" s="306"/>
    </row>
    <row r="14" spans="1:92" ht="12.6" customHeight="1" x14ac:dyDescent="0.2">
      <c r="A14" s="429" t="s">
        <v>18</v>
      </c>
      <c r="B14" s="291"/>
      <c r="C14" s="291"/>
      <c r="D14" s="291"/>
      <c r="E14" s="291"/>
      <c r="F14" s="291"/>
      <c r="G14" s="292"/>
      <c r="H14" s="290">
        <f>CMDS!H35</f>
        <v>0</v>
      </c>
      <c r="I14" s="311"/>
      <c r="J14" s="312"/>
      <c r="K14" s="280"/>
      <c r="L14" s="291"/>
      <c r="M14" s="291"/>
      <c r="N14" s="292"/>
      <c r="O14" s="290">
        <f>H14</f>
        <v>0</v>
      </c>
      <c r="P14" s="291"/>
      <c r="Q14" s="292"/>
      <c r="R14" s="280" t="s">
        <v>19</v>
      </c>
      <c r="S14" s="291"/>
      <c r="T14" s="291"/>
      <c r="U14" s="292"/>
      <c r="V14" s="290">
        <f>O14</f>
        <v>0</v>
      </c>
      <c r="W14" s="291"/>
      <c r="X14" s="292"/>
      <c r="Y14" s="280" t="s">
        <v>19</v>
      </c>
      <c r="Z14" s="291"/>
      <c r="AA14" s="291"/>
      <c r="AB14" s="281"/>
    </row>
    <row r="15" spans="1:92" ht="12.6" customHeight="1" x14ac:dyDescent="0.2">
      <c r="A15" s="429" t="s">
        <v>20</v>
      </c>
      <c r="B15" s="291"/>
      <c r="C15" s="291"/>
      <c r="D15" s="291"/>
      <c r="E15" s="291"/>
      <c r="F15" s="291"/>
      <c r="G15" s="292"/>
      <c r="H15" s="293">
        <f>CMDS!K35</f>
        <v>0</v>
      </c>
      <c r="I15" s="291"/>
      <c r="J15" s="292"/>
      <c r="K15" s="280"/>
      <c r="L15" s="291"/>
      <c r="M15" s="291"/>
      <c r="N15" s="292"/>
      <c r="O15" s="293">
        <f>H15</f>
        <v>0</v>
      </c>
      <c r="P15" s="291"/>
      <c r="Q15" s="292"/>
      <c r="R15" s="280" t="s">
        <v>19</v>
      </c>
      <c r="S15" s="291"/>
      <c r="T15" s="291"/>
      <c r="U15" s="292"/>
      <c r="V15" s="293">
        <f>O15</f>
        <v>0</v>
      </c>
      <c r="W15" s="291"/>
      <c r="X15" s="292"/>
      <c r="Y15" s="280" t="s">
        <v>19</v>
      </c>
      <c r="Z15" s="291"/>
      <c r="AA15" s="291"/>
      <c r="AB15" s="281"/>
    </row>
    <row r="16" spans="1:92" ht="12.6" customHeight="1" x14ac:dyDescent="0.2">
      <c r="A16" s="429" t="s">
        <v>21</v>
      </c>
      <c r="B16" s="291"/>
      <c r="C16" s="291"/>
      <c r="D16" s="291"/>
      <c r="E16" s="291"/>
      <c r="F16" s="291"/>
      <c r="G16" s="292"/>
      <c r="H16" s="293">
        <f>IFERROR(M33,"")</f>
        <v>0</v>
      </c>
      <c r="I16" s="285"/>
      <c r="J16" s="286"/>
      <c r="K16" s="287"/>
      <c r="L16" s="288"/>
      <c r="M16" s="288"/>
      <c r="N16" s="307"/>
      <c r="O16" s="293">
        <f>IFERROR(S33,"")</f>
        <v>0</v>
      </c>
      <c r="P16" s="285"/>
      <c r="Q16" s="286"/>
      <c r="R16" s="287"/>
      <c r="S16" s="288"/>
      <c r="T16" s="288"/>
      <c r="U16" s="307"/>
      <c r="V16" s="285">
        <f>IFERROR(Y33,"")</f>
        <v>0</v>
      </c>
      <c r="W16" s="285"/>
      <c r="X16" s="286"/>
      <c r="Y16" s="287"/>
      <c r="Z16" s="288"/>
      <c r="AA16" s="288"/>
      <c r="AB16" s="289"/>
    </row>
    <row r="17" spans="1:30" ht="12.6" customHeight="1" x14ac:dyDescent="0.2">
      <c r="A17" s="429" t="s">
        <v>22</v>
      </c>
      <c r="B17" s="291"/>
      <c r="C17" s="291"/>
      <c r="D17" s="291"/>
      <c r="E17" s="291"/>
      <c r="F17" s="291"/>
      <c r="G17" s="292"/>
      <c r="H17" s="290">
        <f>CMDS!H36</f>
        <v>0</v>
      </c>
      <c r="I17" s="311"/>
      <c r="J17" s="312"/>
      <c r="K17" s="280"/>
      <c r="L17" s="291"/>
      <c r="M17" s="291"/>
      <c r="N17" s="292"/>
      <c r="O17" s="290">
        <f>H17</f>
        <v>0</v>
      </c>
      <c r="P17" s="291"/>
      <c r="Q17" s="292"/>
      <c r="R17" s="280" t="s">
        <v>19</v>
      </c>
      <c r="S17" s="291"/>
      <c r="T17" s="291"/>
      <c r="U17" s="292"/>
      <c r="V17" s="290">
        <f>O17</f>
        <v>0</v>
      </c>
      <c r="W17" s="291"/>
      <c r="X17" s="292"/>
      <c r="Y17" s="280" t="s">
        <v>19</v>
      </c>
      <c r="Z17" s="291"/>
      <c r="AA17" s="291"/>
      <c r="AB17" s="281"/>
    </row>
    <row r="18" spans="1:30" ht="12.6" customHeight="1" x14ac:dyDescent="0.2">
      <c r="A18" s="429" t="s">
        <v>23</v>
      </c>
      <c r="B18" s="291"/>
      <c r="C18" s="291"/>
      <c r="D18" s="291"/>
      <c r="E18" s="291"/>
      <c r="F18" s="291"/>
      <c r="G18" s="292"/>
      <c r="H18" s="293">
        <f>CMDS!K36</f>
        <v>0</v>
      </c>
      <c r="I18" s="285"/>
      <c r="J18" s="286"/>
      <c r="K18" s="280"/>
      <c r="L18" s="291"/>
      <c r="M18" s="291"/>
      <c r="N18" s="292"/>
      <c r="O18" s="293">
        <f>H18</f>
        <v>0</v>
      </c>
      <c r="P18" s="291"/>
      <c r="Q18" s="292"/>
      <c r="R18" s="280" t="s">
        <v>19</v>
      </c>
      <c r="S18" s="291"/>
      <c r="T18" s="291"/>
      <c r="U18" s="292"/>
      <c r="V18" s="293">
        <f>O18</f>
        <v>0</v>
      </c>
      <c r="W18" s="291"/>
      <c r="X18" s="292"/>
      <c r="Y18" s="280" t="s">
        <v>19</v>
      </c>
      <c r="Z18" s="291"/>
      <c r="AA18" s="291"/>
      <c r="AB18" s="281"/>
    </row>
    <row r="19" spans="1:30" ht="12.6" customHeight="1" x14ac:dyDescent="0.2">
      <c r="A19" s="429" t="s">
        <v>24</v>
      </c>
      <c r="B19" s="291"/>
      <c r="C19" s="291"/>
      <c r="D19" s="291"/>
      <c r="E19" s="291"/>
      <c r="F19" s="291"/>
      <c r="G19" s="292"/>
      <c r="H19" s="293">
        <f>IFERROR(O33,"")</f>
        <v>0</v>
      </c>
      <c r="I19" s="285"/>
      <c r="J19" s="286"/>
      <c r="K19" s="287"/>
      <c r="L19" s="288"/>
      <c r="M19" s="288"/>
      <c r="N19" s="307"/>
      <c r="O19" s="293">
        <f>IFERROR(U33,"")</f>
        <v>0</v>
      </c>
      <c r="P19" s="285"/>
      <c r="Q19" s="286"/>
      <c r="R19" s="287"/>
      <c r="S19" s="288"/>
      <c r="T19" s="288"/>
      <c r="U19" s="307"/>
      <c r="V19" s="285">
        <f>IFERROR(AA33,"")</f>
        <v>0</v>
      </c>
      <c r="W19" s="285"/>
      <c r="X19" s="286"/>
      <c r="Y19" s="287"/>
      <c r="Z19" s="288"/>
      <c r="AA19" s="288"/>
      <c r="AB19" s="289"/>
    </row>
    <row r="20" spans="1:30" ht="12.6" customHeight="1" x14ac:dyDescent="0.2">
      <c r="A20" s="433" t="s">
        <v>25</v>
      </c>
      <c r="B20" s="291"/>
      <c r="C20" s="291"/>
      <c r="D20" s="291"/>
      <c r="E20" s="291"/>
      <c r="F20" s="291"/>
      <c r="G20" s="292"/>
      <c r="H20" s="290">
        <f>CMDS!H38</f>
        <v>0</v>
      </c>
      <c r="I20" s="311"/>
      <c r="J20" s="312"/>
      <c r="K20" s="280"/>
      <c r="L20" s="291"/>
      <c r="M20" s="291"/>
      <c r="N20" s="292"/>
      <c r="O20" s="290">
        <f>H20</f>
        <v>0</v>
      </c>
      <c r="P20" s="291"/>
      <c r="Q20" s="292"/>
      <c r="R20" s="280" t="s">
        <v>19</v>
      </c>
      <c r="S20" s="291"/>
      <c r="T20" s="291"/>
      <c r="U20" s="292"/>
      <c r="V20" s="290">
        <f>O20</f>
        <v>0</v>
      </c>
      <c r="W20" s="291"/>
      <c r="X20" s="292"/>
      <c r="Y20" s="280" t="s">
        <v>19</v>
      </c>
      <c r="Z20" s="291"/>
      <c r="AA20" s="291"/>
      <c r="AB20" s="281"/>
    </row>
    <row r="21" spans="1:30" ht="12.6" customHeight="1" x14ac:dyDescent="0.2">
      <c r="A21" s="433" t="s">
        <v>26</v>
      </c>
      <c r="B21" s="291"/>
      <c r="C21" s="291"/>
      <c r="D21" s="291"/>
      <c r="E21" s="291"/>
      <c r="F21" s="291"/>
      <c r="G21" s="292"/>
      <c r="H21" s="293">
        <f>CMDS!K38</f>
        <v>0</v>
      </c>
      <c r="I21" s="285"/>
      <c r="J21" s="286"/>
      <c r="K21" s="280"/>
      <c r="L21" s="291"/>
      <c r="M21" s="291"/>
      <c r="N21" s="292"/>
      <c r="O21" s="293">
        <f>H21</f>
        <v>0</v>
      </c>
      <c r="P21" s="291"/>
      <c r="Q21" s="292"/>
      <c r="R21" s="280" t="s">
        <v>19</v>
      </c>
      <c r="S21" s="291"/>
      <c r="T21" s="291"/>
      <c r="U21" s="292"/>
      <c r="V21" s="293">
        <f>O21</f>
        <v>0</v>
      </c>
      <c r="W21" s="291"/>
      <c r="X21" s="292"/>
      <c r="Y21" s="280" t="s">
        <v>19</v>
      </c>
      <c r="Z21" s="291"/>
      <c r="AA21" s="291"/>
      <c r="AB21" s="281"/>
    </row>
    <row r="22" spans="1:30" ht="12.6" customHeight="1" x14ac:dyDescent="0.2">
      <c r="A22" s="433" t="s">
        <v>27</v>
      </c>
      <c r="B22" s="291"/>
      <c r="C22" s="291"/>
      <c r="D22" s="291"/>
      <c r="E22" s="291"/>
      <c r="F22" s="291"/>
      <c r="G22" s="292"/>
      <c r="H22" s="293">
        <f>IFERROR(Q33,"")</f>
        <v>0</v>
      </c>
      <c r="I22" s="285"/>
      <c r="J22" s="286"/>
      <c r="K22" s="287"/>
      <c r="L22" s="288"/>
      <c r="M22" s="288"/>
      <c r="N22" s="307"/>
      <c r="O22" s="293">
        <f>IFERROR(W33,"")</f>
        <v>0</v>
      </c>
      <c r="P22" s="285"/>
      <c r="Q22" s="286"/>
      <c r="R22" s="287"/>
      <c r="S22" s="288"/>
      <c r="T22" s="288"/>
      <c r="U22" s="307"/>
      <c r="V22" s="285">
        <f>IFERROR(AC33,"")</f>
        <v>0</v>
      </c>
      <c r="W22" s="285"/>
      <c r="X22" s="286"/>
      <c r="Y22" s="287"/>
      <c r="Z22" s="288"/>
      <c r="AA22" s="288"/>
      <c r="AB22" s="289"/>
    </row>
    <row r="23" spans="1:30" ht="12.6" customHeight="1" thickBot="1" x14ac:dyDescent="0.25">
      <c r="A23" s="504" t="s">
        <v>28</v>
      </c>
      <c r="B23" s="347"/>
      <c r="C23" s="347"/>
      <c r="D23" s="347"/>
      <c r="E23" s="347"/>
      <c r="F23" s="347"/>
      <c r="G23" s="354"/>
      <c r="H23" s="459"/>
      <c r="I23" s="452"/>
      <c r="J23" s="453"/>
      <c r="K23" s="396"/>
      <c r="L23" s="397"/>
      <c r="M23" s="397"/>
      <c r="N23" s="398"/>
      <c r="O23" s="459"/>
      <c r="P23" s="452"/>
      <c r="Q23" s="453"/>
      <c r="R23" s="396"/>
      <c r="S23" s="397"/>
      <c r="T23" s="397"/>
      <c r="U23" s="398"/>
      <c r="V23" s="452"/>
      <c r="W23" s="452"/>
      <c r="X23" s="453"/>
      <c r="Y23" s="396"/>
      <c r="Z23" s="397"/>
      <c r="AA23" s="397"/>
      <c r="AB23" s="420"/>
    </row>
    <row r="24" spans="1:30" ht="12.6" customHeight="1" thickBot="1" x14ac:dyDescent="0.25">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
      <c r="A25" s="465" t="s">
        <v>29</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7"/>
    </row>
    <row r="26" spans="1:30" ht="12.6" customHeight="1" x14ac:dyDescent="0.2">
      <c r="A26" s="475"/>
      <c r="B26" s="447" t="s">
        <v>30</v>
      </c>
      <c r="C26" s="534"/>
      <c r="D26" s="534"/>
      <c r="E26" s="534"/>
      <c r="F26" s="534"/>
      <c r="G26" s="534"/>
      <c r="H26" s="534"/>
      <c r="I26" s="534"/>
      <c r="J26" s="447" t="s">
        <v>31</v>
      </c>
      <c r="K26" s="447"/>
      <c r="L26" s="447"/>
      <c r="M26" s="457" t="s">
        <v>12</v>
      </c>
      <c r="N26" s="458"/>
      <c r="O26" s="458"/>
      <c r="P26" s="458"/>
      <c r="Q26" s="334"/>
      <c r="R26" s="334"/>
      <c r="S26" s="457" t="s">
        <v>32</v>
      </c>
      <c r="T26" s="458"/>
      <c r="U26" s="458"/>
      <c r="V26" s="458"/>
      <c r="W26" s="334"/>
      <c r="X26" s="334"/>
      <c r="Y26" s="457" t="s">
        <v>33</v>
      </c>
      <c r="Z26" s="334"/>
      <c r="AA26" s="334"/>
      <c r="AB26" s="334"/>
      <c r="AC26" s="533"/>
    </row>
    <row r="27" spans="1:30" ht="12.6" customHeight="1" x14ac:dyDescent="0.2">
      <c r="A27" s="476"/>
      <c r="B27" s="526"/>
      <c r="C27" s="526"/>
      <c r="D27" s="526"/>
      <c r="E27" s="526"/>
      <c r="F27" s="526"/>
      <c r="G27" s="526"/>
      <c r="H27" s="526"/>
      <c r="I27" s="526"/>
      <c r="J27" s="448"/>
      <c r="K27" s="448"/>
      <c r="L27" s="448"/>
      <c r="M27" s="328" t="s">
        <v>34</v>
      </c>
      <c r="N27" s="292"/>
      <c r="O27" s="328" t="s">
        <v>35</v>
      </c>
      <c r="P27" s="292"/>
      <c r="Q27" s="328" t="s">
        <v>36</v>
      </c>
      <c r="R27" s="329"/>
      <c r="S27" s="328" t="s">
        <v>34</v>
      </c>
      <c r="T27" s="292"/>
      <c r="U27" s="328" t="s">
        <v>35</v>
      </c>
      <c r="V27" s="292"/>
      <c r="W27" s="328" t="s">
        <v>36</v>
      </c>
      <c r="X27" s="329"/>
      <c r="Y27" s="328" t="s">
        <v>34</v>
      </c>
      <c r="Z27" s="292"/>
      <c r="AA27" s="328" t="s">
        <v>35</v>
      </c>
      <c r="AB27" s="292"/>
      <c r="AC27" s="167" t="s">
        <v>36</v>
      </c>
    </row>
    <row r="28" spans="1:30" ht="12.6" customHeight="1" x14ac:dyDescent="0.2">
      <c r="A28" s="168" t="s">
        <v>37</v>
      </c>
      <c r="B28" s="449" t="s">
        <v>38</v>
      </c>
      <c r="C28" s="450"/>
      <c r="D28" s="450"/>
      <c r="E28" s="450"/>
      <c r="F28" s="450"/>
      <c r="G28" s="450"/>
      <c r="H28" s="450"/>
      <c r="I28" s="450"/>
      <c r="J28" s="335" t="s">
        <v>39</v>
      </c>
      <c r="K28" s="336"/>
      <c r="L28" s="337"/>
      <c r="M28" s="321"/>
      <c r="N28" s="322"/>
      <c r="O28" s="321"/>
      <c r="P28" s="322"/>
      <c r="Q28" s="321"/>
      <c r="R28" s="322"/>
      <c r="S28" s="321"/>
      <c r="T28" s="322"/>
      <c r="U28" s="321"/>
      <c r="V28" s="322"/>
      <c r="W28" s="321"/>
      <c r="X28" s="322"/>
      <c r="Y28" s="321"/>
      <c r="Z28" s="322"/>
      <c r="AA28" s="321"/>
      <c r="AB28" s="322"/>
      <c r="AC28" s="169"/>
      <c r="AD28" s="176"/>
    </row>
    <row r="29" spans="1:30" ht="12.6" customHeight="1" x14ac:dyDescent="0.2">
      <c r="A29" s="168" t="s">
        <v>40</v>
      </c>
      <c r="B29" s="449" t="s">
        <v>41</v>
      </c>
      <c r="C29" s="450"/>
      <c r="D29" s="450"/>
      <c r="E29" s="450"/>
      <c r="F29" s="450"/>
      <c r="G29" s="450"/>
      <c r="H29" s="450"/>
      <c r="I29" s="450"/>
      <c r="J29" s="335" t="s">
        <v>39</v>
      </c>
      <c r="K29" s="336"/>
      <c r="L29" s="337"/>
      <c r="M29" s="321"/>
      <c r="N29" s="322"/>
      <c r="O29" s="321"/>
      <c r="P29" s="322"/>
      <c r="Q29" s="321"/>
      <c r="R29" s="322"/>
      <c r="S29" s="321"/>
      <c r="T29" s="322"/>
      <c r="U29" s="321"/>
      <c r="V29" s="322"/>
      <c r="W29" s="321"/>
      <c r="X29" s="322"/>
      <c r="Y29" s="321"/>
      <c r="Z29" s="322"/>
      <c r="AA29" s="321"/>
      <c r="AB29" s="322"/>
      <c r="AC29" s="169"/>
      <c r="AD29" s="176"/>
    </row>
    <row r="30" spans="1:30" ht="12.6" customHeight="1" x14ac:dyDescent="0.2">
      <c r="A30" s="168" t="s">
        <v>42</v>
      </c>
      <c r="B30" s="449" t="s">
        <v>43</v>
      </c>
      <c r="C30" s="450"/>
      <c r="D30" s="450"/>
      <c r="E30" s="450"/>
      <c r="F30" s="450"/>
      <c r="G30" s="450"/>
      <c r="H30" s="450"/>
      <c r="I30" s="160"/>
      <c r="J30" s="335" t="s">
        <v>44</v>
      </c>
      <c r="K30" s="336"/>
      <c r="L30" s="337"/>
      <c r="M30" s="316" t="str">
        <f>IF(M28-M29=0,"",M28-M29)</f>
        <v/>
      </c>
      <c r="N30" s="291"/>
      <c r="O30" s="316" t="str">
        <f>IF(O28-O29=0,"",O28-O29)</f>
        <v/>
      </c>
      <c r="P30" s="291"/>
      <c r="Q30" s="316" t="str">
        <f>IF(Q28-Q29=0,"",Q28-Q29)</f>
        <v/>
      </c>
      <c r="R30" s="291"/>
      <c r="S30" s="316" t="str">
        <f>IF(S28-S29=0,"",S28-S29)</f>
        <v/>
      </c>
      <c r="T30" s="291"/>
      <c r="U30" s="316" t="str">
        <f>IF(U28-U29=0,"",U28-U29)</f>
        <v/>
      </c>
      <c r="V30" s="291"/>
      <c r="W30" s="316" t="str">
        <f>IF(W28-W29=0,"",W28-W29)</f>
        <v/>
      </c>
      <c r="X30" s="291"/>
      <c r="Y30" s="316" t="str">
        <f>IF(Y28-Y29=0,"",Y28-Y29)</f>
        <v/>
      </c>
      <c r="Z30" s="291"/>
      <c r="AA30" s="316" t="str">
        <f>IF(AA28-AA29=0,"",AA28-AA29)</f>
        <v/>
      </c>
      <c r="AB30" s="291"/>
      <c r="AC30" s="170" t="str">
        <f>IF(AC28-AC29=0,"",AC28-AC29)</f>
        <v/>
      </c>
    </row>
    <row r="31" spans="1:30" ht="12.6" customHeight="1" x14ac:dyDescent="0.2">
      <c r="A31" s="168" t="s">
        <v>45</v>
      </c>
      <c r="B31" s="449" t="s">
        <v>46</v>
      </c>
      <c r="C31" s="450"/>
      <c r="D31" s="450"/>
      <c r="E31" s="450"/>
      <c r="F31" s="450"/>
      <c r="G31" s="161"/>
      <c r="H31" s="161"/>
      <c r="I31" s="161"/>
      <c r="J31" s="335" t="s">
        <v>39</v>
      </c>
      <c r="K31" s="336"/>
      <c r="L31" s="337"/>
      <c r="M31" s="321"/>
      <c r="N31" s="322"/>
      <c r="O31" s="321"/>
      <c r="P31" s="322"/>
      <c r="Q31" s="321"/>
      <c r="R31" s="322"/>
      <c r="S31" s="321"/>
      <c r="T31" s="322"/>
      <c r="U31" s="321"/>
      <c r="V31" s="322"/>
      <c r="W31" s="321"/>
      <c r="X31" s="322"/>
      <c r="Y31" s="321"/>
      <c r="Z31" s="322"/>
      <c r="AA31" s="321"/>
      <c r="AB31" s="322"/>
      <c r="AC31" s="169"/>
      <c r="AD31" s="176"/>
    </row>
    <row r="32" spans="1:30" ht="12.6" customHeight="1" x14ac:dyDescent="0.2">
      <c r="A32" s="168" t="s">
        <v>47</v>
      </c>
      <c r="B32" s="449" t="s">
        <v>48</v>
      </c>
      <c r="C32" s="450"/>
      <c r="D32" s="450"/>
      <c r="E32" s="450"/>
      <c r="F32" s="450"/>
      <c r="G32" s="450"/>
      <c r="H32" s="450"/>
      <c r="I32" s="161"/>
      <c r="J32" s="335" t="s">
        <v>49</v>
      </c>
      <c r="K32" s="336"/>
      <c r="L32" s="337"/>
      <c r="M32" s="316" t="str">
        <f>IF(M29-M31=0,"",M29-M31)</f>
        <v/>
      </c>
      <c r="N32" s="291"/>
      <c r="O32" s="316" t="str">
        <f>IF(O29-O31=0,"",O29-O31)</f>
        <v/>
      </c>
      <c r="P32" s="291"/>
      <c r="Q32" s="316" t="str">
        <f>IF(Q29-Q31=0,"",Q29-Q31)</f>
        <v/>
      </c>
      <c r="R32" s="291"/>
      <c r="S32" s="316" t="str">
        <f>IF(S29-S31=0,"",S29-S31)</f>
        <v/>
      </c>
      <c r="T32" s="291"/>
      <c r="U32" s="316" t="str">
        <f>IF(U29-U31=0,"",U29-U31)</f>
        <v/>
      </c>
      <c r="V32" s="291"/>
      <c r="W32" s="316" t="str">
        <f>IF(W29-W31=0,"",W29-W31)</f>
        <v/>
      </c>
      <c r="X32" s="291"/>
      <c r="Y32" s="316" t="str">
        <f>IF(Y29-Y31=0,"",Y29-Y31)</f>
        <v/>
      </c>
      <c r="Z32" s="291"/>
      <c r="AA32" s="316" t="str">
        <f>IF(AA29-AA31=0,"",AA29-AA31)</f>
        <v/>
      </c>
      <c r="AB32" s="291"/>
      <c r="AC32" s="170" t="str">
        <f>IF(AC29-AC31=0,"",AC29-AC31)</f>
        <v/>
      </c>
    </row>
    <row r="33" spans="1:30" ht="12.6" customHeight="1" thickBot="1" x14ac:dyDescent="0.25">
      <c r="A33" s="171" t="s">
        <v>50</v>
      </c>
      <c r="B33" s="471" t="s">
        <v>51</v>
      </c>
      <c r="C33" s="472"/>
      <c r="D33" s="472"/>
      <c r="E33" s="472"/>
      <c r="F33" s="472"/>
      <c r="G33" s="472"/>
      <c r="H33" s="172"/>
      <c r="I33" s="172"/>
      <c r="J33" s="473" t="s">
        <v>52</v>
      </c>
      <c r="K33" s="474"/>
      <c r="L33" s="474"/>
      <c r="M33" s="326">
        <f>IFERROR((M30/M32)*100,0)</f>
        <v>0</v>
      </c>
      <c r="N33" s="327"/>
      <c r="O33" s="326">
        <f>IFERROR((O30/O32)*100,0)</f>
        <v>0</v>
      </c>
      <c r="P33" s="327"/>
      <c r="Q33" s="326">
        <f>IFERROR((Q30/Q32)*100,0)</f>
        <v>0</v>
      </c>
      <c r="R33" s="327"/>
      <c r="S33" s="326">
        <f>IFERROR((S30/S32)*100,0)</f>
        <v>0</v>
      </c>
      <c r="T33" s="327"/>
      <c r="U33" s="326">
        <f>IFERROR((U30/U32)*100,0)</f>
        <v>0</v>
      </c>
      <c r="V33" s="327"/>
      <c r="W33" s="326">
        <f>IFERROR((W30/W32)*100,0)</f>
        <v>0</v>
      </c>
      <c r="X33" s="347"/>
      <c r="Y33" s="326">
        <f>IFERROR((Y30/Y32)*100,0)</f>
        <v>0</v>
      </c>
      <c r="Z33" s="327"/>
      <c r="AA33" s="326">
        <f>IFERROR((AA30/AA32)*100,0)</f>
        <v>0</v>
      </c>
      <c r="AB33" s="327"/>
      <c r="AC33" s="173">
        <f>IFERROR((AC30/AC32)*100,0)</f>
        <v>0</v>
      </c>
      <c r="AD33" s="177"/>
    </row>
    <row r="34" spans="1:30" ht="12.6" customHeight="1" x14ac:dyDescent="0.2">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4"/>
    </row>
    <row r="35" spans="1:30" ht="12.6" customHeight="1" x14ac:dyDescent="0.2">
      <c r="A35" s="530" t="s">
        <v>53</v>
      </c>
      <c r="B35" s="531"/>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row>
    <row r="36" spans="1:30" ht="12.6" customHeight="1" x14ac:dyDescent="0.2">
      <c r="A36" s="162"/>
      <c r="B36" s="163"/>
      <c r="C36" s="164"/>
      <c r="D36" s="164"/>
      <c r="E36" s="164"/>
      <c r="F36" s="164"/>
      <c r="G36" s="328" t="s">
        <v>12</v>
      </c>
      <c r="H36" s="464"/>
      <c r="I36" s="464"/>
      <c r="J36" s="464"/>
      <c r="K36" s="464"/>
      <c r="L36" s="329"/>
      <c r="M36" s="328" t="s">
        <v>32</v>
      </c>
      <c r="N36" s="464"/>
      <c r="O36" s="464"/>
      <c r="P36" s="464"/>
      <c r="Q36" s="464"/>
      <c r="R36" s="329"/>
      <c r="S36" s="328" t="s">
        <v>33</v>
      </c>
      <c r="T36" s="464"/>
      <c r="U36" s="464"/>
      <c r="V36" s="464"/>
      <c r="W36" s="329"/>
      <c r="X36" s="166"/>
      <c r="Y36" s="1"/>
      <c r="Z36" s="1"/>
      <c r="AA36" s="166"/>
      <c r="AB36" s="1"/>
    </row>
    <row r="37" spans="1:30" ht="12.6" customHeight="1" x14ac:dyDescent="0.2">
      <c r="A37" s="162"/>
      <c r="B37" s="445" t="s">
        <v>54</v>
      </c>
      <c r="C37" s="446"/>
      <c r="D37" s="446"/>
      <c r="E37" s="446"/>
      <c r="F37" s="446"/>
      <c r="G37" s="323"/>
      <c r="H37" s="324"/>
      <c r="I37" s="324"/>
      <c r="J37" s="324"/>
      <c r="K37" s="324"/>
      <c r="L37" s="325"/>
      <c r="M37" s="323"/>
      <c r="N37" s="324"/>
      <c r="O37" s="324"/>
      <c r="P37" s="324"/>
      <c r="Q37" s="324"/>
      <c r="R37" s="325"/>
      <c r="S37" s="323"/>
      <c r="T37" s="324"/>
      <c r="U37" s="324"/>
      <c r="V37" s="324"/>
      <c r="W37" s="325"/>
      <c r="X37" s="166"/>
      <c r="Y37" s="1"/>
      <c r="Z37" s="1"/>
      <c r="AA37" s="166"/>
      <c r="AB37" s="1"/>
    </row>
    <row r="38" spans="1:30" ht="12.6" customHeight="1" x14ac:dyDescent="0.2">
      <c r="A38" s="162"/>
      <c r="B38" s="445" t="s">
        <v>55</v>
      </c>
      <c r="C38" s="446"/>
      <c r="D38" s="446"/>
      <c r="E38" s="446"/>
      <c r="F38" s="532"/>
      <c r="G38" s="328" t="s">
        <v>34</v>
      </c>
      <c r="H38" s="292"/>
      <c r="I38" s="328" t="s">
        <v>35</v>
      </c>
      <c r="J38" s="292"/>
      <c r="K38" s="328" t="s">
        <v>36</v>
      </c>
      <c r="L38" s="329"/>
      <c r="M38" s="328" t="s">
        <v>34</v>
      </c>
      <c r="N38" s="292"/>
      <c r="O38" s="328" t="s">
        <v>35</v>
      </c>
      <c r="P38" s="292"/>
      <c r="Q38" s="328" t="s">
        <v>36</v>
      </c>
      <c r="R38" s="329"/>
      <c r="S38" s="328" t="s">
        <v>34</v>
      </c>
      <c r="T38" s="292"/>
      <c r="U38" s="328" t="s">
        <v>35</v>
      </c>
      <c r="V38" s="292"/>
      <c r="W38" s="328" t="s">
        <v>36</v>
      </c>
      <c r="X38" s="329"/>
      <c r="Y38" s="1"/>
      <c r="Z38" s="1"/>
      <c r="AA38" s="166"/>
      <c r="AB38" s="1"/>
    </row>
    <row r="39" spans="1:30" ht="12.6" customHeight="1" x14ac:dyDescent="0.2">
      <c r="A39" s="162"/>
      <c r="B39" s="445" t="s">
        <v>56</v>
      </c>
      <c r="C39" s="446"/>
      <c r="D39" s="446"/>
      <c r="E39" s="446"/>
      <c r="F39" s="532"/>
      <c r="G39" s="333">
        <f>G37*($I$52/27)</f>
        <v>0</v>
      </c>
      <c r="H39" s="334"/>
      <c r="I39" s="333">
        <f>G37*($I$53/27)</f>
        <v>0</v>
      </c>
      <c r="J39" s="334"/>
      <c r="K39" s="333">
        <f>G37*($I$54/27)</f>
        <v>0</v>
      </c>
      <c r="L39" s="334"/>
      <c r="M39" s="333">
        <f>M37*($I$52/27)</f>
        <v>0</v>
      </c>
      <c r="N39" s="334"/>
      <c r="O39" s="333">
        <f>M37*($I$53/27)</f>
        <v>0</v>
      </c>
      <c r="P39" s="334"/>
      <c r="Q39" s="333">
        <f>M37*($I$54/27)</f>
        <v>0</v>
      </c>
      <c r="R39" s="334"/>
      <c r="S39" s="333">
        <f>S37*($I$52/27)</f>
        <v>0</v>
      </c>
      <c r="T39" s="334"/>
      <c r="U39" s="333">
        <f>S37*($I$53/27)</f>
        <v>0</v>
      </c>
      <c r="V39" s="334"/>
      <c r="W39" s="333">
        <f>S37*($I$54/27)</f>
        <v>0</v>
      </c>
      <c r="X39" s="334"/>
      <c r="Y39" s="1"/>
      <c r="Z39" s="1"/>
      <c r="AA39" s="166"/>
      <c r="AB39" s="1"/>
    </row>
    <row r="40" spans="1:30" ht="12.6" customHeight="1" thickBot="1" x14ac:dyDescent="0.25">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75" x14ac:dyDescent="0.25">
      <c r="A41" s="468" t="s">
        <v>57</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row>
    <row r="42" spans="1:30" x14ac:dyDescent="0.2">
      <c r="A42" s="444"/>
      <c r="B42" s="298"/>
      <c r="C42" s="298"/>
      <c r="D42" s="7"/>
      <c r="H42" s="8"/>
      <c r="I42" s="7"/>
      <c r="M42" s="8"/>
      <c r="N42" s="7"/>
      <c r="P42" s="8"/>
      <c r="Q42" s="317" t="s">
        <v>58</v>
      </c>
      <c r="R42" s="298"/>
      <c r="S42" s="299"/>
      <c r="T42" s="7"/>
      <c r="V42" s="8"/>
      <c r="W42" s="7"/>
      <c r="Y42" s="8"/>
      <c r="Z42" s="317"/>
      <c r="AA42" s="298"/>
      <c r="AB42" s="298"/>
      <c r="AC42" s="339"/>
    </row>
    <row r="43" spans="1:30" x14ac:dyDescent="0.2">
      <c r="A43" s="444"/>
      <c r="B43" s="298"/>
      <c r="C43" s="298"/>
      <c r="D43" s="317" t="s">
        <v>59</v>
      </c>
      <c r="E43" s="298"/>
      <c r="F43" s="298"/>
      <c r="G43" s="298"/>
      <c r="H43" s="299"/>
      <c r="I43" s="317" t="s">
        <v>60</v>
      </c>
      <c r="J43" s="298"/>
      <c r="K43" s="298"/>
      <c r="L43" s="298"/>
      <c r="M43" s="299"/>
      <c r="N43" s="317" t="s">
        <v>61</v>
      </c>
      <c r="O43" s="298"/>
      <c r="P43" s="299"/>
      <c r="Q43" s="317" t="s">
        <v>61</v>
      </c>
      <c r="R43" s="298"/>
      <c r="S43" s="299"/>
      <c r="T43" s="317" t="s">
        <v>62</v>
      </c>
      <c r="U43" s="298"/>
      <c r="V43" s="299"/>
      <c r="W43" s="317" t="s">
        <v>63</v>
      </c>
      <c r="X43" s="298"/>
      <c r="Y43" s="299"/>
      <c r="Z43" s="317" t="s">
        <v>64</v>
      </c>
      <c r="AA43" s="298"/>
      <c r="AB43" s="298"/>
      <c r="AC43" s="339"/>
    </row>
    <row r="44" spans="1:30" x14ac:dyDescent="0.2">
      <c r="A44" s="444" t="s">
        <v>65</v>
      </c>
      <c r="B44" s="298"/>
      <c r="C44" s="299"/>
      <c r="D44" s="317" t="s">
        <v>66</v>
      </c>
      <c r="E44" s="298"/>
      <c r="F44" s="298"/>
      <c r="G44" s="298"/>
      <c r="H44" s="299"/>
      <c r="I44" s="317" t="s">
        <v>66</v>
      </c>
      <c r="J44" s="298"/>
      <c r="K44" s="298"/>
      <c r="L44" s="298"/>
      <c r="M44" s="299"/>
      <c r="N44" s="317" t="s">
        <v>67</v>
      </c>
      <c r="O44" s="298"/>
      <c r="P44" s="299"/>
      <c r="Q44" s="317" t="s">
        <v>67</v>
      </c>
      <c r="R44" s="298"/>
      <c r="S44" s="299"/>
      <c r="T44" s="317" t="s">
        <v>67</v>
      </c>
      <c r="U44" s="298"/>
      <c r="V44" s="299"/>
      <c r="W44" s="317" t="s">
        <v>68</v>
      </c>
      <c r="X44" s="298"/>
      <c r="Y44" s="299"/>
      <c r="Z44" s="317" t="s">
        <v>68</v>
      </c>
      <c r="AA44" s="298"/>
      <c r="AB44" s="298"/>
      <c r="AC44" s="339"/>
    </row>
    <row r="45" spans="1:30" x14ac:dyDescent="0.2">
      <c r="A45" s="444"/>
      <c r="B45" s="298"/>
      <c r="C45" s="298"/>
      <c r="D45" s="454" t="s">
        <v>69</v>
      </c>
      <c r="E45" s="455"/>
      <c r="F45" s="455"/>
      <c r="G45" s="455"/>
      <c r="H45" s="456"/>
      <c r="I45" s="454" t="s">
        <v>70</v>
      </c>
      <c r="J45" s="455"/>
      <c r="K45" s="455"/>
      <c r="L45" s="455"/>
      <c r="M45" s="456"/>
      <c r="N45" s="317" t="s">
        <v>71</v>
      </c>
      <c r="O45" s="298"/>
      <c r="P45" s="299"/>
      <c r="Q45" s="317" t="s">
        <v>66</v>
      </c>
      <c r="R45" s="298"/>
      <c r="S45" s="299"/>
      <c r="T45" s="317" t="s">
        <v>66</v>
      </c>
      <c r="U45" s="298"/>
      <c r="V45" s="299"/>
      <c r="W45" s="7"/>
      <c r="Y45" s="8"/>
      <c r="Z45" s="7"/>
      <c r="AC45" s="3"/>
    </row>
    <row r="46" spans="1:30" x14ac:dyDescent="0.2">
      <c r="A46" s="444"/>
      <c r="B46" s="298"/>
      <c r="C46" s="298"/>
      <c r="D46" s="305" t="s">
        <v>72</v>
      </c>
      <c r="E46" s="303"/>
      <c r="F46" s="303"/>
      <c r="G46" s="303"/>
      <c r="H46" s="304"/>
      <c r="I46" s="305" t="s">
        <v>72</v>
      </c>
      <c r="J46" s="303"/>
      <c r="K46" s="303"/>
      <c r="L46" s="303"/>
      <c r="M46" s="304"/>
      <c r="N46" s="305" t="s">
        <v>73</v>
      </c>
      <c r="O46" s="303"/>
      <c r="P46" s="304"/>
      <c r="Q46" s="305" t="s">
        <v>72</v>
      </c>
      <c r="R46" s="303"/>
      <c r="S46" s="304"/>
      <c r="T46" s="305" t="s">
        <v>72</v>
      </c>
      <c r="U46" s="303"/>
      <c r="V46" s="304"/>
      <c r="W46" s="305" t="s">
        <v>74</v>
      </c>
      <c r="X46" s="303"/>
      <c r="Y46" s="304"/>
      <c r="Z46" s="305" t="s">
        <v>74</v>
      </c>
      <c r="AA46" s="303"/>
      <c r="AB46" s="303"/>
      <c r="AC46" s="306"/>
    </row>
    <row r="47" spans="1:30" ht="12.6" customHeight="1" x14ac:dyDescent="0.2">
      <c r="A47" s="429" t="s">
        <v>75</v>
      </c>
      <c r="B47" s="291"/>
      <c r="C47" s="292"/>
      <c r="D47" s="318">
        <f>CMDS!E30</f>
        <v>0</v>
      </c>
      <c r="E47" s="319"/>
      <c r="F47" s="319"/>
      <c r="G47" s="319"/>
      <c r="H47" s="320"/>
      <c r="I47" s="318">
        <f>D47</f>
        <v>0</v>
      </c>
      <c r="J47" s="319"/>
      <c r="K47" s="319"/>
      <c r="L47" s="319"/>
      <c r="M47" s="320"/>
      <c r="N47" s="330"/>
      <c r="O47" s="331"/>
      <c r="P47" s="332"/>
      <c r="Q47" s="318">
        <f>I47*N47</f>
        <v>0</v>
      </c>
      <c r="R47" s="319"/>
      <c r="S47" s="320"/>
      <c r="T47" s="330"/>
      <c r="U47" s="331"/>
      <c r="V47" s="332"/>
      <c r="W47" s="293">
        <f>IFERROR(100*(T47-Q47)/Q47,0)</f>
        <v>0</v>
      </c>
      <c r="X47" s="285"/>
      <c r="Y47" s="286"/>
      <c r="Z47" s="280" t="s">
        <v>76</v>
      </c>
      <c r="AA47" s="291"/>
      <c r="AB47" s="291"/>
      <c r="AC47" s="281"/>
    </row>
    <row r="48" spans="1:30" ht="12.6" customHeight="1" x14ac:dyDescent="0.2">
      <c r="A48" s="433" t="s">
        <v>77</v>
      </c>
      <c r="B48" s="291"/>
      <c r="C48" s="292"/>
      <c r="D48" s="318">
        <f>CMDS!E31</f>
        <v>0</v>
      </c>
      <c r="E48" s="319"/>
      <c r="F48" s="319"/>
      <c r="G48" s="319"/>
      <c r="H48" s="320"/>
      <c r="I48" s="318">
        <f>D48</f>
        <v>0</v>
      </c>
      <c r="J48" s="319"/>
      <c r="K48" s="319"/>
      <c r="L48" s="319"/>
      <c r="M48" s="320"/>
      <c r="N48" s="318">
        <f>N47</f>
        <v>0</v>
      </c>
      <c r="O48" s="319"/>
      <c r="P48" s="320"/>
      <c r="Q48" s="318">
        <f>I48*N48</f>
        <v>0</v>
      </c>
      <c r="R48" s="319"/>
      <c r="S48" s="320"/>
      <c r="T48" s="330"/>
      <c r="U48" s="331"/>
      <c r="V48" s="332"/>
      <c r="W48" s="293" t="str">
        <f>IF(D48=0,"",100*(T48-Q48)/Q48)</f>
        <v/>
      </c>
      <c r="X48" s="285"/>
      <c r="Y48" s="286"/>
      <c r="Z48" s="280" t="s">
        <v>76</v>
      </c>
      <c r="AA48" s="291"/>
      <c r="AB48" s="291"/>
      <c r="AC48" s="281"/>
    </row>
    <row r="49" spans="1:29" ht="12.6" customHeight="1" x14ac:dyDescent="0.2">
      <c r="A49" s="429" t="s">
        <v>78</v>
      </c>
      <c r="B49" s="291"/>
      <c r="C49" s="292"/>
      <c r="D49" s="318">
        <f>CMDS!E32</f>
        <v>0</v>
      </c>
      <c r="E49" s="319"/>
      <c r="F49" s="319"/>
      <c r="G49" s="319"/>
      <c r="H49" s="320"/>
      <c r="I49" s="318">
        <f>D49</f>
        <v>0</v>
      </c>
      <c r="J49" s="319"/>
      <c r="K49" s="319"/>
      <c r="L49" s="319"/>
      <c r="M49" s="320"/>
      <c r="N49" s="318">
        <f>N47</f>
        <v>0</v>
      </c>
      <c r="O49" s="319"/>
      <c r="P49" s="320"/>
      <c r="Q49" s="318">
        <f>I49*N49</f>
        <v>0</v>
      </c>
      <c r="R49" s="319"/>
      <c r="S49" s="320"/>
      <c r="T49" s="330"/>
      <c r="U49" s="331"/>
      <c r="V49" s="332"/>
      <c r="W49" s="293" t="str">
        <f>IF(D49=0,"",100*(T49-Q49)/Q49)</f>
        <v/>
      </c>
      <c r="X49" s="285"/>
      <c r="Y49" s="286"/>
      <c r="Z49" s="280" t="s">
        <v>76</v>
      </c>
      <c r="AA49" s="291"/>
      <c r="AB49" s="291"/>
      <c r="AC49" s="281"/>
    </row>
    <row r="50" spans="1:29" ht="12.6" customHeight="1" x14ac:dyDescent="0.2">
      <c r="A50" s="460" t="s">
        <v>79</v>
      </c>
      <c r="B50" s="461"/>
      <c r="C50" s="462"/>
      <c r="D50" s="318">
        <f>CMDS!E33</f>
        <v>0</v>
      </c>
      <c r="E50" s="319"/>
      <c r="F50" s="319"/>
      <c r="G50" s="319"/>
      <c r="H50" s="320"/>
      <c r="I50" s="318">
        <f>D50</f>
        <v>0</v>
      </c>
      <c r="J50" s="319"/>
      <c r="K50" s="319"/>
      <c r="L50" s="319"/>
      <c r="M50" s="320"/>
      <c r="N50" s="318">
        <f>N47</f>
        <v>0</v>
      </c>
      <c r="O50" s="319"/>
      <c r="P50" s="320"/>
      <c r="Q50" s="318">
        <f>I50*N50</f>
        <v>0</v>
      </c>
      <c r="R50" s="319"/>
      <c r="S50" s="320"/>
      <c r="T50" s="330"/>
      <c r="U50" s="331"/>
      <c r="V50" s="332"/>
      <c r="W50" s="293" t="str">
        <f>IFERROR(IF(D50=0,"",100*(T50-Q50)/Q50),"")</f>
        <v/>
      </c>
      <c r="X50" s="285"/>
      <c r="Y50" s="286"/>
      <c r="Z50" s="280" t="s">
        <v>76</v>
      </c>
      <c r="AA50" s="291"/>
      <c r="AB50" s="291"/>
      <c r="AC50" s="281"/>
    </row>
    <row r="51" spans="1:29" ht="12.6" customHeight="1" x14ac:dyDescent="0.2">
      <c r="A51" s="460" t="s">
        <v>80</v>
      </c>
      <c r="B51" s="461"/>
      <c r="C51" s="462"/>
      <c r="D51" s="318">
        <f>CMDS!E34</f>
        <v>0</v>
      </c>
      <c r="E51" s="319"/>
      <c r="F51" s="319"/>
      <c r="G51" s="319"/>
      <c r="H51" s="320"/>
      <c r="I51" s="318">
        <f>D51</f>
        <v>0</v>
      </c>
      <c r="J51" s="319"/>
      <c r="K51" s="319"/>
      <c r="L51" s="319"/>
      <c r="M51" s="320"/>
      <c r="N51" s="318">
        <f>N48</f>
        <v>0</v>
      </c>
      <c r="O51" s="319"/>
      <c r="P51" s="320"/>
      <c r="Q51" s="318">
        <f>I51*N51</f>
        <v>0</v>
      </c>
      <c r="R51" s="319"/>
      <c r="S51" s="320"/>
      <c r="T51" s="330"/>
      <c r="U51" s="331"/>
      <c r="V51" s="332"/>
      <c r="W51" s="293" t="str">
        <f>IF(D51=0,"",100*(T51-Q51)/Q51)</f>
        <v/>
      </c>
      <c r="X51" s="285"/>
      <c r="Y51" s="286"/>
      <c r="Z51" s="280" t="s">
        <v>76</v>
      </c>
      <c r="AA51" s="291"/>
      <c r="AB51" s="291"/>
      <c r="AC51" s="281"/>
    </row>
    <row r="52" spans="1:29" ht="12.6" customHeight="1" x14ac:dyDescent="0.2">
      <c r="A52" s="486" t="s">
        <v>81</v>
      </c>
      <c r="B52" s="489" t="s">
        <v>82</v>
      </c>
      <c r="C52" s="292"/>
      <c r="D52" s="318">
        <f>CMDS!E35</f>
        <v>0</v>
      </c>
      <c r="E52" s="319"/>
      <c r="F52" s="319"/>
      <c r="G52" s="319"/>
      <c r="H52" s="320"/>
      <c r="I52" s="318">
        <f>IF(H16="","see cell L16",D52*(1+(H16-H15)/100))</f>
        <v>0</v>
      </c>
      <c r="J52" s="319"/>
      <c r="K52" s="319"/>
      <c r="L52" s="319"/>
      <c r="M52" s="320"/>
      <c r="N52" s="318">
        <f>N47</f>
        <v>0</v>
      </c>
      <c r="O52" s="319"/>
      <c r="P52" s="320"/>
      <c r="Q52" s="318">
        <f>IFERROR(I52*N52,0)</f>
        <v>0</v>
      </c>
      <c r="R52" s="319"/>
      <c r="S52" s="320"/>
      <c r="T52" s="330"/>
      <c r="U52" s="331"/>
      <c r="V52" s="332"/>
      <c r="W52" s="293">
        <f>IFERROR(100*(T52-Q52)/Q52,0)</f>
        <v>0</v>
      </c>
      <c r="X52" s="285"/>
      <c r="Y52" s="286"/>
      <c r="Z52" s="280" t="s">
        <v>83</v>
      </c>
      <c r="AA52" s="291"/>
      <c r="AB52" s="291"/>
      <c r="AC52" s="281"/>
    </row>
    <row r="53" spans="1:29" ht="12.6" customHeight="1" x14ac:dyDescent="0.2">
      <c r="A53" s="487"/>
      <c r="B53" s="489" t="s">
        <v>84</v>
      </c>
      <c r="C53" s="292"/>
      <c r="D53" s="318">
        <f>CMDS!E36</f>
        <v>0</v>
      </c>
      <c r="E53" s="319"/>
      <c r="F53" s="319"/>
      <c r="G53" s="319"/>
      <c r="H53" s="320"/>
      <c r="I53" s="318">
        <f>IF(H19="","see cell L19",D53*(1+(H19-H18)/100))</f>
        <v>0</v>
      </c>
      <c r="J53" s="319"/>
      <c r="K53" s="319"/>
      <c r="L53" s="319"/>
      <c r="M53" s="320"/>
      <c r="N53" s="318">
        <f>N47</f>
        <v>0</v>
      </c>
      <c r="O53" s="319"/>
      <c r="P53" s="320"/>
      <c r="Q53" s="318">
        <f>IFERROR(I53*N53,0)</f>
        <v>0</v>
      </c>
      <c r="R53" s="319"/>
      <c r="S53" s="320"/>
      <c r="T53" s="330"/>
      <c r="U53" s="331"/>
      <c r="V53" s="332"/>
      <c r="W53" s="293">
        <f>IFERROR(100*(T53-Q53)/Q53,0)</f>
        <v>0</v>
      </c>
      <c r="X53" s="285"/>
      <c r="Y53" s="286"/>
      <c r="Z53" s="280" t="s">
        <v>83</v>
      </c>
      <c r="AA53" s="291"/>
      <c r="AB53" s="291"/>
      <c r="AC53" s="281"/>
    </row>
    <row r="54" spans="1:29" ht="12.6" customHeight="1" x14ac:dyDescent="0.2">
      <c r="A54" s="488"/>
      <c r="B54" s="489" t="s">
        <v>85</v>
      </c>
      <c r="C54" s="292"/>
      <c r="D54" s="318">
        <f>CMDS!E38</f>
        <v>0</v>
      </c>
      <c r="E54" s="319"/>
      <c r="F54" s="319"/>
      <c r="G54" s="319"/>
      <c r="H54" s="320"/>
      <c r="I54" s="318">
        <f>IF(H22="","see cell L22",D54*(1+(H22-H21)/100))</f>
        <v>0</v>
      </c>
      <c r="J54" s="319"/>
      <c r="K54" s="319"/>
      <c r="L54" s="319"/>
      <c r="M54" s="320"/>
      <c r="N54" s="318">
        <f>N47</f>
        <v>0</v>
      </c>
      <c r="O54" s="319"/>
      <c r="P54" s="320"/>
      <c r="Q54" s="318">
        <f>IFERROR(I54*N54,0)</f>
        <v>0</v>
      </c>
      <c r="R54" s="319"/>
      <c r="S54" s="320"/>
      <c r="T54" s="338"/>
      <c r="U54" s="331"/>
      <c r="V54" s="332"/>
      <c r="W54" s="293">
        <f>IFERROR(100*(T54-Q54)/Q54,0)</f>
        <v>0</v>
      </c>
      <c r="X54" s="285"/>
      <c r="Y54" s="286"/>
      <c r="Z54" s="280" t="s">
        <v>83</v>
      </c>
      <c r="AA54" s="291"/>
      <c r="AB54" s="291"/>
      <c r="AC54" s="281"/>
    </row>
    <row r="55" spans="1:29" ht="27" customHeight="1" x14ac:dyDescent="0.2">
      <c r="A55" s="477" t="str">
        <f>CMDS!A39</f>
        <v>Water CaCl₂ / Accel Adm</v>
      </c>
      <c r="B55" s="478"/>
      <c r="C55" s="479"/>
      <c r="D55" s="318">
        <f>CMDS!E39</f>
        <v>0</v>
      </c>
      <c r="E55" s="319"/>
      <c r="F55" s="319"/>
      <c r="G55" s="319"/>
      <c r="H55" s="320"/>
      <c r="I55" s="318">
        <f>D55</f>
        <v>0</v>
      </c>
      <c r="J55" s="319"/>
      <c r="K55" s="319"/>
      <c r="L55" s="319"/>
      <c r="M55" s="320"/>
      <c r="N55" s="318">
        <f>N47</f>
        <v>0</v>
      </c>
      <c r="O55" s="319"/>
      <c r="P55" s="320"/>
      <c r="Q55" s="318">
        <f>I55*N55</f>
        <v>0</v>
      </c>
      <c r="R55" s="319"/>
      <c r="S55" s="320"/>
      <c r="T55" s="330"/>
      <c r="U55" s="331"/>
      <c r="V55" s="332"/>
      <c r="W55" s="505"/>
      <c r="X55" s="506"/>
      <c r="Y55" s="507"/>
      <c r="Z55" s="508"/>
      <c r="AA55" s="509"/>
      <c r="AB55" s="509"/>
      <c r="AC55" s="510"/>
    </row>
    <row r="56" spans="1:29" ht="12.6" customHeight="1" x14ac:dyDescent="0.2">
      <c r="A56" s="429" t="s">
        <v>86</v>
      </c>
      <c r="B56" s="291"/>
      <c r="C56" s="292"/>
      <c r="D56" s="318">
        <f>CMDS!E41</f>
        <v>0</v>
      </c>
      <c r="E56" s="319"/>
      <c r="F56" s="319"/>
      <c r="G56" s="319"/>
      <c r="H56" s="320"/>
      <c r="I56" s="318">
        <f>IFERROR(D56-(I52-D52)-(I53-D53)-(I54-D54),0)</f>
        <v>0</v>
      </c>
      <c r="J56" s="319"/>
      <c r="K56" s="319"/>
      <c r="L56" s="319"/>
      <c r="M56" s="320"/>
      <c r="N56" s="318">
        <f>N47</f>
        <v>0</v>
      </c>
      <c r="O56" s="319"/>
      <c r="P56" s="320"/>
      <c r="Q56" s="318">
        <f>I56*N56</f>
        <v>0</v>
      </c>
      <c r="R56" s="319"/>
      <c r="S56" s="320"/>
      <c r="T56" s="330"/>
      <c r="U56" s="331"/>
      <c r="V56" s="332"/>
      <c r="W56" s="293">
        <f>IFERROR(100*(((T56-Q56)+(T55-Q55))/(Q56+Q55)),0)</f>
        <v>0</v>
      </c>
      <c r="X56" s="285"/>
      <c r="Y56" s="286"/>
      <c r="Z56" s="280" t="s">
        <v>76</v>
      </c>
      <c r="AA56" s="291"/>
      <c r="AB56" s="291"/>
      <c r="AC56" s="281"/>
    </row>
    <row r="57" spans="1:29" ht="12.6" customHeight="1" thickBot="1" x14ac:dyDescent="0.25">
      <c r="A57" s="504" t="s">
        <v>87</v>
      </c>
      <c r="B57" s="347"/>
      <c r="C57" s="354"/>
      <c r="D57" s="498">
        <f>SUM(D47:D56)</f>
        <v>0</v>
      </c>
      <c r="E57" s="499"/>
      <c r="F57" s="499"/>
      <c r="G57" s="499"/>
      <c r="H57" s="500"/>
      <c r="I57" s="498">
        <f>IFERROR(SUM(I47:I56),0)</f>
        <v>0</v>
      </c>
      <c r="J57" s="499"/>
      <c r="K57" s="499"/>
      <c r="L57" s="499"/>
      <c r="M57" s="500"/>
      <c r="N57" s="435" t="s">
        <v>19</v>
      </c>
      <c r="O57" s="436"/>
      <c r="P57" s="437"/>
      <c r="Q57" s="498">
        <f>SUM(Q47:Q56)</f>
        <v>0</v>
      </c>
      <c r="R57" s="499"/>
      <c r="S57" s="500"/>
      <c r="T57" s="498">
        <f>SUM(T47:T56)</f>
        <v>0</v>
      </c>
      <c r="U57" s="499"/>
      <c r="V57" s="500"/>
      <c r="W57" s="435" t="s">
        <v>19</v>
      </c>
      <c r="X57" s="436"/>
      <c r="Y57" s="437"/>
      <c r="Z57" s="441" t="s">
        <v>19</v>
      </c>
      <c r="AA57" s="347"/>
      <c r="AB57" s="347"/>
      <c r="AC57" s="348"/>
    </row>
    <row r="58" spans="1:29" ht="13.5" thickBot="1" x14ac:dyDescent="0.25"/>
    <row r="59" spans="1:29" ht="16.5" thickBot="1" x14ac:dyDescent="0.3">
      <c r="B59" s="501" t="s">
        <v>88</v>
      </c>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3"/>
    </row>
    <row r="60" spans="1:29" ht="13.5" thickBot="1" x14ac:dyDescent="0.25">
      <c r="B60" s="13"/>
      <c r="K60" s="8"/>
      <c r="L60" s="317" t="s">
        <v>61</v>
      </c>
      <c r="M60" s="298"/>
      <c r="N60" s="299"/>
      <c r="O60" s="317" t="s">
        <v>89</v>
      </c>
      <c r="P60" s="298"/>
      <c r="Q60" s="299"/>
      <c r="R60" s="317" t="s">
        <v>62</v>
      </c>
      <c r="S60" s="298"/>
      <c r="T60" s="299"/>
      <c r="U60" s="317" t="s">
        <v>63</v>
      </c>
      <c r="V60" s="298"/>
      <c r="W60" s="299"/>
      <c r="X60" s="317" t="s">
        <v>64</v>
      </c>
      <c r="Y60" s="298"/>
      <c r="Z60" s="339"/>
    </row>
    <row r="61" spans="1:29" ht="16.5" thickBot="1" x14ac:dyDescent="0.3">
      <c r="A61" s="205"/>
      <c r="B61" s="480" t="s">
        <v>90</v>
      </c>
      <c r="C61" s="481"/>
      <c r="D61" s="481"/>
      <c r="E61" s="481"/>
      <c r="F61" s="481"/>
      <c r="G61" s="481"/>
      <c r="H61" s="481"/>
      <c r="I61" s="481"/>
      <c r="J61" s="481"/>
      <c r="K61" s="482"/>
      <c r="L61" s="298" t="s">
        <v>91</v>
      </c>
      <c r="M61" s="298"/>
      <c r="N61" s="299"/>
      <c r="O61" s="317" t="s">
        <v>91</v>
      </c>
      <c r="P61" s="298"/>
      <c r="Q61" s="299"/>
      <c r="R61" s="317" t="s">
        <v>91</v>
      </c>
      <c r="S61" s="298"/>
      <c r="T61" s="299"/>
      <c r="U61" s="317" t="s">
        <v>68</v>
      </c>
      <c r="V61" s="298"/>
      <c r="W61" s="299"/>
      <c r="X61" s="317" t="s">
        <v>68</v>
      </c>
      <c r="Y61" s="298"/>
      <c r="Z61" s="339"/>
      <c r="AA61" s="9"/>
      <c r="AB61" s="9"/>
    </row>
    <row r="62" spans="1:29" ht="13.5" thickBot="1" x14ac:dyDescent="0.25">
      <c r="A62" s="1"/>
      <c r="B62" s="13"/>
      <c r="K62" s="8"/>
      <c r="L62" s="305" t="s">
        <v>92</v>
      </c>
      <c r="M62" s="303"/>
      <c r="N62" s="304"/>
      <c r="O62" s="305" t="s">
        <v>93</v>
      </c>
      <c r="P62" s="303"/>
      <c r="Q62" s="304"/>
      <c r="R62" s="305" t="s">
        <v>93</v>
      </c>
      <c r="S62" s="303"/>
      <c r="T62" s="304"/>
      <c r="U62" s="305" t="s">
        <v>74</v>
      </c>
      <c r="V62" s="303"/>
      <c r="W62" s="304"/>
      <c r="X62" s="305" t="s">
        <v>74</v>
      </c>
      <c r="Y62" s="303"/>
      <c r="Z62" s="306"/>
    </row>
    <row r="63" spans="1:29" ht="17.25" customHeight="1" thickBot="1" x14ac:dyDescent="0.25">
      <c r="A63" s="50"/>
      <c r="B63" s="483">
        <f>CMDS!M20</f>
        <v>0</v>
      </c>
      <c r="C63" s="484"/>
      <c r="D63" s="484"/>
      <c r="E63" s="484"/>
      <c r="F63" s="484"/>
      <c r="G63" s="484"/>
      <c r="H63" s="484"/>
      <c r="I63" s="484"/>
      <c r="J63" s="484"/>
      <c r="K63" s="485"/>
      <c r="L63" s="341"/>
      <c r="M63" s="341"/>
      <c r="N63" s="342"/>
      <c r="O63" s="511">
        <f>L63*(Q47+Q48+Q49+Q50)/100</f>
        <v>0</v>
      </c>
      <c r="P63" s="512"/>
      <c r="Q63" s="513"/>
      <c r="R63" s="340"/>
      <c r="S63" s="341"/>
      <c r="T63" s="342"/>
      <c r="U63" s="277" t="str">
        <f>IF(L63=0,"",100*(R63-O63)/O63)</f>
        <v/>
      </c>
      <c r="V63" s="278"/>
      <c r="W63" s="279"/>
      <c r="X63" s="280" t="s">
        <v>94</v>
      </c>
      <c r="Y63" s="291"/>
      <c r="Z63" s="281"/>
    </row>
    <row r="64" spans="1:29" ht="15.75" customHeight="1" thickBot="1" x14ac:dyDescent="0.25">
      <c r="A64" s="1"/>
      <c r="B64" s="483">
        <f>CMDS!M21</f>
        <v>0</v>
      </c>
      <c r="C64" s="484"/>
      <c r="D64" s="484"/>
      <c r="E64" s="484"/>
      <c r="F64" s="484"/>
      <c r="G64" s="484"/>
      <c r="H64" s="484"/>
      <c r="I64" s="484"/>
      <c r="J64" s="484"/>
      <c r="K64" s="485"/>
      <c r="L64" s="341"/>
      <c r="M64" s="341"/>
      <c r="N64" s="342"/>
      <c r="O64" s="511">
        <f>L64*(Q47+Q48+Q49+Q50)/100</f>
        <v>0</v>
      </c>
      <c r="P64" s="512"/>
      <c r="Q64" s="513"/>
      <c r="R64" s="340"/>
      <c r="S64" s="341"/>
      <c r="T64" s="342"/>
      <c r="U64" s="277" t="str">
        <f>IF(L64=0,"",100*(R64-O64)/O64)</f>
        <v/>
      </c>
      <c r="V64" s="278"/>
      <c r="W64" s="279"/>
      <c r="X64" s="280" t="s">
        <v>94</v>
      </c>
      <c r="Y64" s="291"/>
      <c r="Z64" s="281"/>
    </row>
    <row r="65" spans="1:29" ht="15.75" customHeight="1" thickBot="1" x14ac:dyDescent="0.25">
      <c r="A65" s="1"/>
      <c r="B65" s="483">
        <f>CMDS!M22</f>
        <v>0</v>
      </c>
      <c r="C65" s="484"/>
      <c r="D65" s="484"/>
      <c r="E65" s="484"/>
      <c r="F65" s="484"/>
      <c r="G65" s="484"/>
      <c r="H65" s="484"/>
      <c r="I65" s="484"/>
      <c r="J65" s="484"/>
      <c r="K65" s="485"/>
      <c r="L65" s="341"/>
      <c r="M65" s="341"/>
      <c r="N65" s="342"/>
      <c r="O65" s="511">
        <f>L65*(Q47+Q48+Q49+Q50)/100</f>
        <v>0</v>
      </c>
      <c r="P65" s="512"/>
      <c r="Q65" s="513"/>
      <c r="R65" s="340"/>
      <c r="S65" s="341"/>
      <c r="T65" s="342"/>
      <c r="U65" s="277" t="str">
        <f>IF(L65=0,"",100*(R65-O65)/O65)</f>
        <v/>
      </c>
      <c r="V65" s="278"/>
      <c r="W65" s="279"/>
      <c r="X65" s="201"/>
      <c r="Y65" s="280" t="s">
        <v>94</v>
      </c>
      <c r="Z65" s="281"/>
    </row>
    <row r="66" spans="1:29" ht="14.25" customHeight="1" thickBot="1" x14ac:dyDescent="0.25">
      <c r="A66" s="1"/>
      <c r="B66" s="483">
        <f>CMDS!M23</f>
        <v>0</v>
      </c>
      <c r="C66" s="484"/>
      <c r="D66" s="484"/>
      <c r="E66" s="484"/>
      <c r="F66" s="484"/>
      <c r="G66" s="484"/>
      <c r="H66" s="484"/>
      <c r="I66" s="484"/>
      <c r="J66" s="484"/>
      <c r="K66" s="485"/>
      <c r="L66" s="452"/>
      <c r="M66" s="452"/>
      <c r="N66" s="453"/>
      <c r="O66" s="492">
        <f>L66*(Q47+Q48+Q49+Q50)/100</f>
        <v>0</v>
      </c>
      <c r="P66" s="493"/>
      <c r="Q66" s="494"/>
      <c r="R66" s="459"/>
      <c r="S66" s="452"/>
      <c r="T66" s="453"/>
      <c r="U66" s="495" t="str">
        <f>IF(L66=0,"",100*(R66-O66)/O66)</f>
        <v/>
      </c>
      <c r="V66" s="496"/>
      <c r="W66" s="497"/>
      <c r="X66" s="346" t="s">
        <v>94</v>
      </c>
      <c r="Y66" s="347"/>
      <c r="Z66" s="348"/>
    </row>
    <row r="67" spans="1:29" ht="14.25" customHeight="1" thickBot="1" x14ac:dyDescent="0.25">
      <c r="A67" s="1"/>
      <c r="B67" s="483">
        <f>CMDS!M24</f>
        <v>0</v>
      </c>
      <c r="C67" s="484"/>
      <c r="D67" s="484"/>
      <c r="E67" s="484"/>
      <c r="F67" s="484"/>
      <c r="G67" s="484"/>
      <c r="H67" s="484"/>
      <c r="I67" s="484"/>
      <c r="J67" s="484"/>
      <c r="K67" s="485"/>
      <c r="L67" s="452"/>
      <c r="M67" s="452"/>
      <c r="N67" s="453"/>
      <c r="O67" s="492">
        <f>L67*(Q47+Q48+Q49+Q50)/100</f>
        <v>0</v>
      </c>
      <c r="P67" s="493"/>
      <c r="Q67" s="494"/>
      <c r="R67" s="459"/>
      <c r="S67" s="452"/>
      <c r="T67" s="453"/>
      <c r="U67" s="495" t="str">
        <f>IF(L67=0,"",100*(R67-O67)/O67)</f>
        <v/>
      </c>
      <c r="V67" s="496"/>
      <c r="W67" s="497"/>
      <c r="X67" s="346" t="s">
        <v>94</v>
      </c>
      <c r="Y67" s="347"/>
      <c r="Z67" s="348"/>
    </row>
    <row r="69" spans="1:29" ht="12.6" customHeight="1" x14ac:dyDescent="0.2">
      <c r="A69" t="s">
        <v>95</v>
      </c>
      <c r="H69" s="356"/>
      <c r="I69" s="356"/>
      <c r="J69" s="356"/>
      <c r="K69" s="356"/>
      <c r="L69" s="356"/>
      <c r="M69" s="356"/>
      <c r="N69" s="356"/>
      <c r="O69" s="356"/>
      <c r="P69" s="356"/>
      <c r="Q69" s="356"/>
      <c r="R69" s="356"/>
      <c r="S69" s="356"/>
      <c r="T69" s="356"/>
      <c r="U69" s="356"/>
      <c r="V69" s="356"/>
      <c r="W69" s="356"/>
      <c r="X69" s="356"/>
      <c r="Y69" s="356"/>
      <c r="Z69" s="356"/>
      <c r="AA69" s="356"/>
      <c r="AB69" s="356"/>
      <c r="AC69" s="356"/>
    </row>
    <row r="70" spans="1:29" ht="12.6" customHeight="1" x14ac:dyDescent="0.2">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row>
    <row r="71" spans="1:29" ht="12.6" customHeight="1" x14ac:dyDescent="0.2">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row>
    <row r="72" spans="1:29" ht="12.6" customHeight="1" x14ac:dyDescent="0.2">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row>
    <row r="73" spans="1:29" ht="12.6" customHeight="1" x14ac:dyDescent="0.2">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row>
    <row r="74" spans="1:29" ht="12.6" customHeight="1" x14ac:dyDescent="0.2">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row>
    <row r="75" spans="1:29" ht="12.6" customHeight="1" x14ac:dyDescent="0.2">
      <c r="A75" s="518"/>
      <c r="B75" s="518"/>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301" t="str">
        <f>CMDS!AA60</f>
        <v>v14f.07.01.24</v>
      </c>
      <c r="AA75" s="298"/>
      <c r="AB75" s="298"/>
      <c r="AC75" s="298"/>
    </row>
    <row r="76" spans="1:29" ht="15.75" customHeight="1" x14ac:dyDescent="0.25">
      <c r="B76" s="282" t="s">
        <v>96</v>
      </c>
      <c r="C76" s="283"/>
      <c r="D76" s="283"/>
      <c r="E76" s="283"/>
      <c r="F76" s="283"/>
      <c r="G76" s="283"/>
      <c r="H76" s="283"/>
      <c r="I76" s="283"/>
      <c r="J76" s="283"/>
      <c r="K76" s="283"/>
      <c r="L76" s="283"/>
      <c r="M76" s="283"/>
      <c r="N76" s="283"/>
      <c r="O76" s="283"/>
      <c r="P76" s="283"/>
      <c r="Q76" s="283"/>
      <c r="R76" s="283"/>
      <c r="S76" s="283"/>
      <c r="T76" s="284"/>
      <c r="U76" s="284"/>
      <c r="V76" s="284"/>
      <c r="W76" s="284"/>
      <c r="X76" s="284"/>
      <c r="Y76" s="284"/>
    </row>
    <row r="77" spans="1:29" x14ac:dyDescent="0.2">
      <c r="B77" s="519"/>
      <c r="C77" s="515"/>
      <c r="D77" s="515"/>
      <c r="E77" s="515"/>
      <c r="F77" s="515"/>
      <c r="G77" s="516"/>
      <c r="H77" s="514" t="s">
        <v>12</v>
      </c>
      <c r="I77" s="515"/>
      <c r="J77" s="516"/>
      <c r="K77" s="514" t="s">
        <v>97</v>
      </c>
      <c r="L77" s="515"/>
      <c r="M77" s="516"/>
      <c r="N77" s="514" t="s">
        <v>10</v>
      </c>
      <c r="O77" s="515"/>
      <c r="P77" s="516"/>
      <c r="Q77" s="514" t="s">
        <v>97</v>
      </c>
      <c r="R77" s="515"/>
      <c r="S77" s="515"/>
      <c r="T77" s="514" t="s">
        <v>10</v>
      </c>
      <c r="U77" s="515"/>
      <c r="V77" s="516"/>
      <c r="W77" s="514" t="s">
        <v>97</v>
      </c>
      <c r="X77" s="515"/>
      <c r="Y77" s="517"/>
    </row>
    <row r="78" spans="1:29" x14ac:dyDescent="0.2">
      <c r="B78" s="444" t="s">
        <v>98</v>
      </c>
      <c r="C78" s="298"/>
      <c r="D78" s="298"/>
      <c r="E78" s="298"/>
      <c r="F78" s="298"/>
      <c r="G78" s="299"/>
      <c r="H78" s="298" t="s">
        <v>99</v>
      </c>
      <c r="I78" s="298"/>
      <c r="J78" s="299"/>
      <c r="K78" s="300" t="s">
        <v>100</v>
      </c>
      <c r="L78" s="301"/>
      <c r="M78" s="440"/>
      <c r="N78" s="317" t="s">
        <v>101</v>
      </c>
      <c r="O78" s="298"/>
      <c r="P78" s="299"/>
      <c r="Q78" s="300" t="s">
        <v>102</v>
      </c>
      <c r="R78" s="301"/>
      <c r="S78" s="301"/>
      <c r="T78" s="317" t="s">
        <v>101</v>
      </c>
      <c r="U78" s="298"/>
      <c r="V78" s="299"/>
      <c r="W78" s="300" t="s">
        <v>102</v>
      </c>
      <c r="X78" s="301"/>
      <c r="Y78" s="302"/>
    </row>
    <row r="79" spans="1:29" x14ac:dyDescent="0.2">
      <c r="B79" s="490">
        <f>CMDS!G6</f>
        <v>0</v>
      </c>
      <c r="C79" s="491"/>
      <c r="D79" s="491"/>
      <c r="E79" s="491"/>
      <c r="F79" s="491"/>
      <c r="G79" s="491"/>
      <c r="H79" s="317" t="s">
        <v>17</v>
      </c>
      <c r="I79" s="298"/>
      <c r="J79" s="299"/>
      <c r="K79" s="300" t="s">
        <v>103</v>
      </c>
      <c r="L79" s="301"/>
      <c r="M79" s="440"/>
      <c r="N79" s="317" t="s">
        <v>17</v>
      </c>
      <c r="O79" s="298"/>
      <c r="P79" s="299"/>
      <c r="Q79" s="300" t="s">
        <v>101</v>
      </c>
      <c r="R79" s="301"/>
      <c r="S79" s="301"/>
      <c r="T79" s="317" t="s">
        <v>15</v>
      </c>
      <c r="U79" s="298"/>
      <c r="V79" s="299"/>
      <c r="W79" s="300" t="s">
        <v>15</v>
      </c>
      <c r="X79" s="301"/>
      <c r="Y79" s="302"/>
    </row>
    <row r="80" spans="1:29" x14ac:dyDescent="0.2">
      <c r="B80" s="463"/>
      <c r="C80" s="303"/>
      <c r="D80" s="303"/>
      <c r="E80" s="303"/>
      <c r="F80" s="303"/>
      <c r="G80" s="304"/>
      <c r="H80" s="305" t="s">
        <v>104</v>
      </c>
      <c r="I80" s="303"/>
      <c r="J80" s="304"/>
      <c r="K80" s="305" t="s">
        <v>17</v>
      </c>
      <c r="L80" s="303"/>
      <c r="M80" s="304"/>
      <c r="N80" s="305" t="s">
        <v>104</v>
      </c>
      <c r="O80" s="303"/>
      <c r="P80" s="304"/>
      <c r="Q80" s="305" t="s">
        <v>17</v>
      </c>
      <c r="R80" s="303"/>
      <c r="S80" s="303"/>
      <c r="T80" s="305" t="s">
        <v>104</v>
      </c>
      <c r="U80" s="303"/>
      <c r="V80" s="304"/>
      <c r="W80" s="305" t="s">
        <v>17</v>
      </c>
      <c r="X80" s="303"/>
      <c r="Y80" s="306"/>
    </row>
    <row r="81" spans="2:29" x14ac:dyDescent="0.2">
      <c r="B81" s="429" t="s">
        <v>105</v>
      </c>
      <c r="C81" s="291"/>
      <c r="D81" s="291"/>
      <c r="E81" s="291"/>
      <c r="F81" s="291"/>
      <c r="G81" s="292"/>
      <c r="H81" s="290">
        <f>IFERROR((T56+T55+T54-(T54/(1+H22/100))+T53-(T53/(1+H19/100))+T52-(T52/(1+H16/100))-(T54*H21/(100+H22))-(T53*H18/(100+H19))-(T52*H15/(100+H16)))/(T47+T48+T49+T50),0)</f>
        <v>0</v>
      </c>
      <c r="I81" s="311"/>
      <c r="J81" s="312"/>
      <c r="K81" s="280"/>
      <c r="L81" s="291"/>
      <c r="M81" s="292"/>
      <c r="N81" s="290" t="str">
        <f>IFERROR(((T56+T55+T54-(T54/(1+O22/100))+T53-(T53/(1+O19/100))+T52-(T52/(1+O16/100))-(T54*O21/(100+O22))-(T53*O18/(100+O19))-(T52*O15/(100+O16)))/(T47+T48+T49+T50)),"")</f>
        <v/>
      </c>
      <c r="O81" s="311"/>
      <c r="P81" s="312"/>
      <c r="Q81" s="280"/>
      <c r="R81" s="291"/>
      <c r="S81" s="291"/>
      <c r="T81" s="290" t="str">
        <f>IFERROR((T56+T55+T54-(T54/(1+V22/100))+T53-(T53/(1+V19/100))+T52-(T52/(1+V16/100))-(T54*V21/(100+V22))-(T53*V18/(100+V19))-(T52*V15/(100+V16)))/(T47+T48+T49+T50),"")</f>
        <v/>
      </c>
      <c r="U81" s="311"/>
      <c r="V81" s="312"/>
      <c r="W81" s="280"/>
      <c r="X81" s="291"/>
      <c r="Y81" s="281"/>
    </row>
    <row r="82" spans="2:29" x14ac:dyDescent="0.2">
      <c r="B82" s="433" t="s">
        <v>106</v>
      </c>
      <c r="C82" s="291"/>
      <c r="D82" s="291"/>
      <c r="E82" s="291"/>
      <c r="F82" s="291"/>
      <c r="G82" s="292"/>
      <c r="H82" s="308"/>
      <c r="I82" s="309"/>
      <c r="J82" s="310"/>
      <c r="K82" s="287"/>
      <c r="L82" s="288"/>
      <c r="M82" s="307"/>
      <c r="N82" s="308"/>
      <c r="O82" s="309"/>
      <c r="P82" s="310"/>
      <c r="Q82" s="287"/>
      <c r="R82" s="288"/>
      <c r="S82" s="288"/>
      <c r="T82" s="308"/>
      <c r="U82" s="309"/>
      <c r="V82" s="310"/>
      <c r="W82" s="287"/>
      <c r="X82" s="288"/>
      <c r="Y82" s="289"/>
    </row>
    <row r="83" spans="2:29" x14ac:dyDescent="0.2">
      <c r="B83" s="429" t="s">
        <v>107</v>
      </c>
      <c r="C83" s="291"/>
      <c r="D83" s="291"/>
      <c r="E83" s="291"/>
      <c r="F83" s="291"/>
      <c r="G83" s="292"/>
      <c r="H83" s="308"/>
      <c r="I83" s="309"/>
      <c r="J83" s="310"/>
      <c r="K83" s="287"/>
      <c r="L83" s="288"/>
      <c r="M83" s="307"/>
      <c r="N83" s="308"/>
      <c r="O83" s="309"/>
      <c r="P83" s="310"/>
      <c r="Q83" s="287"/>
      <c r="R83" s="288"/>
      <c r="S83" s="288"/>
      <c r="T83" s="308"/>
      <c r="U83" s="309"/>
      <c r="V83" s="310"/>
      <c r="W83" s="287"/>
      <c r="X83" s="288"/>
      <c r="Y83" s="289"/>
    </row>
    <row r="84" spans="2:29" x14ac:dyDescent="0.2">
      <c r="B84" s="429" t="s">
        <v>108</v>
      </c>
      <c r="C84" s="291"/>
      <c r="D84" s="291"/>
      <c r="E84" s="291"/>
      <c r="F84" s="291"/>
      <c r="G84" s="292"/>
      <c r="H84" s="290">
        <f>H82-H83</f>
        <v>0</v>
      </c>
      <c r="I84" s="311"/>
      <c r="J84" s="312"/>
      <c r="K84" s="280"/>
      <c r="L84" s="291"/>
      <c r="M84" s="292"/>
      <c r="N84" s="290">
        <f>N82-N83</f>
        <v>0</v>
      </c>
      <c r="O84" s="311"/>
      <c r="P84" s="312"/>
      <c r="Q84" s="280"/>
      <c r="R84" s="291"/>
      <c r="S84" s="291"/>
      <c r="T84" s="290">
        <f>T82-T83</f>
        <v>0</v>
      </c>
      <c r="U84" s="311"/>
      <c r="V84" s="312"/>
      <c r="W84" s="280"/>
      <c r="X84" s="291"/>
      <c r="Y84" s="281"/>
    </row>
    <row r="85" spans="2:29" ht="21.75" customHeight="1" x14ac:dyDescent="0.2">
      <c r="B85" s="430" t="s">
        <v>109</v>
      </c>
      <c r="C85" s="431"/>
      <c r="D85" s="431"/>
      <c r="E85" s="431"/>
      <c r="F85" s="431"/>
      <c r="G85" s="432"/>
      <c r="H85" s="313">
        <f>G37</f>
        <v>0</v>
      </c>
      <c r="I85" s="314"/>
      <c r="J85" s="315"/>
      <c r="K85" s="287"/>
      <c r="L85" s="288"/>
      <c r="M85" s="307"/>
      <c r="N85" s="313">
        <f>M37</f>
        <v>0</v>
      </c>
      <c r="O85" s="314"/>
      <c r="P85" s="315"/>
      <c r="Q85" s="287"/>
      <c r="R85" s="288"/>
      <c r="S85" s="288"/>
      <c r="T85" s="313">
        <f>S37</f>
        <v>0</v>
      </c>
      <c r="U85" s="314"/>
      <c r="V85" s="315"/>
      <c r="W85" s="287"/>
      <c r="X85" s="288"/>
      <c r="Y85" s="289"/>
    </row>
    <row r="86" spans="2:29" ht="12.75" customHeight="1" x14ac:dyDescent="0.2">
      <c r="B86" s="429" t="s">
        <v>110</v>
      </c>
      <c r="C86" s="291"/>
      <c r="D86" s="291"/>
      <c r="E86" s="291"/>
      <c r="F86" s="291"/>
      <c r="G86" s="292"/>
      <c r="H86" s="277">
        <f>IFERROR(H84/H85,0)</f>
        <v>0</v>
      </c>
      <c r="I86" s="278"/>
      <c r="J86" s="279"/>
      <c r="K86" s="349"/>
      <c r="L86" s="322"/>
      <c r="M86" s="521"/>
      <c r="N86" s="277">
        <f>IFERROR(N84/N85,0)</f>
        <v>0</v>
      </c>
      <c r="O86" s="278"/>
      <c r="P86" s="279"/>
      <c r="Q86" s="349"/>
      <c r="R86" s="322"/>
      <c r="S86" s="322"/>
      <c r="T86" s="277">
        <f>IFERROR(T84/T85,0)</f>
        <v>0</v>
      </c>
      <c r="U86" s="278"/>
      <c r="V86" s="279"/>
      <c r="W86" s="349"/>
      <c r="X86" s="322"/>
      <c r="Y86" s="350"/>
    </row>
    <row r="87" spans="2:29" x14ac:dyDescent="0.2">
      <c r="B87" s="429" t="s">
        <v>111</v>
      </c>
      <c r="C87" s="291"/>
      <c r="D87" s="291"/>
      <c r="E87" s="291"/>
      <c r="F87" s="291"/>
      <c r="G87" s="292"/>
      <c r="H87" s="351"/>
      <c r="I87" s="352"/>
      <c r="J87" s="353"/>
      <c r="K87" s="287"/>
      <c r="L87" s="288"/>
      <c r="M87" s="307"/>
      <c r="N87" s="351"/>
      <c r="O87" s="352"/>
      <c r="P87" s="353"/>
      <c r="Q87" s="287"/>
      <c r="R87" s="288"/>
      <c r="S87" s="288"/>
      <c r="T87" s="351"/>
      <c r="U87" s="352"/>
      <c r="V87" s="353"/>
      <c r="W87" s="287"/>
      <c r="X87" s="288"/>
      <c r="Y87" s="289"/>
    </row>
    <row r="88" spans="2:29" x14ac:dyDescent="0.2">
      <c r="B88" s="429" t="s">
        <v>28</v>
      </c>
      <c r="C88" s="291"/>
      <c r="D88" s="291"/>
      <c r="E88" s="291"/>
      <c r="F88" s="291"/>
      <c r="G88" s="292"/>
      <c r="H88" s="277">
        <f>H23</f>
        <v>0</v>
      </c>
      <c r="I88" s="278"/>
      <c r="J88" s="279"/>
      <c r="K88" s="280"/>
      <c r="L88" s="291"/>
      <c r="M88" s="292"/>
      <c r="N88" s="277">
        <f>O23</f>
        <v>0</v>
      </c>
      <c r="O88" s="278"/>
      <c r="P88" s="279"/>
      <c r="Q88" s="280"/>
      <c r="R88" s="291"/>
      <c r="S88" s="291"/>
      <c r="T88" s="277">
        <f>V23</f>
        <v>0</v>
      </c>
      <c r="U88" s="278"/>
      <c r="V88" s="279"/>
      <c r="W88" s="280"/>
      <c r="X88" s="291"/>
      <c r="Y88" s="281"/>
    </row>
    <row r="89" spans="2:29" x14ac:dyDescent="0.2">
      <c r="B89" s="429" t="s">
        <v>112</v>
      </c>
      <c r="C89" s="291"/>
      <c r="D89" s="291"/>
      <c r="E89" s="291"/>
      <c r="F89" s="291"/>
      <c r="G89" s="292"/>
      <c r="H89" s="277">
        <f>H87-H88</f>
        <v>0</v>
      </c>
      <c r="I89" s="278"/>
      <c r="J89" s="279"/>
      <c r="K89" s="280"/>
      <c r="L89" s="291"/>
      <c r="M89" s="292"/>
      <c r="N89" s="277">
        <f>N87-N88</f>
        <v>0</v>
      </c>
      <c r="O89" s="278"/>
      <c r="P89" s="279"/>
      <c r="Q89" s="280"/>
      <c r="R89" s="291"/>
      <c r="S89" s="291"/>
      <c r="T89" s="277">
        <f>T87-T88</f>
        <v>0</v>
      </c>
      <c r="U89" s="278"/>
      <c r="V89" s="279"/>
      <c r="W89" s="280"/>
      <c r="X89" s="291"/>
      <c r="Y89" s="281"/>
    </row>
    <row r="90" spans="2:29" x14ac:dyDescent="0.2">
      <c r="B90" s="429" t="s">
        <v>113</v>
      </c>
      <c r="C90" s="291"/>
      <c r="D90" s="291"/>
      <c r="E90" s="291"/>
      <c r="F90" s="291"/>
      <c r="G90" s="292"/>
      <c r="H90" s="340"/>
      <c r="I90" s="341"/>
      <c r="J90" s="342"/>
      <c r="K90" s="287"/>
      <c r="L90" s="288"/>
      <c r="M90" s="307"/>
      <c r="N90" s="340"/>
      <c r="O90" s="341"/>
      <c r="P90" s="342"/>
      <c r="Q90" s="287"/>
      <c r="R90" s="288"/>
      <c r="S90" s="288"/>
      <c r="T90" s="340"/>
      <c r="U90" s="341"/>
      <c r="V90" s="342"/>
      <c r="W90" s="287"/>
      <c r="X90" s="288"/>
      <c r="Y90" s="289"/>
    </row>
    <row r="91" spans="2:29" ht="13.5" thickBot="1" x14ac:dyDescent="0.25">
      <c r="B91" s="504" t="s">
        <v>114</v>
      </c>
      <c r="C91" s="347"/>
      <c r="D91" s="347"/>
      <c r="E91" s="347"/>
      <c r="F91" s="347"/>
      <c r="G91" s="354"/>
      <c r="H91" s="343">
        <f>IFERROR(T57/(N47*27*H86),0)</f>
        <v>0</v>
      </c>
      <c r="I91" s="344"/>
      <c r="J91" s="345"/>
      <c r="K91" s="346"/>
      <c r="L91" s="347"/>
      <c r="M91" s="354"/>
      <c r="N91" s="343">
        <f>IFERROR(T57/(N47*27*N86),0)</f>
        <v>0</v>
      </c>
      <c r="O91" s="344"/>
      <c r="P91" s="345"/>
      <c r="Q91" s="346"/>
      <c r="R91" s="347"/>
      <c r="S91" s="347"/>
      <c r="T91" s="343">
        <f>IFERROR(T57/(N47*27*T86),0)</f>
        <v>0</v>
      </c>
      <c r="U91" s="344"/>
      <c r="V91" s="345"/>
      <c r="W91" s="346"/>
      <c r="X91" s="347"/>
      <c r="Y91" s="348"/>
    </row>
    <row r="92" spans="2:29" ht="13.5" thickBot="1" x14ac:dyDescent="0.25">
      <c r="G92" s="1"/>
      <c r="H92" s="1"/>
      <c r="I92" s="1"/>
      <c r="J92" s="1"/>
      <c r="K92" s="1"/>
      <c r="L92" s="1"/>
      <c r="M92" s="20"/>
      <c r="N92" s="20"/>
      <c r="O92" s="20"/>
      <c r="P92" s="21"/>
      <c r="Q92" s="21"/>
      <c r="R92" s="21"/>
      <c r="S92" s="20"/>
      <c r="T92" s="20"/>
      <c r="U92" s="20"/>
      <c r="V92" s="21"/>
      <c r="W92" s="21"/>
      <c r="X92" s="21"/>
    </row>
    <row r="93" spans="2:29" ht="36" customHeight="1" x14ac:dyDescent="0.25">
      <c r="E93" s="527" t="s">
        <v>115</v>
      </c>
      <c r="F93" s="528"/>
      <c r="G93" s="528"/>
      <c r="H93" s="528"/>
      <c r="I93" s="528"/>
      <c r="J93" s="528"/>
      <c r="K93" s="528"/>
      <c r="L93" s="528"/>
      <c r="M93" s="528"/>
      <c r="N93" s="528"/>
      <c r="O93" s="528"/>
      <c r="P93" s="528"/>
      <c r="Q93" s="528"/>
      <c r="R93" s="528"/>
      <c r="S93" s="528"/>
      <c r="T93" s="528"/>
      <c r="U93" s="528"/>
      <c r="V93" s="528"/>
      <c r="W93" s="528"/>
      <c r="X93" s="528"/>
      <c r="Y93" s="529"/>
      <c r="Z93" s="9"/>
      <c r="AA93" s="9"/>
      <c r="AB93" s="9"/>
      <c r="AC93" s="9"/>
    </row>
    <row r="94" spans="2:29" ht="12.6" customHeight="1" x14ac:dyDescent="0.2">
      <c r="E94" s="11"/>
      <c r="F94" s="10"/>
      <c r="G94" s="12"/>
      <c r="H94" s="514" t="s">
        <v>116</v>
      </c>
      <c r="I94" s="515"/>
      <c r="J94" s="515"/>
      <c r="K94" s="515"/>
      <c r="L94" s="515"/>
      <c r="M94" s="516"/>
      <c r="N94" s="514" t="s">
        <v>97</v>
      </c>
      <c r="O94" s="515"/>
      <c r="P94" s="516"/>
      <c r="Q94" s="514" t="s">
        <v>117</v>
      </c>
      <c r="R94" s="515"/>
      <c r="S94" s="515"/>
      <c r="T94" s="515"/>
      <c r="U94" s="515"/>
      <c r="V94" s="515"/>
      <c r="W94" s="514" t="s">
        <v>97</v>
      </c>
      <c r="X94" s="515"/>
      <c r="Y94" s="517"/>
    </row>
    <row r="95" spans="2:29" ht="12.6" customHeight="1" x14ac:dyDescent="0.2">
      <c r="E95" s="13"/>
      <c r="H95" s="317" t="s">
        <v>118</v>
      </c>
      <c r="I95" s="298"/>
      <c r="J95" s="298"/>
      <c r="K95" s="298"/>
      <c r="L95" s="298"/>
      <c r="M95" s="299"/>
      <c r="N95" s="300" t="s">
        <v>119</v>
      </c>
      <c r="O95" s="301"/>
      <c r="P95" s="440"/>
      <c r="Q95" s="317" t="s">
        <v>120</v>
      </c>
      <c r="R95" s="298"/>
      <c r="S95" s="298"/>
      <c r="T95" s="298"/>
      <c r="U95" s="298"/>
      <c r="V95" s="298"/>
      <c r="W95" s="300" t="s">
        <v>102</v>
      </c>
      <c r="X95" s="301"/>
      <c r="Y95" s="302"/>
    </row>
    <row r="96" spans="2:29" ht="12.6" customHeight="1" x14ac:dyDescent="0.2">
      <c r="E96" s="444" t="s">
        <v>121</v>
      </c>
      <c r="F96" s="298"/>
      <c r="G96" s="299"/>
      <c r="H96" s="305" t="s">
        <v>122</v>
      </c>
      <c r="I96" s="303"/>
      <c r="J96" s="303"/>
      <c r="K96" s="303"/>
      <c r="L96" s="303"/>
      <c r="M96" s="303"/>
      <c r="N96" s="300" t="s">
        <v>12</v>
      </c>
      <c r="O96" s="301"/>
      <c r="P96" s="440"/>
      <c r="Q96" s="303" t="s">
        <v>122</v>
      </c>
      <c r="R96" s="303"/>
      <c r="S96" s="303"/>
      <c r="T96" s="303"/>
      <c r="U96" s="303"/>
      <c r="V96" s="303"/>
      <c r="W96" s="300" t="s">
        <v>101</v>
      </c>
      <c r="X96" s="301"/>
      <c r="Y96" s="302"/>
    </row>
    <row r="97" spans="1:25" ht="12.6" customHeight="1" x14ac:dyDescent="0.2">
      <c r="E97" s="463"/>
      <c r="F97" s="303"/>
      <c r="G97" s="304"/>
      <c r="H97" s="334" t="s">
        <v>123</v>
      </c>
      <c r="I97" s="334"/>
      <c r="J97" s="334"/>
      <c r="K97" s="334" t="s">
        <v>124</v>
      </c>
      <c r="L97" s="334"/>
      <c r="M97" s="334"/>
      <c r="N97" s="526" t="s">
        <v>17</v>
      </c>
      <c r="O97" s="526"/>
      <c r="P97" s="526"/>
      <c r="Q97" s="334" t="s">
        <v>123</v>
      </c>
      <c r="R97" s="334"/>
      <c r="S97" s="334"/>
      <c r="T97" s="334" t="s">
        <v>124</v>
      </c>
      <c r="U97" s="334"/>
      <c r="V97" s="334"/>
      <c r="W97" s="305" t="s">
        <v>17</v>
      </c>
      <c r="X97" s="303"/>
      <c r="Y97" s="306"/>
    </row>
    <row r="98" spans="1:25" ht="12.6" customHeight="1" x14ac:dyDescent="0.2">
      <c r="E98" s="416"/>
      <c r="F98" s="412"/>
      <c r="G98" s="412"/>
      <c r="H98" s="427"/>
      <c r="I98" s="427"/>
      <c r="J98" s="427"/>
      <c r="K98" s="374">
        <f>IFERROR(AVERAGE(H98:J100),0)</f>
        <v>0</v>
      </c>
      <c r="L98" s="375"/>
      <c r="M98" s="376"/>
      <c r="N98" s="412"/>
      <c r="O98" s="412"/>
      <c r="P98" s="412"/>
      <c r="Q98" s="427"/>
      <c r="R98" s="427"/>
      <c r="S98" s="427"/>
      <c r="T98" s="399">
        <f>IFERROR(AVERAGE(Q98:S100),0)</f>
        <v>0</v>
      </c>
      <c r="U98" s="400"/>
      <c r="V98" s="401"/>
      <c r="W98" s="411"/>
      <c r="X98" s="412"/>
      <c r="Y98" s="413"/>
    </row>
    <row r="99" spans="1:25" ht="12.6" customHeight="1" x14ac:dyDescent="0.2">
      <c r="E99" s="416"/>
      <c r="F99" s="412"/>
      <c r="G99" s="412"/>
      <c r="H99" s="427"/>
      <c r="I99" s="427"/>
      <c r="J99" s="427"/>
      <c r="K99" s="377"/>
      <c r="L99" s="378"/>
      <c r="M99" s="379"/>
      <c r="N99" s="412"/>
      <c r="O99" s="412"/>
      <c r="P99" s="412"/>
      <c r="Q99" s="427"/>
      <c r="R99" s="427"/>
      <c r="S99" s="427"/>
      <c r="T99" s="402"/>
      <c r="U99" s="403"/>
      <c r="V99" s="404"/>
      <c r="W99" s="411"/>
      <c r="X99" s="412"/>
      <c r="Y99" s="413"/>
    </row>
    <row r="100" spans="1:25" ht="12.6" customHeight="1" thickBot="1" x14ac:dyDescent="0.25">
      <c r="E100" s="366"/>
      <c r="F100" s="361"/>
      <c r="G100" s="361"/>
      <c r="H100" s="522"/>
      <c r="I100" s="523"/>
      <c r="J100" s="524"/>
      <c r="K100" s="380"/>
      <c r="L100" s="381"/>
      <c r="M100" s="382"/>
      <c r="N100" s="396"/>
      <c r="O100" s="397"/>
      <c r="P100" s="398"/>
      <c r="Q100" s="522"/>
      <c r="R100" s="523"/>
      <c r="S100" s="524"/>
      <c r="T100" s="405"/>
      <c r="U100" s="406"/>
      <c r="V100" s="407"/>
      <c r="W100" s="525"/>
      <c r="X100" s="397"/>
      <c r="Y100" s="420"/>
    </row>
    <row r="101" spans="1:25" ht="12.6" customHeight="1" x14ac:dyDescent="0.2">
      <c r="E101" s="395"/>
      <c r="F101" s="364"/>
      <c r="G101" s="364"/>
      <c r="H101" s="520"/>
      <c r="I101" s="520"/>
      <c r="J101" s="520"/>
      <c r="K101" s="374">
        <f>IFERROR(AVERAGE(H101:J103),0)</f>
        <v>0</v>
      </c>
      <c r="L101" s="375"/>
      <c r="M101" s="376"/>
      <c r="N101" s="364"/>
      <c r="O101" s="364"/>
      <c r="P101" s="364"/>
      <c r="Q101" s="520"/>
      <c r="R101" s="520"/>
      <c r="S101" s="520"/>
      <c r="T101" s="399">
        <f>IFERROR(AVERAGE(Q101:S103),0)</f>
        <v>0</v>
      </c>
      <c r="U101" s="400"/>
      <c r="V101" s="401"/>
      <c r="W101" s="363"/>
      <c r="X101" s="364"/>
      <c r="Y101" s="365"/>
    </row>
    <row r="102" spans="1:25" ht="12.6" customHeight="1" x14ac:dyDescent="0.2">
      <c r="E102" s="416"/>
      <c r="F102" s="412"/>
      <c r="G102" s="412"/>
      <c r="H102" s="427"/>
      <c r="I102" s="427"/>
      <c r="J102" s="427"/>
      <c r="K102" s="377"/>
      <c r="L102" s="378"/>
      <c r="M102" s="379"/>
      <c r="N102" s="412"/>
      <c r="O102" s="412"/>
      <c r="P102" s="412"/>
      <c r="Q102" s="427"/>
      <c r="R102" s="427"/>
      <c r="S102" s="427"/>
      <c r="T102" s="402"/>
      <c r="U102" s="403"/>
      <c r="V102" s="404"/>
      <c r="W102" s="411"/>
      <c r="X102" s="412"/>
      <c r="Y102" s="413"/>
    </row>
    <row r="103" spans="1:25" ht="12.6" customHeight="1" thickBot="1" x14ac:dyDescent="0.25">
      <c r="E103" s="366"/>
      <c r="F103" s="361"/>
      <c r="G103" s="361"/>
      <c r="H103" s="522"/>
      <c r="I103" s="523"/>
      <c r="J103" s="524"/>
      <c r="K103" s="380"/>
      <c r="L103" s="381"/>
      <c r="M103" s="382"/>
      <c r="N103" s="396"/>
      <c r="O103" s="397"/>
      <c r="P103" s="398"/>
      <c r="Q103" s="522"/>
      <c r="R103" s="523"/>
      <c r="S103" s="524"/>
      <c r="T103" s="405"/>
      <c r="U103" s="406"/>
      <c r="V103" s="407"/>
      <c r="W103" s="525"/>
      <c r="X103" s="397"/>
      <c r="Y103" s="420"/>
    </row>
    <row r="104" spans="1:25" ht="12.6" customHeight="1" x14ac:dyDescent="0.2">
      <c r="E104" s="395"/>
      <c r="F104" s="364"/>
      <c r="G104" s="364"/>
      <c r="H104" s="364"/>
      <c r="I104" s="364"/>
      <c r="J104" s="364"/>
      <c r="K104" s="374">
        <f>IFERROR(AVERAGE(H104:J106),0)</f>
        <v>0</v>
      </c>
      <c r="L104" s="375"/>
      <c r="M104" s="376"/>
      <c r="N104" s="364"/>
      <c r="O104" s="364"/>
      <c r="P104" s="364"/>
      <c r="Q104" s="364"/>
      <c r="R104" s="364"/>
      <c r="S104" s="364"/>
      <c r="T104" s="399">
        <f>IFERROR(AVERAGE(Q104:S106),0)</f>
        <v>0</v>
      </c>
      <c r="U104" s="400"/>
      <c r="V104" s="401"/>
      <c r="W104" s="363"/>
      <c r="X104" s="364"/>
      <c r="Y104" s="365"/>
    </row>
    <row r="105" spans="1:25" ht="12.6" customHeight="1" x14ac:dyDescent="0.2">
      <c r="E105" s="416"/>
      <c r="F105" s="412"/>
      <c r="G105" s="412"/>
      <c r="H105" s="287"/>
      <c r="I105" s="288"/>
      <c r="J105" s="307"/>
      <c r="K105" s="377"/>
      <c r="L105" s="378"/>
      <c r="M105" s="379"/>
      <c r="N105" s="287"/>
      <c r="O105" s="288"/>
      <c r="P105" s="307"/>
      <c r="Q105" s="287"/>
      <c r="R105" s="288"/>
      <c r="S105" s="307"/>
      <c r="T105" s="402"/>
      <c r="U105" s="403"/>
      <c r="V105" s="404"/>
      <c r="W105" s="428"/>
      <c r="X105" s="288"/>
      <c r="Y105" s="289"/>
    </row>
    <row r="106" spans="1:25" ht="12.6" customHeight="1" thickBot="1" x14ac:dyDescent="0.25">
      <c r="E106" s="366"/>
      <c r="F106" s="361"/>
      <c r="G106" s="361"/>
      <c r="H106" s="361"/>
      <c r="I106" s="361"/>
      <c r="J106" s="361"/>
      <c r="K106" s="380"/>
      <c r="L106" s="381"/>
      <c r="M106" s="382"/>
      <c r="N106" s="361"/>
      <c r="O106" s="361"/>
      <c r="P106" s="361"/>
      <c r="Q106" s="361"/>
      <c r="R106" s="361"/>
      <c r="S106" s="361"/>
      <c r="T106" s="405"/>
      <c r="U106" s="406"/>
      <c r="V106" s="407"/>
      <c r="W106" s="360"/>
      <c r="X106" s="361"/>
      <c r="Y106" s="362"/>
    </row>
    <row r="107" spans="1:25" ht="12.6" customHeight="1" x14ac:dyDescent="0.2">
      <c r="E107" s="417"/>
      <c r="F107" s="418"/>
      <c r="G107" s="419"/>
      <c r="H107" s="414"/>
      <c r="I107" s="409"/>
      <c r="J107" s="415"/>
      <c r="K107" s="374">
        <f>IFERROR(AVERAGE(H107:J109),0)</f>
        <v>0</v>
      </c>
      <c r="L107" s="375"/>
      <c r="M107" s="376"/>
      <c r="N107" s="414"/>
      <c r="O107" s="409"/>
      <c r="P107" s="415"/>
      <c r="Q107" s="414"/>
      <c r="R107" s="409"/>
      <c r="S107" s="415"/>
      <c r="T107" s="399">
        <f>IFERROR(AVERAGE(Q107:S109),0)</f>
        <v>0</v>
      </c>
      <c r="U107" s="400"/>
      <c r="V107" s="401"/>
      <c r="W107" s="414"/>
      <c r="X107" s="409"/>
      <c r="Y107" s="410"/>
    </row>
    <row r="108" spans="1:25" ht="12.6" customHeight="1" x14ac:dyDescent="0.2">
      <c r="E108" s="421"/>
      <c r="F108" s="422"/>
      <c r="G108" s="423"/>
      <c r="H108" s="287"/>
      <c r="I108" s="288"/>
      <c r="J108" s="307"/>
      <c r="K108" s="377"/>
      <c r="L108" s="378"/>
      <c r="M108" s="379"/>
      <c r="N108" s="287"/>
      <c r="O108" s="288"/>
      <c r="P108" s="307"/>
      <c r="Q108" s="287"/>
      <c r="R108" s="288"/>
      <c r="S108" s="307"/>
      <c r="T108" s="402"/>
      <c r="U108" s="403"/>
      <c r="V108" s="404"/>
      <c r="W108" s="287"/>
      <c r="X108" s="288"/>
      <c r="Y108" s="289"/>
    </row>
    <row r="109" spans="1:25" ht="12.6" customHeight="1" thickBot="1" x14ac:dyDescent="0.25">
      <c r="E109" s="424"/>
      <c r="F109" s="425"/>
      <c r="G109" s="426"/>
      <c r="H109" s="396"/>
      <c r="I109" s="397"/>
      <c r="J109" s="398"/>
      <c r="K109" s="380"/>
      <c r="L109" s="381"/>
      <c r="M109" s="382"/>
      <c r="N109" s="396"/>
      <c r="O109" s="397"/>
      <c r="P109" s="398"/>
      <c r="Q109" s="396"/>
      <c r="R109" s="397"/>
      <c r="S109" s="398"/>
      <c r="T109" s="405"/>
      <c r="U109" s="406"/>
      <c r="V109" s="407"/>
      <c r="W109" s="396"/>
      <c r="X109" s="397"/>
      <c r="Y109" s="420"/>
    </row>
    <row r="110" spans="1:25" ht="12.6" customHeight="1" x14ac:dyDescent="0.2">
      <c r="E110" s="395"/>
      <c r="F110" s="364"/>
      <c r="G110" s="364"/>
      <c r="H110" s="414"/>
      <c r="I110" s="409"/>
      <c r="J110" s="415"/>
      <c r="K110" s="374">
        <f>IFERROR(AVERAGE(H110:J112),0)</f>
        <v>0</v>
      </c>
      <c r="L110" s="375"/>
      <c r="M110" s="376"/>
      <c r="N110" s="414"/>
      <c r="O110" s="409"/>
      <c r="P110" s="415"/>
      <c r="Q110" s="414"/>
      <c r="R110" s="409"/>
      <c r="S110" s="415"/>
      <c r="T110" s="399">
        <f>IFERROR(AVERAGE(Q110:S112),0)</f>
        <v>0</v>
      </c>
      <c r="U110" s="400"/>
      <c r="V110" s="401"/>
      <c r="W110" s="408"/>
      <c r="X110" s="409"/>
      <c r="Y110" s="410"/>
    </row>
    <row r="111" spans="1:25" ht="12.6" customHeight="1" x14ac:dyDescent="0.2">
      <c r="A111" s="17"/>
      <c r="B111" s="17"/>
      <c r="C111" s="17"/>
      <c r="D111" s="17"/>
      <c r="E111" s="416"/>
      <c r="F111" s="412"/>
      <c r="G111" s="412"/>
      <c r="H111" s="412"/>
      <c r="I111" s="412"/>
      <c r="J111" s="412"/>
      <c r="K111" s="377"/>
      <c r="L111" s="378"/>
      <c r="M111" s="379"/>
      <c r="N111" s="412"/>
      <c r="O111" s="412"/>
      <c r="P111" s="412"/>
      <c r="Q111" s="287"/>
      <c r="R111" s="288"/>
      <c r="S111" s="307"/>
      <c r="T111" s="402"/>
      <c r="U111" s="403"/>
      <c r="V111" s="404"/>
      <c r="W111" s="411"/>
      <c r="X111" s="412"/>
      <c r="Y111" s="413"/>
    </row>
    <row r="112" spans="1:25" ht="12.6" customHeight="1" thickBot="1" x14ac:dyDescent="0.25">
      <c r="A112" s="17"/>
      <c r="B112" s="17"/>
      <c r="C112" s="17"/>
      <c r="D112" s="17"/>
      <c r="E112" s="366"/>
      <c r="F112" s="361"/>
      <c r="G112" s="361"/>
      <c r="H112" s="361"/>
      <c r="I112" s="361"/>
      <c r="J112" s="361"/>
      <c r="K112" s="380"/>
      <c r="L112" s="381"/>
      <c r="M112" s="382"/>
      <c r="N112" s="361"/>
      <c r="O112" s="361"/>
      <c r="P112" s="361"/>
      <c r="Q112" s="396"/>
      <c r="R112" s="397"/>
      <c r="S112" s="398"/>
      <c r="T112" s="405"/>
      <c r="U112" s="406"/>
      <c r="V112" s="407"/>
      <c r="W112" s="360"/>
      <c r="X112" s="361"/>
      <c r="Y112" s="362"/>
    </row>
    <row r="113" spans="1:33" ht="12.6" customHeight="1" x14ac:dyDescent="0.2">
      <c r="A113" s="17"/>
      <c r="B113" s="17"/>
      <c r="C113" s="17"/>
      <c r="D113" s="17"/>
      <c r="E113" s="395"/>
      <c r="F113" s="364"/>
      <c r="G113" s="364"/>
      <c r="H113" s="364"/>
      <c r="I113" s="364"/>
      <c r="J113" s="364"/>
      <c r="K113" s="383">
        <f>IFERROR(AVERAGE(H113:J114),0)</f>
        <v>0</v>
      </c>
      <c r="L113" s="384"/>
      <c r="M113" s="385"/>
      <c r="N113" s="364"/>
      <c r="O113" s="364"/>
      <c r="P113" s="364"/>
      <c r="Q113" s="364"/>
      <c r="R113" s="364"/>
      <c r="S113" s="364"/>
      <c r="T113" s="389">
        <f>IFERROR(AVERAGE(Q113:S114),0)</f>
        <v>0</v>
      </c>
      <c r="U113" s="390"/>
      <c r="V113" s="391"/>
      <c r="W113" s="363"/>
      <c r="X113" s="364"/>
      <c r="Y113" s="365"/>
    </row>
    <row r="114" spans="1:33" ht="12.6" customHeight="1" thickBot="1" x14ac:dyDescent="0.25">
      <c r="A114" s="17"/>
      <c r="B114" s="17"/>
      <c r="C114" s="17"/>
      <c r="D114" s="17"/>
      <c r="E114" s="366"/>
      <c r="F114" s="361"/>
      <c r="G114" s="361"/>
      <c r="H114" s="361"/>
      <c r="I114" s="361"/>
      <c r="J114" s="361"/>
      <c r="K114" s="386"/>
      <c r="L114" s="387"/>
      <c r="M114" s="388"/>
      <c r="N114" s="361"/>
      <c r="O114" s="361"/>
      <c r="P114" s="361"/>
      <c r="Q114" s="361"/>
      <c r="R114" s="361"/>
      <c r="S114" s="361"/>
      <c r="T114" s="392"/>
      <c r="U114" s="393"/>
      <c r="V114" s="394"/>
      <c r="W114" s="360"/>
      <c r="X114" s="361"/>
      <c r="Y114" s="362"/>
    </row>
    <row r="115" spans="1:33" ht="12.6" customHeight="1" x14ac:dyDescent="0.2">
      <c r="A115" s="17"/>
      <c r="B115" s="17"/>
      <c r="C115" s="17"/>
      <c r="D115" s="17"/>
      <c r="E115" s="185"/>
      <c r="F115" s="21"/>
      <c r="G115" s="21"/>
      <c r="H115" s="21"/>
      <c r="I115" s="21"/>
      <c r="J115" s="21"/>
      <c r="K115" s="186"/>
      <c r="L115" s="186"/>
      <c r="M115" s="186"/>
      <c r="N115" s="21"/>
      <c r="O115" s="21"/>
      <c r="P115" s="21"/>
      <c r="Q115" s="21"/>
      <c r="R115" s="21"/>
      <c r="S115" s="21"/>
      <c r="T115" s="208"/>
      <c r="U115" s="208"/>
      <c r="V115" s="208"/>
      <c r="W115" s="185"/>
      <c r="X115" s="21"/>
      <c r="Y115" s="21"/>
      <c r="AF115" s="175">
        <v>1</v>
      </c>
    </row>
    <row r="116" spans="1:33" x14ac:dyDescent="0.2">
      <c r="A116" s="17"/>
      <c r="B116" s="17"/>
      <c r="C116" s="17"/>
      <c r="D116" s="17"/>
      <c r="E116" s="185"/>
      <c r="F116" s="21"/>
      <c r="G116" s="21"/>
      <c r="H116" s="21"/>
      <c r="I116" s="21"/>
      <c r="J116" s="21"/>
      <c r="K116" s="186"/>
      <c r="L116" s="186"/>
      <c r="M116" s="186"/>
      <c r="N116" s="21"/>
      <c r="O116" s="21"/>
      <c r="P116" s="21"/>
      <c r="Q116" s="21"/>
      <c r="R116" s="21"/>
      <c r="S116" s="21"/>
      <c r="T116" s="208"/>
      <c r="U116" s="208"/>
      <c r="V116" s="208"/>
      <c r="W116" s="185"/>
      <c r="X116" s="21"/>
      <c r="Y116" s="21"/>
      <c r="AF116" s="175">
        <v>2</v>
      </c>
    </row>
    <row r="117" spans="1:33" x14ac:dyDescent="0.2">
      <c r="A117" s="187"/>
      <c r="B117" s="187"/>
      <c r="C117" s="367" t="s">
        <v>125</v>
      </c>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F117" s="175">
        <v>3</v>
      </c>
    </row>
    <row r="118" spans="1:33" x14ac:dyDescent="0.2">
      <c r="A118" s="187"/>
      <c r="B118" s="187"/>
      <c r="C118" s="187"/>
      <c r="D118" s="187"/>
      <c r="E118" s="188"/>
      <c r="F118" s="209"/>
      <c r="G118" s="368" t="s">
        <v>126</v>
      </c>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F118" s="175">
        <v>4</v>
      </c>
    </row>
    <row r="119" spans="1:33" x14ac:dyDescent="0.2">
      <c r="A119" s="187"/>
      <c r="B119" s="187"/>
      <c r="C119" s="187"/>
      <c r="D119" s="187"/>
      <c r="E119" s="188"/>
      <c r="F119" s="209"/>
      <c r="G119" s="368" t="s">
        <v>127</v>
      </c>
      <c r="H119" s="368"/>
      <c r="I119" s="368"/>
      <c r="J119" s="368"/>
      <c r="K119" s="368"/>
      <c r="L119" s="368"/>
      <c r="M119" s="368"/>
      <c r="N119" s="368"/>
      <c r="O119" s="368"/>
      <c r="P119" s="368"/>
      <c r="Q119" s="368"/>
      <c r="R119" s="368"/>
      <c r="S119" s="368"/>
      <c r="T119" s="368"/>
      <c r="U119" s="368"/>
      <c r="V119" s="368"/>
      <c r="W119" s="368"/>
      <c r="X119" s="368"/>
      <c r="Y119" s="368"/>
      <c r="Z119" s="368"/>
      <c r="AA119" s="368"/>
      <c r="AB119" s="368"/>
    </row>
    <row r="120" spans="1:33" x14ac:dyDescent="0.2">
      <c r="A120" s="187"/>
      <c r="B120" s="367" t="s">
        <v>128</v>
      </c>
      <c r="C120" s="369"/>
      <c r="D120" s="369"/>
      <c r="E120" s="369"/>
      <c r="F120" s="370"/>
      <c r="G120" s="371"/>
      <c r="H120" s="209"/>
      <c r="I120" s="372"/>
      <c r="J120" s="373"/>
      <c r="K120" s="373"/>
      <c r="L120" s="373"/>
      <c r="M120" s="373"/>
      <c r="N120" s="373"/>
      <c r="O120" s="373"/>
      <c r="P120" s="373"/>
      <c r="Q120" s="373"/>
      <c r="R120" s="373"/>
      <c r="S120" s="373"/>
      <c r="T120" s="373"/>
      <c r="U120" s="373"/>
      <c r="V120" s="373"/>
      <c r="W120" s="373"/>
      <c r="X120" s="373"/>
      <c r="Y120" s="373"/>
      <c r="Z120" s="373"/>
      <c r="AA120" s="373"/>
      <c r="AB120" s="373"/>
    </row>
    <row r="121" spans="1:33" x14ac:dyDescent="0.2">
      <c r="A121" s="187"/>
      <c r="B121" s="367" t="s">
        <v>129</v>
      </c>
      <c r="C121" s="369"/>
      <c r="D121" s="369"/>
      <c r="E121" s="369"/>
      <c r="F121" s="370"/>
      <c r="G121" s="371"/>
      <c r="H121" s="209"/>
      <c r="I121" s="373"/>
      <c r="J121" s="373"/>
      <c r="K121" s="373"/>
      <c r="L121" s="373"/>
      <c r="M121" s="373"/>
      <c r="N121" s="373"/>
      <c r="O121" s="373"/>
      <c r="P121" s="373"/>
      <c r="Q121" s="373"/>
      <c r="R121" s="373"/>
      <c r="S121" s="373"/>
      <c r="T121" s="373"/>
      <c r="U121" s="373"/>
      <c r="V121" s="373"/>
      <c r="W121" s="373"/>
      <c r="X121" s="373"/>
      <c r="Y121" s="373"/>
      <c r="Z121" s="373"/>
      <c r="AA121" s="373"/>
      <c r="AB121" s="373"/>
    </row>
    <row r="122" spans="1:33" x14ac:dyDescent="0.2">
      <c r="A122" s="187"/>
      <c r="B122" s="367" t="s">
        <v>130</v>
      </c>
      <c r="C122" s="369"/>
      <c r="D122" s="369"/>
      <c r="E122" s="369"/>
      <c r="F122" s="370"/>
      <c r="G122" s="371"/>
      <c r="H122" s="209"/>
      <c r="I122" s="373"/>
      <c r="J122" s="373"/>
      <c r="K122" s="373"/>
      <c r="L122" s="373"/>
      <c r="M122" s="373"/>
      <c r="N122" s="373"/>
      <c r="O122" s="373"/>
      <c r="P122" s="373"/>
      <c r="Q122" s="373"/>
      <c r="R122" s="373"/>
      <c r="S122" s="373"/>
      <c r="T122" s="373"/>
      <c r="U122" s="373"/>
      <c r="V122" s="373"/>
      <c r="W122" s="373"/>
      <c r="X122" s="373"/>
      <c r="Y122" s="373"/>
      <c r="Z122" s="373"/>
      <c r="AA122" s="373"/>
      <c r="AB122" s="373"/>
    </row>
    <row r="123" spans="1:33" x14ac:dyDescent="0.2">
      <c r="A123" s="187"/>
      <c r="B123" s="367" t="s">
        <v>131</v>
      </c>
      <c r="C123" s="369"/>
      <c r="D123" s="369"/>
      <c r="E123" s="369"/>
      <c r="F123" s="370"/>
      <c r="G123" s="371"/>
      <c r="H123" s="209"/>
      <c r="I123" s="373"/>
      <c r="J123" s="373"/>
      <c r="K123" s="373"/>
      <c r="L123" s="373"/>
      <c r="M123" s="373"/>
      <c r="N123" s="373"/>
      <c r="O123" s="373"/>
      <c r="P123" s="373"/>
      <c r="Q123" s="373"/>
      <c r="R123" s="373"/>
      <c r="S123" s="373"/>
      <c r="T123" s="373"/>
      <c r="U123" s="373"/>
      <c r="V123" s="373"/>
      <c r="W123" s="373"/>
      <c r="X123" s="373"/>
      <c r="Y123" s="373"/>
      <c r="Z123" s="373"/>
      <c r="AA123" s="373"/>
      <c r="AB123" s="373"/>
    </row>
    <row r="124" spans="1:33" x14ac:dyDescent="0.2">
      <c r="A124" s="187"/>
      <c r="B124" s="367" t="s">
        <v>132</v>
      </c>
      <c r="C124" s="369"/>
      <c r="D124" s="369"/>
      <c r="E124" s="369"/>
      <c r="F124" s="535">
        <f>(F120+F121+F122+F123)/4</f>
        <v>0</v>
      </c>
      <c r="G124" s="535"/>
      <c r="H124" s="209"/>
      <c r="I124" s="373"/>
      <c r="J124" s="373"/>
      <c r="K124" s="373"/>
      <c r="L124" s="373"/>
      <c r="M124" s="373"/>
      <c r="N124" s="373"/>
      <c r="O124" s="373"/>
      <c r="P124" s="373"/>
      <c r="Q124" s="373"/>
      <c r="R124" s="373"/>
      <c r="S124" s="373"/>
      <c r="T124" s="373"/>
      <c r="U124" s="373"/>
      <c r="V124" s="373"/>
      <c r="W124" s="373"/>
      <c r="X124" s="373"/>
      <c r="Y124" s="373"/>
      <c r="Z124" s="373"/>
      <c r="AA124" s="373"/>
      <c r="AB124" s="373"/>
    </row>
    <row r="125" spans="1:33" x14ac:dyDescent="0.2">
      <c r="A125" s="187"/>
      <c r="B125" s="187"/>
      <c r="C125" s="187"/>
      <c r="D125" s="187"/>
      <c r="E125" s="188"/>
      <c r="F125" s="209"/>
      <c r="G125" s="209"/>
      <c r="H125" s="209"/>
      <c r="I125" s="373"/>
      <c r="J125" s="373"/>
      <c r="K125" s="373"/>
      <c r="L125" s="373"/>
      <c r="M125" s="373"/>
      <c r="N125" s="373"/>
      <c r="O125" s="373"/>
      <c r="P125" s="373"/>
      <c r="Q125" s="373"/>
      <c r="R125" s="373"/>
      <c r="S125" s="373"/>
      <c r="T125" s="373"/>
      <c r="U125" s="373"/>
      <c r="V125" s="373"/>
      <c r="W125" s="373"/>
      <c r="X125" s="373"/>
      <c r="Y125" s="373"/>
      <c r="Z125" s="373"/>
      <c r="AA125" s="373"/>
      <c r="AB125" s="373"/>
      <c r="AG125" s="191">
        <v>0</v>
      </c>
    </row>
    <row r="126" spans="1:33" s="175" customFormat="1" x14ac:dyDescent="0.2">
      <c r="A126" s="187"/>
      <c r="B126" s="187"/>
      <c r="C126" s="187"/>
      <c r="D126" s="187"/>
      <c r="E126" s="188"/>
      <c r="F126" s="209"/>
      <c r="G126" s="209"/>
      <c r="H126" s="209"/>
      <c r="I126" s="373"/>
      <c r="J126" s="373"/>
      <c r="K126" s="373"/>
      <c r="L126" s="373"/>
      <c r="M126" s="373"/>
      <c r="N126" s="373"/>
      <c r="O126" s="373"/>
      <c r="P126" s="373"/>
      <c r="Q126" s="373"/>
      <c r="R126" s="373"/>
      <c r="S126" s="373"/>
      <c r="T126" s="373"/>
      <c r="U126" s="373"/>
      <c r="V126" s="373"/>
      <c r="W126" s="373"/>
      <c r="X126" s="373"/>
      <c r="Y126" s="373"/>
      <c r="Z126" s="373"/>
      <c r="AA126" s="373"/>
      <c r="AB126" s="373"/>
      <c r="AC126"/>
      <c r="AG126" s="191">
        <v>0.25</v>
      </c>
    </row>
    <row r="127" spans="1:33" s="175" customFormat="1" x14ac:dyDescent="0.2">
      <c r="A127" s="187"/>
      <c r="B127" s="187"/>
      <c r="C127" s="187"/>
      <c r="D127" s="187"/>
      <c r="E127" s="188"/>
      <c r="F127" s="209"/>
      <c r="G127" s="209"/>
      <c r="H127" s="209"/>
      <c r="I127" s="373"/>
      <c r="J127" s="373"/>
      <c r="K127" s="373"/>
      <c r="L127" s="373"/>
      <c r="M127" s="373"/>
      <c r="N127" s="373"/>
      <c r="O127" s="373"/>
      <c r="P127" s="373"/>
      <c r="Q127" s="373"/>
      <c r="R127" s="373"/>
      <c r="S127" s="373"/>
      <c r="T127" s="373"/>
      <c r="U127" s="373"/>
      <c r="V127" s="373"/>
      <c r="W127" s="373"/>
      <c r="X127" s="373"/>
      <c r="Y127" s="373"/>
      <c r="Z127" s="373"/>
      <c r="AA127" s="373"/>
      <c r="AB127" s="373"/>
      <c r="AC127"/>
      <c r="AG127" s="191">
        <v>0.5</v>
      </c>
    </row>
    <row r="128" spans="1:33" s="175" customFormat="1" x14ac:dyDescent="0.2">
      <c r="A128" s="187"/>
      <c r="B128" s="187"/>
      <c r="C128" s="187"/>
      <c r="D128" s="187"/>
      <c r="E128" s="188"/>
      <c r="F128" s="209"/>
      <c r="G128" s="209"/>
      <c r="H128" s="209"/>
      <c r="I128" s="373"/>
      <c r="J128" s="373"/>
      <c r="K128" s="373"/>
      <c r="L128" s="373"/>
      <c r="M128" s="373"/>
      <c r="N128" s="373"/>
      <c r="O128" s="373"/>
      <c r="P128" s="373"/>
      <c r="Q128" s="373"/>
      <c r="R128" s="373"/>
      <c r="S128" s="373"/>
      <c r="T128" s="373"/>
      <c r="U128" s="373"/>
      <c r="V128" s="373"/>
      <c r="W128" s="373"/>
      <c r="X128" s="373"/>
      <c r="Y128" s="373"/>
      <c r="Z128" s="373"/>
      <c r="AA128" s="373"/>
      <c r="AB128" s="373"/>
      <c r="AC128"/>
      <c r="AG128" s="191">
        <v>0.75</v>
      </c>
    </row>
    <row r="129" spans="1:33" s="175" customFormat="1" x14ac:dyDescent="0.2">
      <c r="A129" s="187"/>
      <c r="B129" s="187"/>
      <c r="C129" s="187"/>
      <c r="D129" s="187"/>
      <c r="E129" s="188"/>
      <c r="F129" s="209"/>
      <c r="G129" s="209"/>
      <c r="H129" s="209"/>
      <c r="I129" s="373"/>
      <c r="J129" s="373"/>
      <c r="K129" s="373"/>
      <c r="L129" s="373"/>
      <c r="M129" s="373"/>
      <c r="N129" s="373"/>
      <c r="O129" s="373"/>
      <c r="P129" s="373"/>
      <c r="Q129" s="373"/>
      <c r="R129" s="373"/>
      <c r="S129" s="373"/>
      <c r="T129" s="373"/>
      <c r="U129" s="373"/>
      <c r="V129" s="373"/>
      <c r="W129" s="373"/>
      <c r="X129" s="373"/>
      <c r="Y129" s="373"/>
      <c r="Z129" s="373"/>
      <c r="AA129" s="373"/>
      <c r="AB129" s="373"/>
      <c r="AC129"/>
      <c r="AG129" s="191">
        <v>1</v>
      </c>
    </row>
    <row r="130" spans="1:33" s="175" customFormat="1" x14ac:dyDescent="0.2">
      <c r="A130" s="187"/>
      <c r="B130" s="187"/>
      <c r="C130" s="187"/>
      <c r="D130" s="187"/>
      <c r="E130" s="188"/>
      <c r="F130" s="209"/>
      <c r="G130" s="209"/>
      <c r="H130" s="209"/>
      <c r="I130" s="373"/>
      <c r="J130" s="373"/>
      <c r="K130" s="373"/>
      <c r="L130" s="373"/>
      <c r="M130" s="373"/>
      <c r="N130" s="373"/>
      <c r="O130" s="373"/>
      <c r="P130" s="373"/>
      <c r="Q130" s="373"/>
      <c r="R130" s="373"/>
      <c r="S130" s="373"/>
      <c r="T130" s="373"/>
      <c r="U130" s="373"/>
      <c r="V130" s="373"/>
      <c r="W130" s="373"/>
      <c r="X130" s="373"/>
      <c r="Y130" s="373"/>
      <c r="Z130" s="373"/>
      <c r="AA130" s="373"/>
      <c r="AB130" s="373"/>
      <c r="AC130"/>
      <c r="AG130" s="191">
        <v>1.25</v>
      </c>
    </row>
    <row r="131" spans="1:33" s="175" customFormat="1" x14ac:dyDescent="0.2">
      <c r="A131" s="187"/>
      <c r="B131" s="187"/>
      <c r="C131" s="187"/>
      <c r="D131" s="187"/>
      <c r="E131" s="188"/>
      <c r="F131" s="209"/>
      <c r="G131" s="209"/>
      <c r="H131" s="209"/>
      <c r="I131" s="373"/>
      <c r="J131" s="373"/>
      <c r="K131" s="373"/>
      <c r="L131" s="373"/>
      <c r="M131" s="373"/>
      <c r="N131" s="373"/>
      <c r="O131" s="373"/>
      <c r="P131" s="373"/>
      <c r="Q131" s="373"/>
      <c r="R131" s="373"/>
      <c r="S131" s="373"/>
      <c r="T131" s="373"/>
      <c r="U131" s="373"/>
      <c r="V131" s="373"/>
      <c r="W131" s="373"/>
      <c r="X131" s="373"/>
      <c r="Y131" s="373"/>
      <c r="Z131" s="373"/>
      <c r="AA131" s="373"/>
      <c r="AB131" s="373"/>
      <c r="AC131"/>
      <c r="AG131" s="191">
        <v>1.5</v>
      </c>
    </row>
    <row r="132" spans="1:33" s="175" customFormat="1" x14ac:dyDescent="0.2">
      <c r="A132" s="187"/>
      <c r="B132" s="187"/>
      <c r="C132" s="187"/>
      <c r="D132" s="187"/>
      <c r="E132" s="188"/>
      <c r="F132" s="209"/>
      <c r="G132" s="209"/>
      <c r="H132" s="209"/>
      <c r="I132" s="373"/>
      <c r="J132" s="373"/>
      <c r="K132" s="373"/>
      <c r="L132" s="373"/>
      <c r="M132" s="373"/>
      <c r="N132" s="373"/>
      <c r="O132" s="373"/>
      <c r="P132" s="373"/>
      <c r="Q132" s="373"/>
      <c r="R132" s="373"/>
      <c r="S132" s="373"/>
      <c r="T132" s="373"/>
      <c r="U132" s="373"/>
      <c r="V132" s="373"/>
      <c r="W132" s="373"/>
      <c r="X132" s="373"/>
      <c r="Y132" s="373"/>
      <c r="Z132" s="373"/>
      <c r="AA132" s="373"/>
      <c r="AB132" s="373"/>
      <c r="AC132"/>
    </row>
    <row r="133" spans="1:33" s="175" customFormat="1" x14ac:dyDescent="0.2">
      <c r="A133" s="187"/>
      <c r="B133" s="187"/>
      <c r="C133" s="187"/>
      <c r="D133" s="187"/>
      <c r="E133" s="188"/>
      <c r="F133" s="209"/>
      <c r="G133" s="209"/>
      <c r="H133" s="209"/>
      <c r="I133" s="373"/>
      <c r="J133" s="373"/>
      <c r="K133" s="373"/>
      <c r="L133" s="373"/>
      <c r="M133" s="373"/>
      <c r="N133" s="373"/>
      <c r="O133" s="373"/>
      <c r="P133" s="373"/>
      <c r="Q133" s="373"/>
      <c r="R133" s="373"/>
      <c r="S133" s="373"/>
      <c r="T133" s="373"/>
      <c r="U133" s="373"/>
      <c r="V133" s="373"/>
      <c r="W133" s="373"/>
      <c r="X133" s="373"/>
      <c r="Y133" s="373"/>
      <c r="Z133" s="373"/>
      <c r="AA133" s="373"/>
      <c r="AB133" s="373"/>
      <c r="AC133"/>
    </row>
    <row r="134" spans="1:33" s="175" customFormat="1" x14ac:dyDescent="0.2">
      <c r="A134" s="187"/>
      <c r="B134" s="187"/>
      <c r="C134" s="187"/>
      <c r="D134" s="187"/>
      <c r="E134" s="188"/>
      <c r="F134" s="209"/>
      <c r="G134" s="209"/>
      <c r="H134" s="209"/>
      <c r="I134" s="373"/>
      <c r="J134" s="373"/>
      <c r="K134" s="373"/>
      <c r="L134" s="373"/>
      <c r="M134" s="373"/>
      <c r="N134" s="373"/>
      <c r="O134" s="373"/>
      <c r="P134" s="373"/>
      <c r="Q134" s="373"/>
      <c r="R134" s="373"/>
      <c r="S134" s="373"/>
      <c r="T134" s="373"/>
      <c r="U134" s="373"/>
      <c r="V134" s="373"/>
      <c r="W134" s="373"/>
      <c r="X134" s="373"/>
      <c r="Y134" s="373"/>
      <c r="Z134" s="373"/>
      <c r="AA134" s="373"/>
      <c r="AB134" s="373"/>
      <c r="AC134"/>
    </row>
    <row r="135" spans="1:33" s="175" customFormat="1" x14ac:dyDescent="0.2">
      <c r="A135" s="187"/>
      <c r="B135" s="187"/>
      <c r="C135" s="187"/>
      <c r="D135" s="187"/>
      <c r="E135" s="188"/>
      <c r="F135" s="209"/>
      <c r="G135" s="209"/>
      <c r="H135" s="209"/>
      <c r="I135" s="373"/>
      <c r="J135" s="373"/>
      <c r="K135" s="373"/>
      <c r="L135" s="373"/>
      <c r="M135" s="373"/>
      <c r="N135" s="373"/>
      <c r="O135" s="373"/>
      <c r="P135" s="373"/>
      <c r="Q135" s="373"/>
      <c r="R135" s="373"/>
      <c r="S135" s="373"/>
      <c r="T135" s="373"/>
      <c r="U135" s="373"/>
      <c r="V135" s="373"/>
      <c r="W135" s="373"/>
      <c r="X135" s="373"/>
      <c r="Y135" s="373"/>
      <c r="Z135" s="373"/>
      <c r="AA135" s="373"/>
      <c r="AB135" s="373"/>
      <c r="AC135"/>
    </row>
    <row r="136" spans="1:33" s="175" customFormat="1" x14ac:dyDescent="0.2">
      <c r="A136" s="187"/>
      <c r="B136" s="187"/>
      <c r="C136" s="187"/>
      <c r="D136" s="187"/>
      <c r="E136" s="188"/>
      <c r="F136" s="209"/>
      <c r="G136" s="209"/>
      <c r="H136" s="209"/>
      <c r="I136" s="373"/>
      <c r="J136" s="373"/>
      <c r="K136" s="373"/>
      <c r="L136" s="373"/>
      <c r="M136" s="373"/>
      <c r="N136" s="373"/>
      <c r="O136" s="373"/>
      <c r="P136" s="373"/>
      <c r="Q136" s="373"/>
      <c r="R136" s="373"/>
      <c r="S136" s="373"/>
      <c r="T136" s="373"/>
      <c r="U136" s="373"/>
      <c r="V136" s="373"/>
      <c r="W136" s="373"/>
      <c r="X136" s="373"/>
      <c r="Y136" s="373"/>
      <c r="Z136" s="373"/>
      <c r="AA136" s="373"/>
      <c r="AB136" s="373"/>
      <c r="AC136"/>
    </row>
    <row r="137" spans="1:33" s="175" customFormat="1" x14ac:dyDescent="0.2">
      <c r="A137" s="187"/>
      <c r="B137" s="187"/>
      <c r="C137" s="187"/>
      <c r="D137" s="187"/>
      <c r="E137" s="188"/>
      <c r="F137" s="209"/>
      <c r="G137" s="209"/>
      <c r="H137" s="209"/>
      <c r="I137" s="373"/>
      <c r="J137" s="373"/>
      <c r="K137" s="373"/>
      <c r="L137" s="373"/>
      <c r="M137" s="373"/>
      <c r="N137" s="373"/>
      <c r="O137" s="373"/>
      <c r="P137" s="373"/>
      <c r="Q137" s="373"/>
      <c r="R137" s="373"/>
      <c r="S137" s="373"/>
      <c r="T137" s="373"/>
      <c r="U137" s="373"/>
      <c r="V137" s="373"/>
      <c r="W137" s="373"/>
      <c r="X137" s="373"/>
      <c r="Y137" s="373"/>
      <c r="Z137" s="373"/>
      <c r="AA137" s="373"/>
      <c r="AB137" s="373"/>
      <c r="AC137"/>
    </row>
    <row r="138" spans="1:33" s="175" customFormat="1" x14ac:dyDescent="0.2">
      <c r="A138" s="187"/>
      <c r="B138" s="187"/>
      <c r="C138" s="187"/>
      <c r="D138" s="187"/>
      <c r="E138" s="188"/>
      <c r="F138" s="209"/>
      <c r="G138" s="209"/>
      <c r="H138" s="209"/>
      <c r="I138" s="373"/>
      <c r="J138" s="373"/>
      <c r="K138" s="373"/>
      <c r="L138" s="373"/>
      <c r="M138" s="373"/>
      <c r="N138" s="373"/>
      <c r="O138" s="373"/>
      <c r="P138" s="373"/>
      <c r="Q138" s="373"/>
      <c r="R138" s="373"/>
      <c r="S138" s="373"/>
      <c r="T138" s="373"/>
      <c r="U138" s="373"/>
      <c r="V138" s="373"/>
      <c r="W138" s="373"/>
      <c r="X138" s="373"/>
      <c r="Y138" s="373"/>
      <c r="Z138" s="373"/>
      <c r="AA138" s="373"/>
      <c r="AB138" s="373"/>
      <c r="AC138"/>
    </row>
    <row r="139" spans="1:33" s="175" customFormat="1" x14ac:dyDescent="0.2">
      <c r="A139" s="187"/>
      <c r="B139" s="187"/>
      <c r="C139" s="187"/>
      <c r="D139" s="187"/>
      <c r="E139" s="188"/>
      <c r="F139" s="209"/>
      <c r="G139" s="209"/>
      <c r="H139" s="209"/>
      <c r="I139" s="373"/>
      <c r="J139" s="373"/>
      <c r="K139" s="373"/>
      <c r="L139" s="373"/>
      <c r="M139" s="373"/>
      <c r="N139" s="373"/>
      <c r="O139" s="373"/>
      <c r="P139" s="373"/>
      <c r="Q139" s="373"/>
      <c r="R139" s="373"/>
      <c r="S139" s="373"/>
      <c r="T139" s="373"/>
      <c r="U139" s="373"/>
      <c r="V139" s="373"/>
      <c r="W139" s="373"/>
      <c r="X139" s="373"/>
      <c r="Y139" s="373"/>
      <c r="Z139" s="373"/>
      <c r="AA139" s="373"/>
      <c r="AB139" s="373"/>
      <c r="AC139"/>
    </row>
    <row r="140" spans="1:33" s="175" customFormat="1" x14ac:dyDescent="0.2">
      <c r="A140" s="187"/>
      <c r="B140" s="187"/>
      <c r="C140" s="187"/>
      <c r="D140" s="187"/>
      <c r="E140" s="188"/>
      <c r="F140" s="209"/>
      <c r="G140" s="209"/>
      <c r="H140" s="209"/>
      <c r="I140" s="373"/>
      <c r="J140" s="373"/>
      <c r="K140" s="373"/>
      <c r="L140" s="373"/>
      <c r="M140" s="373"/>
      <c r="N140" s="373"/>
      <c r="O140" s="373"/>
      <c r="P140" s="373"/>
      <c r="Q140" s="373"/>
      <c r="R140" s="373"/>
      <c r="S140" s="373"/>
      <c r="T140" s="373"/>
      <c r="U140" s="373"/>
      <c r="V140" s="373"/>
      <c r="W140" s="373"/>
      <c r="X140" s="373"/>
      <c r="Y140" s="373"/>
      <c r="Z140" s="373"/>
      <c r="AA140" s="373"/>
      <c r="AB140" s="373"/>
      <c r="AC140"/>
    </row>
    <row r="141" spans="1:33" s="175" customFormat="1" x14ac:dyDescent="0.2">
      <c r="A141" s="187"/>
      <c r="B141" s="187"/>
      <c r="C141" s="187"/>
      <c r="D141" s="187"/>
      <c r="E141" s="188"/>
      <c r="F141" s="209"/>
      <c r="G141" s="209"/>
      <c r="H141" s="209"/>
      <c r="I141" s="209"/>
      <c r="J141" s="209"/>
      <c r="K141" s="189"/>
      <c r="L141" s="189"/>
      <c r="M141" s="189"/>
      <c r="N141" s="209"/>
      <c r="O141" s="209"/>
      <c r="P141" s="209"/>
      <c r="Q141" s="209"/>
      <c r="R141" s="209"/>
      <c r="S141" s="209"/>
      <c r="T141" s="190"/>
      <c r="U141" s="190"/>
      <c r="V141" s="190"/>
      <c r="W141" s="188"/>
      <c r="X141" s="209"/>
      <c r="Y141" s="209"/>
      <c r="Z141" s="187"/>
      <c r="AA141" s="187"/>
      <c r="AB141" s="187"/>
      <c r="AC141"/>
    </row>
    <row r="142" spans="1:33" s="175" customFormat="1" ht="15" x14ac:dyDescent="0.2">
      <c r="A142" s="187"/>
      <c r="B142" s="187"/>
      <c r="C142" s="536" t="s">
        <v>133</v>
      </c>
      <c r="D142" s="536"/>
      <c r="E142" s="536"/>
      <c r="F142" s="536"/>
      <c r="G142" s="536"/>
      <c r="H142" s="536"/>
      <c r="I142" s="536"/>
      <c r="J142" s="536"/>
      <c r="K142" s="536"/>
      <c r="L142" s="536"/>
      <c r="M142" s="536"/>
      <c r="N142" s="536"/>
      <c r="O142" s="536"/>
      <c r="P142" s="536"/>
      <c r="Q142" s="536"/>
      <c r="R142" s="536"/>
      <c r="S142" s="536"/>
      <c r="T142" s="536"/>
      <c r="U142" s="536"/>
      <c r="V142" s="536"/>
      <c r="W142" s="536"/>
      <c r="X142" s="536"/>
      <c r="Y142" s="536"/>
      <c r="Z142" s="536"/>
      <c r="AA142" s="536"/>
      <c r="AB142" s="536"/>
      <c r="AC142"/>
    </row>
    <row r="143" spans="1:33" s="175" customFormat="1" x14ac:dyDescent="0.2">
      <c r="A143" s="187"/>
      <c r="B143" s="187"/>
      <c r="C143" s="187"/>
      <c r="D143" s="187"/>
      <c r="E143" s="188"/>
      <c r="F143" s="209"/>
      <c r="G143" s="209"/>
      <c r="H143" s="209"/>
      <c r="I143" s="209"/>
      <c r="J143" s="209"/>
      <c r="K143" s="189"/>
      <c r="L143" s="189"/>
      <c r="M143" s="189"/>
      <c r="N143" s="209"/>
      <c r="O143" s="209"/>
      <c r="P143" s="209"/>
      <c r="Q143" s="209"/>
      <c r="R143" s="209"/>
      <c r="S143" s="209"/>
      <c r="T143" s="190"/>
      <c r="U143" s="190"/>
      <c r="V143" s="190"/>
      <c r="W143" s="188"/>
      <c r="X143" s="209"/>
      <c r="Y143" s="209"/>
      <c r="Z143" s="187"/>
      <c r="AA143" s="187"/>
      <c r="AB143" s="187"/>
      <c r="AC143"/>
    </row>
    <row r="144" spans="1:33" s="175" customFormat="1" x14ac:dyDescent="0.2">
      <c r="A144" s="187"/>
      <c r="B144" s="187"/>
      <c r="C144" s="187"/>
      <c r="D144" s="187"/>
      <c r="E144" s="188"/>
      <c r="F144" s="209"/>
      <c r="G144" s="209"/>
      <c r="H144" s="209"/>
      <c r="I144" s="209"/>
      <c r="J144" s="209"/>
      <c r="K144" s="189"/>
      <c r="L144" s="189"/>
      <c r="M144" s="189"/>
      <c r="N144" s="209"/>
      <c r="O144" s="209"/>
      <c r="P144" s="209"/>
      <c r="Q144" s="209"/>
      <c r="R144" s="209"/>
      <c r="S144" s="209"/>
      <c r="T144" s="190"/>
      <c r="U144" s="190"/>
      <c r="V144" s="190"/>
      <c r="W144" s="188"/>
      <c r="X144" s="209"/>
      <c r="Y144" s="209"/>
      <c r="Z144" s="187"/>
      <c r="AA144" s="187"/>
      <c r="AB144" s="187"/>
      <c r="AC144"/>
    </row>
    <row r="145" spans="1:29" s="175" customFormat="1" x14ac:dyDescent="0.2">
      <c r="A145" s="187"/>
      <c r="B145" s="187"/>
      <c r="C145" s="367" t="s">
        <v>128</v>
      </c>
      <c r="D145" s="369"/>
      <c r="E145" s="369"/>
      <c r="F145" s="369"/>
      <c r="G145" s="537"/>
      <c r="H145" s="538"/>
      <c r="I145" s="209"/>
      <c r="J145" s="209"/>
      <c r="K145" s="189"/>
      <c r="L145" s="189"/>
      <c r="M145" s="189"/>
      <c r="N145" s="209"/>
      <c r="O145" s="209"/>
      <c r="P145" s="209"/>
      <c r="Q145" s="209"/>
      <c r="R145" s="209"/>
      <c r="S145" s="209"/>
      <c r="T145" s="190"/>
      <c r="U145" s="190"/>
      <c r="V145" s="190"/>
      <c r="W145" s="188"/>
      <c r="X145" s="209"/>
      <c r="Y145" s="209"/>
      <c r="Z145" s="187"/>
      <c r="AA145" s="187"/>
      <c r="AB145" s="187"/>
      <c r="AC145"/>
    </row>
    <row r="146" spans="1:29" s="175" customFormat="1" x14ac:dyDescent="0.2">
      <c r="A146" s="187"/>
      <c r="B146" s="187"/>
      <c r="C146" s="367" t="s">
        <v>129</v>
      </c>
      <c r="D146" s="369"/>
      <c r="E146" s="369"/>
      <c r="F146" s="369"/>
      <c r="G146" s="537"/>
      <c r="H146" s="538"/>
      <c r="I146" s="209"/>
      <c r="J146" s="209"/>
      <c r="K146" s="189"/>
      <c r="L146" s="189"/>
      <c r="M146" s="189"/>
      <c r="N146" s="209"/>
      <c r="O146" s="209"/>
      <c r="P146" s="209"/>
      <c r="Q146" s="209"/>
      <c r="R146" s="209"/>
      <c r="S146" s="209"/>
      <c r="T146" s="190"/>
      <c r="U146" s="190"/>
      <c r="V146" s="190"/>
      <c r="W146" s="188"/>
      <c r="X146" s="209"/>
      <c r="Y146" s="209"/>
      <c r="Z146" s="187"/>
      <c r="AA146" s="187"/>
      <c r="AB146" s="187"/>
      <c r="AC146"/>
    </row>
    <row r="147" spans="1:29" s="175" customFormat="1" x14ac:dyDescent="0.2">
      <c r="A147" s="187"/>
      <c r="B147" s="187"/>
      <c r="C147" s="367" t="s">
        <v>130</v>
      </c>
      <c r="D147" s="369"/>
      <c r="E147" s="369"/>
      <c r="F147" s="369"/>
      <c r="G147" s="537"/>
      <c r="H147" s="538"/>
      <c r="I147" s="209"/>
      <c r="J147" s="209"/>
      <c r="K147" s="189"/>
      <c r="L147" s="189"/>
      <c r="M147" s="189"/>
      <c r="N147" s="209"/>
      <c r="O147" s="209"/>
      <c r="P147" s="209"/>
      <c r="Q147" s="209"/>
      <c r="R147" s="209"/>
      <c r="S147" s="209"/>
      <c r="T147" s="190"/>
      <c r="U147" s="190"/>
      <c r="V147" s="190"/>
      <c r="W147" s="188"/>
      <c r="X147" s="209"/>
      <c r="Y147" s="209"/>
      <c r="Z147" s="187"/>
      <c r="AA147" s="187"/>
      <c r="AB147" s="187"/>
      <c r="AC147"/>
    </row>
    <row r="148" spans="1:29" s="175" customFormat="1" x14ac:dyDescent="0.2">
      <c r="A148" s="187"/>
      <c r="B148" s="187"/>
      <c r="C148" s="367" t="s">
        <v>131</v>
      </c>
      <c r="D148" s="369"/>
      <c r="E148" s="369"/>
      <c r="F148" s="369"/>
      <c r="G148" s="537"/>
      <c r="H148" s="538"/>
      <c r="I148" s="209"/>
      <c r="J148" s="209"/>
      <c r="K148" s="189"/>
      <c r="L148" s="189"/>
      <c r="M148" s="189"/>
      <c r="N148" s="209"/>
      <c r="O148" s="209"/>
      <c r="P148" s="209"/>
      <c r="Q148" s="209"/>
      <c r="R148" s="209"/>
      <c r="S148" s="209"/>
      <c r="T148" s="190"/>
      <c r="U148" s="190"/>
      <c r="V148" s="190"/>
      <c r="W148" s="188"/>
      <c r="X148" s="209"/>
      <c r="Y148" s="209"/>
      <c r="Z148" s="187"/>
      <c r="AA148" s="187"/>
      <c r="AB148" s="187"/>
      <c r="AC148"/>
    </row>
    <row r="149" spans="1:29" s="175" customFormat="1" x14ac:dyDescent="0.2">
      <c r="A149" s="187"/>
      <c r="B149" s="187"/>
      <c r="C149" s="367" t="s">
        <v>132</v>
      </c>
      <c r="D149" s="369"/>
      <c r="E149" s="369"/>
      <c r="F149" s="369"/>
      <c r="G149" s="539">
        <f>(G145+G146+G147+G148)/4</f>
        <v>0</v>
      </c>
      <c r="H149" s="539"/>
      <c r="I149" s="209"/>
      <c r="J149" s="209"/>
      <c r="K149" s="189"/>
      <c r="L149" s="189"/>
      <c r="M149" s="189"/>
      <c r="N149" s="209"/>
      <c r="O149" s="209"/>
      <c r="P149" s="209"/>
      <c r="Q149" s="209"/>
      <c r="R149" s="209"/>
      <c r="S149" s="209"/>
      <c r="T149" s="190"/>
      <c r="U149" s="190"/>
      <c r="V149" s="190"/>
      <c r="W149" s="188"/>
      <c r="X149" s="209"/>
      <c r="Y149" s="209"/>
      <c r="Z149" s="187"/>
      <c r="AA149" s="187"/>
      <c r="AB149" s="187"/>
      <c r="AC149"/>
    </row>
    <row r="150" spans="1:29" s="175" customFormat="1" x14ac:dyDescent="0.2">
      <c r="A150" s="187"/>
      <c r="B150" s="187"/>
      <c r="C150" s="187"/>
      <c r="D150" s="187"/>
      <c r="E150" s="187"/>
      <c r="F150" s="188"/>
      <c r="G150" s="209"/>
      <c r="H150" s="209"/>
      <c r="I150" s="209"/>
      <c r="J150" s="209"/>
      <c r="K150" s="189"/>
      <c r="L150" s="189"/>
      <c r="M150" s="189"/>
      <c r="N150" s="209"/>
      <c r="O150" s="209"/>
      <c r="P150" s="209"/>
      <c r="Q150" s="209"/>
      <c r="R150" s="209"/>
      <c r="S150" s="209"/>
      <c r="T150" s="190"/>
      <c r="U150" s="190"/>
      <c r="V150" s="190"/>
      <c r="W150" s="188"/>
      <c r="X150" s="209"/>
      <c r="Y150" s="209"/>
      <c r="Z150" s="187"/>
      <c r="AA150" s="187"/>
      <c r="AB150" s="187"/>
      <c r="AC150"/>
    </row>
    <row r="151" spans="1:29" s="175" customFormat="1" x14ac:dyDescent="0.2">
      <c r="A151" s="187"/>
      <c r="B151" s="187"/>
      <c r="C151" s="187"/>
      <c r="D151" s="187"/>
      <c r="E151" s="188"/>
      <c r="F151" s="209"/>
      <c r="G151" s="209"/>
      <c r="H151" s="209"/>
      <c r="I151" s="209"/>
      <c r="J151" s="209"/>
      <c r="K151" s="189"/>
      <c r="L151" s="189"/>
      <c r="M151" s="189"/>
      <c r="N151" s="209"/>
      <c r="O151" s="209"/>
      <c r="P151" s="209"/>
      <c r="Q151" s="209"/>
      <c r="R151" s="209"/>
      <c r="S151" s="209"/>
      <c r="T151" s="190"/>
      <c r="U151" s="190"/>
      <c r="V151" s="190"/>
      <c r="W151" s="188"/>
      <c r="X151" s="209"/>
      <c r="Y151" s="209"/>
      <c r="Z151" s="187"/>
      <c r="AA151" s="187"/>
      <c r="AB151" s="187"/>
      <c r="AC151"/>
    </row>
    <row r="152" spans="1:29" s="175" customFormat="1" x14ac:dyDescent="0.2">
      <c r="A152" s="187"/>
      <c r="B152" s="187"/>
      <c r="C152" s="187"/>
      <c r="D152" s="187"/>
      <c r="E152" s="188"/>
      <c r="F152" s="209"/>
      <c r="G152" s="209"/>
      <c r="H152" s="209"/>
      <c r="I152" s="209"/>
      <c r="J152" s="209"/>
      <c r="K152" s="189"/>
      <c r="L152" s="189"/>
      <c r="M152" s="189"/>
      <c r="N152" s="209"/>
      <c r="O152" s="209"/>
      <c r="P152" s="209"/>
      <c r="Q152" s="209"/>
      <c r="R152" s="209"/>
      <c r="S152" s="209"/>
      <c r="T152" s="190"/>
      <c r="U152" s="190"/>
      <c r="V152" s="190"/>
      <c r="W152" s="188"/>
      <c r="X152" s="209"/>
      <c r="Y152" s="209"/>
      <c r="Z152" s="187"/>
      <c r="AA152" s="187"/>
      <c r="AB152" s="187"/>
      <c r="AC152"/>
    </row>
    <row r="153" spans="1:29" s="175" customFormat="1" x14ac:dyDescent="0.2">
      <c r="A153" s="187"/>
      <c r="B153" s="187"/>
      <c r="C153" s="187"/>
      <c r="D153" s="187"/>
      <c r="E153" s="188"/>
      <c r="F153" s="209"/>
      <c r="G153" s="209"/>
      <c r="H153" s="209"/>
      <c r="I153" s="209"/>
      <c r="J153" s="209"/>
      <c r="K153" s="189"/>
      <c r="L153" s="189"/>
      <c r="M153" s="189"/>
      <c r="N153" s="209"/>
      <c r="O153" s="209"/>
      <c r="P153" s="209"/>
      <c r="Q153" s="209"/>
      <c r="R153" s="209"/>
      <c r="S153" s="209"/>
      <c r="T153" s="190"/>
      <c r="U153" s="190"/>
      <c r="V153" s="190"/>
      <c r="W153" s="188"/>
      <c r="X153" s="209"/>
      <c r="Y153" s="209"/>
      <c r="Z153" s="187"/>
      <c r="AA153" s="187"/>
      <c r="AB153" s="187"/>
      <c r="AC153"/>
    </row>
    <row r="154" spans="1:29" s="175" customFormat="1" x14ac:dyDescent="0.2">
      <c r="A154" s="187"/>
      <c r="B154" s="187"/>
      <c r="C154" s="187"/>
      <c r="D154" s="187"/>
      <c r="E154" s="188"/>
      <c r="F154" s="209"/>
      <c r="G154" s="209"/>
      <c r="H154" s="209"/>
      <c r="I154" s="209"/>
      <c r="J154" s="209"/>
      <c r="K154" s="189"/>
      <c r="L154" s="189"/>
      <c r="M154" s="189"/>
      <c r="N154" s="209"/>
      <c r="O154" s="209"/>
      <c r="P154" s="209"/>
      <c r="Q154" s="209"/>
      <c r="R154" s="209"/>
      <c r="S154" s="209"/>
      <c r="T154" s="190"/>
      <c r="U154" s="190"/>
      <c r="V154" s="190"/>
      <c r="W154" s="188"/>
      <c r="X154" s="209"/>
      <c r="Y154" s="209"/>
      <c r="Z154" s="187"/>
      <c r="AA154" s="187"/>
      <c r="AB154" s="187"/>
      <c r="AC154"/>
    </row>
    <row r="155" spans="1:29" s="175" customFormat="1" x14ac:dyDescent="0.2">
      <c r="A155" s="187"/>
      <c r="B155" s="187"/>
      <c r="C155" s="187"/>
      <c r="D155" s="187"/>
      <c r="E155" s="188"/>
      <c r="F155" s="209"/>
      <c r="G155" s="209"/>
      <c r="H155" s="209"/>
      <c r="I155" s="209"/>
      <c r="J155" s="209"/>
      <c r="K155" s="189"/>
      <c r="L155" s="189"/>
      <c r="M155" s="189"/>
      <c r="N155" s="209"/>
      <c r="O155" s="209"/>
      <c r="P155" s="209"/>
      <c r="Q155" s="209"/>
      <c r="R155" s="209"/>
      <c r="S155" s="209"/>
      <c r="T155" s="190"/>
      <c r="U155" s="190"/>
      <c r="V155" s="190"/>
      <c r="W155" s="188"/>
      <c r="X155" s="209"/>
      <c r="Y155" s="209"/>
      <c r="Z155" s="187"/>
      <c r="AA155" s="187"/>
      <c r="AB155" s="187"/>
      <c r="AC155"/>
    </row>
    <row r="156" spans="1:29" s="175" customFormat="1" x14ac:dyDescent="0.2">
      <c r="A156" s="187"/>
      <c r="B156" s="187"/>
      <c r="C156" s="187"/>
      <c r="D156" s="187"/>
      <c r="E156" s="188"/>
      <c r="F156" s="209"/>
      <c r="G156" s="209"/>
      <c r="H156" s="209"/>
      <c r="I156" s="209"/>
      <c r="J156" s="209"/>
      <c r="K156" s="189"/>
      <c r="L156" s="189"/>
      <c r="M156" s="189"/>
      <c r="N156" s="209"/>
      <c r="O156" s="209"/>
      <c r="P156" s="209"/>
      <c r="Q156" s="209"/>
      <c r="R156" s="209"/>
      <c r="S156" s="209"/>
      <c r="T156" s="190"/>
      <c r="U156" s="190"/>
      <c r="V156" s="190"/>
      <c r="W156" s="188"/>
      <c r="X156" s="209"/>
      <c r="Y156" s="209"/>
      <c r="Z156" s="187"/>
      <c r="AA156" s="187"/>
      <c r="AB156" s="187"/>
      <c r="AC156"/>
    </row>
    <row r="157" spans="1:29" s="175"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5" customFormat="1" x14ac:dyDescent="0.2">
      <c r="A158" s="4" t="s">
        <v>134</v>
      </c>
      <c r="B158"/>
      <c r="C158"/>
      <c r="D158"/>
      <c r="E158"/>
      <c r="F158"/>
      <c r="G158"/>
      <c r="H158"/>
      <c r="I158" s="355"/>
      <c r="J158" s="356"/>
      <c r="K158" s="356"/>
      <c r="L158" s="356"/>
      <c r="M158" s="356"/>
      <c r="N158" s="356"/>
      <c r="O158" s="356"/>
      <c r="P158" s="356"/>
      <c r="Q158" s="356"/>
      <c r="R158" s="356"/>
      <c r="S158" s="356"/>
      <c r="T158" s="356"/>
      <c r="U158" s="356"/>
      <c r="V158" s="356"/>
      <c r="W158" s="356"/>
      <c r="X158" s="356"/>
      <c r="Y158" s="356"/>
      <c r="Z158" s="356"/>
      <c r="AA158" s="356"/>
      <c r="AB158" s="356"/>
      <c r="AC158" s="356"/>
    </row>
    <row r="159" spans="1:29" s="175" customFormat="1" x14ac:dyDescent="0.2">
      <c r="A159" s="355"/>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row>
    <row r="160" spans="1:29" s="175" customFormat="1" x14ac:dyDescent="0.2">
      <c r="A160" s="355"/>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row>
    <row r="161" spans="1:29" s="175" customFormat="1" x14ac:dyDescent="0.2">
      <c r="A161" s="355"/>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row>
    <row r="162" spans="1:29" s="175" customFormat="1" x14ac:dyDescent="0.2">
      <c r="A162" s="355"/>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row>
    <row r="163" spans="1:29" s="175" customFormat="1" x14ac:dyDescent="0.2">
      <c r="A163" s="355"/>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row>
    <row r="164" spans="1:29" s="175" customFormat="1" x14ac:dyDescent="0.2">
      <c r="A164" s="355"/>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row>
    <row r="165" spans="1:29" s="175" customFormat="1" x14ac:dyDescent="0.2">
      <c r="A165" s="355"/>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row>
    <row r="166" spans="1:29" s="175" customFormat="1" x14ac:dyDescent="0.2">
      <c r="A166" s="355"/>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row>
    <row r="167" spans="1:29" s="175" customFormat="1" ht="13.5" thickBot="1" x14ac:dyDescent="0.25">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t="str">
        <f>CMDS!AA60</f>
        <v>v14f.07.01.24</v>
      </c>
      <c r="Z167" s="359"/>
      <c r="AA167" s="359"/>
      <c r="AB167" s="359"/>
      <c r="AC167" s="359"/>
    </row>
    <row r="168" spans="1:29" s="175" customFormat="1" ht="13.5" thickTop="1" x14ac:dyDescent="0.2"/>
    <row r="169" spans="1:29" s="175" customFormat="1" x14ac:dyDescent="0.2"/>
    <row r="170" spans="1:29" s="175" customFormat="1" x14ac:dyDescent="0.2"/>
    <row r="171" spans="1:29" s="175" customFormat="1" x14ac:dyDescent="0.2"/>
    <row r="172" spans="1:29" s="175" customFormat="1" x14ac:dyDescent="0.2"/>
    <row r="173" spans="1:29" s="175" customFormat="1" x14ac:dyDescent="0.2"/>
    <row r="174" spans="1:29" s="175" customFormat="1" x14ac:dyDescent="0.2"/>
    <row r="175" spans="1:29" s="175" customFormat="1" x14ac:dyDescent="0.2"/>
    <row r="176" spans="1:29" s="175" customFormat="1" x14ac:dyDescent="0.2"/>
    <row r="177" s="175" customFormat="1" x14ac:dyDescent="0.2"/>
    <row r="178" s="175" customFormat="1" x14ac:dyDescent="0.2"/>
    <row r="179" s="175" customFormat="1" x14ac:dyDescent="0.2"/>
    <row r="180" s="175" customFormat="1" x14ac:dyDescent="0.2"/>
    <row r="181" s="175" customFormat="1" x14ac:dyDescent="0.2"/>
    <row r="182" s="175" customFormat="1" x14ac:dyDescent="0.2"/>
    <row r="183" s="175" customFormat="1" x14ac:dyDescent="0.2"/>
    <row r="184" s="175" customFormat="1" x14ac:dyDescent="0.2"/>
    <row r="185" s="175" customFormat="1" x14ac:dyDescent="0.2"/>
    <row r="186" s="175" customFormat="1" x14ac:dyDescent="0.2"/>
    <row r="187" s="175" customFormat="1" x14ac:dyDescent="0.2"/>
    <row r="188" s="175" customFormat="1" x14ac:dyDescent="0.2"/>
    <row r="189" s="175" customFormat="1" x14ac:dyDescent="0.2"/>
    <row r="190" s="175" customFormat="1" x14ac:dyDescent="0.2"/>
    <row r="191" s="175" customFormat="1" x14ac:dyDescent="0.2"/>
    <row r="192" s="175" customFormat="1" x14ac:dyDescent="0.2"/>
    <row r="193" s="175" customFormat="1" x14ac:dyDescent="0.2"/>
    <row r="194" s="175" customFormat="1" x14ac:dyDescent="0.2"/>
    <row r="195" s="175" customFormat="1" x14ac:dyDescent="0.2"/>
    <row r="196" s="175" customFormat="1" x14ac:dyDescent="0.2"/>
    <row r="197" s="175" customFormat="1" x14ac:dyDescent="0.2"/>
    <row r="198" s="175" customFormat="1" x14ac:dyDescent="0.2"/>
    <row r="199" s="175" customFormat="1" x14ac:dyDescent="0.2"/>
    <row r="200" s="175" customFormat="1" x14ac:dyDescent="0.2"/>
    <row r="201" s="175" customFormat="1" x14ac:dyDescent="0.2"/>
    <row r="202" s="175" customFormat="1" x14ac:dyDescent="0.2"/>
    <row r="203" s="175" customFormat="1" x14ac:dyDescent="0.2"/>
    <row r="204" s="175" customFormat="1" x14ac:dyDescent="0.2"/>
    <row r="205" s="175" customFormat="1" x14ac:dyDescent="0.2"/>
    <row r="206" s="175" customFormat="1" x14ac:dyDescent="0.2"/>
    <row r="207" s="175" customFormat="1" x14ac:dyDescent="0.2"/>
    <row r="208" s="175" customFormat="1" x14ac:dyDescent="0.2"/>
    <row r="209" spans="1:29" s="175" customFormat="1" x14ac:dyDescent="0.2"/>
    <row r="210" spans="1:29"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row>
    <row r="211" spans="1:29"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row>
    <row r="212" spans="1:29"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row>
    <row r="213" spans="1:29"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row>
    <row r="214" spans="1:29"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row>
    <row r="215" spans="1:29"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row>
    <row r="216" spans="1:29"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row>
    <row r="217" spans="1:29"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row>
    <row r="218" spans="1:29"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row>
    <row r="219" spans="1:29"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row>
    <row r="220" spans="1:29"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row>
    <row r="221" spans="1:29"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row>
    <row r="222" spans="1:29"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row>
    <row r="223" spans="1:29"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row>
    <row r="224" spans="1:29"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row>
    <row r="225" spans="1:29"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row>
    <row r="226" spans="1:29"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row>
    <row r="227" spans="1:29"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row>
    <row r="228" spans="1:29"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row>
    <row r="229" spans="1:29"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row>
    <row r="230" spans="1:29"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row>
    <row r="231" spans="1:29"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row>
    <row r="232" spans="1:29"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row>
    <row r="233" spans="1:29"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row>
    <row r="234" spans="1:29"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row>
    <row r="235" spans="1:29"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row>
    <row r="236" spans="1:29"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row>
    <row r="237" spans="1:29"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row>
    <row r="238" spans="1:29"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row>
    <row r="239" spans="1:29"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row>
    <row r="240" spans="1:29"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row>
    <row r="241" spans="1:29"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row>
    <row r="242" spans="1:29"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row>
    <row r="243" spans="1:29"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row>
    <row r="244" spans="1:29"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row>
    <row r="245" spans="1:29" x14ac:dyDescent="0.2">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row>
    <row r="246" spans="1:29" x14ac:dyDescent="0.2">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row>
    <row r="247" spans="1:29" x14ac:dyDescent="0.2">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row>
    <row r="248" spans="1:29" x14ac:dyDescent="0.2">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row>
    <row r="249" spans="1:29" x14ac:dyDescent="0.2">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row>
    <row r="250" spans="1:29" x14ac:dyDescent="0.2">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row>
    <row r="251" spans="1:29" x14ac:dyDescent="0.2">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row>
  </sheetData>
  <sheetProtection algorithmName="SHA-512" hashValue="R5fVXpTfV4z2qy4+uL4xkbe8bEPCqGDT1/YjVU0jy7jA/M/sV1s2pt+uYDQlWf+ocl+4gKpBUkCnt0QWYTX90g==" saltValue="qqOIdd3V374T3m2Ab3tvUw=="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22"/>
  <sheetViews>
    <sheetView workbookViewId="0">
      <selection activeCell="F145" sqref="F145"/>
    </sheetView>
  </sheetViews>
  <sheetFormatPr defaultColWidth="9.140625" defaultRowHeight="15.75" x14ac:dyDescent="0.2"/>
  <cols>
    <col min="1" max="1" width="38.42578125" style="52" customWidth="1"/>
    <col min="2" max="2" width="10.7109375" style="11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7.45" customHeight="1" x14ac:dyDescent="0.2">
      <c r="A1" s="55" t="s">
        <v>1076</v>
      </c>
      <c r="B1" s="111" t="s">
        <v>1077</v>
      </c>
      <c r="C1" s="53">
        <v>8268</v>
      </c>
      <c r="D1" s="54" t="s">
        <v>1078</v>
      </c>
      <c r="E1" s="56" t="s">
        <v>1079</v>
      </c>
      <c r="F1" s="52" t="s">
        <v>1080</v>
      </c>
    </row>
    <row r="2" spans="1:6" ht="17.45" customHeight="1" x14ac:dyDescent="0.2">
      <c r="A2" s="55" t="s">
        <v>1081</v>
      </c>
      <c r="B2" s="111" t="s">
        <v>1082</v>
      </c>
      <c r="C2" s="53">
        <v>8268</v>
      </c>
      <c r="D2" s="54" t="s">
        <v>1078</v>
      </c>
      <c r="E2" s="56" t="s">
        <v>1083</v>
      </c>
      <c r="F2" s="52" t="s">
        <v>1080</v>
      </c>
    </row>
    <row r="3" spans="1:6" ht="17.45" customHeight="1" x14ac:dyDescent="0.2">
      <c r="A3" s="55" t="s">
        <v>1084</v>
      </c>
      <c r="B3" s="111" t="s">
        <v>1085</v>
      </c>
      <c r="C3" s="53">
        <v>8268</v>
      </c>
      <c r="D3" s="54" t="s">
        <v>1078</v>
      </c>
      <c r="E3" s="56" t="s">
        <v>1079</v>
      </c>
      <c r="F3" s="52" t="s">
        <v>1086</v>
      </c>
    </row>
    <row r="4" spans="1:6" ht="17.45" customHeight="1" x14ac:dyDescent="0.2">
      <c r="A4" s="55" t="s">
        <v>1087</v>
      </c>
      <c r="B4" s="111" t="s">
        <v>1088</v>
      </c>
      <c r="C4" s="53">
        <v>8268</v>
      </c>
      <c r="D4" s="54" t="s">
        <v>1078</v>
      </c>
      <c r="E4" s="56" t="s">
        <v>1083</v>
      </c>
      <c r="F4" s="52" t="s">
        <v>1086</v>
      </c>
    </row>
    <row r="5" spans="1:6" ht="17.45" customHeight="1" x14ac:dyDescent="0.2">
      <c r="A5" s="55" t="s">
        <v>1089</v>
      </c>
      <c r="B5" s="111" t="s">
        <v>1090</v>
      </c>
      <c r="C5" s="53">
        <v>8268</v>
      </c>
      <c r="D5" s="54" t="s">
        <v>1078</v>
      </c>
      <c r="E5" s="56" t="s">
        <v>1083</v>
      </c>
      <c r="F5" s="52" t="s">
        <v>1086</v>
      </c>
    </row>
    <row r="6" spans="1:6" ht="17.45" customHeight="1" x14ac:dyDescent="0.2">
      <c r="A6" s="55" t="s">
        <v>1091</v>
      </c>
      <c r="B6" s="111" t="s">
        <v>1092</v>
      </c>
      <c r="C6" s="53">
        <v>8268</v>
      </c>
      <c r="D6" s="54" t="s">
        <v>1078</v>
      </c>
      <c r="E6" s="56" t="s">
        <v>1079</v>
      </c>
      <c r="F6" s="52" t="s">
        <v>1093</v>
      </c>
    </row>
    <row r="7" spans="1:6" ht="17.45" customHeight="1" x14ac:dyDescent="0.2">
      <c r="A7" s="55" t="s">
        <v>1094</v>
      </c>
      <c r="B7" s="111">
        <v>118651</v>
      </c>
      <c r="C7" s="53">
        <v>8268</v>
      </c>
      <c r="D7" s="54" t="s">
        <v>1078</v>
      </c>
      <c r="E7" s="56" t="s">
        <v>1079</v>
      </c>
      <c r="F7" s="52" t="s">
        <v>1095</v>
      </c>
    </row>
    <row r="8" spans="1:6" ht="17.45" customHeight="1" x14ac:dyDescent="0.2">
      <c r="A8" s="55" t="s">
        <v>1096</v>
      </c>
      <c r="B8" s="111" t="s">
        <v>1097</v>
      </c>
      <c r="C8" s="53">
        <v>8268</v>
      </c>
      <c r="D8" s="54" t="s">
        <v>1078</v>
      </c>
      <c r="E8" s="56" t="s">
        <v>1083</v>
      </c>
      <c r="F8" s="52" t="s">
        <v>1095</v>
      </c>
    </row>
    <row r="9" spans="1:6" ht="17.45" customHeight="1" x14ac:dyDescent="0.2">
      <c r="A9" s="55" t="s">
        <v>1098</v>
      </c>
      <c r="B9" s="111" t="s">
        <v>1099</v>
      </c>
      <c r="C9" s="53">
        <v>8266</v>
      </c>
      <c r="D9" s="54" t="s">
        <v>1100</v>
      </c>
      <c r="E9" s="56" t="s">
        <v>1101</v>
      </c>
      <c r="F9" s="57" t="s">
        <v>1102</v>
      </c>
    </row>
    <row r="10" spans="1:6" ht="17.45" customHeight="1" x14ac:dyDescent="0.2">
      <c r="A10" s="55" t="s">
        <v>1103</v>
      </c>
      <c r="B10" s="111" t="s">
        <v>1104</v>
      </c>
      <c r="C10" s="53">
        <v>8266</v>
      </c>
      <c r="D10" s="54" t="s">
        <v>1105</v>
      </c>
      <c r="E10" s="56" t="s">
        <v>1106</v>
      </c>
      <c r="F10" s="55" t="s">
        <v>4952</v>
      </c>
    </row>
    <row r="11" spans="1:6" ht="17.45" customHeight="1" x14ac:dyDescent="0.2">
      <c r="A11" s="55" t="s">
        <v>1107</v>
      </c>
      <c r="B11" s="111" t="s">
        <v>1108</v>
      </c>
      <c r="C11" s="53">
        <v>8266</v>
      </c>
      <c r="D11" s="54" t="s">
        <v>1109</v>
      </c>
      <c r="E11" s="56" t="s">
        <v>1101</v>
      </c>
      <c r="F11" s="57" t="s">
        <v>1110</v>
      </c>
    </row>
    <row r="12" spans="1:6" ht="17.45" customHeight="1" x14ac:dyDescent="0.2">
      <c r="A12" s="55" t="s">
        <v>1111</v>
      </c>
      <c r="B12" s="111" t="s">
        <v>1112</v>
      </c>
      <c r="C12" s="53">
        <v>8266</v>
      </c>
      <c r="D12" s="54" t="s">
        <v>1113</v>
      </c>
      <c r="E12" s="56" t="s">
        <v>1106</v>
      </c>
      <c r="F12" s="57" t="s">
        <v>1114</v>
      </c>
    </row>
    <row r="13" spans="1:6" ht="17.45" customHeight="1" x14ac:dyDescent="0.2">
      <c r="A13" s="55" t="s">
        <v>1115</v>
      </c>
      <c r="B13" s="111">
        <v>188611</v>
      </c>
      <c r="C13" s="53">
        <v>8266</v>
      </c>
      <c r="D13" s="54" t="s">
        <v>1109</v>
      </c>
      <c r="E13" s="56" t="s">
        <v>1101</v>
      </c>
      <c r="F13" s="57" t="s">
        <v>1116</v>
      </c>
    </row>
    <row r="14" spans="1:6" ht="17.45" customHeight="1" x14ac:dyDescent="0.2">
      <c r="A14" s="55" t="s">
        <v>1117</v>
      </c>
      <c r="B14" s="111" t="s">
        <v>1118</v>
      </c>
      <c r="C14" s="53">
        <v>8266</v>
      </c>
      <c r="D14" s="54" t="s">
        <v>1109</v>
      </c>
      <c r="E14" s="56" t="s">
        <v>1106</v>
      </c>
      <c r="F14" s="55" t="s">
        <v>4953</v>
      </c>
    </row>
    <row r="15" spans="1:6" ht="17.45" customHeight="1" x14ac:dyDescent="0.2">
      <c r="A15" s="55" t="s">
        <v>1119</v>
      </c>
      <c r="B15" s="111" t="s">
        <v>1120</v>
      </c>
      <c r="C15" s="53">
        <v>8266</v>
      </c>
      <c r="D15" s="54" t="s">
        <v>1113</v>
      </c>
      <c r="E15" s="56" t="s">
        <v>1106</v>
      </c>
      <c r="F15" s="57" t="s">
        <v>1121</v>
      </c>
    </row>
    <row r="16" spans="1:6" ht="17.45" customHeight="1" x14ac:dyDescent="0.2">
      <c r="A16" s="55" t="s">
        <v>1122</v>
      </c>
      <c r="B16" s="111">
        <v>188612</v>
      </c>
      <c r="C16" s="53">
        <v>8266</v>
      </c>
      <c r="D16" s="54" t="s">
        <v>1113</v>
      </c>
      <c r="E16" s="56" t="s">
        <v>1101</v>
      </c>
      <c r="F16" s="55" t="s">
        <v>1123</v>
      </c>
    </row>
    <row r="17" spans="1:6" ht="17.45" customHeight="1" x14ac:dyDescent="0.2">
      <c r="A17" s="55" t="s">
        <v>1124</v>
      </c>
      <c r="B17" s="111" t="s">
        <v>1125</v>
      </c>
      <c r="C17" s="53">
        <v>8266</v>
      </c>
      <c r="D17" s="54" t="s">
        <v>1113</v>
      </c>
      <c r="E17" s="56" t="s">
        <v>1106</v>
      </c>
      <c r="F17" s="57" t="s">
        <v>1126</v>
      </c>
    </row>
    <row r="18" spans="1:6" ht="17.45" customHeight="1" x14ac:dyDescent="0.2">
      <c r="A18" s="55" t="s">
        <v>1127</v>
      </c>
      <c r="B18" s="111" t="s">
        <v>1128</v>
      </c>
      <c r="C18" s="53">
        <v>8266</v>
      </c>
      <c r="D18" s="54" t="s">
        <v>1113</v>
      </c>
      <c r="E18" s="56" t="s">
        <v>1106</v>
      </c>
      <c r="F18" s="57" t="s">
        <v>1129</v>
      </c>
    </row>
    <row r="19" spans="1:6" ht="17.45" customHeight="1" x14ac:dyDescent="0.2">
      <c r="A19" s="55" t="s">
        <v>4956</v>
      </c>
      <c r="B19" s="111">
        <v>198615</v>
      </c>
      <c r="C19" s="53">
        <v>8266</v>
      </c>
      <c r="D19" s="54" t="s">
        <v>1113</v>
      </c>
      <c r="E19" s="56" t="s">
        <v>1106</v>
      </c>
      <c r="F19" s="55" t="s">
        <v>1126</v>
      </c>
    </row>
    <row r="20" spans="1:6" ht="17.45" customHeight="1" x14ac:dyDescent="0.2">
      <c r="A20" s="55" t="s">
        <v>1130</v>
      </c>
      <c r="B20" s="111">
        <v>188600</v>
      </c>
      <c r="C20" s="53" t="s">
        <v>1131</v>
      </c>
      <c r="D20" s="54" t="s">
        <v>4924</v>
      </c>
      <c r="E20" s="56" t="s">
        <v>257</v>
      </c>
      <c r="F20" s="57" t="s">
        <v>4921</v>
      </c>
    </row>
    <row r="21" spans="1:6" ht="17.45" customHeight="1" x14ac:dyDescent="0.2">
      <c r="A21" s="55" t="s">
        <v>1133</v>
      </c>
      <c r="B21" s="111">
        <v>218600</v>
      </c>
      <c r="C21" s="53">
        <v>8266</v>
      </c>
      <c r="D21" s="54" t="s">
        <v>1134</v>
      </c>
      <c r="E21" s="56" t="s">
        <v>257</v>
      </c>
      <c r="F21" s="52" t="s">
        <v>1135</v>
      </c>
    </row>
    <row r="22" spans="1:6" ht="17.45" customHeight="1" x14ac:dyDescent="0.2">
      <c r="A22" s="55" t="s">
        <v>1136</v>
      </c>
      <c r="B22" s="111" t="s">
        <v>1137</v>
      </c>
      <c r="C22" s="53">
        <v>8278</v>
      </c>
      <c r="D22" s="54" t="s">
        <v>1138</v>
      </c>
      <c r="E22" s="56" t="s">
        <v>257</v>
      </c>
      <c r="F22" s="57" t="s">
        <v>1139</v>
      </c>
    </row>
    <row r="23" spans="1:6" ht="17.45" customHeight="1" x14ac:dyDescent="0.2">
      <c r="A23" s="55" t="s">
        <v>1140</v>
      </c>
      <c r="B23" s="111" t="s">
        <v>1141</v>
      </c>
      <c r="C23" s="53">
        <v>8278</v>
      </c>
      <c r="D23" s="54" t="s">
        <v>1138</v>
      </c>
      <c r="E23" s="56" t="s">
        <v>257</v>
      </c>
      <c r="F23" s="57" t="s">
        <v>1142</v>
      </c>
    </row>
    <row r="24" spans="1:6" ht="17.45" customHeight="1" x14ac:dyDescent="0.2">
      <c r="A24" s="55" t="s">
        <v>1143</v>
      </c>
      <c r="B24" s="111">
        <v>208605</v>
      </c>
      <c r="C24" s="53" t="s">
        <v>1144</v>
      </c>
      <c r="D24" s="54" t="s">
        <v>1145</v>
      </c>
      <c r="E24" s="56" t="s">
        <v>257</v>
      </c>
      <c r="F24" s="57" t="s">
        <v>1146</v>
      </c>
    </row>
    <row r="25" spans="1:6" ht="17.45" customHeight="1" x14ac:dyDescent="0.2">
      <c r="A25" s="55" t="s">
        <v>1147</v>
      </c>
      <c r="B25" s="111" t="s">
        <v>1148</v>
      </c>
      <c r="C25" s="53">
        <v>8278</v>
      </c>
      <c r="D25" s="54" t="s">
        <v>1149</v>
      </c>
      <c r="E25" s="56" t="s">
        <v>1150</v>
      </c>
      <c r="F25" s="57" t="s">
        <v>1151</v>
      </c>
    </row>
    <row r="26" spans="1:6" ht="17.45" customHeight="1" x14ac:dyDescent="0.2">
      <c r="A26" s="55" t="s">
        <v>1152</v>
      </c>
      <c r="B26" s="111" t="s">
        <v>1153</v>
      </c>
      <c r="C26" s="53">
        <v>8278</v>
      </c>
      <c r="D26" s="54" t="s">
        <v>1138</v>
      </c>
      <c r="E26" s="56" t="s">
        <v>1101</v>
      </c>
      <c r="F26" s="55" t="s">
        <v>4925</v>
      </c>
    </row>
    <row r="27" spans="1:6" ht="17.45" customHeight="1" x14ac:dyDescent="0.2">
      <c r="A27" s="55" t="s">
        <v>1154</v>
      </c>
      <c r="B27" s="111">
        <v>208667</v>
      </c>
      <c r="C27" s="53">
        <v>8278</v>
      </c>
      <c r="D27" s="54" t="s">
        <v>1138</v>
      </c>
      <c r="E27" s="56" t="s">
        <v>1106</v>
      </c>
      <c r="F27" s="55" t="s">
        <v>1155</v>
      </c>
    </row>
    <row r="28" spans="1:6" ht="17.45" customHeight="1" x14ac:dyDescent="0.2">
      <c r="A28" s="55" t="s">
        <v>4926</v>
      </c>
      <c r="B28" s="111" t="s">
        <v>1156</v>
      </c>
      <c r="C28" s="53">
        <v>8278</v>
      </c>
      <c r="D28" s="54" t="s">
        <v>1138</v>
      </c>
      <c r="E28" s="56" t="s">
        <v>1101</v>
      </c>
      <c r="F28" s="57" t="s">
        <v>1157</v>
      </c>
    </row>
    <row r="29" spans="1:6" ht="17.45" customHeight="1" x14ac:dyDescent="0.2">
      <c r="A29" s="55" t="s">
        <v>4927</v>
      </c>
      <c r="B29" s="111">
        <v>238602</v>
      </c>
      <c r="C29" s="53">
        <v>8278</v>
      </c>
      <c r="D29" s="54" t="s">
        <v>1138</v>
      </c>
      <c r="E29" s="56" t="s">
        <v>1101</v>
      </c>
      <c r="F29" s="57" t="s">
        <v>1491</v>
      </c>
    </row>
    <row r="30" spans="1:6" ht="17.45" customHeight="1" x14ac:dyDescent="0.2">
      <c r="A30" s="55" t="s">
        <v>4944</v>
      </c>
      <c r="B30" s="111">
        <v>228612</v>
      </c>
      <c r="C30" s="53">
        <v>8278</v>
      </c>
      <c r="D30" s="54" t="s">
        <v>1138</v>
      </c>
      <c r="E30" s="56" t="s">
        <v>1106</v>
      </c>
      <c r="F30" s="57" t="s">
        <v>1204</v>
      </c>
    </row>
    <row r="31" spans="1:6" ht="17.45" customHeight="1" x14ac:dyDescent="0.2">
      <c r="A31" s="55" t="s">
        <v>4945</v>
      </c>
      <c r="B31" s="111">
        <v>158669</v>
      </c>
      <c r="C31" s="53">
        <v>8278</v>
      </c>
      <c r="D31" s="54" t="s">
        <v>1138</v>
      </c>
      <c r="E31" s="56" t="s">
        <v>1101</v>
      </c>
      <c r="F31" s="55" t="s">
        <v>1126</v>
      </c>
    </row>
    <row r="32" spans="1:6" ht="17.45" customHeight="1" x14ac:dyDescent="0.2">
      <c r="A32" s="55" t="s">
        <v>4946</v>
      </c>
      <c r="B32" s="111">
        <v>198613</v>
      </c>
      <c r="C32" s="53">
        <v>8278</v>
      </c>
      <c r="D32" s="54" t="s">
        <v>1138</v>
      </c>
      <c r="E32" s="56" t="s">
        <v>1106</v>
      </c>
      <c r="F32" s="55" t="s">
        <v>4947</v>
      </c>
    </row>
    <row r="33" spans="1:6" ht="17.45" customHeight="1" x14ac:dyDescent="0.2">
      <c r="A33" s="55" t="s">
        <v>1158</v>
      </c>
      <c r="B33" s="111" t="s">
        <v>1159</v>
      </c>
      <c r="C33" s="53">
        <v>8278</v>
      </c>
      <c r="D33" s="54" t="s">
        <v>1160</v>
      </c>
      <c r="E33" s="56" t="s">
        <v>1101</v>
      </c>
      <c r="F33" s="55" t="s">
        <v>1126</v>
      </c>
    </row>
    <row r="34" spans="1:6" ht="17.45" customHeight="1" x14ac:dyDescent="0.2">
      <c r="A34" s="55" t="s">
        <v>1161</v>
      </c>
      <c r="B34" s="111">
        <v>208671</v>
      </c>
      <c r="C34" s="53">
        <v>8278</v>
      </c>
      <c r="D34" s="54" t="s">
        <v>1160</v>
      </c>
      <c r="E34" s="56" t="s">
        <v>1106</v>
      </c>
      <c r="F34" s="55" t="s">
        <v>1162</v>
      </c>
    </row>
    <row r="35" spans="1:6" ht="17.45" customHeight="1" x14ac:dyDescent="0.2">
      <c r="A35" s="55" t="s">
        <v>4948</v>
      </c>
      <c r="B35" s="111">
        <v>203603</v>
      </c>
      <c r="C35" s="53">
        <v>8278</v>
      </c>
      <c r="D35" s="54" t="s">
        <v>1160</v>
      </c>
      <c r="E35" s="56" t="s">
        <v>1106</v>
      </c>
      <c r="F35" s="55" t="s">
        <v>4949</v>
      </c>
    </row>
    <row r="36" spans="1:6" ht="17.45" customHeight="1" x14ac:dyDescent="0.2">
      <c r="A36" s="55" t="s">
        <v>1163</v>
      </c>
      <c r="B36" s="111" t="s">
        <v>1164</v>
      </c>
      <c r="C36" s="53">
        <v>8278</v>
      </c>
      <c r="D36" s="54" t="s">
        <v>1160</v>
      </c>
      <c r="E36" s="56" t="s">
        <v>1101</v>
      </c>
      <c r="F36" s="57" t="s">
        <v>1165</v>
      </c>
    </row>
    <row r="37" spans="1:6" ht="17.45" customHeight="1" x14ac:dyDescent="0.2">
      <c r="A37" s="55" t="s">
        <v>1166</v>
      </c>
      <c r="B37" s="111" t="s">
        <v>1167</v>
      </c>
      <c r="C37" s="53">
        <v>8278</v>
      </c>
      <c r="D37" s="54" t="s">
        <v>1149</v>
      </c>
      <c r="E37" s="56" t="s">
        <v>1106</v>
      </c>
      <c r="F37" s="57" t="s">
        <v>1168</v>
      </c>
    </row>
    <row r="38" spans="1:6" ht="17.45" customHeight="1" x14ac:dyDescent="0.2">
      <c r="A38" s="55" t="s">
        <v>1169</v>
      </c>
      <c r="B38" s="111" t="s">
        <v>1170</v>
      </c>
      <c r="C38" s="53">
        <v>8278</v>
      </c>
      <c r="D38" s="54" t="s">
        <v>1138</v>
      </c>
      <c r="E38" s="56" t="s">
        <v>1101</v>
      </c>
      <c r="F38" s="57" t="s">
        <v>1151</v>
      </c>
    </row>
    <row r="39" spans="1:6" ht="17.45" customHeight="1" x14ac:dyDescent="0.2">
      <c r="A39" s="55" t="s">
        <v>1171</v>
      </c>
      <c r="B39" s="111" t="s">
        <v>1172</v>
      </c>
      <c r="C39" s="53">
        <v>8278</v>
      </c>
      <c r="D39" s="54" t="s">
        <v>1173</v>
      </c>
      <c r="E39" s="56" t="s">
        <v>1106</v>
      </c>
      <c r="F39" s="57" t="s">
        <v>1168</v>
      </c>
    </row>
    <row r="40" spans="1:6" ht="17.45" customHeight="1" x14ac:dyDescent="0.2">
      <c r="A40" s="55" t="s">
        <v>1174</v>
      </c>
      <c r="B40" s="111">
        <v>228601</v>
      </c>
      <c r="C40" s="53">
        <v>8278</v>
      </c>
      <c r="D40" s="54" t="s">
        <v>1173</v>
      </c>
      <c r="E40" s="56" t="s">
        <v>1175</v>
      </c>
      <c r="F40" s="57" t="s">
        <v>1176</v>
      </c>
    </row>
    <row r="41" spans="1:6" ht="17.45" customHeight="1" x14ac:dyDescent="0.2">
      <c r="A41" s="55" t="s">
        <v>1177</v>
      </c>
      <c r="B41" s="111">
        <v>228600</v>
      </c>
      <c r="C41" s="53">
        <v>8278</v>
      </c>
      <c r="D41" s="54" t="s">
        <v>1173</v>
      </c>
      <c r="E41" s="56" t="s">
        <v>1106</v>
      </c>
      <c r="F41" s="57" t="s">
        <v>1178</v>
      </c>
    </row>
    <row r="42" spans="1:6" ht="17.45" customHeight="1" x14ac:dyDescent="0.2">
      <c r="A42" s="55"/>
      <c r="C42" s="53"/>
      <c r="D42" s="54"/>
      <c r="F42" s="57"/>
    </row>
    <row r="43" spans="1:6" ht="17.45" customHeight="1" x14ac:dyDescent="0.2">
      <c r="A43" s="55" t="s">
        <v>1179</v>
      </c>
      <c r="B43" s="111">
        <v>148622</v>
      </c>
      <c r="C43" s="53">
        <v>8278</v>
      </c>
      <c r="D43" s="54" t="s">
        <v>1173</v>
      </c>
      <c r="E43" s="56" t="s">
        <v>1101</v>
      </c>
      <c r="F43" s="57" t="s">
        <v>4954</v>
      </c>
    </row>
    <row r="44" spans="1:6" ht="17.45" customHeight="1" x14ac:dyDescent="0.2">
      <c r="A44" s="55" t="s">
        <v>1180</v>
      </c>
      <c r="B44" s="111">
        <v>148624</v>
      </c>
      <c r="C44" s="53">
        <v>8278</v>
      </c>
      <c r="D44" s="54" t="s">
        <v>1173</v>
      </c>
      <c r="E44" s="56" t="s">
        <v>1106</v>
      </c>
      <c r="F44" s="57" t="s">
        <v>4955</v>
      </c>
    </row>
    <row r="45" spans="1:6" ht="17.45" customHeight="1" x14ac:dyDescent="0.2">
      <c r="A45" s="55" t="s">
        <v>1794</v>
      </c>
      <c r="B45" s="111">
        <v>158671</v>
      </c>
      <c r="C45" s="53">
        <v>8278</v>
      </c>
      <c r="D45" s="54" t="s">
        <v>1173</v>
      </c>
      <c r="E45" s="56" t="s">
        <v>1278</v>
      </c>
      <c r="F45" s="55" t="s">
        <v>1793</v>
      </c>
    </row>
    <row r="46" spans="1:6" ht="17.45" customHeight="1" x14ac:dyDescent="0.2">
      <c r="A46" s="55" t="s">
        <v>1181</v>
      </c>
      <c r="B46" s="111">
        <v>208606</v>
      </c>
      <c r="C46" s="53">
        <v>8278</v>
      </c>
      <c r="D46" s="54" t="s">
        <v>1160</v>
      </c>
      <c r="E46" s="56" t="s">
        <v>1101</v>
      </c>
      <c r="F46" s="57" t="s">
        <v>1182</v>
      </c>
    </row>
    <row r="47" spans="1:6" ht="17.45" customHeight="1" x14ac:dyDescent="0.2">
      <c r="A47" s="55" t="s">
        <v>1183</v>
      </c>
      <c r="B47" s="111" t="s">
        <v>1184</v>
      </c>
      <c r="C47" s="53">
        <v>8278</v>
      </c>
      <c r="D47" s="54" t="s">
        <v>1173</v>
      </c>
      <c r="E47" s="56" t="s">
        <v>1079</v>
      </c>
      <c r="F47" s="57" t="s">
        <v>1185</v>
      </c>
    </row>
    <row r="48" spans="1:6" ht="17.45" customHeight="1" x14ac:dyDescent="0.2">
      <c r="A48" s="55" t="s">
        <v>1186</v>
      </c>
      <c r="B48" s="111" t="s">
        <v>1187</v>
      </c>
      <c r="C48" s="53">
        <v>8278</v>
      </c>
      <c r="D48" s="54" t="s">
        <v>1149</v>
      </c>
      <c r="E48" s="56" t="s">
        <v>1079</v>
      </c>
      <c r="F48" s="57" t="s">
        <v>1188</v>
      </c>
    </row>
    <row r="49" spans="1:6" ht="17.45" customHeight="1" x14ac:dyDescent="0.2">
      <c r="A49" s="55" t="s">
        <v>4897</v>
      </c>
      <c r="B49" s="111">
        <v>228611</v>
      </c>
      <c r="C49" s="53" t="s">
        <v>1144</v>
      </c>
      <c r="D49" s="54" t="s">
        <v>1145</v>
      </c>
      <c r="E49" s="56" t="s">
        <v>1101</v>
      </c>
      <c r="F49" s="57" t="s">
        <v>4896</v>
      </c>
    </row>
    <row r="50" spans="1:6" ht="17.45" customHeight="1" x14ac:dyDescent="0.2">
      <c r="A50" s="55" t="s">
        <v>4898</v>
      </c>
      <c r="B50" s="111">
        <v>228613</v>
      </c>
      <c r="C50" s="53" t="s">
        <v>1144</v>
      </c>
      <c r="D50" s="54" t="s">
        <v>1145</v>
      </c>
      <c r="E50" s="56" t="s">
        <v>1106</v>
      </c>
      <c r="F50" s="55" t="s">
        <v>1162</v>
      </c>
    </row>
    <row r="51" spans="1:6" ht="17.45" customHeight="1" x14ac:dyDescent="0.2">
      <c r="A51" s="55" t="s">
        <v>1189</v>
      </c>
      <c r="B51" s="111" t="s">
        <v>1190</v>
      </c>
      <c r="C51" s="53">
        <v>8266</v>
      </c>
      <c r="D51" s="54" t="s">
        <v>1109</v>
      </c>
      <c r="E51" s="56" t="s">
        <v>1101</v>
      </c>
      <c r="F51" s="57" t="s">
        <v>1165</v>
      </c>
    </row>
    <row r="52" spans="1:6" ht="17.45" customHeight="1" x14ac:dyDescent="0.2">
      <c r="A52" s="55" t="s">
        <v>1191</v>
      </c>
      <c r="B52" s="111">
        <v>178617</v>
      </c>
      <c r="C52" s="53">
        <v>8266</v>
      </c>
      <c r="D52" s="54" t="s">
        <v>1134</v>
      </c>
      <c r="E52" s="56" t="s">
        <v>1106</v>
      </c>
      <c r="F52" s="57" t="s">
        <v>1192</v>
      </c>
    </row>
    <row r="53" spans="1:6" ht="17.45" customHeight="1" x14ac:dyDescent="0.2">
      <c r="A53" s="57" t="s">
        <v>1193</v>
      </c>
      <c r="B53" s="111" t="s">
        <v>1194</v>
      </c>
      <c r="C53" s="53">
        <v>8279</v>
      </c>
      <c r="D53" s="59" t="s">
        <v>1195</v>
      </c>
      <c r="E53" s="56" t="s">
        <v>257</v>
      </c>
      <c r="F53" s="53" t="s">
        <v>1196</v>
      </c>
    </row>
    <row r="54" spans="1:6" ht="17.45" customHeight="1" x14ac:dyDescent="0.2">
      <c r="A54" s="57" t="s">
        <v>1197</v>
      </c>
      <c r="B54" s="111" t="s">
        <v>1198</v>
      </c>
      <c r="C54" s="53">
        <v>8279</v>
      </c>
      <c r="D54" s="59" t="s">
        <v>1195</v>
      </c>
      <c r="E54" s="56" t="s">
        <v>257</v>
      </c>
      <c r="F54" s="53" t="s">
        <v>1196</v>
      </c>
    </row>
    <row r="55" spans="1:6" ht="17.45" customHeight="1" x14ac:dyDescent="0.2">
      <c r="A55" s="57" t="s">
        <v>1199</v>
      </c>
      <c r="B55" s="111">
        <v>158610</v>
      </c>
      <c r="C55" s="53">
        <v>8279</v>
      </c>
      <c r="D55" s="59" t="s">
        <v>1195</v>
      </c>
      <c r="E55" s="56" t="s">
        <v>257</v>
      </c>
      <c r="F55" s="53" t="s">
        <v>1135</v>
      </c>
    </row>
    <row r="56" spans="1:6" ht="17.45" customHeight="1" x14ac:dyDescent="0.2">
      <c r="A56" s="57" t="s">
        <v>1201</v>
      </c>
      <c r="B56" s="111">
        <v>198616</v>
      </c>
      <c r="C56" s="53" t="s">
        <v>1202</v>
      </c>
      <c r="D56" s="59" t="s">
        <v>1203</v>
      </c>
      <c r="E56" s="56" t="s">
        <v>1101</v>
      </c>
      <c r="F56" s="53" t="s">
        <v>1204</v>
      </c>
    </row>
    <row r="57" spans="1:6" ht="17.45" customHeight="1" x14ac:dyDescent="0.2">
      <c r="A57" s="57" t="s">
        <v>1205</v>
      </c>
      <c r="B57" s="111">
        <v>198619</v>
      </c>
      <c r="C57" s="53" t="s">
        <v>1202</v>
      </c>
      <c r="D57" s="59" t="s">
        <v>1203</v>
      </c>
      <c r="E57" s="56" t="s">
        <v>1101</v>
      </c>
      <c r="F57" s="53" t="s">
        <v>1206</v>
      </c>
    </row>
    <row r="58" spans="1:6" ht="17.45" customHeight="1" x14ac:dyDescent="0.2">
      <c r="A58" s="57" t="s">
        <v>1207</v>
      </c>
      <c r="B58" s="111">
        <v>188201</v>
      </c>
      <c r="C58" s="53" t="s">
        <v>1202</v>
      </c>
      <c r="D58" s="59" t="s">
        <v>1203</v>
      </c>
      <c r="E58" s="56" t="s">
        <v>1106</v>
      </c>
      <c r="F58" s="53" t="s">
        <v>1208</v>
      </c>
    </row>
    <row r="59" spans="1:6" ht="17.45" customHeight="1" x14ac:dyDescent="0.2">
      <c r="A59" s="55" t="s">
        <v>1209</v>
      </c>
      <c r="B59" s="111" t="s">
        <v>1210</v>
      </c>
      <c r="C59" s="53">
        <v>8266</v>
      </c>
      <c r="D59" s="54" t="s">
        <v>1211</v>
      </c>
      <c r="E59" s="56" t="s">
        <v>1101</v>
      </c>
      <c r="F59" s="57" t="s">
        <v>1212</v>
      </c>
    </row>
    <row r="60" spans="1:6" ht="17.45" customHeight="1" x14ac:dyDescent="0.2">
      <c r="A60" s="55" t="s">
        <v>1213</v>
      </c>
      <c r="B60" s="111" t="s">
        <v>1214</v>
      </c>
      <c r="C60" s="53">
        <v>8266</v>
      </c>
      <c r="D60" s="54" t="s">
        <v>1109</v>
      </c>
      <c r="E60" s="56" t="s">
        <v>1079</v>
      </c>
      <c r="F60" s="52" t="s">
        <v>1215</v>
      </c>
    </row>
    <row r="61" spans="1:6" ht="17.45" customHeight="1" x14ac:dyDescent="0.2">
      <c r="A61" s="55" t="s">
        <v>1216</v>
      </c>
      <c r="B61" s="111" t="s">
        <v>1217</v>
      </c>
      <c r="C61" s="53">
        <v>8266</v>
      </c>
      <c r="D61" s="54" t="s">
        <v>1134</v>
      </c>
      <c r="E61" s="56" t="s">
        <v>257</v>
      </c>
      <c r="F61" s="52" t="s">
        <v>1135</v>
      </c>
    </row>
    <row r="62" spans="1:6" ht="17.45" customHeight="1" x14ac:dyDescent="0.2">
      <c r="A62" s="55" t="s">
        <v>1218</v>
      </c>
      <c r="B62" s="111">
        <v>208601</v>
      </c>
      <c r="C62" s="53">
        <v>8266</v>
      </c>
      <c r="D62" s="54" t="s">
        <v>1134</v>
      </c>
      <c r="E62" s="56" t="s">
        <v>257</v>
      </c>
      <c r="F62" s="52" t="s">
        <v>1219</v>
      </c>
    </row>
    <row r="63" spans="1:6" ht="17.45" customHeight="1" x14ac:dyDescent="0.2">
      <c r="A63" s="55" t="s">
        <v>1220</v>
      </c>
      <c r="B63" s="111" t="s">
        <v>1221</v>
      </c>
      <c r="C63" s="53">
        <v>8266</v>
      </c>
      <c r="D63" s="54" t="s">
        <v>1134</v>
      </c>
      <c r="E63" s="56" t="s">
        <v>257</v>
      </c>
      <c r="F63" s="52" t="s">
        <v>1222</v>
      </c>
    </row>
    <row r="64" spans="1:6" ht="17.45" customHeight="1" x14ac:dyDescent="0.2">
      <c r="A64" s="55" t="s">
        <v>1223</v>
      </c>
      <c r="B64" s="111" t="s">
        <v>1224</v>
      </c>
      <c r="C64" s="53">
        <v>8266</v>
      </c>
      <c r="D64" s="54" t="s">
        <v>1134</v>
      </c>
      <c r="E64" s="56" t="s">
        <v>1079</v>
      </c>
      <c r="F64" s="55" t="s">
        <v>1225</v>
      </c>
    </row>
    <row r="65" spans="1:6" ht="17.45" customHeight="1" x14ac:dyDescent="0.2">
      <c r="A65" s="55" t="s">
        <v>1226</v>
      </c>
      <c r="B65" s="111">
        <v>218602</v>
      </c>
      <c r="C65" s="53" t="s">
        <v>1227</v>
      </c>
      <c r="D65" s="54" t="s">
        <v>1228</v>
      </c>
      <c r="E65" s="56" t="s">
        <v>257</v>
      </c>
      <c r="F65" s="55" t="s">
        <v>1229</v>
      </c>
    </row>
    <row r="66" spans="1:6" ht="17.45" customHeight="1" x14ac:dyDescent="0.2">
      <c r="A66" s="55" t="s">
        <v>1230</v>
      </c>
      <c r="B66" s="111">
        <v>218603</v>
      </c>
      <c r="C66" s="53" t="s">
        <v>1227</v>
      </c>
      <c r="D66" s="54" t="s">
        <v>1228</v>
      </c>
      <c r="E66" s="56" t="s">
        <v>1101</v>
      </c>
      <c r="F66" s="55" t="s">
        <v>1231</v>
      </c>
    </row>
    <row r="67" spans="1:6" ht="17.45" customHeight="1" x14ac:dyDescent="0.2">
      <c r="A67" s="55" t="s">
        <v>4942</v>
      </c>
      <c r="B67" s="111">
        <v>238601</v>
      </c>
      <c r="C67" s="53" t="s">
        <v>1227</v>
      </c>
      <c r="D67" s="54" t="s">
        <v>1228</v>
      </c>
      <c r="E67" s="56" t="s">
        <v>1079</v>
      </c>
      <c r="F67" s="55" t="s">
        <v>1232</v>
      </c>
    </row>
    <row r="68" spans="1:6" ht="17.45" customHeight="1" x14ac:dyDescent="0.2">
      <c r="A68" s="55" t="s">
        <v>1233</v>
      </c>
      <c r="B68" s="111">
        <v>188602</v>
      </c>
      <c r="C68" s="53" t="s">
        <v>1131</v>
      </c>
      <c r="D68" s="54" t="s">
        <v>1132</v>
      </c>
      <c r="E68" s="56" t="s">
        <v>1150</v>
      </c>
      <c r="F68" s="55" t="s">
        <v>1234</v>
      </c>
    </row>
    <row r="69" spans="1:6" ht="17.45" customHeight="1" x14ac:dyDescent="0.2">
      <c r="A69" s="55" t="s">
        <v>1235</v>
      </c>
      <c r="B69" s="111">
        <v>228607</v>
      </c>
      <c r="C69" s="53" t="s">
        <v>1236</v>
      </c>
      <c r="D69" s="54" t="s">
        <v>1237</v>
      </c>
      <c r="E69" s="56" t="s">
        <v>1106</v>
      </c>
      <c r="F69" s="55" t="s">
        <v>1238</v>
      </c>
    </row>
    <row r="70" spans="1:6" ht="17.45" customHeight="1" x14ac:dyDescent="0.2">
      <c r="A70" s="55" t="s">
        <v>4929</v>
      </c>
      <c r="B70" s="111">
        <v>208604</v>
      </c>
      <c r="C70" s="53" t="s">
        <v>1236</v>
      </c>
      <c r="D70" s="54" t="s">
        <v>1237</v>
      </c>
      <c r="E70" s="56" t="s">
        <v>4930</v>
      </c>
      <c r="F70" s="55" t="s">
        <v>1558</v>
      </c>
    </row>
    <row r="71" spans="1:6" ht="17.45" customHeight="1" x14ac:dyDescent="0.2">
      <c r="A71" s="55" t="s">
        <v>4928</v>
      </c>
      <c r="B71" s="111">
        <v>208669</v>
      </c>
      <c r="C71" s="53" t="s">
        <v>1236</v>
      </c>
      <c r="D71" s="54" t="s">
        <v>1237</v>
      </c>
      <c r="E71" s="56" t="s">
        <v>1106</v>
      </c>
      <c r="F71" s="55" t="s">
        <v>1419</v>
      </c>
    </row>
    <row r="72" spans="1:6" ht="17.45" customHeight="1" x14ac:dyDescent="0.2">
      <c r="A72" s="55" t="s">
        <v>4938</v>
      </c>
      <c r="B72" s="111">
        <v>248600</v>
      </c>
      <c r="C72" s="53">
        <v>8279</v>
      </c>
      <c r="D72" s="54" t="s">
        <v>1242</v>
      </c>
      <c r="E72" s="56" t="s">
        <v>1101</v>
      </c>
      <c r="F72" s="55" t="s">
        <v>4937</v>
      </c>
    </row>
    <row r="73" spans="1:6" ht="17.45" customHeight="1" x14ac:dyDescent="0.2">
      <c r="A73" s="55" t="s">
        <v>1240</v>
      </c>
      <c r="B73" s="111" t="s">
        <v>1241</v>
      </c>
      <c r="C73" s="53">
        <v>8279</v>
      </c>
      <c r="D73" s="54" t="s">
        <v>1242</v>
      </c>
      <c r="E73" s="56" t="s">
        <v>1106</v>
      </c>
      <c r="F73" s="57" t="s">
        <v>1243</v>
      </c>
    </row>
    <row r="74" spans="1:6" ht="17.45" customHeight="1" x14ac:dyDescent="0.2">
      <c r="A74" s="55" t="s">
        <v>202</v>
      </c>
      <c r="C74" s="53"/>
      <c r="D74" s="54" t="s">
        <v>1244</v>
      </c>
      <c r="E74" s="56" t="s">
        <v>3377</v>
      </c>
      <c r="F74" s="56" t="s">
        <v>1245</v>
      </c>
    </row>
    <row r="75" spans="1:6" ht="17.45" customHeight="1" x14ac:dyDescent="0.2">
      <c r="A75" s="55" t="s">
        <v>205</v>
      </c>
      <c r="C75" s="53"/>
      <c r="D75" s="54" t="s">
        <v>1244</v>
      </c>
      <c r="E75" s="56" t="s">
        <v>3377</v>
      </c>
      <c r="F75" s="56" t="s">
        <v>1246</v>
      </c>
    </row>
    <row r="76" spans="1:6" ht="17.45" customHeight="1" x14ac:dyDescent="0.2">
      <c r="A76" s="55" t="s">
        <v>1247</v>
      </c>
      <c r="B76" s="179" t="s">
        <v>1248</v>
      </c>
      <c r="C76" s="53">
        <v>8268</v>
      </c>
      <c r="D76" s="54" t="s">
        <v>1249</v>
      </c>
      <c r="E76" s="56" t="s">
        <v>1106</v>
      </c>
      <c r="F76" s="57" t="s">
        <v>1250</v>
      </c>
    </row>
    <row r="77" spans="1:6" ht="17.45" customHeight="1" x14ac:dyDescent="0.2">
      <c r="A77" s="55" t="s">
        <v>1251</v>
      </c>
      <c r="B77" s="111" t="s">
        <v>1252</v>
      </c>
      <c r="C77" s="53">
        <v>8268</v>
      </c>
      <c r="D77" s="54" t="s">
        <v>1253</v>
      </c>
      <c r="E77" s="56" t="s">
        <v>1101</v>
      </c>
      <c r="F77" s="57" t="s">
        <v>1254</v>
      </c>
    </row>
    <row r="78" spans="1:6" ht="17.45" customHeight="1" x14ac:dyDescent="0.2">
      <c r="A78" s="55" t="s">
        <v>1255</v>
      </c>
      <c r="B78" s="111" t="s">
        <v>1256</v>
      </c>
      <c r="C78" s="53">
        <v>8268</v>
      </c>
      <c r="D78" s="54" t="s">
        <v>1257</v>
      </c>
      <c r="E78" s="56" t="s">
        <v>257</v>
      </c>
      <c r="F78" s="57" t="s">
        <v>1258</v>
      </c>
    </row>
    <row r="79" spans="1:6" ht="17.45" customHeight="1" x14ac:dyDescent="0.2">
      <c r="A79" s="55" t="s">
        <v>1259</v>
      </c>
      <c r="B79" s="111" t="s">
        <v>1260</v>
      </c>
      <c r="C79" s="53">
        <v>8268</v>
      </c>
      <c r="D79" s="54" t="s">
        <v>1257</v>
      </c>
      <c r="E79" s="56" t="s">
        <v>257</v>
      </c>
      <c r="F79" s="57" t="s">
        <v>1261</v>
      </c>
    </row>
    <row r="80" spans="1:6" ht="17.45" customHeight="1" x14ac:dyDescent="0.2">
      <c r="A80" s="55" t="s">
        <v>1262</v>
      </c>
      <c r="B80" s="111" t="s">
        <v>1263</v>
      </c>
      <c r="C80" s="53">
        <v>8268</v>
      </c>
      <c r="D80" s="54" t="s">
        <v>1264</v>
      </c>
      <c r="E80" s="56" t="s">
        <v>257</v>
      </c>
      <c r="F80" s="57" t="s">
        <v>1265</v>
      </c>
    </row>
    <row r="81" spans="1:6" ht="17.45" customHeight="1" x14ac:dyDescent="0.2">
      <c r="A81" s="55" t="s">
        <v>1266</v>
      </c>
      <c r="B81" s="111" t="s">
        <v>1267</v>
      </c>
      <c r="C81" s="53">
        <v>8268</v>
      </c>
      <c r="D81" s="54" t="s">
        <v>1264</v>
      </c>
      <c r="E81" s="56" t="s">
        <v>257</v>
      </c>
      <c r="F81" s="57" t="s">
        <v>1265</v>
      </c>
    </row>
    <row r="82" spans="1:6" ht="17.45" customHeight="1" x14ac:dyDescent="0.2">
      <c r="A82" s="55" t="s">
        <v>1268</v>
      </c>
      <c r="B82" s="111" t="s">
        <v>1269</v>
      </c>
      <c r="C82" s="53">
        <v>8268</v>
      </c>
      <c r="D82" s="54" t="s">
        <v>1270</v>
      </c>
      <c r="E82" s="56" t="s">
        <v>1079</v>
      </c>
      <c r="F82" s="52" t="s">
        <v>1093</v>
      </c>
    </row>
    <row r="83" spans="1:6" ht="17.45" customHeight="1" x14ac:dyDescent="0.2">
      <c r="A83" s="55" t="s">
        <v>1271</v>
      </c>
      <c r="B83" s="111" t="s">
        <v>1272</v>
      </c>
      <c r="C83" s="53">
        <v>8268</v>
      </c>
      <c r="D83" s="54" t="s">
        <v>1249</v>
      </c>
      <c r="E83" s="56" t="s">
        <v>1101</v>
      </c>
      <c r="F83" s="57" t="s">
        <v>1273</v>
      </c>
    </row>
    <row r="84" spans="1:6" ht="17.45" customHeight="1" x14ac:dyDescent="0.2">
      <c r="A84" s="55" t="s">
        <v>1274</v>
      </c>
      <c r="B84" s="111">
        <v>28691</v>
      </c>
      <c r="C84" s="53">
        <v>8268</v>
      </c>
      <c r="D84" s="54" t="s">
        <v>1249</v>
      </c>
      <c r="E84" s="56" t="s">
        <v>1106</v>
      </c>
      <c r="F84" s="57" t="s">
        <v>1275</v>
      </c>
    </row>
    <row r="85" spans="1:6" ht="17.45" customHeight="1" x14ac:dyDescent="0.2">
      <c r="A85" s="55" t="s">
        <v>1276</v>
      </c>
      <c r="B85" s="111" t="s">
        <v>1277</v>
      </c>
      <c r="C85" s="53">
        <v>8268</v>
      </c>
      <c r="D85" s="59" t="s">
        <v>1264</v>
      </c>
      <c r="E85" s="56" t="s">
        <v>1278</v>
      </c>
      <c r="F85" s="57" t="s">
        <v>1279</v>
      </c>
    </row>
    <row r="86" spans="1:6" ht="17.45" customHeight="1" x14ac:dyDescent="0.2">
      <c r="A86" s="55" t="s">
        <v>1280</v>
      </c>
      <c r="B86" s="111" t="s">
        <v>1281</v>
      </c>
      <c r="C86" s="53">
        <v>8268</v>
      </c>
      <c r="D86" s="54" t="s">
        <v>1282</v>
      </c>
      <c r="E86" s="56" t="s">
        <v>1150</v>
      </c>
      <c r="F86" s="57" t="s">
        <v>1279</v>
      </c>
    </row>
    <row r="87" spans="1:6" ht="17.45" customHeight="1" x14ac:dyDescent="0.2">
      <c r="A87" s="55" t="s">
        <v>1283</v>
      </c>
      <c r="B87" s="111">
        <v>188610</v>
      </c>
      <c r="C87" s="53">
        <v>8268</v>
      </c>
      <c r="D87" s="54" t="s">
        <v>1284</v>
      </c>
      <c r="E87" s="56" t="s">
        <v>1101</v>
      </c>
      <c r="F87" s="57" t="s">
        <v>1285</v>
      </c>
    </row>
    <row r="88" spans="1:6" ht="17.45" customHeight="1" x14ac:dyDescent="0.2">
      <c r="A88" s="55" t="s">
        <v>1286</v>
      </c>
      <c r="B88" s="111">
        <v>188608</v>
      </c>
      <c r="C88" s="53">
        <v>8268</v>
      </c>
      <c r="D88" s="54" t="s">
        <v>1284</v>
      </c>
      <c r="E88" s="56" t="s">
        <v>1150</v>
      </c>
      <c r="F88" s="57" t="s">
        <v>1287</v>
      </c>
    </row>
    <row r="89" spans="1:6" ht="17.45" customHeight="1" x14ac:dyDescent="0.2">
      <c r="A89" s="55" t="s">
        <v>1288</v>
      </c>
      <c r="B89" s="111" t="s">
        <v>1289</v>
      </c>
      <c r="C89" s="53">
        <v>8268</v>
      </c>
      <c r="D89" s="54" t="s">
        <v>1290</v>
      </c>
      <c r="E89" s="56" t="s">
        <v>1278</v>
      </c>
      <c r="F89" s="57" t="s">
        <v>1291</v>
      </c>
    </row>
    <row r="90" spans="1:6" ht="17.45" customHeight="1" x14ac:dyDescent="0.2">
      <c r="A90" s="55" t="s">
        <v>1292</v>
      </c>
      <c r="B90" s="111" t="s">
        <v>1293</v>
      </c>
      <c r="C90" s="53">
        <v>8268</v>
      </c>
      <c r="D90" s="54" t="s">
        <v>1284</v>
      </c>
      <c r="E90" s="56" t="s">
        <v>1150</v>
      </c>
      <c r="F90" s="57" t="s">
        <v>1291</v>
      </c>
    </row>
    <row r="91" spans="1:6" ht="17.45" customHeight="1" x14ac:dyDescent="0.2">
      <c r="A91" s="55" t="s">
        <v>1294</v>
      </c>
      <c r="B91" s="111" t="s">
        <v>1295</v>
      </c>
      <c r="C91" s="53">
        <v>8268</v>
      </c>
      <c r="D91" s="54" t="s">
        <v>1253</v>
      </c>
      <c r="E91" s="56" t="s">
        <v>1101</v>
      </c>
      <c r="F91" s="57" t="s">
        <v>1279</v>
      </c>
    </row>
    <row r="92" spans="1:6" ht="17.45" customHeight="1" x14ac:dyDescent="0.2">
      <c r="A92" s="55" t="s">
        <v>1296</v>
      </c>
      <c r="B92" s="111" t="s">
        <v>1297</v>
      </c>
      <c r="C92" s="53">
        <v>8268</v>
      </c>
      <c r="D92" s="59" t="s">
        <v>1253</v>
      </c>
      <c r="E92" s="56" t="s">
        <v>1278</v>
      </c>
      <c r="F92" s="57" t="s">
        <v>1298</v>
      </c>
    </row>
    <row r="93" spans="1:6" ht="17.45" customHeight="1" x14ac:dyDescent="0.2">
      <c r="A93" s="55" t="s">
        <v>1299</v>
      </c>
      <c r="B93" s="111" t="s">
        <v>1300</v>
      </c>
      <c r="C93" s="53">
        <v>8268</v>
      </c>
      <c r="D93" s="54" t="s">
        <v>1249</v>
      </c>
      <c r="E93" s="56" t="s">
        <v>1150</v>
      </c>
      <c r="F93" s="57" t="s">
        <v>1298</v>
      </c>
    </row>
    <row r="94" spans="1:6" ht="17.45" customHeight="1" x14ac:dyDescent="0.2">
      <c r="A94" s="55" t="s">
        <v>1301</v>
      </c>
      <c r="B94" s="111">
        <v>228604</v>
      </c>
      <c r="C94" s="53">
        <v>8268</v>
      </c>
      <c r="D94" s="54" t="s">
        <v>1253</v>
      </c>
      <c r="E94" s="56" t="s">
        <v>1101</v>
      </c>
      <c r="F94" s="57" t="s">
        <v>1302</v>
      </c>
    </row>
    <row r="95" spans="1:6" ht="17.45" customHeight="1" x14ac:dyDescent="0.2">
      <c r="A95" s="55" t="s">
        <v>1303</v>
      </c>
      <c r="B95" s="111">
        <v>228606</v>
      </c>
      <c r="C95" s="53">
        <v>8268</v>
      </c>
      <c r="D95" s="54" t="s">
        <v>1253</v>
      </c>
      <c r="E95" s="56" t="s">
        <v>1106</v>
      </c>
      <c r="F95" s="57" t="s">
        <v>1304</v>
      </c>
    </row>
    <row r="96" spans="1:6" ht="17.45" customHeight="1" x14ac:dyDescent="0.2">
      <c r="A96" s="55" t="s">
        <v>1305</v>
      </c>
      <c r="B96" s="111" t="s">
        <v>1306</v>
      </c>
      <c r="C96" s="53">
        <v>8268</v>
      </c>
      <c r="D96" s="54" t="s">
        <v>1253</v>
      </c>
      <c r="E96" s="56" t="s">
        <v>1101</v>
      </c>
      <c r="F96" s="57" t="s">
        <v>1279</v>
      </c>
    </row>
    <row r="97" spans="1:6" ht="17.45" customHeight="1" x14ac:dyDescent="0.2">
      <c r="A97" s="55" t="s">
        <v>1307</v>
      </c>
      <c r="B97" s="111" t="s">
        <v>1308</v>
      </c>
      <c r="C97" s="53">
        <v>8268</v>
      </c>
      <c r="D97" s="59" t="s">
        <v>1249</v>
      </c>
      <c r="E97" s="56" t="s">
        <v>1278</v>
      </c>
      <c r="F97" s="57" t="s">
        <v>1298</v>
      </c>
    </row>
    <row r="98" spans="1:6" ht="17.45" customHeight="1" x14ac:dyDescent="0.2">
      <c r="A98" s="55" t="s">
        <v>1309</v>
      </c>
      <c r="B98" s="111" t="s">
        <v>1310</v>
      </c>
      <c r="C98" s="53">
        <v>8268</v>
      </c>
      <c r="D98" s="54" t="s">
        <v>1311</v>
      </c>
      <c r="E98" s="56" t="s">
        <v>1150</v>
      </c>
      <c r="F98" s="57" t="s">
        <v>1298</v>
      </c>
    </row>
    <row r="99" spans="1:6" ht="17.45" customHeight="1" x14ac:dyDescent="0.2">
      <c r="A99" s="55" t="s">
        <v>1797</v>
      </c>
      <c r="B99" s="111">
        <v>238603</v>
      </c>
      <c r="C99" s="53">
        <v>8268</v>
      </c>
      <c r="D99" s="54" t="s">
        <v>1311</v>
      </c>
      <c r="E99" s="56" t="s">
        <v>1101</v>
      </c>
      <c r="F99" s="57" t="s">
        <v>1798</v>
      </c>
    </row>
    <row r="100" spans="1:6" ht="17.45" customHeight="1" x14ac:dyDescent="0.2">
      <c r="A100" s="55" t="s">
        <v>1800</v>
      </c>
      <c r="B100" s="111">
        <v>238604</v>
      </c>
      <c r="C100" s="53">
        <v>8268</v>
      </c>
      <c r="D100" s="54" t="s">
        <v>1311</v>
      </c>
      <c r="E100" s="56" t="s">
        <v>1106</v>
      </c>
      <c r="F100" s="55" t="s">
        <v>1799</v>
      </c>
    </row>
    <row r="101" spans="1:6" ht="17.45" customHeight="1" x14ac:dyDescent="0.2">
      <c r="A101" s="55" t="s">
        <v>1312</v>
      </c>
      <c r="B101" s="111" t="s">
        <v>1313</v>
      </c>
      <c r="C101" s="53">
        <v>8272</v>
      </c>
      <c r="D101" s="54" t="s">
        <v>1314</v>
      </c>
      <c r="E101" s="56" t="s">
        <v>1101</v>
      </c>
      <c r="F101" s="57" t="s">
        <v>1315</v>
      </c>
    </row>
    <row r="102" spans="1:6" ht="17.45" customHeight="1" x14ac:dyDescent="0.2">
      <c r="A102" s="55" t="s">
        <v>1316</v>
      </c>
      <c r="B102" s="111" t="s">
        <v>1317</v>
      </c>
      <c r="C102" s="53">
        <v>8272</v>
      </c>
      <c r="D102" s="54" t="s">
        <v>1318</v>
      </c>
      <c r="E102" s="56" t="s">
        <v>1101</v>
      </c>
      <c r="F102" s="57" t="s">
        <v>1319</v>
      </c>
    </row>
    <row r="103" spans="1:6" ht="17.45" customHeight="1" x14ac:dyDescent="0.2">
      <c r="A103" s="52" t="s">
        <v>1320</v>
      </c>
      <c r="B103" s="111" t="s">
        <v>1321</v>
      </c>
      <c r="C103" s="57">
        <v>8279</v>
      </c>
      <c r="D103" s="60" t="s">
        <v>1322</v>
      </c>
      <c r="E103" s="56" t="s">
        <v>1079</v>
      </c>
      <c r="F103" s="64" t="s">
        <v>1086</v>
      </c>
    </row>
    <row r="104" spans="1:6" ht="17.45" customHeight="1" x14ac:dyDescent="0.2">
      <c r="A104" s="55" t="s">
        <v>1323</v>
      </c>
      <c r="B104" s="111" t="s">
        <v>1324</v>
      </c>
      <c r="C104" s="53">
        <v>8272</v>
      </c>
      <c r="D104" s="54" t="s">
        <v>1318</v>
      </c>
      <c r="E104" s="56" t="s">
        <v>1101</v>
      </c>
      <c r="F104" s="57" t="s">
        <v>1325</v>
      </c>
    </row>
    <row r="105" spans="1:6" ht="17.45" customHeight="1" x14ac:dyDescent="0.2">
      <c r="A105" s="55" t="s">
        <v>1326</v>
      </c>
      <c r="B105" s="111" t="s">
        <v>1327</v>
      </c>
      <c r="C105" s="53">
        <v>8272</v>
      </c>
      <c r="D105" s="54" t="s">
        <v>1328</v>
      </c>
      <c r="E105" s="56" t="s">
        <v>1150</v>
      </c>
      <c r="F105" s="57" t="s">
        <v>1329</v>
      </c>
    </row>
    <row r="106" spans="1:6" ht="17.45" customHeight="1" x14ac:dyDescent="0.2">
      <c r="A106" s="55" t="s">
        <v>1330</v>
      </c>
      <c r="B106" s="111" t="s">
        <v>1331</v>
      </c>
      <c r="C106" s="53">
        <v>8272</v>
      </c>
      <c r="D106" s="54" t="s">
        <v>1332</v>
      </c>
      <c r="E106" s="56" t="s">
        <v>1150</v>
      </c>
      <c r="F106" s="57" t="s">
        <v>1110</v>
      </c>
    </row>
    <row r="107" spans="1:6" ht="17.45" customHeight="1" x14ac:dyDescent="0.2">
      <c r="A107" s="55" t="s">
        <v>1333</v>
      </c>
      <c r="B107" s="179" t="s">
        <v>1334</v>
      </c>
      <c r="C107" s="53">
        <v>8272</v>
      </c>
      <c r="D107" s="54" t="s">
        <v>1332</v>
      </c>
      <c r="E107" s="56" t="s">
        <v>1101</v>
      </c>
      <c r="F107" s="57" t="s">
        <v>1325</v>
      </c>
    </row>
    <row r="108" spans="1:6" ht="17.45" customHeight="1" x14ac:dyDescent="0.2">
      <c r="A108" s="55" t="s">
        <v>1335</v>
      </c>
      <c r="B108" s="179">
        <v>28297</v>
      </c>
      <c r="C108" s="53">
        <v>8272</v>
      </c>
      <c r="D108" s="54" t="s">
        <v>1332</v>
      </c>
      <c r="E108" s="56" t="s">
        <v>1150</v>
      </c>
      <c r="F108" s="57" t="s">
        <v>1325</v>
      </c>
    </row>
    <row r="109" spans="1:6" ht="17.45" customHeight="1" x14ac:dyDescent="0.2">
      <c r="A109" s="55" t="s">
        <v>4939</v>
      </c>
      <c r="B109" s="111">
        <v>238606</v>
      </c>
      <c r="C109" s="53">
        <v>8272</v>
      </c>
      <c r="D109" s="54" t="s">
        <v>1332</v>
      </c>
      <c r="E109" s="56" t="s">
        <v>1101</v>
      </c>
      <c r="F109" s="57" t="s">
        <v>1533</v>
      </c>
    </row>
    <row r="110" spans="1:6" ht="17.45" customHeight="1" x14ac:dyDescent="0.2">
      <c r="A110" s="158" t="s">
        <v>1336</v>
      </c>
      <c r="B110" s="179" t="s">
        <v>1337</v>
      </c>
      <c r="C110" s="53">
        <v>8272</v>
      </c>
      <c r="D110" s="54" t="s">
        <v>1332</v>
      </c>
      <c r="E110" s="56" t="s">
        <v>1079</v>
      </c>
      <c r="F110" s="57" t="s">
        <v>1188</v>
      </c>
    </row>
    <row r="111" spans="1:6" ht="17.45" customHeight="1" x14ac:dyDescent="0.2">
      <c r="A111" s="55" t="s">
        <v>1338</v>
      </c>
      <c r="B111" s="111" t="s">
        <v>1339</v>
      </c>
      <c r="C111" s="53">
        <v>8272</v>
      </c>
      <c r="D111" s="54" t="s">
        <v>1332</v>
      </c>
      <c r="E111" s="56" t="s">
        <v>1083</v>
      </c>
      <c r="F111" s="57" t="s">
        <v>1188</v>
      </c>
    </row>
    <row r="112" spans="1:6" ht="17.45" customHeight="1" x14ac:dyDescent="0.2">
      <c r="A112" s="63" t="s">
        <v>4932</v>
      </c>
      <c r="B112" s="111">
        <v>198608</v>
      </c>
      <c r="C112" s="61" t="s">
        <v>1236</v>
      </c>
      <c r="D112" s="63" t="s">
        <v>1237</v>
      </c>
      <c r="E112" s="56" t="s">
        <v>1101</v>
      </c>
      <c r="F112" s="64" t="s">
        <v>1602</v>
      </c>
    </row>
    <row r="113" spans="1:6" ht="17.45" customHeight="1" x14ac:dyDescent="0.2">
      <c r="A113" s="52" t="s">
        <v>4931</v>
      </c>
      <c r="B113" s="111">
        <v>198609</v>
      </c>
      <c r="C113" s="57" t="s">
        <v>1236</v>
      </c>
      <c r="D113" s="60" t="s">
        <v>1237</v>
      </c>
      <c r="E113" s="56" t="s">
        <v>1101</v>
      </c>
      <c r="F113" s="64" t="s">
        <v>1206</v>
      </c>
    </row>
    <row r="114" spans="1:6" ht="17.45" customHeight="1" x14ac:dyDescent="0.2">
      <c r="A114" s="52" t="s">
        <v>4933</v>
      </c>
      <c r="B114" s="111">
        <v>208668</v>
      </c>
      <c r="C114" s="57" t="s">
        <v>1236</v>
      </c>
      <c r="D114" s="60" t="s">
        <v>1237</v>
      </c>
      <c r="E114" s="56" t="s">
        <v>1101</v>
      </c>
      <c r="F114" s="64" t="s">
        <v>1533</v>
      </c>
    </row>
    <row r="115" spans="1:6" ht="17.45" customHeight="1" x14ac:dyDescent="0.2">
      <c r="A115" s="52" t="s">
        <v>4943</v>
      </c>
      <c r="B115" s="111">
        <v>208672</v>
      </c>
      <c r="C115" s="57" t="s">
        <v>1236</v>
      </c>
      <c r="D115" s="60" t="s">
        <v>1237</v>
      </c>
      <c r="E115" s="56" t="s">
        <v>1150</v>
      </c>
      <c r="F115" s="64" t="s">
        <v>1558</v>
      </c>
    </row>
    <row r="116" spans="1:6" ht="17.45" customHeight="1" x14ac:dyDescent="0.2">
      <c r="A116" s="55" t="s">
        <v>1340</v>
      </c>
      <c r="B116" s="111" t="s">
        <v>1341</v>
      </c>
      <c r="C116" s="53">
        <v>8265</v>
      </c>
      <c r="D116" s="54" t="s">
        <v>1342</v>
      </c>
      <c r="E116" s="56" t="s">
        <v>257</v>
      </c>
      <c r="F116" s="57" t="s">
        <v>1343</v>
      </c>
    </row>
    <row r="117" spans="1:6" ht="17.45" customHeight="1" x14ac:dyDescent="0.2">
      <c r="A117" s="55" t="s">
        <v>1344</v>
      </c>
      <c r="B117" s="111" t="s">
        <v>1345</v>
      </c>
      <c r="C117" s="53">
        <v>8265</v>
      </c>
      <c r="D117" s="54" t="s">
        <v>1342</v>
      </c>
      <c r="E117" s="56" t="s">
        <v>257</v>
      </c>
      <c r="F117" s="57" t="s">
        <v>1346</v>
      </c>
    </row>
    <row r="118" spans="1:6" ht="17.45" customHeight="1" x14ac:dyDescent="0.2">
      <c r="A118" s="55" t="s">
        <v>1347</v>
      </c>
      <c r="B118" s="111" t="s">
        <v>1348</v>
      </c>
      <c r="C118" s="53">
        <v>8265</v>
      </c>
      <c r="D118" s="54" t="s">
        <v>1342</v>
      </c>
      <c r="E118" s="56" t="s">
        <v>257</v>
      </c>
      <c r="F118" s="57" t="s">
        <v>1349</v>
      </c>
    </row>
    <row r="119" spans="1:6" ht="17.45" customHeight="1" x14ac:dyDescent="0.2">
      <c r="A119" s="55" t="s">
        <v>1350</v>
      </c>
      <c r="B119" s="111" t="s">
        <v>1351</v>
      </c>
      <c r="C119" s="53">
        <v>8265</v>
      </c>
      <c r="D119" s="54" t="s">
        <v>1342</v>
      </c>
      <c r="E119" s="56" t="s">
        <v>257</v>
      </c>
      <c r="F119" s="57" t="s">
        <v>1346</v>
      </c>
    </row>
    <row r="120" spans="1:6" ht="17.45" customHeight="1" x14ac:dyDescent="0.2">
      <c r="A120" s="55" t="s">
        <v>1352</v>
      </c>
      <c r="B120" s="111" t="s">
        <v>1353</v>
      </c>
      <c r="C120" s="53">
        <v>8265</v>
      </c>
      <c r="D120" s="54" t="s">
        <v>1342</v>
      </c>
      <c r="E120" s="56" t="s">
        <v>257</v>
      </c>
      <c r="F120" s="57" t="s">
        <v>1343</v>
      </c>
    </row>
    <row r="121" spans="1:6" ht="17.45" customHeight="1" x14ac:dyDescent="0.2">
      <c r="A121" s="55" t="s">
        <v>4920</v>
      </c>
      <c r="B121" s="111">
        <v>248604</v>
      </c>
      <c r="C121" s="53">
        <v>8265</v>
      </c>
      <c r="D121" s="54" t="s">
        <v>1821</v>
      </c>
      <c r="E121" s="56" t="s">
        <v>1101</v>
      </c>
      <c r="F121" s="57" t="s">
        <v>1558</v>
      </c>
    </row>
    <row r="122" spans="1:6" ht="17.45" customHeight="1" x14ac:dyDescent="0.2">
      <c r="A122" s="57" t="s">
        <v>1354</v>
      </c>
      <c r="B122" s="111" t="s">
        <v>1355</v>
      </c>
      <c r="C122" s="53">
        <v>8265</v>
      </c>
      <c r="D122" s="54" t="s">
        <v>1342</v>
      </c>
      <c r="E122" s="56" t="s">
        <v>1101</v>
      </c>
      <c r="F122" s="57" t="s">
        <v>1356</v>
      </c>
    </row>
    <row r="123" spans="1:6" ht="17.45" customHeight="1" x14ac:dyDescent="0.2">
      <c r="A123" s="55" t="s">
        <v>1357</v>
      </c>
      <c r="B123" s="111" t="s">
        <v>1358</v>
      </c>
      <c r="C123" s="53">
        <v>8265</v>
      </c>
      <c r="D123" s="54" t="s">
        <v>1342</v>
      </c>
      <c r="E123" s="56" t="s">
        <v>1106</v>
      </c>
      <c r="F123" s="57" t="s">
        <v>1273</v>
      </c>
    </row>
    <row r="124" spans="1:6" ht="17.45" customHeight="1" x14ac:dyDescent="0.2">
      <c r="A124" s="61" t="s">
        <v>1359</v>
      </c>
      <c r="B124" s="111" t="s">
        <v>1360</v>
      </c>
      <c r="C124" s="53">
        <v>8265</v>
      </c>
      <c r="D124" s="54" t="s">
        <v>1342</v>
      </c>
      <c r="E124" s="56" t="s">
        <v>1101</v>
      </c>
      <c r="F124" s="57" t="s">
        <v>1361</v>
      </c>
    </row>
    <row r="125" spans="1:6" ht="17.45" customHeight="1" x14ac:dyDescent="0.2">
      <c r="A125" s="55" t="s">
        <v>1362</v>
      </c>
      <c r="B125" s="111" t="s">
        <v>1363</v>
      </c>
      <c r="C125" s="53">
        <v>8265</v>
      </c>
      <c r="D125" s="54" t="s">
        <v>1342</v>
      </c>
      <c r="E125" s="56" t="s">
        <v>1106</v>
      </c>
      <c r="F125" s="57" t="s">
        <v>1364</v>
      </c>
    </row>
    <row r="126" spans="1:6" ht="17.45" customHeight="1" x14ac:dyDescent="0.2">
      <c r="A126" s="55" t="s">
        <v>1365</v>
      </c>
      <c r="B126" s="111" t="s">
        <v>1366</v>
      </c>
      <c r="C126" s="53">
        <v>8265</v>
      </c>
      <c r="D126" s="54" t="s">
        <v>1342</v>
      </c>
      <c r="E126" s="56" t="s">
        <v>1106</v>
      </c>
      <c r="F126" s="57" t="s">
        <v>1279</v>
      </c>
    </row>
    <row r="127" spans="1:6" ht="17.45" customHeight="1" x14ac:dyDescent="0.2">
      <c r="A127" s="55" t="s">
        <v>1367</v>
      </c>
      <c r="B127" s="111" t="s">
        <v>1368</v>
      </c>
      <c r="C127" s="53">
        <v>8265</v>
      </c>
      <c r="D127" s="54" t="s">
        <v>1342</v>
      </c>
      <c r="E127" s="56" t="s">
        <v>1101</v>
      </c>
      <c r="F127" s="57" t="s">
        <v>1369</v>
      </c>
    </row>
    <row r="128" spans="1:6" ht="17.45" customHeight="1" x14ac:dyDescent="0.2">
      <c r="A128" s="55" t="s">
        <v>1370</v>
      </c>
      <c r="B128" s="111" t="s">
        <v>1371</v>
      </c>
      <c r="C128" s="53">
        <v>8265</v>
      </c>
      <c r="D128" s="54" t="s">
        <v>1342</v>
      </c>
      <c r="E128" s="56" t="s">
        <v>1106</v>
      </c>
      <c r="F128" s="57" t="s">
        <v>1372</v>
      </c>
    </row>
    <row r="129" spans="1:13" ht="17.45" customHeight="1" x14ac:dyDescent="0.2">
      <c r="A129" s="55" t="s">
        <v>1373</v>
      </c>
      <c r="B129" s="111" t="s">
        <v>1374</v>
      </c>
      <c r="C129" s="53">
        <v>8265</v>
      </c>
      <c r="D129" s="54" t="s">
        <v>1342</v>
      </c>
      <c r="E129" s="56" t="s">
        <v>1101</v>
      </c>
      <c r="F129" s="57" t="s">
        <v>1375</v>
      </c>
    </row>
    <row r="130" spans="1:13" ht="17.45" customHeight="1" x14ac:dyDescent="0.2">
      <c r="A130" s="55" t="s">
        <v>1376</v>
      </c>
      <c r="B130" s="111" t="s">
        <v>1377</v>
      </c>
      <c r="C130" s="53">
        <v>8265</v>
      </c>
      <c r="D130" s="54" t="s">
        <v>1342</v>
      </c>
      <c r="E130" s="56" t="s">
        <v>1106</v>
      </c>
      <c r="F130" s="57" t="s">
        <v>1378</v>
      </c>
    </row>
    <row r="131" spans="1:13" ht="17.45" customHeight="1" x14ac:dyDescent="0.2">
      <c r="A131" s="55" t="s">
        <v>1379</v>
      </c>
      <c r="B131" s="111" t="s">
        <v>1380</v>
      </c>
      <c r="C131" s="53">
        <v>8265</v>
      </c>
      <c r="D131" s="54" t="s">
        <v>1342</v>
      </c>
      <c r="E131" s="56" t="s">
        <v>1106</v>
      </c>
      <c r="F131" s="57" t="s">
        <v>1381</v>
      </c>
      <c r="H131" s="136"/>
    </row>
    <row r="132" spans="1:13" ht="17.45" customHeight="1" x14ac:dyDescent="0.2">
      <c r="A132" s="55" t="s">
        <v>1382</v>
      </c>
      <c r="B132" s="111" t="s">
        <v>1383</v>
      </c>
      <c r="C132" s="53">
        <v>8265</v>
      </c>
      <c r="D132" s="54" t="s">
        <v>1342</v>
      </c>
      <c r="E132" s="56" t="s">
        <v>1106</v>
      </c>
      <c r="F132" s="57" t="s">
        <v>1384</v>
      </c>
      <c r="H132" s="55"/>
      <c r="I132" s="111"/>
      <c r="J132" s="53"/>
      <c r="K132" s="54"/>
      <c r="L132" s="56"/>
      <c r="M132" s="57"/>
    </row>
    <row r="133" spans="1:13" ht="17.45" customHeight="1" x14ac:dyDescent="0.2">
      <c r="A133" s="55" t="s">
        <v>1385</v>
      </c>
      <c r="B133" s="111">
        <v>228610</v>
      </c>
      <c r="C133" s="53">
        <v>8265</v>
      </c>
      <c r="D133" s="54" t="s">
        <v>1342</v>
      </c>
      <c r="E133" s="56" t="s">
        <v>1101</v>
      </c>
      <c r="F133" s="55" t="s">
        <v>4934</v>
      </c>
      <c r="H133" s="55"/>
      <c r="I133" s="111"/>
      <c r="J133" s="53"/>
      <c r="K133" s="54"/>
      <c r="L133" s="56"/>
      <c r="M133" s="57"/>
    </row>
    <row r="134" spans="1:13" ht="17.45" customHeight="1" x14ac:dyDescent="0.2">
      <c r="A134" s="55" t="s">
        <v>1387</v>
      </c>
      <c r="B134" s="111" t="s">
        <v>1388</v>
      </c>
      <c r="C134" s="53">
        <v>8265</v>
      </c>
      <c r="D134" s="54" t="s">
        <v>1342</v>
      </c>
      <c r="E134" s="56" t="s">
        <v>1106</v>
      </c>
      <c r="F134" s="55" t="s">
        <v>1389</v>
      </c>
    </row>
    <row r="135" spans="1:13" ht="17.45" customHeight="1" x14ac:dyDescent="0.2">
      <c r="A135" s="55" t="s">
        <v>1390</v>
      </c>
      <c r="B135" s="111">
        <v>228606</v>
      </c>
      <c r="C135" s="53">
        <v>8265</v>
      </c>
      <c r="D135" s="54" t="s">
        <v>1342</v>
      </c>
      <c r="E135" s="56" t="s">
        <v>1101</v>
      </c>
      <c r="F135" s="55" t="s">
        <v>1356</v>
      </c>
    </row>
    <row r="136" spans="1:13" ht="17.45" customHeight="1" x14ac:dyDescent="0.2">
      <c r="A136" s="55" t="s">
        <v>1391</v>
      </c>
      <c r="B136" s="111">
        <v>228607</v>
      </c>
      <c r="C136" s="53">
        <v>8265</v>
      </c>
      <c r="D136" s="54" t="s">
        <v>1342</v>
      </c>
      <c r="E136" s="56" t="s">
        <v>1106</v>
      </c>
      <c r="F136" s="55" t="s">
        <v>1392</v>
      </c>
    </row>
    <row r="137" spans="1:13" ht="17.45" customHeight="1" x14ac:dyDescent="0.2">
      <c r="A137" s="55" t="s">
        <v>4935</v>
      </c>
      <c r="B137" s="111">
        <v>248602</v>
      </c>
      <c r="C137" s="53">
        <v>8265</v>
      </c>
      <c r="D137" s="54" t="s">
        <v>1342</v>
      </c>
      <c r="E137" s="56" t="s">
        <v>1101</v>
      </c>
      <c r="F137" s="55" t="s">
        <v>1206</v>
      </c>
      <c r="H137" s="112"/>
    </row>
    <row r="138" spans="1:13" ht="17.45" customHeight="1" x14ac:dyDescent="0.2">
      <c r="A138" s="55" t="s">
        <v>4957</v>
      </c>
      <c r="B138" s="111">
        <v>248603</v>
      </c>
      <c r="C138" s="53">
        <v>8265</v>
      </c>
      <c r="D138" s="54" t="s">
        <v>1342</v>
      </c>
      <c r="E138" s="56" t="s">
        <v>1106</v>
      </c>
      <c r="F138" s="55" t="s">
        <v>4958</v>
      </c>
      <c r="H138" s="112"/>
    </row>
    <row r="139" spans="1:13" ht="17.45" customHeight="1" x14ac:dyDescent="0.2">
      <c r="A139" s="55" t="s">
        <v>1393</v>
      </c>
      <c r="B139" s="111" t="s">
        <v>1394</v>
      </c>
      <c r="C139" s="53">
        <v>8265</v>
      </c>
      <c r="D139" s="54" t="s">
        <v>1342</v>
      </c>
      <c r="E139" s="56" t="s">
        <v>1079</v>
      </c>
      <c r="F139" s="57" t="s">
        <v>1395</v>
      </c>
      <c r="H139" s="52"/>
      <c r="I139" s="111"/>
      <c r="J139" s="52"/>
      <c r="K139" s="60"/>
      <c r="L139" s="56"/>
      <c r="M139" s="64"/>
    </row>
    <row r="140" spans="1:13" ht="17.45" customHeight="1" x14ac:dyDescent="0.2">
      <c r="A140" s="55" t="s">
        <v>1396</v>
      </c>
      <c r="B140" s="111" t="s">
        <v>1397</v>
      </c>
      <c r="C140" s="53">
        <v>8265</v>
      </c>
      <c r="D140" s="54" t="s">
        <v>1342</v>
      </c>
      <c r="E140" s="56" t="s">
        <v>1101</v>
      </c>
      <c r="F140" s="57" t="s">
        <v>1398</v>
      </c>
      <c r="H140" s="52"/>
      <c r="I140" s="111"/>
      <c r="J140" s="52"/>
      <c r="K140" s="60"/>
      <c r="L140" s="56"/>
      <c r="M140" s="64"/>
    </row>
    <row r="141" spans="1:13" ht="17.45" customHeight="1" x14ac:dyDescent="0.2">
      <c r="A141" s="55" t="s">
        <v>1399</v>
      </c>
      <c r="B141" s="111" t="s">
        <v>1400</v>
      </c>
      <c r="C141" s="53">
        <v>8265</v>
      </c>
      <c r="D141" s="54" t="s">
        <v>1342</v>
      </c>
      <c r="E141" s="56" t="s">
        <v>1079</v>
      </c>
      <c r="F141" s="57" t="s">
        <v>1398</v>
      </c>
      <c r="H141" s="52"/>
      <c r="I141" s="111"/>
      <c r="J141" s="52"/>
      <c r="K141" s="60"/>
      <c r="L141" s="56"/>
      <c r="M141" s="64"/>
    </row>
    <row r="142" spans="1:13" ht="17.45" customHeight="1" x14ac:dyDescent="0.2">
      <c r="A142" s="55" t="s">
        <v>1401</v>
      </c>
      <c r="B142" s="111" t="s">
        <v>1402</v>
      </c>
      <c r="C142" s="53">
        <v>8265</v>
      </c>
      <c r="D142" s="54" t="s">
        <v>1342</v>
      </c>
      <c r="E142" s="56" t="s">
        <v>1083</v>
      </c>
      <c r="F142" s="57" t="s">
        <v>1398</v>
      </c>
      <c r="H142" s="52"/>
      <c r="I142" s="111"/>
      <c r="J142" s="52"/>
      <c r="K142" s="60"/>
      <c r="L142" s="56"/>
      <c r="M142" s="64"/>
    </row>
    <row r="143" spans="1:13" ht="17.45" customHeight="1" x14ac:dyDescent="0.2">
      <c r="A143" s="55" t="s">
        <v>1403</v>
      </c>
      <c r="B143" s="111" t="s">
        <v>1404</v>
      </c>
      <c r="C143" s="53">
        <v>8265</v>
      </c>
      <c r="D143" s="54" t="s">
        <v>1342</v>
      </c>
      <c r="E143" s="56" t="s">
        <v>1101</v>
      </c>
      <c r="F143" s="57" t="s">
        <v>1325</v>
      </c>
      <c r="H143" s="52"/>
      <c r="I143" s="111"/>
      <c r="J143" s="52"/>
      <c r="K143" s="60"/>
      <c r="L143" s="56"/>
      <c r="M143" s="64"/>
    </row>
    <row r="144" spans="1:13" ht="17.45" customHeight="1" x14ac:dyDescent="0.2">
      <c r="A144" s="55" t="s">
        <v>1405</v>
      </c>
      <c r="B144" s="111" t="s">
        <v>1406</v>
      </c>
      <c r="C144" s="53">
        <v>8265</v>
      </c>
      <c r="D144" s="54" t="s">
        <v>1342</v>
      </c>
      <c r="E144" s="56" t="s">
        <v>1106</v>
      </c>
      <c r="F144" s="55" t="s">
        <v>1114</v>
      </c>
      <c r="H144" s="52"/>
      <c r="I144" s="111"/>
      <c r="J144" s="52"/>
      <c r="K144" s="60"/>
      <c r="L144" s="56"/>
      <c r="M144" s="64"/>
    </row>
    <row r="145" spans="1:13" ht="17.45" customHeight="1" x14ac:dyDescent="0.2">
      <c r="A145" s="55" t="s">
        <v>1408</v>
      </c>
      <c r="B145" s="111" t="s">
        <v>1409</v>
      </c>
      <c r="C145" s="53">
        <v>8265</v>
      </c>
      <c r="D145" s="54" t="s">
        <v>1342</v>
      </c>
      <c r="E145" s="56" t="s">
        <v>1101</v>
      </c>
      <c r="F145" s="57" t="s">
        <v>1325</v>
      </c>
      <c r="H145" s="52"/>
      <c r="I145" s="111"/>
      <c r="J145" s="52"/>
      <c r="K145" s="60"/>
      <c r="L145" s="56"/>
      <c r="M145" s="64"/>
    </row>
    <row r="146" spans="1:13" ht="17.45" customHeight="1" x14ac:dyDescent="0.2">
      <c r="A146" s="55" t="s">
        <v>1410</v>
      </c>
      <c r="B146" s="111" t="s">
        <v>1411</v>
      </c>
      <c r="C146" s="53">
        <v>8265</v>
      </c>
      <c r="D146" s="54" t="s">
        <v>1342</v>
      </c>
      <c r="E146" s="56" t="s">
        <v>1106</v>
      </c>
      <c r="F146" s="57" t="s">
        <v>1407</v>
      </c>
    </row>
    <row r="147" spans="1:13" ht="17.45" customHeight="1" x14ac:dyDescent="0.2">
      <c r="A147" s="55" t="s">
        <v>1412</v>
      </c>
      <c r="B147" s="111" t="s">
        <v>1413</v>
      </c>
      <c r="C147" s="53">
        <v>8265</v>
      </c>
      <c r="D147" s="54" t="s">
        <v>1342</v>
      </c>
      <c r="E147" s="56" t="s">
        <v>1101</v>
      </c>
      <c r="F147" s="57" t="s">
        <v>1126</v>
      </c>
    </row>
    <row r="148" spans="1:13" ht="17.45" customHeight="1" x14ac:dyDescent="0.2">
      <c r="A148" s="55" t="s">
        <v>1414</v>
      </c>
      <c r="B148" s="111" t="s">
        <v>1415</v>
      </c>
      <c r="C148" s="53">
        <v>8265</v>
      </c>
      <c r="D148" s="54" t="s">
        <v>1342</v>
      </c>
      <c r="E148" s="56" t="s">
        <v>1106</v>
      </c>
      <c r="F148" s="57" t="s">
        <v>1416</v>
      </c>
    </row>
    <row r="149" spans="1:13" ht="17.45" customHeight="1" x14ac:dyDescent="0.2">
      <c r="A149" s="55" t="s">
        <v>1417</v>
      </c>
      <c r="B149" s="111" t="s">
        <v>1418</v>
      </c>
      <c r="C149" s="53">
        <v>8265</v>
      </c>
      <c r="D149" s="54" t="s">
        <v>1342</v>
      </c>
      <c r="E149" s="56" t="s">
        <v>1101</v>
      </c>
      <c r="F149" s="57" t="s">
        <v>1419</v>
      </c>
    </row>
    <row r="150" spans="1:13" ht="17.45" customHeight="1" x14ac:dyDescent="0.2">
      <c r="A150" s="55" t="s">
        <v>1420</v>
      </c>
      <c r="B150" s="111" t="s">
        <v>1421</v>
      </c>
      <c r="C150" s="53">
        <v>8265</v>
      </c>
      <c r="D150" s="54" t="s">
        <v>1342</v>
      </c>
      <c r="E150" s="56" t="s">
        <v>1101</v>
      </c>
      <c r="F150" s="57" t="s">
        <v>1422</v>
      </c>
    </row>
    <row r="151" spans="1:13" ht="17.45" customHeight="1" x14ac:dyDescent="0.2">
      <c r="A151" s="55" t="s">
        <v>1423</v>
      </c>
      <c r="B151" s="111" t="s">
        <v>1424</v>
      </c>
      <c r="C151" s="53">
        <v>8265</v>
      </c>
      <c r="D151" s="54" t="s">
        <v>1342</v>
      </c>
      <c r="E151" s="56" t="s">
        <v>1106</v>
      </c>
      <c r="F151" s="57" t="s">
        <v>1192</v>
      </c>
    </row>
    <row r="152" spans="1:13" ht="17.45" customHeight="1" x14ac:dyDescent="0.2">
      <c r="A152" s="52" t="s">
        <v>1425</v>
      </c>
      <c r="B152" s="111" t="s">
        <v>1426</v>
      </c>
      <c r="C152" s="62">
        <v>8265</v>
      </c>
      <c r="D152" s="54" t="s">
        <v>1342</v>
      </c>
      <c r="E152" s="56" t="s">
        <v>1101</v>
      </c>
      <c r="F152" s="55" t="s">
        <v>1386</v>
      </c>
    </row>
    <row r="153" spans="1:13" ht="17.45" customHeight="1" x14ac:dyDescent="0.2">
      <c r="A153" s="55" t="s">
        <v>1427</v>
      </c>
      <c r="B153" s="111" t="s">
        <v>1428</v>
      </c>
      <c r="C153" s="53">
        <v>8265</v>
      </c>
      <c r="D153" s="54" t="s">
        <v>1342</v>
      </c>
      <c r="E153" s="56" t="s">
        <v>1150</v>
      </c>
      <c r="F153" s="57" t="s">
        <v>1279</v>
      </c>
    </row>
    <row r="154" spans="1:13" ht="17.45" customHeight="1" x14ac:dyDescent="0.2">
      <c r="A154" s="55" t="s">
        <v>1429</v>
      </c>
      <c r="B154" s="111" t="s">
        <v>1430</v>
      </c>
      <c r="C154" s="53">
        <v>8265</v>
      </c>
      <c r="D154" s="54" t="s">
        <v>1342</v>
      </c>
      <c r="E154" s="56" t="s">
        <v>1278</v>
      </c>
      <c r="F154" s="57" t="s">
        <v>1375</v>
      </c>
    </row>
    <row r="155" spans="1:13" ht="17.45" customHeight="1" x14ac:dyDescent="0.2">
      <c r="A155" s="55" t="s">
        <v>1431</v>
      </c>
      <c r="B155" s="111" t="s">
        <v>1432</v>
      </c>
      <c r="C155" s="53">
        <v>8265</v>
      </c>
      <c r="D155" s="54" t="s">
        <v>1342</v>
      </c>
      <c r="E155" s="56" t="s">
        <v>1101</v>
      </c>
      <c r="F155" s="57" t="s">
        <v>1433</v>
      </c>
    </row>
    <row r="156" spans="1:13" ht="17.45" customHeight="1" x14ac:dyDescent="0.2">
      <c r="A156" s="55" t="s">
        <v>1434</v>
      </c>
      <c r="B156" s="111" t="s">
        <v>1435</v>
      </c>
      <c r="C156" s="53">
        <v>8265</v>
      </c>
      <c r="D156" s="54" t="s">
        <v>1342</v>
      </c>
      <c r="E156" s="56" t="s">
        <v>1278</v>
      </c>
      <c r="F156" s="57" t="s">
        <v>1436</v>
      </c>
    </row>
    <row r="157" spans="1:13" ht="17.45" customHeight="1" x14ac:dyDescent="0.2">
      <c r="A157" s="55" t="s">
        <v>1437</v>
      </c>
      <c r="B157" s="111" t="s">
        <v>1438</v>
      </c>
      <c r="C157" s="53">
        <v>8265</v>
      </c>
      <c r="D157" s="54" t="s">
        <v>1342</v>
      </c>
      <c r="E157" s="56" t="s">
        <v>1150</v>
      </c>
      <c r="F157" s="57" t="s">
        <v>1436</v>
      </c>
    </row>
    <row r="158" spans="1:13" ht="17.45" customHeight="1" x14ac:dyDescent="0.2">
      <c r="A158" s="55" t="s">
        <v>1439</v>
      </c>
      <c r="B158" s="111" t="s">
        <v>1440</v>
      </c>
      <c r="C158" s="53">
        <v>8265</v>
      </c>
      <c r="D158" s="54" t="s">
        <v>1342</v>
      </c>
      <c r="E158" s="56" t="s">
        <v>1101</v>
      </c>
      <c r="F158" s="57" t="s">
        <v>1325</v>
      </c>
    </row>
    <row r="159" spans="1:13" ht="17.45" customHeight="1" x14ac:dyDescent="0.2">
      <c r="A159" s="55" t="s">
        <v>1441</v>
      </c>
      <c r="B159" s="111" t="s">
        <v>1442</v>
      </c>
      <c r="C159" s="53">
        <v>8265</v>
      </c>
      <c r="D159" s="54" t="s">
        <v>1342</v>
      </c>
      <c r="E159" s="56" t="s">
        <v>1150</v>
      </c>
      <c r="F159" s="57" t="s">
        <v>1443</v>
      </c>
    </row>
    <row r="160" spans="1:13" ht="17.45" customHeight="1" x14ac:dyDescent="0.2">
      <c r="A160" s="55" t="s">
        <v>1444</v>
      </c>
      <c r="B160" s="111" t="s">
        <v>1445</v>
      </c>
      <c r="C160" s="53">
        <v>8265</v>
      </c>
      <c r="D160" s="54" t="s">
        <v>1342</v>
      </c>
      <c r="E160" s="56" t="s">
        <v>1278</v>
      </c>
      <c r="F160" s="57" t="s">
        <v>1436</v>
      </c>
    </row>
    <row r="161" spans="1:6" ht="17.45" customHeight="1" x14ac:dyDescent="0.2">
      <c r="A161" s="55" t="s">
        <v>1446</v>
      </c>
      <c r="B161" s="111" t="s">
        <v>1447</v>
      </c>
      <c r="C161" s="55" t="s">
        <v>1448</v>
      </c>
      <c r="D161" s="54" t="s">
        <v>1342</v>
      </c>
      <c r="E161" s="56" t="s">
        <v>1101</v>
      </c>
      <c r="F161" s="57" t="s">
        <v>1449</v>
      </c>
    </row>
    <row r="162" spans="1:6" ht="17.45" customHeight="1" x14ac:dyDescent="0.2">
      <c r="A162" s="55" t="s">
        <v>1450</v>
      </c>
      <c r="B162" s="111" t="s">
        <v>1451</v>
      </c>
      <c r="C162" s="53">
        <v>8265</v>
      </c>
      <c r="D162" s="54" t="s">
        <v>1342</v>
      </c>
      <c r="E162" s="56" t="s">
        <v>1278</v>
      </c>
      <c r="F162" s="57" t="s">
        <v>1298</v>
      </c>
    </row>
    <row r="163" spans="1:6" ht="17.45" customHeight="1" x14ac:dyDescent="0.2">
      <c r="A163" s="55" t="s">
        <v>1452</v>
      </c>
      <c r="B163" s="111" t="s">
        <v>1453</v>
      </c>
      <c r="C163" s="53">
        <v>8265</v>
      </c>
      <c r="D163" s="54" t="s">
        <v>1342</v>
      </c>
      <c r="E163" s="56" t="s">
        <v>1150</v>
      </c>
      <c r="F163" s="57" t="s">
        <v>1298</v>
      </c>
    </row>
    <row r="164" spans="1:6" ht="17.45" customHeight="1" x14ac:dyDescent="0.2">
      <c r="A164" s="55" t="s">
        <v>1454</v>
      </c>
      <c r="B164" s="111" t="s">
        <v>1455</v>
      </c>
      <c r="C164" s="53">
        <v>8265</v>
      </c>
      <c r="D164" s="54" t="s">
        <v>1342</v>
      </c>
      <c r="E164" s="56" t="s">
        <v>1106</v>
      </c>
      <c r="F164" s="57" t="s">
        <v>1456</v>
      </c>
    </row>
    <row r="165" spans="1:6" ht="17.45" customHeight="1" x14ac:dyDescent="0.2">
      <c r="A165" s="55" t="s">
        <v>1457</v>
      </c>
      <c r="B165" s="111">
        <v>228602</v>
      </c>
      <c r="C165" s="53">
        <v>8265</v>
      </c>
      <c r="D165" s="54" t="s">
        <v>1342</v>
      </c>
      <c r="E165" s="56" t="s">
        <v>1101</v>
      </c>
      <c r="F165" s="57" t="s">
        <v>1458</v>
      </c>
    </row>
    <row r="166" spans="1:6" ht="17.45" customHeight="1" x14ac:dyDescent="0.2">
      <c r="A166" s="55" t="s">
        <v>1459</v>
      </c>
      <c r="B166" s="111" t="s">
        <v>1460</v>
      </c>
      <c r="C166" s="53">
        <v>8265</v>
      </c>
      <c r="D166" s="54" t="s">
        <v>1342</v>
      </c>
      <c r="E166" s="56" t="s">
        <v>1079</v>
      </c>
      <c r="F166" s="57" t="s">
        <v>1461</v>
      </c>
    </row>
    <row r="167" spans="1:6" ht="17.45" customHeight="1" x14ac:dyDescent="0.2">
      <c r="A167" s="55" t="s">
        <v>1462</v>
      </c>
      <c r="B167" s="111" t="s">
        <v>1463</v>
      </c>
      <c r="C167" s="53">
        <v>8265</v>
      </c>
      <c r="D167" s="54" t="s">
        <v>1342</v>
      </c>
      <c r="E167" s="56" t="s">
        <v>1278</v>
      </c>
      <c r="F167" s="57" t="s">
        <v>1375</v>
      </c>
    </row>
    <row r="168" spans="1:6" ht="17.45" customHeight="1" x14ac:dyDescent="0.2">
      <c r="A168" s="52" t="s">
        <v>1464</v>
      </c>
      <c r="B168" s="111" t="s">
        <v>1465</v>
      </c>
      <c r="C168" s="57">
        <v>8265</v>
      </c>
      <c r="D168" s="54" t="s">
        <v>1342</v>
      </c>
      <c r="E168" s="56" t="s">
        <v>1150</v>
      </c>
      <c r="F168" s="64" t="s">
        <v>1466</v>
      </c>
    </row>
    <row r="169" spans="1:6" ht="17.45" customHeight="1" x14ac:dyDescent="0.2">
      <c r="A169" s="62" t="s">
        <v>1467</v>
      </c>
      <c r="B169" s="179" t="s">
        <v>1468</v>
      </c>
      <c r="C169" s="57">
        <v>8265</v>
      </c>
      <c r="D169" s="54" t="s">
        <v>1342</v>
      </c>
      <c r="E169" s="56" t="s">
        <v>1278</v>
      </c>
      <c r="F169" s="64" t="s">
        <v>4940</v>
      </c>
    </row>
    <row r="170" spans="1:6" ht="17.45" customHeight="1" x14ac:dyDescent="0.2">
      <c r="A170" s="62" t="s">
        <v>1469</v>
      </c>
      <c r="B170" s="179" t="s">
        <v>1470</v>
      </c>
      <c r="C170" s="57">
        <v>8265</v>
      </c>
      <c r="D170" s="54" t="s">
        <v>1342</v>
      </c>
      <c r="E170" s="56" t="s">
        <v>1150</v>
      </c>
      <c r="F170" s="64" t="s">
        <v>4940</v>
      </c>
    </row>
    <row r="171" spans="1:6" ht="17.45" customHeight="1" x14ac:dyDescent="0.2">
      <c r="A171" s="55" t="s">
        <v>1471</v>
      </c>
      <c r="B171" s="111" t="s">
        <v>1472</v>
      </c>
      <c r="C171" s="53">
        <v>8265</v>
      </c>
      <c r="D171" s="54" t="s">
        <v>1342</v>
      </c>
      <c r="E171" s="56" t="s">
        <v>1079</v>
      </c>
      <c r="F171" s="57" t="s">
        <v>1473</v>
      </c>
    </row>
    <row r="172" spans="1:6" ht="17.45" customHeight="1" x14ac:dyDescent="0.2">
      <c r="A172" s="55" t="s">
        <v>1474</v>
      </c>
      <c r="B172" s="111" t="s">
        <v>1475</v>
      </c>
      <c r="C172" s="53">
        <v>8265</v>
      </c>
      <c r="D172" s="54" t="s">
        <v>1342</v>
      </c>
      <c r="E172" s="56" t="s">
        <v>1083</v>
      </c>
      <c r="F172" s="57" t="s">
        <v>1473</v>
      </c>
    </row>
    <row r="173" spans="1:6" ht="17.45" customHeight="1" x14ac:dyDescent="0.2">
      <c r="A173" s="55" t="s">
        <v>1476</v>
      </c>
      <c r="B173" s="111" t="s">
        <v>1477</v>
      </c>
      <c r="C173" s="53">
        <v>8265</v>
      </c>
      <c r="D173" s="54" t="s">
        <v>1342</v>
      </c>
      <c r="E173" s="56" t="s">
        <v>1278</v>
      </c>
      <c r="F173" s="57" t="s">
        <v>1478</v>
      </c>
    </row>
    <row r="174" spans="1:6" ht="17.45" customHeight="1" x14ac:dyDescent="0.2">
      <c r="A174" s="55" t="s">
        <v>1479</v>
      </c>
      <c r="B174" s="111" t="s">
        <v>1480</v>
      </c>
      <c r="C174" s="53">
        <v>8265</v>
      </c>
      <c r="D174" s="54" t="s">
        <v>1342</v>
      </c>
      <c r="E174" s="56" t="s">
        <v>1150</v>
      </c>
      <c r="F174" s="57" t="s">
        <v>1478</v>
      </c>
    </row>
    <row r="175" spans="1:6" ht="17.45" customHeight="1" x14ac:dyDescent="0.2">
      <c r="A175" s="55" t="s">
        <v>1481</v>
      </c>
      <c r="B175" s="111">
        <v>198617</v>
      </c>
      <c r="C175" s="53">
        <v>8265</v>
      </c>
      <c r="D175" s="54" t="s">
        <v>1342</v>
      </c>
      <c r="E175" s="56" t="s">
        <v>1278</v>
      </c>
      <c r="F175" s="57" t="s">
        <v>1287</v>
      </c>
    </row>
    <row r="176" spans="1:6" ht="17.45" customHeight="1" x14ac:dyDescent="0.2">
      <c r="A176" s="55" t="s">
        <v>1482</v>
      </c>
      <c r="B176" s="111">
        <v>198618</v>
      </c>
      <c r="C176" s="53">
        <v>8265</v>
      </c>
      <c r="D176" s="54" t="s">
        <v>1342</v>
      </c>
      <c r="E176" s="56" t="s">
        <v>1150</v>
      </c>
      <c r="F176" s="57" t="s">
        <v>1287</v>
      </c>
    </row>
    <row r="177" spans="1:6" ht="17.45" customHeight="1" x14ac:dyDescent="0.2">
      <c r="A177" s="55" t="s">
        <v>1483</v>
      </c>
      <c r="B177" s="111" t="s">
        <v>1484</v>
      </c>
      <c r="C177" s="53">
        <v>8266</v>
      </c>
      <c r="D177" s="54" t="s">
        <v>1100</v>
      </c>
      <c r="E177" s="56" t="s">
        <v>1101</v>
      </c>
      <c r="F177" s="57" t="s">
        <v>1485</v>
      </c>
    </row>
    <row r="178" spans="1:6" ht="17.45" customHeight="1" x14ac:dyDescent="0.2">
      <c r="A178" s="55" t="s">
        <v>1486</v>
      </c>
      <c r="B178" s="111" t="s">
        <v>1487</v>
      </c>
      <c r="C178" s="53">
        <v>8266</v>
      </c>
      <c r="D178" s="54" t="s">
        <v>1488</v>
      </c>
      <c r="E178" s="56" t="s">
        <v>1106</v>
      </c>
      <c r="F178" s="57" t="s">
        <v>1489</v>
      </c>
    </row>
    <row r="179" spans="1:6" ht="17.45" customHeight="1" x14ac:dyDescent="0.2">
      <c r="A179" s="55" t="s">
        <v>1490</v>
      </c>
      <c r="B179" s="111">
        <v>98612</v>
      </c>
      <c r="C179" s="53">
        <v>8266</v>
      </c>
      <c r="D179" s="54" t="s">
        <v>1105</v>
      </c>
      <c r="E179" s="56" t="s">
        <v>1101</v>
      </c>
      <c r="F179" s="57" t="s">
        <v>1491</v>
      </c>
    </row>
    <row r="180" spans="1:6" ht="17.45" customHeight="1" x14ac:dyDescent="0.2">
      <c r="A180" s="55" t="s">
        <v>1492</v>
      </c>
      <c r="B180" s="111" t="s">
        <v>1493</v>
      </c>
      <c r="C180" s="53">
        <v>8266</v>
      </c>
      <c r="D180" s="54" t="s">
        <v>1109</v>
      </c>
      <c r="E180" s="56" t="s">
        <v>1106</v>
      </c>
      <c r="F180" s="57" t="s">
        <v>1114</v>
      </c>
    </row>
    <row r="181" spans="1:6" ht="17.45" customHeight="1" x14ac:dyDescent="0.2">
      <c r="A181" s="55" t="s">
        <v>1494</v>
      </c>
      <c r="B181" s="111">
        <v>218608</v>
      </c>
      <c r="C181" s="53">
        <v>8266</v>
      </c>
      <c r="D181" s="54" t="s">
        <v>1109</v>
      </c>
      <c r="E181" s="56" t="s">
        <v>1101</v>
      </c>
      <c r="F181" s="57" t="s">
        <v>1491</v>
      </c>
    </row>
    <row r="182" spans="1:6" ht="17.45" customHeight="1" x14ac:dyDescent="0.2">
      <c r="A182" s="55" t="s">
        <v>1495</v>
      </c>
      <c r="B182" s="111">
        <v>218609</v>
      </c>
      <c r="C182" s="53">
        <v>8266</v>
      </c>
      <c r="D182" s="54" t="s">
        <v>1109</v>
      </c>
      <c r="E182" s="56" t="s">
        <v>1106</v>
      </c>
      <c r="F182" s="55" t="s">
        <v>1239</v>
      </c>
    </row>
    <row r="183" spans="1:6" ht="17.45" customHeight="1" x14ac:dyDescent="0.2">
      <c r="A183" s="55" t="s">
        <v>1496</v>
      </c>
      <c r="B183" s="111">
        <v>188603</v>
      </c>
      <c r="C183" s="53" t="s">
        <v>1131</v>
      </c>
      <c r="D183" s="54" t="s">
        <v>1132</v>
      </c>
      <c r="E183" s="56" t="s">
        <v>1083</v>
      </c>
      <c r="F183" s="57" t="s">
        <v>1497</v>
      </c>
    </row>
    <row r="184" spans="1:6" ht="17.45" customHeight="1" x14ac:dyDescent="0.2">
      <c r="A184" s="55" t="s">
        <v>1498</v>
      </c>
      <c r="B184" s="111">
        <v>198612</v>
      </c>
      <c r="C184" s="53" t="s">
        <v>1499</v>
      </c>
      <c r="D184" s="54" t="s">
        <v>1500</v>
      </c>
      <c r="E184" s="56" t="s">
        <v>1083</v>
      </c>
      <c r="F184" s="57" t="s">
        <v>1086</v>
      </c>
    </row>
    <row r="185" spans="1:6" ht="17.45" customHeight="1" x14ac:dyDescent="0.2">
      <c r="A185" s="55" t="s">
        <v>1501</v>
      </c>
      <c r="B185" s="111" t="s">
        <v>1502</v>
      </c>
      <c r="C185" s="53">
        <v>8279</v>
      </c>
      <c r="D185" s="54" t="s">
        <v>1503</v>
      </c>
      <c r="E185" s="56" t="s">
        <v>1083</v>
      </c>
      <c r="F185" s="57" t="s">
        <v>1086</v>
      </c>
    </row>
    <row r="186" spans="1:6" ht="17.45" customHeight="1" x14ac:dyDescent="0.2">
      <c r="A186" s="55" t="s">
        <v>1504</v>
      </c>
      <c r="B186" s="111">
        <v>198611</v>
      </c>
      <c r="C186" s="53">
        <v>8279</v>
      </c>
      <c r="D186" s="54" t="s">
        <v>1503</v>
      </c>
      <c r="E186" s="56" t="s">
        <v>1083</v>
      </c>
      <c r="F186" s="57" t="s">
        <v>1086</v>
      </c>
    </row>
    <row r="187" spans="1:6" ht="17.45" customHeight="1" x14ac:dyDescent="0.2">
      <c r="A187" s="55" t="s">
        <v>1505</v>
      </c>
      <c r="B187" s="111" t="s">
        <v>1506</v>
      </c>
      <c r="C187" s="53">
        <v>8278</v>
      </c>
      <c r="D187" s="54" t="s">
        <v>1507</v>
      </c>
      <c r="E187" s="56" t="s">
        <v>1278</v>
      </c>
      <c r="F187" s="52" t="s">
        <v>1508</v>
      </c>
    </row>
    <row r="188" spans="1:6" ht="17.45" customHeight="1" x14ac:dyDescent="0.2">
      <c r="A188" s="55" t="s">
        <v>1509</v>
      </c>
      <c r="B188" s="111" t="s">
        <v>1510</v>
      </c>
      <c r="C188" s="53">
        <v>8279</v>
      </c>
      <c r="D188" s="54" t="s">
        <v>1511</v>
      </c>
      <c r="E188" s="56" t="s">
        <v>1150</v>
      </c>
      <c r="F188" s="57" t="s">
        <v>1512</v>
      </c>
    </row>
    <row r="189" spans="1:6" ht="17.45" customHeight="1" x14ac:dyDescent="0.2">
      <c r="A189" s="55" t="s">
        <v>1513</v>
      </c>
      <c r="B189" s="111" t="s">
        <v>1514</v>
      </c>
      <c r="C189" s="53">
        <v>8279</v>
      </c>
      <c r="D189" s="54" t="s">
        <v>1511</v>
      </c>
      <c r="E189" s="56" t="s">
        <v>1101</v>
      </c>
      <c r="F189" s="57" t="s">
        <v>1515</v>
      </c>
    </row>
    <row r="190" spans="1:6" ht="17.45" customHeight="1" x14ac:dyDescent="0.2">
      <c r="A190" s="55" t="s">
        <v>1516</v>
      </c>
      <c r="B190" s="111" t="s">
        <v>1517</v>
      </c>
      <c r="C190" s="53">
        <v>8279</v>
      </c>
      <c r="D190" s="54" t="s">
        <v>1511</v>
      </c>
      <c r="E190" s="56" t="s">
        <v>1150</v>
      </c>
      <c r="F190" s="57" t="s">
        <v>1407</v>
      </c>
    </row>
    <row r="191" spans="1:6" ht="17.45" customHeight="1" x14ac:dyDescent="0.2">
      <c r="A191" s="55" t="s">
        <v>1518</v>
      </c>
      <c r="B191" s="111" t="s">
        <v>1519</v>
      </c>
      <c r="C191" s="53">
        <v>8279</v>
      </c>
      <c r="D191" s="54" t="s">
        <v>1511</v>
      </c>
      <c r="E191" s="56" t="s">
        <v>1101</v>
      </c>
      <c r="F191" s="57" t="s">
        <v>1520</v>
      </c>
    </row>
    <row r="192" spans="1:6" ht="17.45" customHeight="1" x14ac:dyDescent="0.2">
      <c r="A192" s="55" t="s">
        <v>1521</v>
      </c>
      <c r="B192" s="111" t="s">
        <v>1522</v>
      </c>
      <c r="C192" s="53">
        <v>8279</v>
      </c>
      <c r="D192" s="54" t="s">
        <v>1511</v>
      </c>
      <c r="E192" s="56" t="s">
        <v>1150</v>
      </c>
      <c r="F192" s="57" t="s">
        <v>1523</v>
      </c>
    </row>
    <row r="193" spans="1:6" ht="17.45" customHeight="1" x14ac:dyDescent="0.2">
      <c r="A193" s="55" t="s">
        <v>1524</v>
      </c>
      <c r="B193" s="111" t="s">
        <v>1525</v>
      </c>
      <c r="C193" s="53">
        <v>8279</v>
      </c>
      <c r="D193" s="54" t="s">
        <v>1511</v>
      </c>
      <c r="E193" s="56" t="s">
        <v>1101</v>
      </c>
      <c r="F193" s="57" t="s">
        <v>1526</v>
      </c>
    </row>
    <row r="194" spans="1:6" ht="17.45" customHeight="1" x14ac:dyDescent="0.2">
      <c r="A194" s="55" t="s">
        <v>1527</v>
      </c>
      <c r="B194" s="111" t="s">
        <v>1528</v>
      </c>
      <c r="C194" s="53">
        <v>8279</v>
      </c>
      <c r="D194" s="54" t="s">
        <v>1511</v>
      </c>
      <c r="E194" s="56" t="s">
        <v>1101</v>
      </c>
      <c r="F194" s="52" t="s">
        <v>1381</v>
      </c>
    </row>
    <row r="195" spans="1:6" ht="17.45" customHeight="1" x14ac:dyDescent="0.2">
      <c r="A195" s="55" t="s">
        <v>1529</v>
      </c>
      <c r="B195" s="111" t="s">
        <v>1530</v>
      </c>
      <c r="C195" s="53">
        <v>8279</v>
      </c>
      <c r="D195" s="54" t="s">
        <v>1511</v>
      </c>
      <c r="E195" s="56" t="s">
        <v>1106</v>
      </c>
      <c r="F195" s="57" t="s">
        <v>1531</v>
      </c>
    </row>
    <row r="196" spans="1:6" ht="17.45" customHeight="1" x14ac:dyDescent="0.2">
      <c r="A196" s="55" t="s">
        <v>1532</v>
      </c>
      <c r="B196" s="111">
        <v>198610</v>
      </c>
      <c r="C196" s="53" t="s">
        <v>1499</v>
      </c>
      <c r="D196" s="54" t="s">
        <v>1511</v>
      </c>
      <c r="E196" s="56" t="s">
        <v>1101</v>
      </c>
      <c r="F196" s="57" t="s">
        <v>1533</v>
      </c>
    </row>
    <row r="197" spans="1:6" ht="17.45" customHeight="1" x14ac:dyDescent="0.2">
      <c r="A197" s="55" t="s">
        <v>1534</v>
      </c>
      <c r="B197" s="111">
        <v>198614</v>
      </c>
      <c r="C197" s="53" t="s">
        <v>1499</v>
      </c>
      <c r="D197" s="54" t="s">
        <v>1511</v>
      </c>
      <c r="E197" s="56" t="s">
        <v>1175</v>
      </c>
      <c r="F197" s="57" t="s">
        <v>1535</v>
      </c>
    </row>
    <row r="198" spans="1:6" ht="17.45" customHeight="1" x14ac:dyDescent="0.2">
      <c r="A198" s="55" t="s">
        <v>1536</v>
      </c>
      <c r="B198" s="111" t="s">
        <v>1537</v>
      </c>
      <c r="C198" s="53">
        <v>8279</v>
      </c>
      <c r="D198" s="54" t="s">
        <v>1511</v>
      </c>
      <c r="E198" s="56" t="s">
        <v>1101</v>
      </c>
      <c r="F198" s="57" t="s">
        <v>1538</v>
      </c>
    </row>
    <row r="199" spans="1:6" ht="17.45" customHeight="1" x14ac:dyDescent="0.2">
      <c r="A199" s="55" t="s">
        <v>1539</v>
      </c>
      <c r="B199" s="111">
        <v>228660</v>
      </c>
      <c r="C199" s="53" t="s">
        <v>4936</v>
      </c>
      <c r="D199" s="54" t="s">
        <v>1540</v>
      </c>
      <c r="E199" s="56" t="s">
        <v>1079</v>
      </c>
      <c r="F199" s="57" t="s">
        <v>1086</v>
      </c>
    </row>
    <row r="200" spans="1:6" ht="17.45" customHeight="1" x14ac:dyDescent="0.2">
      <c r="A200" s="57" t="s">
        <v>1541</v>
      </c>
      <c r="B200" s="111" t="s">
        <v>1542</v>
      </c>
      <c r="C200" s="53">
        <v>9514</v>
      </c>
      <c r="D200" s="59" t="s">
        <v>1543</v>
      </c>
      <c r="E200" s="56" t="s">
        <v>1278</v>
      </c>
      <c r="F200" s="57" t="s">
        <v>1285</v>
      </c>
    </row>
    <row r="201" spans="1:6" ht="17.45" customHeight="1" x14ac:dyDescent="0.2">
      <c r="A201" s="55" t="s">
        <v>1544</v>
      </c>
      <c r="B201" s="111" t="s">
        <v>1545</v>
      </c>
      <c r="C201" s="53">
        <v>9514</v>
      </c>
      <c r="D201" s="54" t="s">
        <v>1546</v>
      </c>
      <c r="E201" s="56" t="s">
        <v>1150</v>
      </c>
      <c r="F201" s="57" t="s">
        <v>1285</v>
      </c>
    </row>
    <row r="202" spans="1:6" ht="17.45" customHeight="1" x14ac:dyDescent="0.2">
      <c r="A202" s="57" t="s">
        <v>1547</v>
      </c>
      <c r="B202" s="111" t="s">
        <v>1548</v>
      </c>
      <c r="C202" s="53">
        <v>9514</v>
      </c>
      <c r="D202" s="59" t="s">
        <v>1549</v>
      </c>
      <c r="E202" s="56" t="s">
        <v>1278</v>
      </c>
      <c r="F202" s="57" t="s">
        <v>1375</v>
      </c>
    </row>
    <row r="203" spans="1:6" ht="17.45" customHeight="1" x14ac:dyDescent="0.2">
      <c r="A203" s="55" t="s">
        <v>1550</v>
      </c>
      <c r="B203" s="111" t="s">
        <v>1551</v>
      </c>
      <c r="C203" s="53">
        <v>9514</v>
      </c>
      <c r="D203" s="54" t="s">
        <v>1552</v>
      </c>
      <c r="E203" s="56" t="s">
        <v>1150</v>
      </c>
      <c r="F203" s="57" t="s">
        <v>1375</v>
      </c>
    </row>
    <row r="204" spans="1:6" ht="17.45" customHeight="1" x14ac:dyDescent="0.2">
      <c r="A204" s="55" t="s">
        <v>1553</v>
      </c>
      <c r="B204" s="111" t="s">
        <v>1554</v>
      </c>
      <c r="C204" s="53">
        <v>9514</v>
      </c>
      <c r="D204" s="54" t="s">
        <v>1549</v>
      </c>
      <c r="E204" s="56" t="s">
        <v>1101</v>
      </c>
      <c r="F204" s="57" t="s">
        <v>1555</v>
      </c>
    </row>
    <row r="205" spans="1:6" ht="17.45" customHeight="1" x14ac:dyDescent="0.2">
      <c r="A205" s="55" t="s">
        <v>1556</v>
      </c>
      <c r="B205" s="111" t="s">
        <v>1557</v>
      </c>
      <c r="C205" s="53">
        <v>9514</v>
      </c>
      <c r="D205" s="54" t="s">
        <v>1552</v>
      </c>
      <c r="E205" s="56" t="s">
        <v>1101</v>
      </c>
      <c r="F205" s="57" t="s">
        <v>1558</v>
      </c>
    </row>
    <row r="206" spans="1:6" ht="17.45" customHeight="1" x14ac:dyDescent="0.2">
      <c r="A206" s="57" t="s">
        <v>1559</v>
      </c>
      <c r="B206" s="111" t="s">
        <v>1560</v>
      </c>
      <c r="C206" s="53">
        <v>9514</v>
      </c>
      <c r="D206" s="59" t="s">
        <v>1549</v>
      </c>
      <c r="E206" s="56" t="s">
        <v>1278</v>
      </c>
      <c r="F206" s="57" t="s">
        <v>1561</v>
      </c>
    </row>
    <row r="207" spans="1:6" ht="17.45" customHeight="1" x14ac:dyDescent="0.2">
      <c r="A207" s="55" t="s">
        <v>1562</v>
      </c>
      <c r="B207" s="111" t="s">
        <v>1563</v>
      </c>
      <c r="C207" s="53">
        <v>9514</v>
      </c>
      <c r="D207" s="54" t="s">
        <v>1543</v>
      </c>
      <c r="E207" s="56" t="s">
        <v>1150</v>
      </c>
      <c r="F207" s="57" t="s">
        <v>1561</v>
      </c>
    </row>
    <row r="208" spans="1:6" ht="17.45" customHeight="1" x14ac:dyDescent="0.2">
      <c r="A208" s="55" t="s">
        <v>1564</v>
      </c>
      <c r="B208" s="111" t="s">
        <v>1565</v>
      </c>
      <c r="C208" s="53">
        <v>9514</v>
      </c>
      <c r="D208" s="54" t="s">
        <v>1552</v>
      </c>
      <c r="E208" s="56" t="s">
        <v>1150</v>
      </c>
      <c r="F208" s="57" t="s">
        <v>1329</v>
      </c>
    </row>
    <row r="209" spans="1:6" ht="17.45" customHeight="1" x14ac:dyDescent="0.2">
      <c r="A209" s="55" t="s">
        <v>1566</v>
      </c>
      <c r="B209" s="111">
        <v>188606</v>
      </c>
      <c r="C209" s="53">
        <v>9514</v>
      </c>
      <c r="D209" s="54" t="s">
        <v>1552</v>
      </c>
      <c r="E209" s="56" t="s">
        <v>1101</v>
      </c>
      <c r="F209" s="57" t="s">
        <v>1558</v>
      </c>
    </row>
    <row r="210" spans="1:6" ht="17.45" customHeight="1" x14ac:dyDescent="0.2">
      <c r="A210" s="55" t="s">
        <v>1567</v>
      </c>
      <c r="B210" s="111">
        <v>188607</v>
      </c>
      <c r="C210" s="53">
        <v>9514</v>
      </c>
      <c r="D210" s="54" t="s">
        <v>1552</v>
      </c>
      <c r="E210" s="56" t="s">
        <v>1150</v>
      </c>
      <c r="F210" s="57" t="s">
        <v>1568</v>
      </c>
    </row>
    <row r="211" spans="1:6" ht="17.45" customHeight="1" x14ac:dyDescent="0.2">
      <c r="A211" s="55" t="s">
        <v>1569</v>
      </c>
      <c r="B211" s="179" t="s">
        <v>1570</v>
      </c>
      <c r="C211" s="53">
        <v>8268</v>
      </c>
      <c r="D211" s="54" t="s">
        <v>1253</v>
      </c>
      <c r="E211" s="56" t="s">
        <v>1106</v>
      </c>
      <c r="F211" s="57" t="s">
        <v>1298</v>
      </c>
    </row>
    <row r="212" spans="1:6" ht="17.45" customHeight="1" x14ac:dyDescent="0.2">
      <c r="A212" s="55" t="s">
        <v>1571</v>
      </c>
      <c r="B212" s="111" t="s">
        <v>1572</v>
      </c>
      <c r="C212" s="53">
        <v>8268</v>
      </c>
      <c r="D212" s="54" t="s">
        <v>1282</v>
      </c>
      <c r="E212" s="56" t="s">
        <v>1106</v>
      </c>
      <c r="F212" s="57" t="s">
        <v>1573</v>
      </c>
    </row>
    <row r="213" spans="1:6" ht="17.45" customHeight="1" x14ac:dyDescent="0.2">
      <c r="A213" s="55" t="s">
        <v>1574</v>
      </c>
      <c r="B213" s="111" t="s">
        <v>1575</v>
      </c>
      <c r="C213" s="53">
        <v>8268</v>
      </c>
      <c r="D213" s="54" t="s">
        <v>1253</v>
      </c>
      <c r="E213" s="56" t="s">
        <v>1106</v>
      </c>
      <c r="F213" s="57" t="s">
        <v>1372</v>
      </c>
    </row>
    <row r="214" spans="1:6" ht="17.45" customHeight="1" x14ac:dyDescent="0.2">
      <c r="A214" s="55" t="s">
        <v>1576</v>
      </c>
      <c r="B214" s="111">
        <v>218606</v>
      </c>
      <c r="C214" s="53">
        <v>8268</v>
      </c>
      <c r="D214" s="54" t="s">
        <v>1253</v>
      </c>
      <c r="E214" s="56" t="s">
        <v>1101</v>
      </c>
      <c r="F214" s="55" t="s">
        <v>1386</v>
      </c>
    </row>
    <row r="215" spans="1:6" ht="17.45" customHeight="1" x14ac:dyDescent="0.2">
      <c r="A215" s="55" t="s">
        <v>1577</v>
      </c>
      <c r="B215" s="111">
        <v>218607</v>
      </c>
      <c r="C215" s="53">
        <v>8268</v>
      </c>
      <c r="D215" s="54" t="s">
        <v>1253</v>
      </c>
      <c r="E215" s="56" t="s">
        <v>1106</v>
      </c>
      <c r="F215" s="55" t="s">
        <v>1578</v>
      </c>
    </row>
    <row r="216" spans="1:6" ht="17.45" customHeight="1" x14ac:dyDescent="0.2">
      <c r="A216" s="55" t="s">
        <v>1579</v>
      </c>
      <c r="B216" s="111" t="s">
        <v>1580</v>
      </c>
      <c r="C216" s="53">
        <v>8268</v>
      </c>
      <c r="D216" s="54" t="s">
        <v>1264</v>
      </c>
      <c r="E216" s="56" t="s">
        <v>1101</v>
      </c>
      <c r="F216" s="57" t="s">
        <v>1110</v>
      </c>
    </row>
    <row r="217" spans="1:6" ht="17.45" customHeight="1" x14ac:dyDescent="0.2">
      <c r="A217" s="55" t="s">
        <v>1581</v>
      </c>
      <c r="B217" s="111" t="s">
        <v>1582</v>
      </c>
      <c r="C217" s="53">
        <v>8268</v>
      </c>
      <c r="D217" s="54" t="s">
        <v>1264</v>
      </c>
      <c r="E217" s="56" t="s">
        <v>1106</v>
      </c>
      <c r="F217" s="57" t="s">
        <v>1378</v>
      </c>
    </row>
    <row r="218" spans="1:6" ht="17.45" customHeight="1" x14ac:dyDescent="0.2">
      <c r="A218" s="55" t="s">
        <v>1583</v>
      </c>
      <c r="B218" s="111" t="s">
        <v>1584</v>
      </c>
      <c r="C218" s="53">
        <v>8268</v>
      </c>
      <c r="D218" s="54" t="s">
        <v>1249</v>
      </c>
      <c r="E218" s="56" t="s">
        <v>1106</v>
      </c>
      <c r="F218" s="57" t="s">
        <v>1315</v>
      </c>
    </row>
    <row r="219" spans="1:6" ht="17.45" customHeight="1" x14ac:dyDescent="0.2">
      <c r="A219" s="55" t="s">
        <v>1585</v>
      </c>
      <c r="B219" s="111" t="s">
        <v>1586</v>
      </c>
      <c r="C219" s="53">
        <v>8266</v>
      </c>
      <c r="D219" s="54" t="s">
        <v>1134</v>
      </c>
      <c r="E219" s="56" t="s">
        <v>1079</v>
      </c>
      <c r="F219" s="55" t="s">
        <v>1587</v>
      </c>
    </row>
    <row r="220" spans="1:6" ht="17.45" customHeight="1" x14ac:dyDescent="0.2">
      <c r="A220" s="55" t="s">
        <v>1588</v>
      </c>
      <c r="B220" s="111">
        <v>228608</v>
      </c>
      <c r="C220" s="57" t="s">
        <v>1236</v>
      </c>
      <c r="D220" s="60" t="s">
        <v>1237</v>
      </c>
      <c r="E220" s="56" t="s">
        <v>1079</v>
      </c>
      <c r="F220" s="55" t="s">
        <v>1589</v>
      </c>
    </row>
    <row r="221" spans="1:6" ht="17.45" customHeight="1" x14ac:dyDescent="0.2">
      <c r="A221" s="55" t="s">
        <v>1590</v>
      </c>
      <c r="B221" s="111">
        <v>198605</v>
      </c>
      <c r="C221" s="53" t="s">
        <v>1236</v>
      </c>
      <c r="D221" s="54" t="s">
        <v>1237</v>
      </c>
      <c r="E221" s="56" t="s">
        <v>257</v>
      </c>
      <c r="F221" s="52" t="s">
        <v>1591</v>
      </c>
    </row>
    <row r="222" spans="1:6" ht="17.45" customHeight="1" x14ac:dyDescent="0.2">
      <c r="A222" s="55" t="s">
        <v>1592</v>
      </c>
      <c r="B222" s="111">
        <v>198606</v>
      </c>
      <c r="C222" s="53" t="s">
        <v>1236</v>
      </c>
      <c r="D222" s="54" t="s">
        <v>1237</v>
      </c>
      <c r="E222" s="56" t="s">
        <v>257</v>
      </c>
      <c r="F222" s="52" t="s">
        <v>1135</v>
      </c>
    </row>
    <row r="223" spans="1:6" ht="17.45" customHeight="1" x14ac:dyDescent="0.2">
      <c r="A223" s="55" t="s">
        <v>1593</v>
      </c>
      <c r="B223" s="111">
        <v>208673</v>
      </c>
      <c r="C223" s="53">
        <v>8280</v>
      </c>
      <c r="D223" s="54" t="s">
        <v>1237</v>
      </c>
      <c r="E223" s="56" t="s">
        <v>1106</v>
      </c>
      <c r="F223" s="55" t="s">
        <v>1419</v>
      </c>
    </row>
    <row r="224" spans="1:6" ht="17.45" customHeight="1" x14ac:dyDescent="0.2">
      <c r="A224" s="55" t="s">
        <v>1594</v>
      </c>
      <c r="B224" s="111">
        <v>208666</v>
      </c>
      <c r="C224" s="57" t="s">
        <v>1236</v>
      </c>
      <c r="D224" s="54" t="s">
        <v>1237</v>
      </c>
      <c r="E224" s="56" t="s">
        <v>1079</v>
      </c>
      <c r="F224" s="64" t="s">
        <v>1595</v>
      </c>
    </row>
    <row r="225" spans="1:6" s="58" customFormat="1" ht="17.45" customHeight="1" x14ac:dyDescent="0.2">
      <c r="A225" s="55" t="s">
        <v>1596</v>
      </c>
      <c r="B225" s="111" t="s">
        <v>1597</v>
      </c>
      <c r="C225" s="53">
        <v>8279</v>
      </c>
      <c r="D225" s="54" t="s">
        <v>1598</v>
      </c>
      <c r="E225" s="56" t="s">
        <v>1278</v>
      </c>
      <c r="F225" s="55" t="s">
        <v>4941</v>
      </c>
    </row>
    <row r="226" spans="1:6" s="58" customFormat="1" ht="17.45" customHeight="1" x14ac:dyDescent="0.2">
      <c r="A226" s="52" t="s">
        <v>1599</v>
      </c>
      <c r="B226" s="111" t="s">
        <v>1600</v>
      </c>
      <c r="C226" s="57">
        <v>8272</v>
      </c>
      <c r="D226" s="60" t="s">
        <v>1318</v>
      </c>
      <c r="E226" s="56" t="s">
        <v>257</v>
      </c>
      <c r="F226" s="52" t="s">
        <v>1601</v>
      </c>
    </row>
    <row r="227" spans="1:6" s="58" customFormat="1" ht="17.45" customHeight="1" x14ac:dyDescent="0.2">
      <c r="A227" s="63" t="s">
        <v>1603</v>
      </c>
      <c r="B227" s="111">
        <v>218601</v>
      </c>
      <c r="C227" s="61" t="s">
        <v>1202</v>
      </c>
      <c r="D227" s="63" t="s">
        <v>1604</v>
      </c>
      <c r="E227" s="56" t="s">
        <v>1278</v>
      </c>
      <c r="F227" s="64" t="s">
        <v>1491</v>
      </c>
    </row>
    <row r="228" spans="1:6" s="58" customFormat="1" ht="17.45" customHeight="1" x14ac:dyDescent="0.2">
      <c r="A228" s="55" t="s">
        <v>1605</v>
      </c>
      <c r="B228" s="111" t="s">
        <v>1606</v>
      </c>
      <c r="C228" s="53">
        <v>8266</v>
      </c>
      <c r="D228" s="54" t="s">
        <v>1109</v>
      </c>
      <c r="E228" s="56" t="s">
        <v>1150</v>
      </c>
      <c r="F228" s="55" t="s">
        <v>1407</v>
      </c>
    </row>
    <row r="229" spans="1:6" s="58" customFormat="1" ht="17.45" customHeight="1" x14ac:dyDescent="0.2">
      <c r="A229" s="55" t="s">
        <v>1607</v>
      </c>
      <c r="B229" s="111" t="s">
        <v>1608</v>
      </c>
      <c r="C229" s="53">
        <v>8272</v>
      </c>
      <c r="D229" s="54" t="s">
        <v>1314</v>
      </c>
      <c r="E229" s="56" t="s">
        <v>257</v>
      </c>
      <c r="F229" s="53" t="s">
        <v>1200</v>
      </c>
    </row>
    <row r="230" spans="1:6" s="58" customFormat="1" ht="17.45" customHeight="1" x14ac:dyDescent="0.2">
      <c r="A230" s="55" t="s">
        <v>1609</v>
      </c>
      <c r="B230" s="111" t="s">
        <v>1610</v>
      </c>
      <c r="C230" s="53">
        <v>8272</v>
      </c>
      <c r="D230" s="54" t="s">
        <v>1611</v>
      </c>
      <c r="E230" s="56" t="s">
        <v>1150</v>
      </c>
      <c r="F230" s="57" t="s">
        <v>1508</v>
      </c>
    </row>
    <row r="231" spans="1:6" s="58" customFormat="1" ht="17.45" customHeight="1" x14ac:dyDescent="0.2">
      <c r="A231" s="55" t="s">
        <v>197</v>
      </c>
      <c r="B231" s="111" t="s">
        <v>1612</v>
      </c>
      <c r="C231" s="53">
        <v>9514</v>
      </c>
      <c r="D231" s="54" t="s">
        <v>1549</v>
      </c>
      <c r="E231" s="56" t="s">
        <v>257</v>
      </c>
      <c r="F231" s="53" t="s">
        <v>1613</v>
      </c>
    </row>
    <row r="232" spans="1:6" s="58" customFormat="1" ht="17.45" customHeight="1" x14ac:dyDescent="0.2">
      <c r="A232" s="57" t="s">
        <v>1614</v>
      </c>
      <c r="B232" s="111" t="s">
        <v>1615</v>
      </c>
      <c r="C232" s="53">
        <v>9514</v>
      </c>
      <c r="D232" s="59" t="s">
        <v>1549</v>
      </c>
      <c r="E232" s="56" t="s">
        <v>257</v>
      </c>
      <c r="F232" s="57" t="s">
        <v>1616</v>
      </c>
    </row>
    <row r="233" spans="1:6" s="58" customFormat="1" ht="17.45" customHeight="1" x14ac:dyDescent="0.2">
      <c r="A233" s="57" t="s">
        <v>1617</v>
      </c>
      <c r="B233" s="111" t="s">
        <v>1618</v>
      </c>
      <c r="C233" s="53">
        <v>9514</v>
      </c>
      <c r="D233" s="59" t="s">
        <v>1543</v>
      </c>
      <c r="E233" s="56" t="s">
        <v>257</v>
      </c>
      <c r="F233" s="57" t="s">
        <v>1616</v>
      </c>
    </row>
    <row r="234" spans="1:6" s="58" customFormat="1" ht="17.45" customHeight="1" x14ac:dyDescent="0.2">
      <c r="A234" s="57" t="s">
        <v>1619</v>
      </c>
      <c r="B234" s="111">
        <v>228609</v>
      </c>
      <c r="C234" s="53">
        <v>9514</v>
      </c>
      <c r="D234" s="59" t="s">
        <v>1543</v>
      </c>
      <c r="E234" s="56" t="s">
        <v>257</v>
      </c>
      <c r="F234" s="57" t="s">
        <v>1616</v>
      </c>
    </row>
    <row r="235" spans="1:6" s="58" customFormat="1" ht="17.45" customHeight="1" x14ac:dyDescent="0.2">
      <c r="A235" s="57" t="s">
        <v>1620</v>
      </c>
      <c r="B235" s="111" t="s">
        <v>1621</v>
      </c>
      <c r="C235" s="53">
        <v>9514</v>
      </c>
      <c r="D235" s="59" t="s">
        <v>1549</v>
      </c>
      <c r="E235" s="56" t="s">
        <v>257</v>
      </c>
      <c r="F235" s="57" t="s">
        <v>1622</v>
      </c>
    </row>
    <row r="236" spans="1:6" s="58" customFormat="1" ht="17.45" customHeight="1" x14ac:dyDescent="0.2">
      <c r="A236" s="55" t="s">
        <v>1623</v>
      </c>
      <c r="B236" s="111">
        <v>218202</v>
      </c>
      <c r="C236" s="53">
        <v>9514</v>
      </c>
      <c r="D236" s="54" t="s">
        <v>1543</v>
      </c>
      <c r="E236" s="56" t="s">
        <v>1079</v>
      </c>
      <c r="F236" s="57" t="s">
        <v>1624</v>
      </c>
    </row>
    <row r="237" spans="1:6" s="58" customFormat="1" ht="17.45" customHeight="1" x14ac:dyDescent="0.2">
      <c r="A237" s="55" t="s">
        <v>1625</v>
      </c>
      <c r="B237" s="111">
        <v>218203</v>
      </c>
      <c r="C237" s="53">
        <v>9514</v>
      </c>
      <c r="D237" s="54" t="s">
        <v>1543</v>
      </c>
      <c r="E237" s="56" t="s">
        <v>1083</v>
      </c>
      <c r="F237" s="57" t="s">
        <v>1624</v>
      </c>
    </row>
    <row r="238" spans="1:6" s="58" customFormat="1" ht="17.45" customHeight="1" x14ac:dyDescent="0.2">
      <c r="A238" s="57" t="s">
        <v>1626</v>
      </c>
      <c r="B238" s="111">
        <v>138622</v>
      </c>
      <c r="C238" s="53">
        <v>9514</v>
      </c>
      <c r="D238" s="59" t="s">
        <v>1549</v>
      </c>
      <c r="E238" s="56" t="s">
        <v>1079</v>
      </c>
      <c r="F238" s="57" t="s">
        <v>1627</v>
      </c>
    </row>
    <row r="239" spans="1:6" s="58" customFormat="1" ht="17.45" customHeight="1" x14ac:dyDescent="0.2">
      <c r="A239" s="55" t="s">
        <v>1628</v>
      </c>
      <c r="B239" s="111" t="s">
        <v>1629</v>
      </c>
      <c r="C239" s="53">
        <v>9514</v>
      </c>
      <c r="D239" s="54" t="s">
        <v>1552</v>
      </c>
      <c r="E239" s="56" t="s">
        <v>1101</v>
      </c>
      <c r="F239" s="57" t="s">
        <v>1375</v>
      </c>
    </row>
    <row r="240" spans="1:6" s="58" customFormat="1" ht="17.45" customHeight="1" x14ac:dyDescent="0.2">
      <c r="A240" s="55" t="s">
        <v>1630</v>
      </c>
      <c r="B240" s="111" t="s">
        <v>1631</v>
      </c>
      <c r="C240" s="53">
        <v>9514</v>
      </c>
      <c r="D240" s="54" t="s">
        <v>1632</v>
      </c>
      <c r="E240" s="56" t="s">
        <v>1106</v>
      </c>
      <c r="F240" s="57" t="s">
        <v>1381</v>
      </c>
    </row>
    <row r="241" spans="1:6" s="58" customFormat="1" ht="17.45" customHeight="1" x14ac:dyDescent="0.2">
      <c r="A241" s="55" t="s">
        <v>1633</v>
      </c>
      <c r="B241" s="111" t="s">
        <v>1634</v>
      </c>
      <c r="C241" s="53">
        <v>9514</v>
      </c>
      <c r="D241" s="54" t="s">
        <v>1552</v>
      </c>
      <c r="E241" s="56" t="s">
        <v>1101</v>
      </c>
      <c r="F241" s="57" t="s">
        <v>1613</v>
      </c>
    </row>
    <row r="242" spans="1:6" s="58" customFormat="1" ht="17.45" customHeight="1" x14ac:dyDescent="0.2">
      <c r="A242" s="55" t="s">
        <v>1635</v>
      </c>
      <c r="B242" s="111" t="s">
        <v>1636</v>
      </c>
      <c r="C242" s="53">
        <v>9514</v>
      </c>
      <c r="D242" s="54" t="s">
        <v>1543</v>
      </c>
      <c r="E242" s="56" t="s">
        <v>1106</v>
      </c>
      <c r="F242" s="57" t="s">
        <v>1110</v>
      </c>
    </row>
    <row r="243" spans="1:6" s="58" customFormat="1" ht="17.45" customHeight="1" x14ac:dyDescent="0.2">
      <c r="A243" s="55" t="s">
        <v>1637</v>
      </c>
      <c r="B243" s="111" t="s">
        <v>1638</v>
      </c>
      <c r="C243" s="53">
        <v>9514</v>
      </c>
      <c r="D243" s="54" t="s">
        <v>1552</v>
      </c>
      <c r="E243" s="56" t="s">
        <v>1106</v>
      </c>
      <c r="F243" s="57" t="s">
        <v>1372</v>
      </c>
    </row>
    <row r="244" spans="1:6" s="58" customFormat="1" ht="17.45" customHeight="1" x14ac:dyDescent="0.2">
      <c r="A244" s="55" t="s">
        <v>4911</v>
      </c>
      <c r="B244" s="111" t="s">
        <v>1639</v>
      </c>
      <c r="C244" s="53">
        <v>9514</v>
      </c>
      <c r="D244" s="54" t="s">
        <v>1552</v>
      </c>
      <c r="E244" s="56" t="s">
        <v>1106</v>
      </c>
      <c r="F244" s="57" t="s">
        <v>1372</v>
      </c>
    </row>
    <row r="245" spans="1:6" s="58" customFormat="1" ht="17.45" customHeight="1" x14ac:dyDescent="0.2">
      <c r="A245" s="55" t="s">
        <v>4912</v>
      </c>
      <c r="B245" s="111" t="s">
        <v>1640</v>
      </c>
      <c r="C245" s="53">
        <v>9514</v>
      </c>
      <c r="D245" s="54" t="s">
        <v>1543</v>
      </c>
      <c r="E245" s="56" t="s">
        <v>1106</v>
      </c>
      <c r="F245" s="57" t="s">
        <v>1372</v>
      </c>
    </row>
    <row r="246" spans="1:6" s="58" customFormat="1" ht="17.45" customHeight="1" x14ac:dyDescent="0.2">
      <c r="A246" s="55" t="s">
        <v>4913</v>
      </c>
      <c r="B246" s="111">
        <v>188605</v>
      </c>
      <c r="C246" s="53" t="s">
        <v>1641</v>
      </c>
      <c r="D246" s="54" t="s">
        <v>1543</v>
      </c>
      <c r="E246" s="56" t="s">
        <v>1101</v>
      </c>
      <c r="F246" s="57" t="s">
        <v>1491</v>
      </c>
    </row>
    <row r="247" spans="1:6" s="58" customFormat="1" ht="17.45" customHeight="1" x14ac:dyDescent="0.2">
      <c r="A247" s="55" t="s">
        <v>4914</v>
      </c>
      <c r="B247" s="111">
        <v>188605</v>
      </c>
      <c r="C247" s="53" t="s">
        <v>1641</v>
      </c>
      <c r="D247" s="54" t="s">
        <v>1543</v>
      </c>
      <c r="E247" s="56" t="s">
        <v>1106</v>
      </c>
      <c r="F247" s="57" t="s">
        <v>4919</v>
      </c>
    </row>
    <row r="248" spans="1:6" s="58" customFormat="1" ht="17.45" customHeight="1" x14ac:dyDescent="0.2">
      <c r="A248" s="52" t="s">
        <v>4915</v>
      </c>
      <c r="B248" s="111" t="s">
        <v>1642</v>
      </c>
      <c r="C248" s="57">
        <v>9514</v>
      </c>
      <c r="D248" s="60" t="s">
        <v>1549</v>
      </c>
      <c r="E248" s="56" t="s">
        <v>1079</v>
      </c>
      <c r="F248" s="64" t="s">
        <v>1643</v>
      </c>
    </row>
    <row r="249" spans="1:6" ht="17.45" customHeight="1" x14ac:dyDescent="0.2">
      <c r="A249" s="55" t="s">
        <v>1644</v>
      </c>
      <c r="B249" s="111" t="s">
        <v>1645</v>
      </c>
      <c r="C249" s="53">
        <v>9514</v>
      </c>
      <c r="D249" s="54" t="s">
        <v>1552</v>
      </c>
      <c r="E249" s="56" t="s">
        <v>1101</v>
      </c>
      <c r="F249" s="57" t="s">
        <v>1110</v>
      </c>
    </row>
    <row r="250" spans="1:6" ht="17.45" customHeight="1" x14ac:dyDescent="0.2">
      <c r="A250" s="55" t="s">
        <v>1646</v>
      </c>
      <c r="B250" s="111">
        <v>178660</v>
      </c>
      <c r="C250" s="53">
        <v>9514</v>
      </c>
      <c r="D250" s="54" t="s">
        <v>1552</v>
      </c>
      <c r="E250" s="56" t="s">
        <v>1106</v>
      </c>
      <c r="F250" s="57" t="s">
        <v>1364</v>
      </c>
    </row>
    <row r="251" spans="1:6" ht="17.45" customHeight="1" x14ac:dyDescent="0.2">
      <c r="A251" s="55" t="s">
        <v>4916</v>
      </c>
      <c r="B251" s="111" t="s">
        <v>1647</v>
      </c>
      <c r="C251" s="53">
        <v>9514</v>
      </c>
      <c r="D251" s="54" t="s">
        <v>1648</v>
      </c>
      <c r="E251" s="56" t="s">
        <v>1106</v>
      </c>
      <c r="F251" s="57" t="s">
        <v>1649</v>
      </c>
    </row>
    <row r="252" spans="1:6" ht="17.45" customHeight="1" x14ac:dyDescent="0.2">
      <c r="A252" s="55" t="s">
        <v>1650</v>
      </c>
      <c r="B252" s="111" t="s">
        <v>1651</v>
      </c>
      <c r="C252" s="53">
        <v>9514</v>
      </c>
      <c r="D252" s="54" t="s">
        <v>1549</v>
      </c>
      <c r="E252" s="56" t="s">
        <v>1101</v>
      </c>
      <c r="F252" s="57" t="s">
        <v>1652</v>
      </c>
    </row>
    <row r="253" spans="1:6" ht="17.45" customHeight="1" x14ac:dyDescent="0.2">
      <c r="A253" s="55" t="s">
        <v>1653</v>
      </c>
      <c r="B253" s="111" t="s">
        <v>1654</v>
      </c>
      <c r="C253" s="53">
        <v>9514</v>
      </c>
      <c r="D253" s="54" t="s">
        <v>1543</v>
      </c>
      <c r="E253" s="56" t="s">
        <v>1106</v>
      </c>
      <c r="F253" s="57" t="s">
        <v>1655</v>
      </c>
    </row>
    <row r="254" spans="1:6" ht="17.45" customHeight="1" x14ac:dyDescent="0.2">
      <c r="A254" s="55" t="s">
        <v>1656</v>
      </c>
      <c r="B254" s="111" t="s">
        <v>1657</v>
      </c>
      <c r="C254" s="53">
        <v>9514</v>
      </c>
      <c r="D254" s="54" t="s">
        <v>1549</v>
      </c>
      <c r="E254" s="56" t="s">
        <v>1101</v>
      </c>
      <c r="F254" s="57" t="s">
        <v>1658</v>
      </c>
    </row>
    <row r="255" spans="1:6" ht="17.45" customHeight="1" x14ac:dyDescent="0.2">
      <c r="A255" s="55" t="s">
        <v>1659</v>
      </c>
      <c r="B255" s="111" t="s">
        <v>1660</v>
      </c>
      <c r="C255" s="53">
        <v>9514</v>
      </c>
      <c r="D255" s="54" t="s">
        <v>1552</v>
      </c>
      <c r="E255" s="56" t="s">
        <v>1106</v>
      </c>
      <c r="F255" s="57" t="s">
        <v>1407</v>
      </c>
    </row>
    <row r="256" spans="1:6" ht="21.75" customHeight="1" x14ac:dyDescent="0.2">
      <c r="A256" s="55" t="s">
        <v>1661</v>
      </c>
      <c r="B256" s="111" t="s">
        <v>1662</v>
      </c>
      <c r="C256" s="53">
        <v>9514</v>
      </c>
      <c r="D256" s="54" t="s">
        <v>1632</v>
      </c>
      <c r="E256" s="56" t="s">
        <v>1101</v>
      </c>
      <c r="F256" s="57" t="s">
        <v>1372</v>
      </c>
    </row>
    <row r="257" spans="1:6" x14ac:dyDescent="0.2">
      <c r="A257" s="55" t="s">
        <v>1663</v>
      </c>
      <c r="B257" s="111">
        <v>158665</v>
      </c>
      <c r="C257" s="53" t="s">
        <v>1641</v>
      </c>
      <c r="D257" s="54" t="s">
        <v>1632</v>
      </c>
      <c r="E257" s="56" t="s">
        <v>1175</v>
      </c>
      <c r="F257" s="64" t="s">
        <v>1535</v>
      </c>
    </row>
    <row r="258" spans="1:6" x14ac:dyDescent="0.2">
      <c r="A258" s="55" t="s">
        <v>4917</v>
      </c>
      <c r="B258" s="111" t="s">
        <v>1664</v>
      </c>
      <c r="C258" s="53">
        <v>9514</v>
      </c>
      <c r="D258" s="54" t="s">
        <v>1543</v>
      </c>
      <c r="E258" s="56" t="s">
        <v>1101</v>
      </c>
      <c r="F258" s="57" t="s">
        <v>1315</v>
      </c>
    </row>
    <row r="259" spans="1:6" x14ac:dyDescent="0.2">
      <c r="A259" s="52" t="s">
        <v>4918</v>
      </c>
      <c r="B259" s="111" t="s">
        <v>1665</v>
      </c>
      <c r="C259" s="57">
        <v>9514</v>
      </c>
      <c r="D259" s="60" t="s">
        <v>1543</v>
      </c>
      <c r="E259" s="56" t="s">
        <v>1079</v>
      </c>
      <c r="F259" s="64" t="s">
        <v>1666</v>
      </c>
    </row>
    <row r="260" spans="1:6" x14ac:dyDescent="0.2">
      <c r="A260" s="55" t="s">
        <v>1667</v>
      </c>
      <c r="B260" s="111" t="s">
        <v>1668</v>
      </c>
      <c r="C260" s="53">
        <v>9514</v>
      </c>
      <c r="D260" s="54" t="s">
        <v>1543</v>
      </c>
      <c r="E260" s="56" t="s">
        <v>1083</v>
      </c>
      <c r="F260" s="57" t="s">
        <v>1461</v>
      </c>
    </row>
    <row r="261" spans="1:6" x14ac:dyDescent="0.2">
      <c r="A261" s="57" t="s">
        <v>1669</v>
      </c>
      <c r="B261" s="111" t="s">
        <v>1670</v>
      </c>
      <c r="C261" s="53">
        <v>9514</v>
      </c>
      <c r="D261" s="59" t="s">
        <v>1543</v>
      </c>
      <c r="E261" s="56" t="s">
        <v>1278</v>
      </c>
      <c r="F261" s="57" t="s">
        <v>1671</v>
      </c>
    </row>
    <row r="262" spans="1:6" ht="17.25" customHeight="1" x14ac:dyDescent="0.2">
      <c r="A262" s="55" t="s">
        <v>1672</v>
      </c>
      <c r="B262" s="111" t="s">
        <v>1673</v>
      </c>
      <c r="C262" s="57">
        <v>9514</v>
      </c>
      <c r="D262" s="60" t="s">
        <v>1632</v>
      </c>
      <c r="E262" s="56" t="s">
        <v>1150</v>
      </c>
      <c r="F262" s="64" t="s">
        <v>1674</v>
      </c>
    </row>
    <row r="263" spans="1:6" ht="17.25" customHeight="1" x14ac:dyDescent="0.2">
      <c r="A263" s="55" t="s">
        <v>1675</v>
      </c>
      <c r="B263" s="111">
        <v>188601</v>
      </c>
      <c r="C263" s="53" t="s">
        <v>1131</v>
      </c>
      <c r="D263" s="54" t="s">
        <v>4922</v>
      </c>
      <c r="E263" s="56" t="s">
        <v>257</v>
      </c>
      <c r="F263" s="57" t="s">
        <v>4923</v>
      </c>
    </row>
    <row r="264" spans="1:6" ht="17.45" customHeight="1" x14ac:dyDescent="0.2">
      <c r="A264" s="55" t="s">
        <v>1676</v>
      </c>
      <c r="B264" s="111">
        <v>188604</v>
      </c>
      <c r="C264" s="53" t="s">
        <v>1131</v>
      </c>
      <c r="D264" s="54" t="s">
        <v>1132</v>
      </c>
      <c r="E264" s="56" t="s">
        <v>1106</v>
      </c>
      <c r="F264" s="57" t="s">
        <v>1677</v>
      </c>
    </row>
    <row r="265" spans="1:6" ht="17.45" customHeight="1" x14ac:dyDescent="0.2">
      <c r="A265" s="55" t="s">
        <v>4950</v>
      </c>
      <c r="B265" s="111">
        <v>228603</v>
      </c>
      <c r="C265" s="53" t="s">
        <v>1131</v>
      </c>
      <c r="D265" s="54" t="s">
        <v>1132</v>
      </c>
      <c r="E265" s="56" t="s">
        <v>1106</v>
      </c>
      <c r="F265" s="57" t="s">
        <v>4951</v>
      </c>
    </row>
    <row r="266" spans="1:6" ht="17.45" customHeight="1" x14ac:dyDescent="0.2">
      <c r="A266" s="55" t="s">
        <v>1678</v>
      </c>
      <c r="B266" s="111" t="s">
        <v>1679</v>
      </c>
      <c r="C266" s="53">
        <v>8272</v>
      </c>
      <c r="D266" s="54" t="s">
        <v>1328</v>
      </c>
      <c r="E266" s="56" t="s">
        <v>1101</v>
      </c>
      <c r="F266" s="57" t="s">
        <v>1685</v>
      </c>
    </row>
    <row r="267" spans="1:6" ht="31.5" x14ac:dyDescent="0.2">
      <c r="A267" s="55" t="s">
        <v>1680</v>
      </c>
      <c r="B267" s="111" t="s">
        <v>1681</v>
      </c>
      <c r="C267" s="53">
        <v>8272</v>
      </c>
      <c r="D267" s="54" t="s">
        <v>1682</v>
      </c>
      <c r="E267" s="56" t="s">
        <v>1106</v>
      </c>
      <c r="F267" s="55" t="s">
        <v>4959</v>
      </c>
    </row>
    <row r="268" spans="1:6" x14ac:dyDescent="0.2">
      <c r="A268" s="55" t="s">
        <v>1683</v>
      </c>
      <c r="B268" s="111" t="s">
        <v>1684</v>
      </c>
      <c r="C268" s="53">
        <v>8272</v>
      </c>
      <c r="D268" s="54" t="s">
        <v>1318</v>
      </c>
      <c r="E268" s="56" t="s">
        <v>1101</v>
      </c>
      <c r="F268" s="57" t="s">
        <v>1685</v>
      </c>
    </row>
    <row r="269" spans="1:6" ht="31.5" x14ac:dyDescent="0.2">
      <c r="A269" s="55" t="s">
        <v>1686</v>
      </c>
      <c r="B269" s="111" t="s">
        <v>1687</v>
      </c>
      <c r="C269" s="53">
        <v>8272</v>
      </c>
      <c r="D269" s="54" t="s">
        <v>1318</v>
      </c>
      <c r="E269" s="56" t="s">
        <v>1106</v>
      </c>
      <c r="F269" s="55" t="s">
        <v>1688</v>
      </c>
    </row>
    <row r="270" spans="1:6" ht="31.5" x14ac:dyDescent="0.2">
      <c r="A270" s="55" t="s">
        <v>1689</v>
      </c>
      <c r="B270" s="111">
        <v>218605</v>
      </c>
      <c r="C270" s="53" t="s">
        <v>1227</v>
      </c>
      <c r="D270" s="54" t="s">
        <v>1228</v>
      </c>
      <c r="E270" s="56" t="s">
        <v>1106</v>
      </c>
      <c r="F270" s="55" t="s">
        <v>1690</v>
      </c>
    </row>
    <row r="271" spans="1:6" x14ac:dyDescent="0.2">
      <c r="A271" s="55" t="s">
        <v>1691</v>
      </c>
      <c r="B271" s="111" t="s">
        <v>1692</v>
      </c>
      <c r="C271" s="53">
        <v>8266</v>
      </c>
      <c r="D271" s="54" t="s">
        <v>1134</v>
      </c>
      <c r="E271" s="56" t="s">
        <v>257</v>
      </c>
      <c r="F271" s="52" t="s">
        <v>1693</v>
      </c>
    </row>
    <row r="272" spans="1:6" x14ac:dyDescent="0.2">
      <c r="A272" s="55" t="s">
        <v>1694</v>
      </c>
      <c r="B272" s="111" t="s">
        <v>1695</v>
      </c>
      <c r="C272" s="53">
        <v>8279</v>
      </c>
      <c r="D272" s="54" t="s">
        <v>1195</v>
      </c>
      <c r="E272" s="56" t="s">
        <v>1106</v>
      </c>
      <c r="F272" s="57" t="s">
        <v>1407</v>
      </c>
    </row>
    <row r="273" spans="1:6" x14ac:dyDescent="0.2">
      <c r="A273" s="55" t="s">
        <v>1696</v>
      </c>
      <c r="B273" s="111" t="s">
        <v>1697</v>
      </c>
      <c r="C273" s="53">
        <v>8279</v>
      </c>
      <c r="D273" s="54" t="s">
        <v>1195</v>
      </c>
      <c r="E273" s="56" t="s">
        <v>1106</v>
      </c>
      <c r="F273" s="57" t="s">
        <v>1698</v>
      </c>
    </row>
    <row r="274" spans="1:6" x14ac:dyDescent="0.2">
      <c r="A274" s="55" t="s">
        <v>1699</v>
      </c>
      <c r="B274" s="111" t="s">
        <v>1700</v>
      </c>
      <c r="C274" s="53">
        <v>8279</v>
      </c>
      <c r="D274" s="54" t="s">
        <v>1195</v>
      </c>
      <c r="E274" s="56" t="s">
        <v>1106</v>
      </c>
      <c r="F274" s="57" t="s">
        <v>1129</v>
      </c>
    </row>
    <row r="275" spans="1:6" x14ac:dyDescent="0.2">
      <c r="A275" s="55" t="s">
        <v>1701</v>
      </c>
      <c r="B275" s="111" t="s">
        <v>1702</v>
      </c>
      <c r="C275" s="53">
        <v>8266</v>
      </c>
      <c r="D275" s="54" t="s">
        <v>1109</v>
      </c>
      <c r="E275" s="56" t="s">
        <v>1101</v>
      </c>
      <c r="F275" s="57" t="s">
        <v>1558</v>
      </c>
    </row>
    <row r="276" spans="1:6" x14ac:dyDescent="0.2">
      <c r="A276" s="55" t="s">
        <v>1703</v>
      </c>
      <c r="B276" s="111" t="s">
        <v>1704</v>
      </c>
      <c r="C276" s="53">
        <v>8266</v>
      </c>
      <c r="D276" s="54" t="s">
        <v>1134</v>
      </c>
      <c r="E276" s="56" t="s">
        <v>1150</v>
      </c>
      <c r="F276" s="57" t="s">
        <v>1298</v>
      </c>
    </row>
    <row r="277" spans="1:6" x14ac:dyDescent="0.2">
      <c r="A277" s="55" t="s">
        <v>1705</v>
      </c>
      <c r="B277" s="111" t="s">
        <v>1706</v>
      </c>
      <c r="C277" s="53">
        <v>8266</v>
      </c>
      <c r="D277" s="54" t="s">
        <v>1134</v>
      </c>
      <c r="E277" s="56" t="s">
        <v>1101</v>
      </c>
      <c r="F277" s="57" t="s">
        <v>1369</v>
      </c>
    </row>
    <row r="278" spans="1:6" x14ac:dyDescent="0.2">
      <c r="A278" s="55" t="s">
        <v>1707</v>
      </c>
      <c r="B278" s="111" t="s">
        <v>1708</v>
      </c>
      <c r="C278" s="53">
        <v>8266</v>
      </c>
      <c r="D278" s="54" t="s">
        <v>1113</v>
      </c>
      <c r="E278" s="56" t="s">
        <v>1150</v>
      </c>
      <c r="F278" s="57" t="s">
        <v>1319</v>
      </c>
    </row>
    <row r="279" spans="1:6" x14ac:dyDescent="0.2">
      <c r="A279" s="55" t="s">
        <v>1709</v>
      </c>
      <c r="B279" s="111" t="s">
        <v>1710</v>
      </c>
      <c r="C279" s="53">
        <v>8266</v>
      </c>
      <c r="D279" s="54" t="s">
        <v>1109</v>
      </c>
      <c r="E279" s="56" t="s">
        <v>1101</v>
      </c>
      <c r="F279" s="57" t="s">
        <v>1285</v>
      </c>
    </row>
    <row r="280" spans="1:6" x14ac:dyDescent="0.2">
      <c r="A280" s="55" t="s">
        <v>1711</v>
      </c>
      <c r="B280" s="111" t="s">
        <v>1712</v>
      </c>
      <c r="C280" s="53">
        <v>8266</v>
      </c>
      <c r="D280" s="54" t="s">
        <v>1113</v>
      </c>
      <c r="E280" s="56" t="s">
        <v>1150</v>
      </c>
      <c r="F280" s="57" t="s">
        <v>1713</v>
      </c>
    </row>
    <row r="281" spans="1:6" x14ac:dyDescent="0.2">
      <c r="A281" s="57" t="s">
        <v>1714</v>
      </c>
      <c r="B281" s="111" t="s">
        <v>1715</v>
      </c>
      <c r="C281" s="53">
        <v>8266</v>
      </c>
      <c r="D281" s="59" t="s">
        <v>1100</v>
      </c>
      <c r="E281" s="56" t="s">
        <v>1278</v>
      </c>
      <c r="F281" s="57" t="s">
        <v>1671</v>
      </c>
    </row>
    <row r="282" spans="1:6" x14ac:dyDescent="0.2">
      <c r="A282" s="55" t="s">
        <v>1716</v>
      </c>
      <c r="B282" s="111" t="s">
        <v>1717</v>
      </c>
      <c r="C282" s="53">
        <v>8266</v>
      </c>
      <c r="D282" s="54" t="s">
        <v>1105</v>
      </c>
      <c r="E282" s="56" t="s">
        <v>1150</v>
      </c>
      <c r="F282" s="57" t="s">
        <v>1206</v>
      </c>
    </row>
    <row r="283" spans="1:6" x14ac:dyDescent="0.2">
      <c r="A283" s="55"/>
      <c r="C283" s="53"/>
      <c r="D283" s="54"/>
      <c r="F283" s="57"/>
    </row>
    <row r="284" spans="1:6" x14ac:dyDescent="0.2">
      <c r="A284" s="136" t="s">
        <v>1810</v>
      </c>
      <c r="C284" s="53"/>
      <c r="D284" s="54"/>
      <c r="F284" s="57"/>
    </row>
    <row r="285" spans="1:6" x14ac:dyDescent="0.2">
      <c r="A285" s="55" t="s">
        <v>1822</v>
      </c>
      <c r="B285" s="111" t="s">
        <v>1817</v>
      </c>
      <c r="C285" s="53" t="s">
        <v>1202</v>
      </c>
      <c r="D285" s="54" t="s">
        <v>1105</v>
      </c>
      <c r="F285" s="57"/>
    </row>
    <row r="286" spans="1:6" x14ac:dyDescent="0.2">
      <c r="A286" s="55" t="s">
        <v>1811</v>
      </c>
      <c r="B286" s="111" t="s">
        <v>1817</v>
      </c>
      <c r="C286" s="53" t="s">
        <v>1744</v>
      </c>
      <c r="D286" s="54" t="s">
        <v>1253</v>
      </c>
      <c r="F286" s="57"/>
    </row>
    <row r="287" spans="1:6" x14ac:dyDescent="0.2">
      <c r="A287" s="55" t="s">
        <v>1812</v>
      </c>
      <c r="B287" s="111" t="s">
        <v>1817</v>
      </c>
      <c r="C287" s="53" t="s">
        <v>1820</v>
      </c>
      <c r="D287" s="54" t="s">
        <v>1132</v>
      </c>
      <c r="F287" s="57"/>
    </row>
    <row r="288" spans="1:6" x14ac:dyDescent="0.2">
      <c r="A288" s="55" t="s">
        <v>1813</v>
      </c>
      <c r="B288" s="111" t="s">
        <v>1817</v>
      </c>
      <c r="C288" s="53" t="s">
        <v>1740</v>
      </c>
      <c r="D288" s="54" t="s">
        <v>1821</v>
      </c>
      <c r="F288" s="57"/>
    </row>
    <row r="289" spans="1:11" x14ac:dyDescent="0.2">
      <c r="A289" s="55" t="s">
        <v>1814</v>
      </c>
      <c r="B289" s="111" t="s">
        <v>1817</v>
      </c>
      <c r="C289" s="53" t="s">
        <v>1740</v>
      </c>
      <c r="D289" s="54" t="s">
        <v>1821</v>
      </c>
      <c r="F289" s="57"/>
    </row>
    <row r="290" spans="1:11" x14ac:dyDescent="0.2">
      <c r="A290" s="55" t="s">
        <v>1815</v>
      </c>
      <c r="B290" s="111" t="s">
        <v>1817</v>
      </c>
      <c r="C290" s="53" t="s">
        <v>1641</v>
      </c>
      <c r="D290" s="54" t="s">
        <v>1648</v>
      </c>
      <c r="F290" s="57"/>
    </row>
    <row r="291" spans="1:11" x14ac:dyDescent="0.2">
      <c r="A291" s="55" t="s">
        <v>1816</v>
      </c>
      <c r="B291" s="111" t="s">
        <v>1817</v>
      </c>
      <c r="C291" s="53" t="s">
        <v>1819</v>
      </c>
      <c r="D291" s="54" t="s">
        <v>1818</v>
      </c>
      <c r="F291" s="57"/>
    </row>
    <row r="292" spans="1:11" x14ac:dyDescent="0.2">
      <c r="A292" s="55"/>
      <c r="C292" s="53"/>
      <c r="D292" s="54"/>
      <c r="F292" s="57"/>
    </row>
    <row r="293" spans="1:11" x14ac:dyDescent="0.2">
      <c r="A293" s="136" t="s">
        <v>1718</v>
      </c>
      <c r="C293" s="53"/>
      <c r="D293" s="54"/>
      <c r="F293" s="57"/>
    </row>
    <row r="294" spans="1:11" x14ac:dyDescent="0.2">
      <c r="A294" s="55" t="s">
        <v>1719</v>
      </c>
      <c r="B294" s="111">
        <v>28621</v>
      </c>
      <c r="C294" s="53" t="s">
        <v>1720</v>
      </c>
      <c r="D294" s="54" t="s">
        <v>1721</v>
      </c>
      <c r="E294" s="56" t="s">
        <v>1722</v>
      </c>
      <c r="F294" s="57"/>
    </row>
    <row r="295" spans="1:11" x14ac:dyDescent="0.2">
      <c r="A295" s="55" t="s">
        <v>1723</v>
      </c>
      <c r="B295" s="111">
        <v>28620</v>
      </c>
      <c r="C295" s="53" t="s">
        <v>1724</v>
      </c>
      <c r="D295" s="54" t="s">
        <v>1725</v>
      </c>
      <c r="E295" s="56" t="s">
        <v>1722</v>
      </c>
      <c r="F295" s="57"/>
    </row>
    <row r="296" spans="1:11" ht="12.75" x14ac:dyDescent="0.2">
      <c r="A296" s="49"/>
      <c r="B296" s="49"/>
      <c r="C296" s="49"/>
      <c r="D296" s="49"/>
      <c r="E296" s="49"/>
      <c r="F296" s="49"/>
    </row>
    <row r="297" spans="1:11" ht="12.75" x14ac:dyDescent="0.2">
      <c r="A297" s="183" t="s">
        <v>1726</v>
      </c>
      <c r="B297" s="49"/>
      <c r="C297" s="49"/>
      <c r="D297" s="49"/>
      <c r="E297" s="49"/>
      <c r="F297" s="49"/>
    </row>
    <row r="298" spans="1:11" x14ac:dyDescent="0.2">
      <c r="A298" s="52" t="s">
        <v>1727</v>
      </c>
      <c r="B298" s="111">
        <v>188101</v>
      </c>
      <c r="C298" s="52" t="s">
        <v>1728</v>
      </c>
      <c r="D298" s="60" t="s">
        <v>1729</v>
      </c>
      <c r="E298" s="56" t="s">
        <v>1730</v>
      </c>
      <c r="F298" s="64" t="s">
        <v>1731</v>
      </c>
    </row>
    <row r="299" spans="1:11" x14ac:dyDescent="0.2">
      <c r="A299" s="52" t="s">
        <v>1732</v>
      </c>
      <c r="B299" s="111">
        <v>188100</v>
      </c>
      <c r="C299" s="52" t="s">
        <v>1728</v>
      </c>
      <c r="D299" s="60" t="s">
        <v>1729</v>
      </c>
      <c r="E299" s="56" t="s">
        <v>1730</v>
      </c>
      <c r="F299" s="64" t="s">
        <v>1733</v>
      </c>
    </row>
    <row r="300" spans="1:11" x14ac:dyDescent="0.2">
      <c r="A300" s="52" t="s">
        <v>1734</v>
      </c>
      <c r="B300" s="111">
        <v>188104</v>
      </c>
      <c r="C300" s="52" t="s">
        <v>1735</v>
      </c>
      <c r="D300" s="60" t="s">
        <v>1736</v>
      </c>
      <c r="E300" s="56" t="s">
        <v>1730</v>
      </c>
      <c r="F300" s="64" t="s">
        <v>1737</v>
      </c>
    </row>
    <row r="301" spans="1:11" x14ac:dyDescent="0.2">
      <c r="A301" s="52" t="s">
        <v>1738</v>
      </c>
      <c r="B301" s="111">
        <v>188105</v>
      </c>
      <c r="C301" s="52" t="s">
        <v>1202</v>
      </c>
      <c r="D301" s="60" t="s">
        <v>1823</v>
      </c>
      <c r="E301" s="56" t="s">
        <v>1730</v>
      </c>
      <c r="F301" s="64" t="s">
        <v>1733</v>
      </c>
    </row>
    <row r="302" spans="1:11" x14ac:dyDescent="0.2">
      <c r="A302" s="52" t="s">
        <v>1739</v>
      </c>
      <c r="B302" s="111">
        <v>188108</v>
      </c>
      <c r="C302" s="52" t="s">
        <v>1740</v>
      </c>
      <c r="D302" s="54" t="s">
        <v>1725</v>
      </c>
      <c r="E302" s="56" t="s">
        <v>1730</v>
      </c>
      <c r="F302" s="64" t="s">
        <v>1731</v>
      </c>
    </row>
    <row r="303" spans="1:11" x14ac:dyDescent="0.2">
      <c r="A303" s="52" t="s">
        <v>1741</v>
      </c>
      <c r="B303" s="111">
        <v>188102</v>
      </c>
      <c r="C303" s="52" t="s">
        <v>1740</v>
      </c>
      <c r="D303" s="54" t="s">
        <v>1725</v>
      </c>
      <c r="E303" s="56" t="s">
        <v>1730</v>
      </c>
      <c r="F303" s="64" t="s">
        <v>1733</v>
      </c>
      <c r="H303"/>
      <c r="I303"/>
      <c r="J303"/>
      <c r="K303"/>
    </row>
    <row r="304" spans="1:11" x14ac:dyDescent="0.2">
      <c r="A304" s="52" t="s">
        <v>1742</v>
      </c>
      <c r="B304" s="111">
        <v>208101</v>
      </c>
      <c r="C304" s="52" t="s">
        <v>1641</v>
      </c>
      <c r="D304" s="60" t="s">
        <v>1648</v>
      </c>
      <c r="E304" s="56" t="s">
        <v>1730</v>
      </c>
      <c r="F304" s="64" t="s">
        <v>1737</v>
      </c>
      <c r="G304"/>
      <c r="H304"/>
      <c r="I304" s="113"/>
      <c r="J304"/>
      <c r="K304"/>
    </row>
    <row r="305" spans="1:11" x14ac:dyDescent="0.2">
      <c r="A305" s="52" t="s">
        <v>1743</v>
      </c>
      <c r="B305" s="111">
        <v>188103</v>
      </c>
      <c r="C305" s="52" t="s">
        <v>1744</v>
      </c>
      <c r="D305" s="60" t="s">
        <v>1078</v>
      </c>
      <c r="E305" s="56" t="s">
        <v>1730</v>
      </c>
      <c r="F305" s="64" t="s">
        <v>1731</v>
      </c>
      <c r="G305"/>
      <c r="H305"/>
      <c r="I305" s="113"/>
      <c r="J305"/>
      <c r="K305"/>
    </row>
    <row r="306" spans="1:11" ht="13.5" x14ac:dyDescent="0.2">
      <c r="A306" s="49"/>
      <c r="B306"/>
      <c r="C306"/>
      <c r="D306"/>
      <c r="E306"/>
      <c r="F306" s="49"/>
      <c r="G306" s="113"/>
      <c r="H306"/>
      <c r="I306"/>
      <c r="J306"/>
      <c r="K306"/>
    </row>
    <row r="307" spans="1:11" ht="13.5" x14ac:dyDescent="0.2">
      <c r="A307" s="49"/>
      <c r="B307"/>
      <c r="C307"/>
      <c r="D307"/>
      <c r="E307"/>
      <c r="F307" s="49"/>
      <c r="G307" s="113"/>
      <c r="H307"/>
      <c r="I307"/>
      <c r="J307"/>
      <c r="K307"/>
    </row>
    <row r="308" spans="1:11" ht="13.5" x14ac:dyDescent="0.2">
      <c r="A308" s="49"/>
      <c r="B308" s="113"/>
      <c r="C308"/>
      <c r="D308"/>
      <c r="E308"/>
      <c r="F308" s="49"/>
      <c r="G308" s="115"/>
      <c r="H308" s="115"/>
      <c r="I308"/>
      <c r="J308"/>
      <c r="K308"/>
    </row>
    <row r="309" spans="1:11" ht="13.5" x14ac:dyDescent="0.2">
      <c r="A309" s="49"/>
      <c r="B309"/>
      <c r="C309"/>
      <c r="D309" s="114"/>
      <c r="E309" s="114"/>
      <c r="F309" s="49"/>
      <c r="G309"/>
      <c r="H309"/>
      <c r="I309" s="113"/>
      <c r="J309"/>
      <c r="K309"/>
    </row>
    <row r="310" spans="1:11" ht="13.5" x14ac:dyDescent="0.2">
      <c r="A310" s="49"/>
      <c r="B310" s="113"/>
      <c r="C310" s="113"/>
      <c r="D310"/>
      <c r="E310"/>
      <c r="F310" s="49"/>
      <c r="G310"/>
      <c r="H310"/>
      <c r="I310" s="113"/>
      <c r="J310"/>
      <c r="K310"/>
    </row>
    <row r="311" spans="1:11" ht="13.5" x14ac:dyDescent="0.2">
      <c r="A311" s="49"/>
      <c r="B311" s="113"/>
      <c r="C311"/>
      <c r="D311"/>
      <c r="E311"/>
      <c r="F311" s="49"/>
      <c r="G311" s="113"/>
      <c r="H311"/>
      <c r="I311"/>
      <c r="J311"/>
      <c r="K311"/>
    </row>
    <row r="312" spans="1:11" ht="13.5" x14ac:dyDescent="0.2">
      <c r="A312" s="49"/>
      <c r="B312"/>
      <c r="C312"/>
      <c r="D312"/>
      <c r="E312"/>
      <c r="F312" s="49"/>
      <c r="G312" s="113"/>
      <c r="H312"/>
      <c r="I312"/>
      <c r="J312"/>
      <c r="K312"/>
    </row>
    <row r="313" spans="1:11" ht="13.5" x14ac:dyDescent="0.2">
      <c r="A313" s="49"/>
      <c r="B313"/>
      <c r="C313"/>
      <c r="D313"/>
      <c r="E313"/>
      <c r="F313" s="49"/>
      <c r="G313" s="113"/>
      <c r="H313" s="113"/>
      <c r="I313"/>
      <c r="J313"/>
      <c r="K313"/>
    </row>
    <row r="314" spans="1:11" ht="13.5" x14ac:dyDescent="0.2">
      <c r="A314" s="49"/>
      <c r="B314"/>
      <c r="C314"/>
      <c r="D314"/>
      <c r="E314"/>
      <c r="F314" s="49"/>
      <c r="G314"/>
      <c r="H314"/>
      <c r="I314" s="113"/>
      <c r="J314"/>
      <c r="K314"/>
    </row>
    <row r="315" spans="1:11" ht="13.5" x14ac:dyDescent="0.2">
      <c r="A315" s="49"/>
      <c r="B315" s="49"/>
      <c r="C315" s="49"/>
      <c r="D315" s="49"/>
      <c r="E315" s="49"/>
      <c r="F315" s="49"/>
      <c r="G315" s="116"/>
      <c r="H315"/>
      <c r="I315"/>
      <c r="J315"/>
      <c r="K315"/>
    </row>
    <row r="316" spans="1:11" x14ac:dyDescent="0.2">
      <c r="G316" s="116"/>
      <c r="H316"/>
      <c r="I316"/>
      <c r="J316"/>
      <c r="K316"/>
    </row>
    <row r="317" spans="1:11" x14ac:dyDescent="0.2">
      <c r="G317" s="116"/>
      <c r="H317"/>
      <c r="I317"/>
      <c r="J317"/>
      <c r="K317"/>
    </row>
    <row r="318" spans="1:11" x14ac:dyDescent="0.2">
      <c r="G318" s="113"/>
      <c r="H318"/>
      <c r="I318"/>
      <c r="J318"/>
      <c r="K318"/>
    </row>
    <row r="319" spans="1:11" x14ac:dyDescent="0.2">
      <c r="G319" s="113"/>
      <c r="H319" s="113"/>
      <c r="I319"/>
      <c r="J319"/>
      <c r="K319"/>
    </row>
    <row r="320" spans="1:11" x14ac:dyDescent="0.2">
      <c r="G320" s="113"/>
      <c r="H320"/>
      <c r="I320"/>
      <c r="J320"/>
      <c r="K320"/>
    </row>
    <row r="321" spans="7:11" x14ac:dyDescent="0.2">
      <c r="G321"/>
      <c r="H321" s="113"/>
      <c r="I321"/>
      <c r="J321"/>
      <c r="K321"/>
    </row>
    <row r="322" spans="7:11" x14ac:dyDescent="0.2">
      <c r="G322" s="113"/>
      <c r="H322"/>
      <c r="I322"/>
      <c r="J322"/>
      <c r="K322"/>
    </row>
  </sheetData>
  <sheetProtection algorithmName="SHA-512" hashValue="tLXu7lNw/DY+4adQTkTFUGZBl3BkOYkAtTec8T66LjfbgFSVc/BKk8JJYksJNU32chXxL8UayeSQFGKQjwHeDA==" saltValue="e/kBSIx2HlSaUAWLqgMPrg==" spinCount="100000" sheet="1" selectLockedCells="1" selectUnlockedCells="1"/>
  <sortState xmlns:xlrd2="http://schemas.microsoft.com/office/spreadsheetml/2017/richdata2" ref="A298:F305">
    <sortCondition ref="D299:D305"/>
  </sortState>
  <pageMargins left="0.7" right="0.7" top="0.75" bottom="0.75" header="0.3" footer="0.3"/>
  <pageSetup orientation="portrait" r:id="rId1"/>
  <ignoredErrors>
    <ignoredError sqref="F74:F7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34" t="s">
        <v>1745</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row>
    <row r="2" spans="1:33" ht="12.75" customHeight="1" x14ac:dyDescent="0.2">
      <c r="A2" s="196"/>
      <c r="B2" s="14"/>
      <c r="C2" s="14"/>
      <c r="D2" s="14"/>
      <c r="E2" s="14"/>
      <c r="F2" s="14"/>
      <c r="G2" s="14"/>
      <c r="H2" s="14"/>
      <c r="I2" s="14"/>
      <c r="J2" s="14"/>
      <c r="K2" s="14"/>
      <c r="L2" s="14"/>
      <c r="M2" s="14"/>
      <c r="N2" s="14"/>
      <c r="O2" s="14"/>
      <c r="P2" s="14"/>
      <c r="Q2" s="14"/>
      <c r="R2" s="14"/>
      <c r="S2" s="14"/>
      <c r="T2" s="14"/>
      <c r="U2" s="14"/>
      <c r="V2" s="14"/>
      <c r="W2" s="14"/>
    </row>
    <row r="3" spans="1:33" x14ac:dyDescent="0.2">
      <c r="A3" t="s">
        <v>1746</v>
      </c>
      <c r="H3" s="439">
        <f>CMDS!G2</f>
        <v>0</v>
      </c>
      <c r="I3" s="303"/>
      <c r="J3" s="303"/>
      <c r="K3" s="303"/>
      <c r="L3" s="303"/>
      <c r="M3" s="303"/>
      <c r="N3" s="303"/>
      <c r="O3" s="303"/>
      <c r="P3" s="303"/>
    </row>
    <row r="4" spans="1:33" x14ac:dyDescent="0.2">
      <c r="A4" t="s">
        <v>1747</v>
      </c>
      <c r="G4" s="439">
        <f>CMDS!G5</f>
        <v>0</v>
      </c>
      <c r="H4" s="303"/>
      <c r="I4" s="303"/>
      <c r="J4" s="303"/>
      <c r="K4" s="303"/>
      <c r="L4" s="303"/>
      <c r="M4" s="303"/>
      <c r="N4" s="303"/>
    </row>
    <row r="5" spans="1:33" x14ac:dyDescent="0.2">
      <c r="A5" t="s">
        <v>1748</v>
      </c>
      <c r="F5" s="303">
        <f>CMDS!V6</f>
        <v>0</v>
      </c>
      <c r="G5" s="303"/>
      <c r="H5" s="303"/>
      <c r="I5" s="303"/>
      <c r="J5" s="303"/>
      <c r="K5" s="303"/>
      <c r="L5" s="303"/>
      <c r="M5" s="303"/>
    </row>
    <row r="7" spans="1:33" x14ac:dyDescent="0.2">
      <c r="A7" t="s">
        <v>1749</v>
      </c>
      <c r="G7" s="1003">
        <f>CMDS!E30</f>
        <v>0</v>
      </c>
      <c r="H7" s="303"/>
      <c r="I7" s="303"/>
    </row>
    <row r="8" spans="1:33" x14ac:dyDescent="0.2">
      <c r="A8" t="s">
        <v>1750</v>
      </c>
      <c r="G8" s="319">
        <f>CMDS!E31+CMDS!E32+CMDS!E33</f>
        <v>0</v>
      </c>
      <c r="H8" s="291"/>
      <c r="I8" s="291"/>
    </row>
    <row r="9" spans="1:33" x14ac:dyDescent="0.2">
      <c r="G9" s="1"/>
      <c r="H9" s="1"/>
      <c r="I9" s="1"/>
    </row>
    <row r="10" spans="1:33" x14ac:dyDescent="0.2">
      <c r="A10" s="4" t="s">
        <v>1751</v>
      </c>
    </row>
    <row r="11" spans="1:33" x14ac:dyDescent="0.2">
      <c r="A11" t="s">
        <v>1752</v>
      </c>
    </row>
    <row r="12" spans="1:33" x14ac:dyDescent="0.2">
      <c r="A12" t="s">
        <v>1753</v>
      </c>
    </row>
    <row r="14" spans="1:33" x14ac:dyDescent="0.2">
      <c r="A14" s="514" t="s">
        <v>1754</v>
      </c>
      <c r="B14" s="515"/>
      <c r="C14" s="515"/>
      <c r="D14" s="515"/>
      <c r="E14" s="515"/>
      <c r="F14" s="516"/>
      <c r="G14" s="514" t="s">
        <v>1755</v>
      </c>
      <c r="H14" s="515"/>
      <c r="I14" s="516"/>
      <c r="J14" s="514" t="s">
        <v>1756</v>
      </c>
      <c r="K14" s="515"/>
      <c r="L14" s="516"/>
      <c r="M14" s="514" t="s">
        <v>10</v>
      </c>
      <c r="N14" s="515"/>
      <c r="O14" s="515"/>
      <c r="P14" s="516"/>
      <c r="Q14" s="296" t="s">
        <v>61</v>
      </c>
      <c r="R14" s="516"/>
      <c r="S14" s="514" t="s">
        <v>61</v>
      </c>
      <c r="T14" s="516"/>
      <c r="U14" s="991" t="s">
        <v>1757</v>
      </c>
      <c r="V14" s="562"/>
      <c r="W14" s="563"/>
      <c r="X14" s="514" t="s">
        <v>1758</v>
      </c>
      <c r="Y14" s="515"/>
      <c r="Z14" s="515"/>
      <c r="AA14" s="515"/>
      <c r="AB14" s="515"/>
      <c r="AC14" s="515"/>
      <c r="AD14" s="515"/>
      <c r="AE14" s="515"/>
      <c r="AF14" s="515"/>
      <c r="AG14" s="516"/>
    </row>
    <row r="15" spans="1:33" x14ac:dyDescent="0.2">
      <c r="A15" s="15"/>
      <c r="B15" s="197"/>
      <c r="C15" s="197"/>
      <c r="D15" s="197"/>
      <c r="E15" s="197"/>
      <c r="F15" s="197"/>
      <c r="G15" s="305" t="s">
        <v>1759</v>
      </c>
      <c r="H15" s="303"/>
      <c r="I15" s="304"/>
      <c r="J15" s="305" t="s">
        <v>1760</v>
      </c>
      <c r="K15" s="303"/>
      <c r="L15" s="304"/>
      <c r="M15" s="305" t="s">
        <v>1761</v>
      </c>
      <c r="N15" s="303"/>
      <c r="O15" s="303"/>
      <c r="P15" s="304"/>
      <c r="Q15" s="305" t="s">
        <v>1762</v>
      </c>
      <c r="R15" s="304"/>
      <c r="S15" s="1004" t="s">
        <v>1763</v>
      </c>
      <c r="T15" s="304"/>
      <c r="U15" s="992" t="s">
        <v>1764</v>
      </c>
      <c r="V15" s="801"/>
      <c r="W15" s="802"/>
      <c r="X15" s="15"/>
      <c r="Y15" s="197"/>
      <c r="Z15" s="197"/>
      <c r="AA15" s="197"/>
      <c r="AB15" s="197"/>
      <c r="AC15" s="197"/>
      <c r="AD15" s="197"/>
      <c r="AE15" s="197"/>
      <c r="AF15" s="197"/>
      <c r="AG15" s="16"/>
    </row>
    <row r="16" spans="1:33" ht="25.5" customHeight="1" x14ac:dyDescent="0.2">
      <c r="A16" s="1002">
        <f>CMDS!V3</f>
        <v>0</v>
      </c>
      <c r="B16" s="1001"/>
      <c r="C16" s="1001"/>
      <c r="D16" s="1001"/>
      <c r="E16" s="1001"/>
      <c r="F16" s="1001"/>
      <c r="G16" s="1000">
        <f>CMDS!Z48</f>
        <v>0</v>
      </c>
      <c r="H16" s="1000"/>
      <c r="I16" s="1000"/>
      <c r="J16" s="334">
        <f>CMDS!V2</f>
        <v>0</v>
      </c>
      <c r="K16" s="334"/>
      <c r="L16" s="334"/>
      <c r="M16" s="334">
        <f>CMDS!G6</f>
        <v>0</v>
      </c>
      <c r="N16" s="334"/>
      <c r="O16" s="334"/>
      <c r="P16" s="334"/>
      <c r="Q16" s="290" t="str">
        <f>CMDS!AA38</f>
        <v/>
      </c>
      <c r="R16" s="312"/>
      <c r="S16" s="277" t="str">
        <f>CMDS!AA39</f>
        <v>ERROR!</v>
      </c>
      <c r="T16" s="279"/>
      <c r="U16" s="1005">
        <f>CMDS!Z49</f>
        <v>0</v>
      </c>
      <c r="V16" s="1006"/>
      <c r="W16" s="1007"/>
      <c r="X16" s="999"/>
      <c r="Y16" s="994"/>
      <c r="Z16" s="994"/>
      <c r="AA16" s="994"/>
      <c r="AB16" s="994"/>
      <c r="AC16" s="994"/>
      <c r="AD16" s="994"/>
      <c r="AE16" s="994"/>
      <c r="AF16" s="994"/>
      <c r="AG16" s="995"/>
    </row>
    <row r="17" spans="1:33" ht="25.5" customHeight="1" x14ac:dyDescent="0.2">
      <c r="A17" s="1001"/>
      <c r="B17" s="1001"/>
      <c r="C17" s="1001"/>
      <c r="D17" s="1001"/>
      <c r="E17" s="1001"/>
      <c r="F17" s="1001"/>
      <c r="G17" s="1000"/>
      <c r="H17" s="1000"/>
      <c r="I17" s="1000"/>
      <c r="J17" s="334"/>
      <c r="K17" s="334"/>
      <c r="L17" s="334"/>
      <c r="M17" s="334"/>
      <c r="N17" s="334"/>
      <c r="O17" s="334"/>
      <c r="P17" s="334"/>
      <c r="Q17" s="290"/>
      <c r="R17" s="312"/>
      <c r="S17" s="277"/>
      <c r="T17" s="279"/>
      <c r="U17" s="996"/>
      <c r="V17" s="997"/>
      <c r="W17" s="998"/>
      <c r="X17" s="993"/>
      <c r="Y17" s="994"/>
      <c r="Z17" s="994"/>
      <c r="AA17" s="994"/>
      <c r="AB17" s="994"/>
      <c r="AC17" s="994"/>
      <c r="AD17" s="994"/>
      <c r="AE17" s="994"/>
      <c r="AF17" s="994"/>
      <c r="AG17" s="995"/>
    </row>
    <row r="18" spans="1:33" ht="25.5" customHeight="1" x14ac:dyDescent="0.2">
      <c r="A18" s="1001"/>
      <c r="B18" s="1001"/>
      <c r="C18" s="1001"/>
      <c r="D18" s="1001"/>
      <c r="E18" s="1001"/>
      <c r="F18" s="1001"/>
      <c r="G18" s="1000"/>
      <c r="H18" s="1000"/>
      <c r="I18" s="1000"/>
      <c r="J18" s="334"/>
      <c r="K18" s="334"/>
      <c r="L18" s="334"/>
      <c r="M18" s="334"/>
      <c r="N18" s="334"/>
      <c r="O18" s="334"/>
      <c r="P18" s="334"/>
      <c r="Q18" s="290"/>
      <c r="R18" s="312"/>
      <c r="S18" s="277"/>
      <c r="T18" s="279"/>
      <c r="U18" s="996"/>
      <c r="V18" s="997"/>
      <c r="W18" s="998"/>
      <c r="X18" s="993"/>
      <c r="Y18" s="994"/>
      <c r="Z18" s="994"/>
      <c r="AA18" s="994"/>
      <c r="AB18" s="994"/>
      <c r="AC18" s="994"/>
      <c r="AD18" s="994"/>
      <c r="AE18" s="994"/>
      <c r="AF18" s="994"/>
      <c r="AG18" s="995"/>
    </row>
    <row r="19" spans="1:33" ht="25.5" customHeight="1" x14ac:dyDescent="0.2">
      <c r="A19" s="1001"/>
      <c r="B19" s="1001"/>
      <c r="C19" s="1001"/>
      <c r="D19" s="1001"/>
      <c r="E19" s="1001"/>
      <c r="F19" s="1001"/>
      <c r="G19" s="1000"/>
      <c r="H19" s="1000"/>
      <c r="I19" s="1000"/>
      <c r="J19" s="334"/>
      <c r="K19" s="334"/>
      <c r="L19" s="334"/>
      <c r="M19" s="334"/>
      <c r="N19" s="334"/>
      <c r="O19" s="334"/>
      <c r="P19" s="334"/>
      <c r="Q19" s="290"/>
      <c r="R19" s="312"/>
      <c r="S19" s="277"/>
      <c r="T19" s="279"/>
      <c r="U19" s="996"/>
      <c r="V19" s="997"/>
      <c r="W19" s="998"/>
      <c r="X19" s="993"/>
      <c r="Y19" s="994"/>
      <c r="Z19" s="994"/>
      <c r="AA19" s="994"/>
      <c r="AB19" s="994"/>
      <c r="AC19" s="994"/>
      <c r="AD19" s="994"/>
      <c r="AE19" s="994"/>
      <c r="AF19" s="994"/>
      <c r="AG19" s="995"/>
    </row>
    <row r="20" spans="1:33" ht="25.5" customHeight="1" x14ac:dyDescent="0.2">
      <c r="A20" s="1001"/>
      <c r="B20" s="1001"/>
      <c r="C20" s="1001"/>
      <c r="D20" s="1001"/>
      <c r="E20" s="1001"/>
      <c r="F20" s="1001"/>
      <c r="G20" s="1000"/>
      <c r="H20" s="1000"/>
      <c r="I20" s="1000"/>
      <c r="J20" s="334"/>
      <c r="K20" s="334"/>
      <c r="L20" s="334"/>
      <c r="M20" s="334"/>
      <c r="N20" s="334"/>
      <c r="O20" s="334"/>
      <c r="P20" s="334"/>
      <c r="Q20" s="290"/>
      <c r="R20" s="312"/>
      <c r="S20" s="277"/>
      <c r="T20" s="279"/>
      <c r="U20" s="996"/>
      <c r="V20" s="997"/>
      <c r="W20" s="998"/>
      <c r="X20" s="993"/>
      <c r="Y20" s="994"/>
      <c r="Z20" s="994"/>
      <c r="AA20" s="994"/>
      <c r="AB20" s="994"/>
      <c r="AC20" s="994"/>
      <c r="AD20" s="994"/>
      <c r="AE20" s="994"/>
      <c r="AF20" s="994"/>
      <c r="AG20" s="995"/>
    </row>
    <row r="21" spans="1:33" ht="25.5" customHeight="1" x14ac:dyDescent="0.2">
      <c r="A21" s="1001"/>
      <c r="B21" s="1001"/>
      <c r="C21" s="1001"/>
      <c r="D21" s="1001"/>
      <c r="E21" s="1001"/>
      <c r="F21" s="1001"/>
      <c r="G21" s="1000"/>
      <c r="H21" s="1000"/>
      <c r="I21" s="1000"/>
      <c r="J21" s="334"/>
      <c r="K21" s="334"/>
      <c r="L21" s="334"/>
      <c r="M21" s="334"/>
      <c r="N21" s="334"/>
      <c r="O21" s="334"/>
      <c r="P21" s="334"/>
      <c r="Q21" s="990"/>
      <c r="R21" s="990"/>
      <c r="S21" s="1008"/>
      <c r="T21" s="1008"/>
      <c r="U21" s="1000"/>
      <c r="V21" s="1000"/>
      <c r="W21" s="1000"/>
      <c r="X21" s="1001"/>
      <c r="Y21" s="1001"/>
      <c r="Z21" s="1001"/>
      <c r="AA21" s="1001"/>
      <c r="AB21" s="1001"/>
      <c r="AC21" s="1001"/>
      <c r="AD21" s="1001"/>
      <c r="AE21" s="1001"/>
      <c r="AF21" s="1001"/>
      <c r="AG21" s="1001"/>
    </row>
    <row r="22" spans="1:33" ht="25.5" customHeight="1" x14ac:dyDescent="0.2">
      <c r="A22" s="1001"/>
      <c r="B22" s="1001"/>
      <c r="C22" s="1001"/>
      <c r="D22" s="1001"/>
      <c r="E22" s="1001"/>
      <c r="F22" s="1001"/>
      <c r="G22" s="1000"/>
      <c r="H22" s="1000"/>
      <c r="I22" s="1000"/>
      <c r="J22" s="334"/>
      <c r="K22" s="334"/>
      <c r="L22" s="334"/>
      <c r="M22" s="334"/>
      <c r="N22" s="334"/>
      <c r="O22" s="334"/>
      <c r="P22" s="334"/>
      <c r="Q22" s="990"/>
      <c r="R22" s="990"/>
      <c r="S22" s="1008"/>
      <c r="T22" s="1008"/>
      <c r="U22" s="1000"/>
      <c r="V22" s="1000"/>
      <c r="W22" s="1000"/>
      <c r="X22" s="1001"/>
      <c r="Y22" s="1001"/>
      <c r="Z22" s="1001"/>
      <c r="AA22" s="1001"/>
      <c r="AB22" s="1001"/>
      <c r="AC22" s="1001"/>
      <c r="AD22" s="1001"/>
      <c r="AE22" s="1001"/>
      <c r="AF22" s="1001"/>
      <c r="AG22" s="1001"/>
    </row>
    <row r="23" spans="1:33" ht="25.5" customHeight="1" x14ac:dyDescent="0.2">
      <c r="A23" s="1001"/>
      <c r="B23" s="1001"/>
      <c r="C23" s="1001"/>
      <c r="D23" s="1001"/>
      <c r="E23" s="1001"/>
      <c r="F23" s="1001"/>
      <c r="G23" s="1000"/>
      <c r="H23" s="1000"/>
      <c r="I23" s="1000"/>
      <c r="J23" s="334"/>
      <c r="K23" s="334"/>
      <c r="L23" s="334"/>
      <c r="M23" s="334"/>
      <c r="N23" s="334"/>
      <c r="O23" s="334"/>
      <c r="P23" s="334"/>
      <c r="Q23" s="990"/>
      <c r="R23" s="990"/>
      <c r="S23" s="1008"/>
      <c r="T23" s="1008"/>
      <c r="U23" s="1000"/>
      <c r="V23" s="1000"/>
      <c r="W23" s="1000"/>
      <c r="X23" s="1001"/>
      <c r="Y23" s="1001"/>
      <c r="Z23" s="1001"/>
      <c r="AA23" s="1001"/>
      <c r="AB23" s="1001"/>
      <c r="AC23" s="1001"/>
      <c r="AD23" s="1001"/>
      <c r="AE23" s="1001"/>
      <c r="AF23" s="1001"/>
      <c r="AG23" s="1001"/>
    </row>
    <row r="24" spans="1:33" ht="25.5" customHeight="1" x14ac:dyDescent="0.2">
      <c r="A24" s="1001"/>
      <c r="B24" s="1001"/>
      <c r="C24" s="1001"/>
      <c r="D24" s="1001"/>
      <c r="E24" s="1001"/>
      <c r="F24" s="1001"/>
      <c r="G24" s="1000"/>
      <c r="H24" s="1000"/>
      <c r="I24" s="1000"/>
      <c r="J24" s="334"/>
      <c r="K24" s="334"/>
      <c r="L24" s="334"/>
      <c r="M24" s="334"/>
      <c r="N24" s="334"/>
      <c r="O24" s="334"/>
      <c r="P24" s="334"/>
      <c r="Q24" s="990"/>
      <c r="R24" s="990"/>
      <c r="S24" s="1008"/>
      <c r="T24" s="1008"/>
      <c r="U24" s="1000"/>
      <c r="V24" s="1000"/>
      <c r="W24" s="1000"/>
      <c r="X24" s="1001"/>
      <c r="Y24" s="1001"/>
      <c r="Z24" s="1001"/>
      <c r="AA24" s="1001"/>
      <c r="AB24" s="1001"/>
      <c r="AC24" s="1001"/>
      <c r="AD24" s="1001"/>
      <c r="AE24" s="1001"/>
      <c r="AF24" s="1001"/>
      <c r="AG24" s="1001"/>
    </row>
    <row r="25" spans="1:33" ht="25.5" customHeight="1" x14ac:dyDescent="0.2">
      <c r="A25" s="1001"/>
      <c r="B25" s="1001"/>
      <c r="C25" s="1001"/>
      <c r="D25" s="1001"/>
      <c r="E25" s="1001"/>
      <c r="F25" s="1001"/>
      <c r="G25" s="1000"/>
      <c r="H25" s="1000"/>
      <c r="I25" s="1000"/>
      <c r="J25" s="334"/>
      <c r="K25" s="334"/>
      <c r="L25" s="334"/>
      <c r="M25" s="334"/>
      <c r="N25" s="334"/>
      <c r="O25" s="334"/>
      <c r="P25" s="334"/>
      <c r="Q25" s="990"/>
      <c r="R25" s="990"/>
      <c r="S25" s="1008"/>
      <c r="T25" s="1008"/>
      <c r="U25" s="1000"/>
      <c r="V25" s="1000"/>
      <c r="W25" s="1000"/>
      <c r="X25" s="1001"/>
      <c r="Y25" s="1001"/>
      <c r="Z25" s="1001"/>
      <c r="AA25" s="1001"/>
      <c r="AB25" s="1001"/>
      <c r="AC25" s="1001"/>
      <c r="AD25" s="1001"/>
      <c r="AE25" s="1001"/>
      <c r="AF25" s="1001"/>
      <c r="AG25" s="1001"/>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2.75" x14ac:dyDescent="0.2"/>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x14ac:dyDescent="0.2">
      <c r="A1" s="275" t="s">
        <v>3887</v>
      </c>
      <c r="B1" s="273" t="s">
        <v>3378</v>
      </c>
      <c r="C1" s="253" t="s">
        <v>3379</v>
      </c>
      <c r="D1" s="253" t="s">
        <v>178</v>
      </c>
      <c r="E1" s="253" t="s">
        <v>3380</v>
      </c>
      <c r="F1" s="253" t="s">
        <v>160</v>
      </c>
      <c r="G1" s="253" t="s">
        <v>3381</v>
      </c>
      <c r="H1" s="254" t="s">
        <v>3382</v>
      </c>
    </row>
    <row r="2" spans="1:8" ht="15" customHeight="1" x14ac:dyDescent="0.2">
      <c r="A2" s="41" t="s">
        <v>4510</v>
      </c>
      <c r="B2" s="274" t="s">
        <v>3643</v>
      </c>
      <c r="C2" s="255" t="s">
        <v>2794</v>
      </c>
      <c r="D2" s="255" t="s">
        <v>2793</v>
      </c>
      <c r="E2" s="255" t="s">
        <v>3403</v>
      </c>
      <c r="F2" s="255" t="s">
        <v>3385</v>
      </c>
      <c r="G2" s="255" t="s">
        <v>3386</v>
      </c>
      <c r="H2" s="255" t="s">
        <v>3387</v>
      </c>
    </row>
    <row r="3" spans="1:8" ht="15" customHeight="1" x14ac:dyDescent="0.2">
      <c r="A3" s="41" t="s">
        <v>4509</v>
      </c>
      <c r="B3" s="274" t="s">
        <v>3643</v>
      </c>
      <c r="C3" s="255" t="s">
        <v>2627</v>
      </c>
      <c r="D3" s="255" t="s">
        <v>2626</v>
      </c>
      <c r="E3" s="255" t="s">
        <v>3403</v>
      </c>
      <c r="F3" s="255" t="s">
        <v>3385</v>
      </c>
      <c r="G3" s="255" t="s">
        <v>3386</v>
      </c>
      <c r="H3" s="255" t="s">
        <v>3387</v>
      </c>
    </row>
    <row r="4" spans="1:8" ht="15" customHeight="1" x14ac:dyDescent="0.2">
      <c r="A4" s="41" t="s">
        <v>4511</v>
      </c>
      <c r="B4" s="274" t="s">
        <v>3643</v>
      </c>
      <c r="C4" s="255" t="s">
        <v>2795</v>
      </c>
      <c r="D4" s="255" t="s">
        <v>3644</v>
      </c>
      <c r="E4" s="255" t="s">
        <v>3403</v>
      </c>
      <c r="F4" s="255" t="s">
        <v>3385</v>
      </c>
      <c r="G4" s="255" t="s">
        <v>3386</v>
      </c>
      <c r="H4" s="255" t="s">
        <v>3387</v>
      </c>
    </row>
    <row r="5" spans="1:8" ht="15" customHeight="1" x14ac:dyDescent="0.2">
      <c r="A5" s="41" t="s">
        <v>4512</v>
      </c>
      <c r="B5" s="274" t="s">
        <v>3643</v>
      </c>
      <c r="C5" s="255" t="s">
        <v>2797</v>
      </c>
      <c r="D5" s="255" t="s">
        <v>2796</v>
      </c>
      <c r="E5" s="255" t="s">
        <v>3403</v>
      </c>
      <c r="F5" s="255" t="s">
        <v>3385</v>
      </c>
      <c r="G5" s="255" t="s">
        <v>3386</v>
      </c>
      <c r="H5" s="255" t="s">
        <v>3387</v>
      </c>
    </row>
    <row r="6" spans="1:8" ht="15" customHeight="1" x14ac:dyDescent="0.2">
      <c r="A6" s="41" t="s">
        <v>4769</v>
      </c>
      <c r="B6" s="274" t="s">
        <v>3844</v>
      </c>
      <c r="C6" s="255" t="s">
        <v>2292</v>
      </c>
      <c r="D6" s="255" t="s">
        <v>2291</v>
      </c>
      <c r="E6" s="255" t="s">
        <v>3415</v>
      </c>
      <c r="F6" s="255" t="s">
        <v>3385</v>
      </c>
      <c r="G6" s="255" t="s">
        <v>3386</v>
      </c>
      <c r="H6" s="255" t="s">
        <v>3387</v>
      </c>
    </row>
    <row r="7" spans="1:8" ht="15" customHeight="1" x14ac:dyDescent="0.2">
      <c r="A7" s="41" t="s">
        <v>4788</v>
      </c>
      <c r="B7" s="274" t="s">
        <v>3844</v>
      </c>
      <c r="C7" s="255" t="s">
        <v>3328</v>
      </c>
      <c r="D7" s="255" t="s">
        <v>3851</v>
      </c>
      <c r="E7" s="255" t="s">
        <v>3415</v>
      </c>
      <c r="F7" s="255" t="s">
        <v>3389</v>
      </c>
      <c r="G7" s="255" t="s">
        <v>3386</v>
      </c>
      <c r="H7" s="255" t="s">
        <v>3387</v>
      </c>
    </row>
    <row r="8" spans="1:8" ht="15" customHeight="1" x14ac:dyDescent="0.2">
      <c r="A8" s="41" t="s">
        <v>4771</v>
      </c>
      <c r="B8" s="274" t="s">
        <v>3844</v>
      </c>
      <c r="C8" s="255" t="s">
        <v>1970</v>
      </c>
      <c r="D8" s="255" t="s">
        <v>1969</v>
      </c>
      <c r="E8" s="255" t="s">
        <v>3415</v>
      </c>
      <c r="F8" s="255" t="s">
        <v>3385</v>
      </c>
      <c r="G8" s="255" t="s">
        <v>3386</v>
      </c>
      <c r="H8" s="255" t="s">
        <v>3387</v>
      </c>
    </row>
    <row r="9" spans="1:8" ht="15" customHeight="1" x14ac:dyDescent="0.2">
      <c r="A9" s="41" t="s">
        <v>4789</v>
      </c>
      <c r="B9" s="274" t="s">
        <v>3844</v>
      </c>
      <c r="C9" s="255" t="s">
        <v>2451</v>
      </c>
      <c r="D9" s="255" t="s">
        <v>3852</v>
      </c>
      <c r="E9" s="255" t="s">
        <v>3415</v>
      </c>
      <c r="F9" s="255" t="s">
        <v>3389</v>
      </c>
      <c r="G9" s="255" t="s">
        <v>3386</v>
      </c>
      <c r="H9" s="255" t="s">
        <v>3387</v>
      </c>
    </row>
    <row r="10" spans="1:8" ht="15" customHeight="1" x14ac:dyDescent="0.2">
      <c r="A10" s="41" t="s">
        <v>4770</v>
      </c>
      <c r="B10" s="274" t="s">
        <v>3844</v>
      </c>
      <c r="C10" s="255" t="s">
        <v>2020</v>
      </c>
      <c r="D10" s="255" t="s">
        <v>2019</v>
      </c>
      <c r="E10" s="255" t="s">
        <v>3415</v>
      </c>
      <c r="F10" s="255" t="s">
        <v>3385</v>
      </c>
      <c r="G10" s="255" t="s">
        <v>3386</v>
      </c>
      <c r="H10" s="255" t="s">
        <v>3387</v>
      </c>
    </row>
    <row r="11" spans="1:8" ht="15" customHeight="1" x14ac:dyDescent="0.2">
      <c r="A11" s="41" t="s">
        <v>4790</v>
      </c>
      <c r="B11" s="274" t="s">
        <v>3844</v>
      </c>
      <c r="C11" s="255" t="s">
        <v>3329</v>
      </c>
      <c r="D11" s="255" t="s">
        <v>3853</v>
      </c>
      <c r="E11" s="255" t="s">
        <v>3415</v>
      </c>
      <c r="F11" s="255" t="s">
        <v>3389</v>
      </c>
      <c r="G11" s="255" t="s">
        <v>3386</v>
      </c>
      <c r="H11" s="255" t="s">
        <v>3387</v>
      </c>
    </row>
    <row r="12" spans="1:8" ht="15" customHeight="1" x14ac:dyDescent="0.2">
      <c r="A12" s="41" t="s">
        <v>4775</v>
      </c>
      <c r="B12" s="274" t="s">
        <v>3844</v>
      </c>
      <c r="C12" s="255" t="s">
        <v>2450</v>
      </c>
      <c r="D12" s="255" t="s">
        <v>2449</v>
      </c>
      <c r="E12" s="255" t="s">
        <v>3415</v>
      </c>
      <c r="F12" s="255" t="s">
        <v>3385</v>
      </c>
      <c r="G12" s="255" t="s">
        <v>3386</v>
      </c>
      <c r="H12" s="255" t="s">
        <v>3387</v>
      </c>
    </row>
    <row r="13" spans="1:8" ht="15" customHeight="1" x14ac:dyDescent="0.2">
      <c r="A13" s="41" t="s">
        <v>4777</v>
      </c>
      <c r="B13" s="274" t="s">
        <v>3844</v>
      </c>
      <c r="C13" s="255" t="s">
        <v>2069</v>
      </c>
      <c r="D13" s="255" t="s">
        <v>2068</v>
      </c>
      <c r="E13" s="255" t="s">
        <v>3415</v>
      </c>
      <c r="F13" s="255" t="s">
        <v>3385</v>
      </c>
      <c r="G13" s="255" t="s">
        <v>3386</v>
      </c>
      <c r="H13" s="255" t="s">
        <v>3387</v>
      </c>
    </row>
    <row r="14" spans="1:8" ht="15" customHeight="1" x14ac:dyDescent="0.2">
      <c r="A14" s="41" t="s">
        <v>4776</v>
      </c>
      <c r="B14" s="274" t="s">
        <v>3844</v>
      </c>
      <c r="C14" s="255" t="s">
        <v>2262</v>
      </c>
      <c r="D14" s="255" t="s">
        <v>2261</v>
      </c>
      <c r="E14" s="255" t="s">
        <v>3415</v>
      </c>
      <c r="F14" s="255" t="s">
        <v>3385</v>
      </c>
      <c r="G14" s="255" t="s">
        <v>3386</v>
      </c>
      <c r="H14" s="255" t="s">
        <v>3387</v>
      </c>
    </row>
    <row r="15" spans="1:8" ht="15" customHeight="1" x14ac:dyDescent="0.2">
      <c r="A15" s="41" t="s">
        <v>4522</v>
      </c>
      <c r="B15" s="274" t="s">
        <v>3653</v>
      </c>
      <c r="C15" s="255" t="s">
        <v>2132</v>
      </c>
      <c r="D15" s="255" t="s">
        <v>2131</v>
      </c>
      <c r="E15" s="255" t="s">
        <v>3384</v>
      </c>
      <c r="F15" s="255" t="s">
        <v>3389</v>
      </c>
      <c r="G15" s="255" t="s">
        <v>3386</v>
      </c>
      <c r="H15" s="255" t="s">
        <v>3387</v>
      </c>
    </row>
    <row r="16" spans="1:8" ht="15" customHeight="1" x14ac:dyDescent="0.2">
      <c r="A16" s="41" t="s">
        <v>4521</v>
      </c>
      <c r="B16" s="274" t="s">
        <v>3653</v>
      </c>
      <c r="C16" s="255" t="s">
        <v>1857</v>
      </c>
      <c r="D16" s="255" t="s">
        <v>3654</v>
      </c>
      <c r="E16" s="255" t="s">
        <v>3655</v>
      </c>
      <c r="F16" s="255" t="s">
        <v>3385</v>
      </c>
      <c r="G16" s="255" t="s">
        <v>3656</v>
      </c>
      <c r="H16" s="255" t="s">
        <v>3387</v>
      </c>
    </row>
    <row r="17" spans="1:8" ht="15" customHeight="1" x14ac:dyDescent="0.2">
      <c r="A17" s="41" t="s">
        <v>4524</v>
      </c>
      <c r="B17" s="274" t="s">
        <v>3653</v>
      </c>
      <c r="C17" s="255" t="s">
        <v>1995</v>
      </c>
      <c r="D17" s="255" t="s">
        <v>1994</v>
      </c>
      <c r="E17" s="255" t="s">
        <v>3460</v>
      </c>
      <c r="F17" s="255" t="s">
        <v>3385</v>
      </c>
      <c r="G17" s="255" t="s">
        <v>3386</v>
      </c>
      <c r="H17" s="255" t="s">
        <v>3387</v>
      </c>
    </row>
    <row r="18" spans="1:8" ht="15" customHeight="1" x14ac:dyDescent="0.2">
      <c r="A18" s="41" t="s">
        <v>4520</v>
      </c>
      <c r="B18" s="274" t="s">
        <v>3653</v>
      </c>
      <c r="C18" s="255" t="s">
        <v>1877</v>
      </c>
      <c r="D18" s="255" t="s">
        <v>1876</v>
      </c>
      <c r="E18" s="255" t="s">
        <v>3384</v>
      </c>
      <c r="F18" s="255" t="s">
        <v>3385</v>
      </c>
      <c r="G18" s="255" t="s">
        <v>3386</v>
      </c>
      <c r="H18" s="255" t="s">
        <v>3387</v>
      </c>
    </row>
    <row r="19" spans="1:8" ht="15" customHeight="1" x14ac:dyDescent="0.2">
      <c r="A19" s="41" t="s">
        <v>4902</v>
      </c>
      <c r="B19" s="274">
        <v>722</v>
      </c>
      <c r="C19" s="255" t="s">
        <v>4903</v>
      </c>
      <c r="D19" s="255" t="s">
        <v>4904</v>
      </c>
      <c r="E19" s="255" t="s">
        <v>3460</v>
      </c>
      <c r="F19" s="255" t="s">
        <v>4905</v>
      </c>
      <c r="G19" s="255"/>
      <c r="H19" s="255" t="s">
        <v>3387</v>
      </c>
    </row>
    <row r="20" spans="1:8" ht="15" customHeight="1" x14ac:dyDescent="0.2">
      <c r="A20" s="41" t="s">
        <v>4906</v>
      </c>
      <c r="B20" s="274">
        <v>722</v>
      </c>
      <c r="C20" s="255" t="s">
        <v>4907</v>
      </c>
      <c r="D20" s="255" t="s">
        <v>4908</v>
      </c>
      <c r="E20" s="255" t="s">
        <v>3460</v>
      </c>
      <c r="F20" s="255" t="s">
        <v>3385</v>
      </c>
      <c r="G20" s="255"/>
      <c r="H20" s="255" t="s">
        <v>3387</v>
      </c>
    </row>
    <row r="21" spans="1:8" ht="15" customHeight="1" x14ac:dyDescent="0.2">
      <c r="A21" s="41" t="s">
        <v>4750</v>
      </c>
      <c r="B21" s="274" t="s">
        <v>3820</v>
      </c>
      <c r="C21" s="255" t="s">
        <v>2388</v>
      </c>
      <c r="D21" s="255" t="s">
        <v>3825</v>
      </c>
      <c r="E21" s="255" t="s">
        <v>3403</v>
      </c>
      <c r="F21" s="255" t="s">
        <v>3385</v>
      </c>
      <c r="G21" s="255" t="s">
        <v>3386</v>
      </c>
      <c r="H21" s="255" t="s">
        <v>3387</v>
      </c>
    </row>
    <row r="22" spans="1:8" ht="15" customHeight="1" x14ac:dyDescent="0.2">
      <c r="A22" s="41" t="s">
        <v>4748</v>
      </c>
      <c r="B22" s="274" t="s">
        <v>3820</v>
      </c>
      <c r="C22" s="255" t="s">
        <v>2538</v>
      </c>
      <c r="D22" s="255" t="s">
        <v>3823</v>
      </c>
      <c r="E22" s="255" t="s">
        <v>3403</v>
      </c>
      <c r="F22" s="255" t="s">
        <v>3385</v>
      </c>
      <c r="G22" s="255" t="s">
        <v>3386</v>
      </c>
      <c r="H22" s="255" t="s">
        <v>3387</v>
      </c>
    </row>
    <row r="23" spans="1:8" ht="15" customHeight="1" x14ac:dyDescent="0.2">
      <c r="A23" s="41" t="s">
        <v>4746</v>
      </c>
      <c r="B23" s="274" t="s">
        <v>3820</v>
      </c>
      <c r="C23" s="255" t="s">
        <v>1954</v>
      </c>
      <c r="D23" s="255" t="s">
        <v>3821</v>
      </c>
      <c r="E23" s="255" t="s">
        <v>3403</v>
      </c>
      <c r="F23" s="255" t="s">
        <v>3385</v>
      </c>
      <c r="G23" s="255" t="s">
        <v>3386</v>
      </c>
      <c r="H23" s="255" t="s">
        <v>3387</v>
      </c>
    </row>
    <row r="24" spans="1:8" ht="15" customHeight="1" x14ac:dyDescent="0.2">
      <c r="A24" s="41" t="s">
        <v>4749</v>
      </c>
      <c r="B24" s="274" t="s">
        <v>3820</v>
      </c>
      <c r="C24" s="255" t="s">
        <v>2258</v>
      </c>
      <c r="D24" s="255" t="s">
        <v>3824</v>
      </c>
      <c r="E24" s="255" t="s">
        <v>3403</v>
      </c>
      <c r="F24" s="255" t="s">
        <v>3385</v>
      </c>
      <c r="G24" s="255" t="s">
        <v>3386</v>
      </c>
      <c r="H24" s="255" t="s">
        <v>3387</v>
      </c>
    </row>
    <row r="25" spans="1:8" ht="15" customHeight="1" x14ac:dyDescent="0.2">
      <c r="A25" s="41" t="s">
        <v>4747</v>
      </c>
      <c r="B25" s="274" t="s">
        <v>3820</v>
      </c>
      <c r="C25" s="255" t="s">
        <v>2387</v>
      </c>
      <c r="D25" s="255" t="s">
        <v>3822</v>
      </c>
      <c r="E25" s="255" t="s">
        <v>3403</v>
      </c>
      <c r="F25" s="255" t="s">
        <v>3385</v>
      </c>
      <c r="G25" s="255" t="s">
        <v>3386</v>
      </c>
      <c r="H25" s="255" t="s">
        <v>3387</v>
      </c>
    </row>
    <row r="26" spans="1:8" ht="15" customHeight="1" x14ac:dyDescent="0.2">
      <c r="A26" s="41" t="s">
        <v>4088</v>
      </c>
      <c r="B26" s="274" t="s">
        <v>3465</v>
      </c>
      <c r="C26" s="255" t="s">
        <v>2704</v>
      </c>
      <c r="D26" s="255" t="s">
        <v>2703</v>
      </c>
      <c r="E26" s="255" t="s">
        <v>3403</v>
      </c>
      <c r="F26" s="255" t="s">
        <v>3406</v>
      </c>
      <c r="G26" s="255" t="s">
        <v>3466</v>
      </c>
      <c r="H26" s="255" t="s">
        <v>3387</v>
      </c>
    </row>
    <row r="27" spans="1:8" ht="15" customHeight="1" x14ac:dyDescent="0.2">
      <c r="A27" s="41" t="s">
        <v>4092</v>
      </c>
      <c r="B27" s="274" t="s">
        <v>3465</v>
      </c>
      <c r="C27" s="255" t="s">
        <v>2566</v>
      </c>
      <c r="D27" s="255" t="s">
        <v>3469</v>
      </c>
      <c r="E27" s="255" t="s">
        <v>3420</v>
      </c>
      <c r="F27" s="255" t="s">
        <v>3406</v>
      </c>
      <c r="G27" s="255" t="s">
        <v>3470</v>
      </c>
      <c r="H27" s="255" t="s">
        <v>3387</v>
      </c>
    </row>
    <row r="28" spans="1:8" ht="15" customHeight="1" x14ac:dyDescent="0.2">
      <c r="A28" s="41" t="s">
        <v>4089</v>
      </c>
      <c r="B28" s="274" t="s">
        <v>3465</v>
      </c>
      <c r="C28" s="255" t="s">
        <v>1959</v>
      </c>
      <c r="D28" s="255" t="s">
        <v>1958</v>
      </c>
      <c r="E28" s="255" t="s">
        <v>3403</v>
      </c>
      <c r="F28" s="255" t="s">
        <v>3406</v>
      </c>
      <c r="G28" s="255" t="s">
        <v>3466</v>
      </c>
      <c r="H28" s="255" t="s">
        <v>3387</v>
      </c>
    </row>
    <row r="29" spans="1:8" ht="15" customHeight="1" x14ac:dyDescent="0.2">
      <c r="A29" s="41" t="s">
        <v>4093</v>
      </c>
      <c r="B29" s="274" t="s">
        <v>3465</v>
      </c>
      <c r="C29" s="255" t="s">
        <v>2039</v>
      </c>
      <c r="D29" s="255" t="s">
        <v>3471</v>
      </c>
      <c r="E29" s="255" t="s">
        <v>3420</v>
      </c>
      <c r="F29" s="255" t="s">
        <v>3406</v>
      </c>
      <c r="G29" s="255" t="s">
        <v>3470</v>
      </c>
      <c r="H29" s="255" t="s">
        <v>3387</v>
      </c>
    </row>
    <row r="30" spans="1:8" ht="15" customHeight="1" x14ac:dyDescent="0.2">
      <c r="A30" s="41" t="s">
        <v>4768</v>
      </c>
      <c r="B30" s="274" t="s">
        <v>3844</v>
      </c>
      <c r="C30" s="255" t="s">
        <v>2145</v>
      </c>
      <c r="D30" s="255" t="s">
        <v>3845</v>
      </c>
      <c r="E30" s="255" t="s">
        <v>3415</v>
      </c>
      <c r="F30" s="255" t="s">
        <v>3385</v>
      </c>
      <c r="G30" s="255" t="s">
        <v>3386</v>
      </c>
      <c r="H30" s="255" t="s">
        <v>3387</v>
      </c>
    </row>
    <row r="31" spans="1:8" ht="15" customHeight="1" x14ac:dyDescent="0.2">
      <c r="A31" s="41" t="s">
        <v>4772</v>
      </c>
      <c r="B31" s="274" t="s">
        <v>3844</v>
      </c>
      <c r="C31" s="255" t="s">
        <v>2448</v>
      </c>
      <c r="D31" s="255" t="s">
        <v>2447</v>
      </c>
      <c r="E31" s="255" t="s">
        <v>3415</v>
      </c>
      <c r="F31" s="255" t="s">
        <v>3385</v>
      </c>
      <c r="G31" s="255" t="s">
        <v>3386</v>
      </c>
      <c r="H31" s="255" t="s">
        <v>3387</v>
      </c>
    </row>
    <row r="32" spans="1:8" ht="15" customHeight="1" x14ac:dyDescent="0.2">
      <c r="A32" s="41" t="s">
        <v>4774</v>
      </c>
      <c r="B32" s="274" t="s">
        <v>3844</v>
      </c>
      <c r="C32" s="255" t="s">
        <v>1933</v>
      </c>
      <c r="D32" s="255" t="s">
        <v>1932</v>
      </c>
      <c r="E32" s="255" t="s">
        <v>3415</v>
      </c>
      <c r="F32" s="255" t="s">
        <v>3385</v>
      </c>
      <c r="G32" s="255" t="s">
        <v>3386</v>
      </c>
      <c r="H32" s="255" t="s">
        <v>3387</v>
      </c>
    </row>
    <row r="33" spans="1:8" ht="15" customHeight="1" x14ac:dyDescent="0.2">
      <c r="A33" s="41" t="s">
        <v>4773</v>
      </c>
      <c r="B33" s="274" t="s">
        <v>3844</v>
      </c>
      <c r="C33" s="255" t="s">
        <v>2147</v>
      </c>
      <c r="D33" s="255" t="s">
        <v>2146</v>
      </c>
      <c r="E33" s="255" t="s">
        <v>3415</v>
      </c>
      <c r="F33" s="255" t="s">
        <v>3385</v>
      </c>
      <c r="G33" s="255" t="s">
        <v>3386</v>
      </c>
      <c r="H33" s="255" t="s">
        <v>3387</v>
      </c>
    </row>
    <row r="34" spans="1:8" ht="15" customHeight="1" x14ac:dyDescent="0.2">
      <c r="A34" s="41" t="s">
        <v>4781</v>
      </c>
      <c r="B34" s="274" t="s">
        <v>3844</v>
      </c>
      <c r="C34" s="255" t="s">
        <v>2063</v>
      </c>
      <c r="D34" s="255" t="s">
        <v>2062</v>
      </c>
      <c r="E34" s="255" t="s">
        <v>3415</v>
      </c>
      <c r="F34" s="255" t="s">
        <v>3385</v>
      </c>
      <c r="G34" s="255" t="s">
        <v>3386</v>
      </c>
      <c r="H34" s="255" t="s">
        <v>3387</v>
      </c>
    </row>
    <row r="35" spans="1:8" ht="15" customHeight="1" x14ac:dyDescent="0.2">
      <c r="A35" s="41" t="s">
        <v>4017</v>
      </c>
      <c r="B35" s="274" t="s">
        <v>3419</v>
      </c>
      <c r="C35" s="255" t="s">
        <v>2400</v>
      </c>
      <c r="D35" s="255" t="s">
        <v>2138</v>
      </c>
      <c r="E35" s="255" t="s">
        <v>3403</v>
      </c>
      <c r="F35" s="255" t="s">
        <v>3385</v>
      </c>
      <c r="G35" s="255" t="s">
        <v>3386</v>
      </c>
      <c r="H35" s="255" t="s">
        <v>3387</v>
      </c>
    </row>
    <row r="36" spans="1:8" ht="15" customHeight="1" x14ac:dyDescent="0.2">
      <c r="A36" s="41" t="s">
        <v>4024</v>
      </c>
      <c r="B36" s="274" t="s">
        <v>3419</v>
      </c>
      <c r="C36" s="255" t="s">
        <v>2139</v>
      </c>
      <c r="D36" s="255" t="s">
        <v>2138</v>
      </c>
      <c r="E36" s="255" t="s">
        <v>3384</v>
      </c>
      <c r="F36" s="255" t="s">
        <v>3385</v>
      </c>
      <c r="G36" s="255" t="s">
        <v>3386</v>
      </c>
      <c r="H36" s="255" t="s">
        <v>3387</v>
      </c>
    </row>
    <row r="37" spans="1:8" ht="15" customHeight="1" x14ac:dyDescent="0.2">
      <c r="A37" s="41" t="s">
        <v>4018</v>
      </c>
      <c r="B37" s="274" t="s">
        <v>3419</v>
      </c>
      <c r="C37" s="255" t="s">
        <v>2149</v>
      </c>
      <c r="D37" s="255" t="s">
        <v>2054</v>
      </c>
      <c r="E37" s="255" t="s">
        <v>3403</v>
      </c>
      <c r="F37" s="255" t="s">
        <v>3385</v>
      </c>
      <c r="G37" s="255" t="s">
        <v>3386</v>
      </c>
      <c r="H37" s="255" t="s">
        <v>3387</v>
      </c>
    </row>
    <row r="38" spans="1:8" ht="15" customHeight="1" x14ac:dyDescent="0.2">
      <c r="A38" s="41" t="s">
        <v>4025</v>
      </c>
      <c r="B38" s="274" t="s">
        <v>3419</v>
      </c>
      <c r="C38" s="255" t="s">
        <v>2055</v>
      </c>
      <c r="D38" s="255" t="s">
        <v>2054</v>
      </c>
      <c r="E38" s="255" t="s">
        <v>3384</v>
      </c>
      <c r="F38" s="255" t="s">
        <v>3385</v>
      </c>
      <c r="G38" s="255" t="s">
        <v>3386</v>
      </c>
      <c r="H38" s="255" t="s">
        <v>3387</v>
      </c>
    </row>
    <row r="39" spans="1:8" ht="15" customHeight="1" x14ac:dyDescent="0.2">
      <c r="A39" s="41" t="s">
        <v>4021</v>
      </c>
      <c r="B39" s="274" t="s">
        <v>3419</v>
      </c>
      <c r="C39" s="255" t="s">
        <v>2474</v>
      </c>
      <c r="D39" s="255" t="s">
        <v>2473</v>
      </c>
      <c r="E39" s="255" t="s">
        <v>3403</v>
      </c>
      <c r="F39" s="255" t="s">
        <v>3385</v>
      </c>
      <c r="G39" s="255" t="s">
        <v>3386</v>
      </c>
      <c r="H39" s="255" t="s">
        <v>3387</v>
      </c>
    </row>
    <row r="40" spans="1:8" ht="15" customHeight="1" x14ac:dyDescent="0.2">
      <c r="A40" s="41" t="s">
        <v>4019</v>
      </c>
      <c r="B40" s="274" t="s">
        <v>3419</v>
      </c>
      <c r="C40" s="255" t="s">
        <v>2111</v>
      </c>
      <c r="D40" s="255" t="s">
        <v>2003</v>
      </c>
      <c r="E40" s="255" t="s">
        <v>3403</v>
      </c>
      <c r="F40" s="255" t="s">
        <v>3385</v>
      </c>
      <c r="G40" s="255" t="s">
        <v>3386</v>
      </c>
      <c r="H40" s="255" t="s">
        <v>3387</v>
      </c>
    </row>
    <row r="41" spans="1:8" ht="15" customHeight="1" x14ac:dyDescent="0.2">
      <c r="A41" s="41" t="s">
        <v>4026</v>
      </c>
      <c r="B41" s="274" t="s">
        <v>3419</v>
      </c>
      <c r="C41" s="255" t="s">
        <v>2004</v>
      </c>
      <c r="D41" s="255" t="s">
        <v>2003</v>
      </c>
      <c r="E41" s="255" t="s">
        <v>3384</v>
      </c>
      <c r="F41" s="255" t="s">
        <v>3385</v>
      </c>
      <c r="G41" s="255" t="s">
        <v>3386</v>
      </c>
      <c r="H41" s="255" t="s">
        <v>3387</v>
      </c>
    </row>
    <row r="42" spans="1:8" ht="15" customHeight="1" x14ac:dyDescent="0.2">
      <c r="A42" s="41" t="s">
        <v>4022</v>
      </c>
      <c r="B42" s="274" t="s">
        <v>3419</v>
      </c>
      <c r="C42" s="255" t="s">
        <v>2220</v>
      </c>
      <c r="D42" s="255" t="s">
        <v>2219</v>
      </c>
      <c r="E42" s="255" t="s">
        <v>3403</v>
      </c>
      <c r="F42" s="255" t="s">
        <v>3385</v>
      </c>
      <c r="G42" s="255" t="s">
        <v>3386</v>
      </c>
      <c r="H42" s="255" t="s">
        <v>3387</v>
      </c>
    </row>
    <row r="43" spans="1:8" ht="15" customHeight="1" x14ac:dyDescent="0.2">
      <c r="A43" s="41" t="s">
        <v>4020</v>
      </c>
      <c r="B43" s="274" t="s">
        <v>3419</v>
      </c>
      <c r="C43" s="255" t="s">
        <v>2010</v>
      </c>
      <c r="D43" s="255" t="s">
        <v>1886</v>
      </c>
      <c r="E43" s="255" t="s">
        <v>3403</v>
      </c>
      <c r="F43" s="255" t="s">
        <v>3385</v>
      </c>
      <c r="G43" s="255" t="s">
        <v>3386</v>
      </c>
      <c r="H43" s="255" t="s">
        <v>3387</v>
      </c>
    </row>
    <row r="44" spans="1:8" ht="15" customHeight="1" x14ac:dyDescent="0.2">
      <c r="A44" s="41" t="s">
        <v>4027</v>
      </c>
      <c r="B44" s="274" t="s">
        <v>3419</v>
      </c>
      <c r="C44" s="255" t="s">
        <v>1887</v>
      </c>
      <c r="D44" s="255" t="s">
        <v>1886</v>
      </c>
      <c r="E44" s="255" t="s">
        <v>3384</v>
      </c>
      <c r="F44" s="255" t="s">
        <v>3385</v>
      </c>
      <c r="G44" s="255" t="s">
        <v>3386</v>
      </c>
      <c r="H44" s="255" t="s">
        <v>3387</v>
      </c>
    </row>
    <row r="45" spans="1:8" ht="15" customHeight="1" x14ac:dyDescent="0.2">
      <c r="A45" s="41" t="s">
        <v>4023</v>
      </c>
      <c r="B45" s="274" t="s">
        <v>3419</v>
      </c>
      <c r="C45" s="255" t="s">
        <v>2041</v>
      </c>
      <c r="D45" s="255" t="s">
        <v>2040</v>
      </c>
      <c r="E45" s="255" t="s">
        <v>3403</v>
      </c>
      <c r="F45" s="255" t="s">
        <v>3385</v>
      </c>
      <c r="G45" s="255" t="s">
        <v>3386</v>
      </c>
      <c r="H45" s="255" t="s">
        <v>3387</v>
      </c>
    </row>
    <row r="46" spans="1:8" ht="15" customHeight="1" x14ac:dyDescent="0.2">
      <c r="A46" s="41" t="s">
        <v>4125</v>
      </c>
      <c r="B46" s="274" t="s">
        <v>3496</v>
      </c>
      <c r="C46" s="255" t="s">
        <v>1985</v>
      </c>
      <c r="D46" s="255" t="s">
        <v>1984</v>
      </c>
      <c r="E46" s="255" t="s">
        <v>3395</v>
      </c>
      <c r="F46" s="255" t="s">
        <v>3389</v>
      </c>
      <c r="G46" s="255" t="s">
        <v>3386</v>
      </c>
      <c r="H46" s="255" t="s">
        <v>3392</v>
      </c>
    </row>
    <row r="47" spans="1:8" ht="15" customHeight="1" x14ac:dyDescent="0.2">
      <c r="A47" s="41" t="s">
        <v>4502</v>
      </c>
      <c r="B47" s="274" t="s">
        <v>3623</v>
      </c>
      <c r="C47" s="255" t="s">
        <v>2622</v>
      </c>
      <c r="D47" s="255" t="s">
        <v>3641</v>
      </c>
      <c r="E47" s="255" t="s">
        <v>3415</v>
      </c>
      <c r="F47" s="255" t="s">
        <v>3385</v>
      </c>
      <c r="G47" s="255" t="s">
        <v>3386</v>
      </c>
      <c r="H47" s="255" t="s">
        <v>3387</v>
      </c>
    </row>
    <row r="48" spans="1:8" ht="15" customHeight="1" x14ac:dyDescent="0.2">
      <c r="A48" s="41" t="s">
        <v>4479</v>
      </c>
      <c r="B48" s="274" t="s">
        <v>3623</v>
      </c>
      <c r="C48" s="255" t="s">
        <v>2784</v>
      </c>
      <c r="D48" s="255" t="s">
        <v>3635</v>
      </c>
      <c r="E48" s="255" t="s">
        <v>3415</v>
      </c>
      <c r="F48" s="255" t="s">
        <v>3385</v>
      </c>
      <c r="G48" s="255" t="s">
        <v>3386</v>
      </c>
      <c r="H48" s="255" t="s">
        <v>3387</v>
      </c>
    </row>
    <row r="49" spans="1:8" ht="15" customHeight="1" x14ac:dyDescent="0.2">
      <c r="A49" s="41" t="s">
        <v>4470</v>
      </c>
      <c r="B49" s="274" t="s">
        <v>3623</v>
      </c>
      <c r="C49" s="255" t="s">
        <v>2521</v>
      </c>
      <c r="D49" s="255" t="s">
        <v>3631</v>
      </c>
      <c r="E49" s="255" t="s">
        <v>3415</v>
      </c>
      <c r="F49" s="255" t="s">
        <v>3385</v>
      </c>
      <c r="G49" s="255" t="s">
        <v>3386</v>
      </c>
      <c r="H49" s="255" t="s">
        <v>3387</v>
      </c>
    </row>
    <row r="50" spans="1:8" ht="15" customHeight="1" x14ac:dyDescent="0.2">
      <c r="A50" s="41" t="s">
        <v>4491</v>
      </c>
      <c r="B50" s="274" t="s">
        <v>3623</v>
      </c>
      <c r="C50" s="255" t="s">
        <v>2441</v>
      </c>
      <c r="D50" s="255" t="s">
        <v>3638</v>
      </c>
      <c r="E50" s="255" t="s">
        <v>3415</v>
      </c>
      <c r="F50" s="255" t="s">
        <v>3385</v>
      </c>
      <c r="G50" s="255" t="s">
        <v>3386</v>
      </c>
      <c r="H50" s="255" t="s">
        <v>3387</v>
      </c>
    </row>
    <row r="51" spans="1:8" ht="15" customHeight="1" x14ac:dyDescent="0.2">
      <c r="A51" s="41" t="s">
        <v>4492</v>
      </c>
      <c r="B51" s="274" t="s">
        <v>3623</v>
      </c>
      <c r="C51" s="255" t="s">
        <v>2342</v>
      </c>
      <c r="D51" s="255" t="s">
        <v>3639</v>
      </c>
      <c r="E51" s="255" t="s">
        <v>3415</v>
      </c>
      <c r="F51" s="255" t="s">
        <v>3385</v>
      </c>
      <c r="G51" s="255" t="s">
        <v>3386</v>
      </c>
      <c r="H51" s="255" t="s">
        <v>3387</v>
      </c>
    </row>
    <row r="52" spans="1:8" ht="15" customHeight="1" x14ac:dyDescent="0.2">
      <c r="A52" s="41" t="s">
        <v>4487</v>
      </c>
      <c r="B52" s="274" t="s">
        <v>3623</v>
      </c>
      <c r="C52" s="255" t="s">
        <v>2951</v>
      </c>
      <c r="D52" s="255" t="s">
        <v>3637</v>
      </c>
      <c r="E52" s="255" t="s">
        <v>3415</v>
      </c>
      <c r="F52" s="255" t="s">
        <v>3385</v>
      </c>
      <c r="G52" s="255" t="s">
        <v>3386</v>
      </c>
      <c r="H52" s="255" t="s">
        <v>3387</v>
      </c>
    </row>
    <row r="53" spans="1:8" ht="15" customHeight="1" x14ac:dyDescent="0.2">
      <c r="A53" s="41" t="s">
        <v>4503</v>
      </c>
      <c r="B53" s="274" t="s">
        <v>3623</v>
      </c>
      <c r="C53" s="255" t="s">
        <v>2623</v>
      </c>
      <c r="D53" s="255" t="s">
        <v>3642</v>
      </c>
      <c r="E53" s="255" t="s">
        <v>3415</v>
      </c>
      <c r="F53" s="255" t="s">
        <v>3385</v>
      </c>
      <c r="G53" s="255" t="s">
        <v>3386</v>
      </c>
      <c r="H53" s="255" t="s">
        <v>3387</v>
      </c>
    </row>
    <row r="54" spans="1:8" ht="15" customHeight="1" x14ac:dyDescent="0.2">
      <c r="A54" s="41" t="s">
        <v>4480</v>
      </c>
      <c r="B54" s="274" t="s">
        <v>3623</v>
      </c>
      <c r="C54" s="255" t="s">
        <v>2104</v>
      </c>
      <c r="D54" s="255" t="s">
        <v>3636</v>
      </c>
      <c r="E54" s="255" t="s">
        <v>3415</v>
      </c>
      <c r="F54" s="255" t="s">
        <v>3385</v>
      </c>
      <c r="G54" s="255" t="s">
        <v>3386</v>
      </c>
      <c r="H54" s="255" t="s">
        <v>3387</v>
      </c>
    </row>
    <row r="55" spans="1:8" ht="15" customHeight="1" x14ac:dyDescent="0.2">
      <c r="A55" s="41" t="s">
        <v>4460</v>
      </c>
      <c r="B55" s="274" t="s">
        <v>3623</v>
      </c>
      <c r="C55" s="255" t="s">
        <v>1962</v>
      </c>
      <c r="D55" s="255" t="s">
        <v>3625</v>
      </c>
      <c r="E55" s="255" t="s">
        <v>3415</v>
      </c>
      <c r="F55" s="255" t="s">
        <v>3385</v>
      </c>
      <c r="G55" s="255" t="s">
        <v>3386</v>
      </c>
      <c r="H55" s="255" t="s">
        <v>3387</v>
      </c>
    </row>
    <row r="56" spans="1:8" ht="15" customHeight="1" x14ac:dyDescent="0.2">
      <c r="A56" s="41" t="s">
        <v>4461</v>
      </c>
      <c r="B56" s="274" t="s">
        <v>3623</v>
      </c>
      <c r="C56" s="255" t="s">
        <v>1929</v>
      </c>
      <c r="D56" s="255" t="s">
        <v>3626</v>
      </c>
      <c r="E56" s="255" t="s">
        <v>3415</v>
      </c>
      <c r="F56" s="255" t="s">
        <v>3385</v>
      </c>
      <c r="G56" s="255" t="s">
        <v>3386</v>
      </c>
      <c r="H56" s="255" t="s">
        <v>3387</v>
      </c>
    </row>
    <row r="57" spans="1:8" ht="15" customHeight="1" x14ac:dyDescent="0.2">
      <c r="A57" s="41" t="s">
        <v>4465</v>
      </c>
      <c r="B57" s="274" t="s">
        <v>3623</v>
      </c>
      <c r="C57" s="255" t="s">
        <v>1993</v>
      </c>
      <c r="D57" s="255" t="s">
        <v>3629</v>
      </c>
      <c r="E57" s="255" t="s">
        <v>3415</v>
      </c>
      <c r="F57" s="255" t="s">
        <v>3385</v>
      </c>
      <c r="G57" s="255" t="s">
        <v>3386</v>
      </c>
      <c r="H57" s="255" t="s">
        <v>3387</v>
      </c>
    </row>
    <row r="58" spans="1:8" ht="15" customHeight="1" x14ac:dyDescent="0.2">
      <c r="A58" s="41" t="s">
        <v>4459</v>
      </c>
      <c r="B58" s="274" t="s">
        <v>3623</v>
      </c>
      <c r="C58" s="255" t="s">
        <v>1961</v>
      </c>
      <c r="D58" s="255" t="s">
        <v>3624</v>
      </c>
      <c r="E58" s="255" t="s">
        <v>3415</v>
      </c>
      <c r="F58" s="255" t="s">
        <v>3385</v>
      </c>
      <c r="G58" s="255" t="s">
        <v>3386</v>
      </c>
      <c r="H58" s="255" t="s">
        <v>3387</v>
      </c>
    </row>
    <row r="59" spans="1:8" ht="15" customHeight="1" x14ac:dyDescent="0.2">
      <c r="A59" s="41" t="s">
        <v>4477</v>
      </c>
      <c r="B59" s="274" t="s">
        <v>3623</v>
      </c>
      <c r="C59" s="255" t="s">
        <v>2057</v>
      </c>
      <c r="D59" s="255" t="s">
        <v>3633</v>
      </c>
      <c r="E59" s="255" t="s">
        <v>3415</v>
      </c>
      <c r="F59" s="255" t="s">
        <v>3385</v>
      </c>
      <c r="G59" s="255" t="s">
        <v>3386</v>
      </c>
      <c r="H59" s="255" t="s">
        <v>3387</v>
      </c>
    </row>
    <row r="60" spans="1:8" ht="15" customHeight="1" x14ac:dyDescent="0.2">
      <c r="A60" s="41" t="s">
        <v>4462</v>
      </c>
      <c r="B60" s="274" t="s">
        <v>3623</v>
      </c>
      <c r="C60" s="255" t="s">
        <v>2018</v>
      </c>
      <c r="D60" s="255" t="s">
        <v>3627</v>
      </c>
      <c r="E60" s="255" t="s">
        <v>3415</v>
      </c>
      <c r="F60" s="255" t="s">
        <v>3385</v>
      </c>
      <c r="G60" s="255" t="s">
        <v>3386</v>
      </c>
      <c r="H60" s="255" t="s">
        <v>3387</v>
      </c>
    </row>
    <row r="61" spans="1:8" ht="15" customHeight="1" x14ac:dyDescent="0.2">
      <c r="A61" s="41" t="s">
        <v>4463</v>
      </c>
      <c r="B61" s="274" t="s">
        <v>3623</v>
      </c>
      <c r="C61" s="255" t="s">
        <v>2177</v>
      </c>
      <c r="D61" s="255" t="s">
        <v>3628</v>
      </c>
      <c r="E61" s="255" t="s">
        <v>3415</v>
      </c>
      <c r="F61" s="255" t="s">
        <v>3385</v>
      </c>
      <c r="G61" s="255" t="s">
        <v>3386</v>
      </c>
      <c r="H61" s="255" t="s">
        <v>3387</v>
      </c>
    </row>
    <row r="62" spans="1:8" ht="15" customHeight="1" x14ac:dyDescent="0.2">
      <c r="A62" s="41" t="s">
        <v>4474</v>
      </c>
      <c r="B62" s="274" t="s">
        <v>3623</v>
      </c>
      <c r="C62" s="255" t="s">
        <v>2101</v>
      </c>
      <c r="D62" s="255" t="s">
        <v>3632</v>
      </c>
      <c r="E62" s="255" t="s">
        <v>3415</v>
      </c>
      <c r="F62" s="255" t="s">
        <v>3385</v>
      </c>
      <c r="G62" s="255" t="s">
        <v>3386</v>
      </c>
      <c r="H62" s="255" t="s">
        <v>3387</v>
      </c>
    </row>
    <row r="63" spans="1:8" ht="15" customHeight="1" x14ac:dyDescent="0.2">
      <c r="A63" s="41" t="s">
        <v>4478</v>
      </c>
      <c r="B63" s="274" t="s">
        <v>3623</v>
      </c>
      <c r="C63" s="255" t="s">
        <v>2522</v>
      </c>
      <c r="D63" s="255" t="s">
        <v>3634</v>
      </c>
      <c r="E63" s="255" t="s">
        <v>3415</v>
      </c>
      <c r="F63" s="255" t="s">
        <v>3385</v>
      </c>
      <c r="G63" s="255" t="s">
        <v>3386</v>
      </c>
      <c r="H63" s="255" t="s">
        <v>3387</v>
      </c>
    </row>
    <row r="64" spans="1:8" ht="15" customHeight="1" x14ac:dyDescent="0.2">
      <c r="A64" s="41" t="s">
        <v>4467</v>
      </c>
      <c r="B64" s="274" t="s">
        <v>3623</v>
      </c>
      <c r="C64" s="255" t="s">
        <v>2242</v>
      </c>
      <c r="D64" s="255" t="s">
        <v>3630</v>
      </c>
      <c r="E64" s="255" t="s">
        <v>3415</v>
      </c>
      <c r="F64" s="255" t="s">
        <v>3385</v>
      </c>
      <c r="G64" s="255" t="s">
        <v>3386</v>
      </c>
      <c r="H64" s="255" t="s">
        <v>3387</v>
      </c>
    </row>
    <row r="65" spans="1:8" ht="15" customHeight="1" x14ac:dyDescent="0.2">
      <c r="A65" s="41" t="s">
        <v>4483</v>
      </c>
      <c r="B65" s="274" t="s">
        <v>3623</v>
      </c>
      <c r="C65" s="255" t="s">
        <v>2128</v>
      </c>
      <c r="D65" s="255" t="s">
        <v>2127</v>
      </c>
      <c r="E65" s="255" t="s">
        <v>3415</v>
      </c>
      <c r="F65" s="255" t="s">
        <v>3385</v>
      </c>
      <c r="G65" s="255" t="s">
        <v>3386</v>
      </c>
      <c r="H65" s="255" t="s">
        <v>3387</v>
      </c>
    </row>
    <row r="66" spans="1:8" ht="15" customHeight="1" x14ac:dyDescent="0.2">
      <c r="A66" s="41" t="s">
        <v>4472</v>
      </c>
      <c r="B66" s="274" t="s">
        <v>3623</v>
      </c>
      <c r="C66" s="255" t="s">
        <v>2288</v>
      </c>
      <c r="D66" s="255" t="s">
        <v>2287</v>
      </c>
      <c r="E66" s="255" t="s">
        <v>3415</v>
      </c>
      <c r="F66" s="255" t="s">
        <v>3385</v>
      </c>
      <c r="G66" s="255" t="s">
        <v>3386</v>
      </c>
      <c r="H66" s="255" t="s">
        <v>3387</v>
      </c>
    </row>
    <row r="67" spans="1:8" ht="15" customHeight="1" x14ac:dyDescent="0.2">
      <c r="A67" s="41" t="s">
        <v>4476</v>
      </c>
      <c r="B67" s="274" t="s">
        <v>3623</v>
      </c>
      <c r="C67" s="255" t="s">
        <v>2190</v>
      </c>
      <c r="D67" s="255" t="s">
        <v>2189</v>
      </c>
      <c r="E67" s="255" t="s">
        <v>3415</v>
      </c>
      <c r="F67" s="255" t="s">
        <v>3385</v>
      </c>
      <c r="G67" s="255" t="s">
        <v>3386</v>
      </c>
      <c r="H67" s="255" t="s">
        <v>3387</v>
      </c>
    </row>
    <row r="68" spans="1:8" ht="15" customHeight="1" x14ac:dyDescent="0.2">
      <c r="A68" s="41" t="s">
        <v>4458</v>
      </c>
      <c r="B68" s="274" t="s">
        <v>3623</v>
      </c>
      <c r="C68" s="255" t="s">
        <v>2241</v>
      </c>
      <c r="D68" s="255" t="s">
        <v>2240</v>
      </c>
      <c r="E68" s="255" t="s">
        <v>3415</v>
      </c>
      <c r="F68" s="255" t="s">
        <v>3385</v>
      </c>
      <c r="G68" s="255" t="s">
        <v>3386</v>
      </c>
      <c r="H68" s="255" t="s">
        <v>3387</v>
      </c>
    </row>
    <row r="69" spans="1:8" ht="15" customHeight="1" x14ac:dyDescent="0.2">
      <c r="A69" s="41" t="s">
        <v>4475</v>
      </c>
      <c r="B69" s="274" t="s">
        <v>3623</v>
      </c>
      <c r="C69" s="255" t="s">
        <v>2188</v>
      </c>
      <c r="D69" s="255" t="s">
        <v>2187</v>
      </c>
      <c r="E69" s="255" t="s">
        <v>3415</v>
      </c>
      <c r="F69" s="255" t="s">
        <v>3385</v>
      </c>
      <c r="G69" s="255" t="s">
        <v>3386</v>
      </c>
      <c r="H69" s="255" t="s">
        <v>3387</v>
      </c>
    </row>
    <row r="70" spans="1:8" ht="15" customHeight="1" x14ac:dyDescent="0.2">
      <c r="A70" s="41" t="s">
        <v>4468</v>
      </c>
      <c r="B70" s="274" t="s">
        <v>3623</v>
      </c>
      <c r="C70" s="255" t="s">
        <v>2438</v>
      </c>
      <c r="D70" s="255" t="s">
        <v>2437</v>
      </c>
      <c r="E70" s="255" t="s">
        <v>3415</v>
      </c>
      <c r="F70" s="255" t="s">
        <v>3385</v>
      </c>
      <c r="G70" s="255" t="s">
        <v>3386</v>
      </c>
      <c r="H70" s="255" t="s">
        <v>3387</v>
      </c>
    </row>
    <row r="71" spans="1:8" ht="15" customHeight="1" x14ac:dyDescent="0.2">
      <c r="A71" s="41" t="s">
        <v>4485</v>
      </c>
      <c r="B71" s="274" t="s">
        <v>3623</v>
      </c>
      <c r="C71" s="255" t="s">
        <v>2337</v>
      </c>
      <c r="D71" s="255" t="s">
        <v>2336</v>
      </c>
      <c r="E71" s="255" t="s">
        <v>3415</v>
      </c>
      <c r="F71" s="255" t="s">
        <v>3385</v>
      </c>
      <c r="G71" s="255" t="s">
        <v>3386</v>
      </c>
      <c r="H71" s="255" t="s">
        <v>3387</v>
      </c>
    </row>
    <row r="72" spans="1:8" ht="15" customHeight="1" x14ac:dyDescent="0.2">
      <c r="A72" s="41" t="s">
        <v>4486</v>
      </c>
      <c r="B72" s="274" t="s">
        <v>3623</v>
      </c>
      <c r="C72" s="255" t="s">
        <v>2950</v>
      </c>
      <c r="D72" s="255" t="s">
        <v>2949</v>
      </c>
      <c r="E72" s="255" t="s">
        <v>3415</v>
      </c>
      <c r="F72" s="255" t="s">
        <v>3385</v>
      </c>
      <c r="G72" s="255" t="s">
        <v>3386</v>
      </c>
      <c r="H72" s="255" t="s">
        <v>3387</v>
      </c>
    </row>
    <row r="73" spans="1:8" ht="15" customHeight="1" x14ac:dyDescent="0.2">
      <c r="A73" s="41" t="s">
        <v>4488</v>
      </c>
      <c r="B73" s="274" t="s">
        <v>3623</v>
      </c>
      <c r="C73" s="255" t="s">
        <v>2786</v>
      </c>
      <c r="D73" s="255" t="s">
        <v>2785</v>
      </c>
      <c r="E73" s="255" t="s">
        <v>3415</v>
      </c>
      <c r="F73" s="255" t="s">
        <v>3385</v>
      </c>
      <c r="G73" s="255" t="s">
        <v>3386</v>
      </c>
      <c r="H73" s="255" t="s">
        <v>3387</v>
      </c>
    </row>
    <row r="74" spans="1:8" ht="15" customHeight="1" x14ac:dyDescent="0.2">
      <c r="A74" s="41" t="s">
        <v>4489</v>
      </c>
      <c r="B74" s="274" t="s">
        <v>3623</v>
      </c>
      <c r="C74" s="255" t="s">
        <v>2339</v>
      </c>
      <c r="D74" s="255" t="s">
        <v>2338</v>
      </c>
      <c r="E74" s="255" t="s">
        <v>3415</v>
      </c>
      <c r="F74" s="255" t="s">
        <v>3385</v>
      </c>
      <c r="G74" s="255" t="s">
        <v>3386</v>
      </c>
      <c r="H74" s="255" t="s">
        <v>3387</v>
      </c>
    </row>
    <row r="75" spans="1:8" ht="15" customHeight="1" x14ac:dyDescent="0.2">
      <c r="A75" s="41" t="s">
        <v>4471</v>
      </c>
      <c r="B75" s="274" t="s">
        <v>3623</v>
      </c>
      <c r="C75" s="255" t="s">
        <v>2440</v>
      </c>
      <c r="D75" s="255" t="s">
        <v>2439</v>
      </c>
      <c r="E75" s="255" t="s">
        <v>3415</v>
      </c>
      <c r="F75" s="255" t="s">
        <v>3385</v>
      </c>
      <c r="G75" s="255" t="s">
        <v>3386</v>
      </c>
      <c r="H75" s="255" t="s">
        <v>3387</v>
      </c>
    </row>
    <row r="76" spans="1:8" ht="15" customHeight="1" x14ac:dyDescent="0.2">
      <c r="A76" s="41" t="s">
        <v>4499</v>
      </c>
      <c r="B76" s="274" t="s">
        <v>3623</v>
      </c>
      <c r="C76" s="255" t="s">
        <v>2619</v>
      </c>
      <c r="D76" s="255" t="s">
        <v>2618</v>
      </c>
      <c r="E76" s="255" t="s">
        <v>3415</v>
      </c>
      <c r="F76" s="255" t="s">
        <v>3385</v>
      </c>
      <c r="G76" s="255" t="s">
        <v>3386</v>
      </c>
      <c r="H76" s="255" t="s">
        <v>3387</v>
      </c>
    </row>
    <row r="77" spans="1:8" ht="15" customHeight="1" x14ac:dyDescent="0.2">
      <c r="A77" s="41" t="s">
        <v>4473</v>
      </c>
      <c r="B77" s="274" t="s">
        <v>3623</v>
      </c>
      <c r="C77" s="255" t="s">
        <v>2100</v>
      </c>
      <c r="D77" s="255" t="s">
        <v>2099</v>
      </c>
      <c r="E77" s="255" t="s">
        <v>3415</v>
      </c>
      <c r="F77" s="255" t="s">
        <v>3385</v>
      </c>
      <c r="G77" s="255" t="s">
        <v>3386</v>
      </c>
      <c r="H77" s="255" t="s">
        <v>3387</v>
      </c>
    </row>
    <row r="78" spans="1:8" ht="15" customHeight="1" x14ac:dyDescent="0.2">
      <c r="A78" s="41" t="s">
        <v>4505</v>
      </c>
      <c r="B78" s="274" t="s">
        <v>3623</v>
      </c>
      <c r="C78" s="255" t="s">
        <v>2792</v>
      </c>
      <c r="D78" s="255" t="s">
        <v>2791</v>
      </c>
      <c r="E78" s="255" t="s">
        <v>3415</v>
      </c>
      <c r="F78" s="255" t="s">
        <v>3385</v>
      </c>
      <c r="G78" s="255" t="s">
        <v>3386</v>
      </c>
      <c r="H78" s="255" t="s">
        <v>3387</v>
      </c>
    </row>
    <row r="79" spans="1:8" ht="15" customHeight="1" x14ac:dyDescent="0.2">
      <c r="A79" s="41" t="s">
        <v>4490</v>
      </c>
      <c r="B79" s="274" t="s">
        <v>3623</v>
      </c>
      <c r="C79" s="255" t="s">
        <v>2341</v>
      </c>
      <c r="D79" s="255" t="s">
        <v>2340</v>
      </c>
      <c r="E79" s="255" t="s">
        <v>3415</v>
      </c>
      <c r="F79" s="255" t="s">
        <v>3385</v>
      </c>
      <c r="G79" s="255" t="s">
        <v>3386</v>
      </c>
      <c r="H79" s="255" t="s">
        <v>3387</v>
      </c>
    </row>
    <row r="80" spans="1:8" ht="15" customHeight="1" x14ac:dyDescent="0.2">
      <c r="A80" s="41" t="s">
        <v>4500</v>
      </c>
      <c r="B80" s="274" t="s">
        <v>3623</v>
      </c>
      <c r="C80" s="255" t="s">
        <v>2621</v>
      </c>
      <c r="D80" s="255" t="s">
        <v>2620</v>
      </c>
      <c r="E80" s="255" t="s">
        <v>3415</v>
      </c>
      <c r="F80" s="255" t="s">
        <v>3385</v>
      </c>
      <c r="G80" s="255" t="s">
        <v>3386</v>
      </c>
      <c r="H80" s="255" t="s">
        <v>3387</v>
      </c>
    </row>
    <row r="81" spans="1:8" ht="15" customHeight="1" x14ac:dyDescent="0.2">
      <c r="A81" s="41" t="s">
        <v>4501</v>
      </c>
      <c r="B81" s="274" t="s">
        <v>3623</v>
      </c>
      <c r="C81" s="255" t="s">
        <v>2444</v>
      </c>
      <c r="D81" s="255" t="s">
        <v>3640</v>
      </c>
      <c r="E81" s="255" t="s">
        <v>3415</v>
      </c>
      <c r="F81" s="255" t="s">
        <v>3385</v>
      </c>
      <c r="G81" s="255" t="s">
        <v>3386</v>
      </c>
      <c r="H81" s="255" t="s">
        <v>3387</v>
      </c>
    </row>
    <row r="82" spans="1:8" ht="15" customHeight="1" x14ac:dyDescent="0.2">
      <c r="A82" s="41" t="s">
        <v>4497</v>
      </c>
      <c r="B82" s="274" t="s">
        <v>3623</v>
      </c>
      <c r="C82" s="255" t="s">
        <v>2443</v>
      </c>
      <c r="D82" s="255" t="s">
        <v>2442</v>
      </c>
      <c r="E82" s="255" t="s">
        <v>3415</v>
      </c>
      <c r="F82" s="255" t="s">
        <v>3385</v>
      </c>
      <c r="G82" s="255" t="s">
        <v>3386</v>
      </c>
      <c r="H82" s="255" t="s">
        <v>3387</v>
      </c>
    </row>
    <row r="83" spans="1:8" ht="15" customHeight="1" x14ac:dyDescent="0.2">
      <c r="A83" s="41" t="s">
        <v>4481</v>
      </c>
      <c r="B83" s="274" t="s">
        <v>3623</v>
      </c>
      <c r="C83" s="255" t="s">
        <v>2290</v>
      </c>
      <c r="D83" s="255" t="s">
        <v>2289</v>
      </c>
      <c r="E83" s="255" t="s">
        <v>3415</v>
      </c>
      <c r="F83" s="255" t="s">
        <v>3385</v>
      </c>
      <c r="G83" s="255" t="s">
        <v>3386</v>
      </c>
      <c r="H83" s="255" t="s">
        <v>3387</v>
      </c>
    </row>
    <row r="84" spans="1:8" ht="15" customHeight="1" x14ac:dyDescent="0.2">
      <c r="A84" s="41" t="s">
        <v>4504</v>
      </c>
      <c r="B84" s="274" t="s">
        <v>3623</v>
      </c>
      <c r="C84" s="255" t="s">
        <v>2790</v>
      </c>
      <c r="D84" s="255" t="s">
        <v>2789</v>
      </c>
      <c r="E84" s="255" t="s">
        <v>3415</v>
      </c>
      <c r="F84" s="255" t="s">
        <v>3385</v>
      </c>
      <c r="G84" s="255" t="s">
        <v>3386</v>
      </c>
      <c r="H84" s="255" t="s">
        <v>3387</v>
      </c>
    </row>
    <row r="85" spans="1:8" ht="15" customHeight="1" x14ac:dyDescent="0.2">
      <c r="A85" s="41" t="s">
        <v>4482</v>
      </c>
      <c r="B85" s="274" t="s">
        <v>3623</v>
      </c>
      <c r="C85" s="255" t="s">
        <v>2383</v>
      </c>
      <c r="D85" s="255" t="s">
        <v>2382</v>
      </c>
      <c r="E85" s="255" t="s">
        <v>3415</v>
      </c>
      <c r="F85" s="255" t="s">
        <v>3385</v>
      </c>
      <c r="G85" s="255" t="s">
        <v>3386</v>
      </c>
      <c r="H85" s="255" t="s">
        <v>3387</v>
      </c>
    </row>
    <row r="86" spans="1:8" ht="15" customHeight="1" x14ac:dyDescent="0.2">
      <c r="A86" s="41" t="s">
        <v>4464</v>
      </c>
      <c r="B86" s="274" t="s">
        <v>3623</v>
      </c>
      <c r="C86" s="255" t="s">
        <v>2436</v>
      </c>
      <c r="D86" s="255" t="s">
        <v>2435</v>
      </c>
      <c r="E86" s="255" t="s">
        <v>3415</v>
      </c>
      <c r="F86" s="255" t="s">
        <v>3385</v>
      </c>
      <c r="G86" s="255" t="s">
        <v>3386</v>
      </c>
      <c r="H86" s="255" t="s">
        <v>3387</v>
      </c>
    </row>
    <row r="87" spans="1:8" ht="15" customHeight="1" x14ac:dyDescent="0.2">
      <c r="A87" s="41" t="s">
        <v>4498</v>
      </c>
      <c r="B87" s="274" t="s">
        <v>3623</v>
      </c>
      <c r="C87" s="255" t="s">
        <v>2524</v>
      </c>
      <c r="D87" s="255" t="s">
        <v>2523</v>
      </c>
      <c r="E87" s="255" t="s">
        <v>3415</v>
      </c>
      <c r="F87" s="255" t="s">
        <v>3385</v>
      </c>
      <c r="G87" s="255" t="s">
        <v>3386</v>
      </c>
      <c r="H87" s="255" t="s">
        <v>3387</v>
      </c>
    </row>
    <row r="88" spans="1:8" ht="15" customHeight="1" x14ac:dyDescent="0.2">
      <c r="A88" s="41" t="s">
        <v>4496</v>
      </c>
      <c r="B88" s="274" t="s">
        <v>3623</v>
      </c>
      <c r="C88" s="255" t="s">
        <v>2257</v>
      </c>
      <c r="D88" s="255" t="s">
        <v>2256</v>
      </c>
      <c r="E88" s="255" t="s">
        <v>3415</v>
      </c>
      <c r="F88" s="255" t="s">
        <v>3385</v>
      </c>
      <c r="G88" s="255" t="s">
        <v>3386</v>
      </c>
      <c r="H88" s="255" t="s">
        <v>3387</v>
      </c>
    </row>
    <row r="89" spans="1:8" ht="15" customHeight="1" x14ac:dyDescent="0.2">
      <c r="A89" s="41" t="s">
        <v>4469</v>
      </c>
      <c r="B89" s="274" t="s">
        <v>3623</v>
      </c>
      <c r="C89" s="255" t="s">
        <v>2617</v>
      </c>
      <c r="D89" s="255" t="s">
        <v>2616</v>
      </c>
      <c r="E89" s="255" t="s">
        <v>3415</v>
      </c>
      <c r="F89" s="255" t="s">
        <v>3385</v>
      </c>
      <c r="G89" s="255" t="s">
        <v>3386</v>
      </c>
      <c r="H89" s="255" t="s">
        <v>3387</v>
      </c>
    </row>
    <row r="90" spans="1:8" ht="15" customHeight="1" x14ac:dyDescent="0.2">
      <c r="A90" s="41" t="s">
        <v>4494</v>
      </c>
      <c r="B90" s="274" t="s">
        <v>3623</v>
      </c>
      <c r="C90" s="255" t="s">
        <v>2344</v>
      </c>
      <c r="D90" s="255" t="s">
        <v>2343</v>
      </c>
      <c r="E90" s="255" t="s">
        <v>3415</v>
      </c>
      <c r="F90" s="255" t="s">
        <v>3385</v>
      </c>
      <c r="G90" s="255" t="s">
        <v>3386</v>
      </c>
      <c r="H90" s="255" t="s">
        <v>3387</v>
      </c>
    </row>
    <row r="91" spans="1:8" ht="15" customHeight="1" x14ac:dyDescent="0.2">
      <c r="A91" s="41" t="s">
        <v>4466</v>
      </c>
      <c r="B91" s="274" t="s">
        <v>3623</v>
      </c>
      <c r="C91" s="255" t="s">
        <v>2169</v>
      </c>
      <c r="D91" s="255" t="s">
        <v>2168</v>
      </c>
      <c r="E91" s="255" t="s">
        <v>3415</v>
      </c>
      <c r="F91" s="255" t="s">
        <v>3385</v>
      </c>
      <c r="G91" s="255" t="s">
        <v>3386</v>
      </c>
      <c r="H91" s="255" t="s">
        <v>3387</v>
      </c>
    </row>
    <row r="92" spans="1:8" ht="15" customHeight="1" x14ac:dyDescent="0.2">
      <c r="A92" s="41" t="s">
        <v>4493</v>
      </c>
      <c r="B92" s="274" t="s">
        <v>3623</v>
      </c>
      <c r="C92" s="255" t="s">
        <v>2788</v>
      </c>
      <c r="D92" s="255" t="s">
        <v>2787</v>
      </c>
      <c r="E92" s="255" t="s">
        <v>3415</v>
      </c>
      <c r="F92" s="255" t="s">
        <v>3385</v>
      </c>
      <c r="G92" s="255" t="s">
        <v>3386</v>
      </c>
      <c r="H92" s="255" t="s">
        <v>3387</v>
      </c>
    </row>
    <row r="93" spans="1:8" ht="15" customHeight="1" x14ac:dyDescent="0.2">
      <c r="A93" s="41" t="s">
        <v>3991</v>
      </c>
      <c r="B93" s="274" t="s">
        <v>3416</v>
      </c>
      <c r="C93" s="255" t="s">
        <v>1894</v>
      </c>
      <c r="D93" s="255" t="s">
        <v>1893</v>
      </c>
      <c r="E93" s="255" t="s">
        <v>3403</v>
      </c>
      <c r="F93" s="255" t="s">
        <v>3385</v>
      </c>
      <c r="G93" s="255" t="s">
        <v>3386</v>
      </c>
      <c r="H93" s="255" t="s">
        <v>3387</v>
      </c>
    </row>
    <row r="94" spans="1:8" ht="15" customHeight="1" x14ac:dyDescent="0.2">
      <c r="A94" s="41" t="s">
        <v>3992</v>
      </c>
      <c r="B94" s="274" t="s">
        <v>3416</v>
      </c>
      <c r="C94" s="255" t="s">
        <v>1951</v>
      </c>
      <c r="D94" s="255" t="s">
        <v>1950</v>
      </c>
      <c r="E94" s="255" t="s">
        <v>3395</v>
      </c>
      <c r="F94" s="255" t="s">
        <v>3385</v>
      </c>
      <c r="G94" s="255" t="s">
        <v>3386</v>
      </c>
      <c r="H94" s="255" t="s">
        <v>3387</v>
      </c>
    </row>
    <row r="95" spans="1:8" ht="15" customHeight="1" x14ac:dyDescent="0.2">
      <c r="A95" s="41" t="s">
        <v>4159</v>
      </c>
      <c r="B95" s="274" t="s">
        <v>3501</v>
      </c>
      <c r="C95" s="255" t="s">
        <v>1843</v>
      </c>
      <c r="D95" s="255" t="s">
        <v>3511</v>
      </c>
      <c r="E95" s="255" t="s">
        <v>3415</v>
      </c>
      <c r="F95" s="255" t="s">
        <v>3385</v>
      </c>
      <c r="G95" s="255" t="s">
        <v>3386</v>
      </c>
      <c r="H95" s="255" t="s">
        <v>3387</v>
      </c>
    </row>
    <row r="96" spans="1:8" ht="15" customHeight="1" x14ac:dyDescent="0.2">
      <c r="A96" s="41" t="s">
        <v>4160</v>
      </c>
      <c r="B96" s="274" t="s">
        <v>3501</v>
      </c>
      <c r="C96" s="255" t="s">
        <v>1856</v>
      </c>
      <c r="D96" s="255" t="s">
        <v>3512</v>
      </c>
      <c r="E96" s="255" t="s">
        <v>3415</v>
      </c>
      <c r="F96" s="255" t="s">
        <v>3385</v>
      </c>
      <c r="G96" s="255" t="s">
        <v>3386</v>
      </c>
      <c r="H96" s="255" t="s">
        <v>3387</v>
      </c>
    </row>
    <row r="97" spans="1:8" ht="15" customHeight="1" x14ac:dyDescent="0.2">
      <c r="A97" s="41" t="s">
        <v>4131</v>
      </c>
      <c r="B97" s="274" t="s">
        <v>3501</v>
      </c>
      <c r="C97" s="255" t="s">
        <v>1911</v>
      </c>
      <c r="D97" s="255" t="s">
        <v>3502</v>
      </c>
      <c r="E97" s="255" t="s">
        <v>3415</v>
      </c>
      <c r="F97" s="255" t="s">
        <v>3385</v>
      </c>
      <c r="G97" s="255" t="s">
        <v>3386</v>
      </c>
      <c r="H97" s="255" t="s">
        <v>3387</v>
      </c>
    </row>
    <row r="98" spans="1:8" ht="15" customHeight="1" x14ac:dyDescent="0.2">
      <c r="A98" s="41" t="s">
        <v>4132</v>
      </c>
      <c r="B98" s="274" t="s">
        <v>3501</v>
      </c>
      <c r="C98" s="255" t="s">
        <v>1931</v>
      </c>
      <c r="D98" s="255" t="s">
        <v>3503</v>
      </c>
      <c r="E98" s="255" t="s">
        <v>3415</v>
      </c>
      <c r="F98" s="255" t="s">
        <v>3385</v>
      </c>
      <c r="G98" s="255" t="s">
        <v>3386</v>
      </c>
      <c r="H98" s="255" t="s">
        <v>3387</v>
      </c>
    </row>
    <row r="99" spans="1:8" ht="15" customHeight="1" x14ac:dyDescent="0.2">
      <c r="A99" s="41" t="s">
        <v>4162</v>
      </c>
      <c r="B99" s="274" t="s">
        <v>3501</v>
      </c>
      <c r="C99" s="255" t="s">
        <v>2314</v>
      </c>
      <c r="D99" s="255" t="s">
        <v>3514</v>
      </c>
      <c r="E99" s="255" t="s">
        <v>3415</v>
      </c>
      <c r="F99" s="255" t="s">
        <v>3385</v>
      </c>
      <c r="G99" s="255" t="s">
        <v>3386</v>
      </c>
      <c r="H99" s="255" t="s">
        <v>3387</v>
      </c>
    </row>
    <row r="100" spans="1:8" ht="15" customHeight="1" x14ac:dyDescent="0.2">
      <c r="A100" s="41" t="s">
        <v>4133</v>
      </c>
      <c r="B100" s="274" t="s">
        <v>3501</v>
      </c>
      <c r="C100" s="255" t="s">
        <v>2032</v>
      </c>
      <c r="D100" s="255" t="s">
        <v>3504</v>
      </c>
      <c r="E100" s="255" t="s">
        <v>3415</v>
      </c>
      <c r="F100" s="255" t="s">
        <v>3385</v>
      </c>
      <c r="G100" s="255" t="s">
        <v>3386</v>
      </c>
      <c r="H100" s="255" t="s">
        <v>3387</v>
      </c>
    </row>
    <row r="101" spans="1:8" ht="15" customHeight="1" x14ac:dyDescent="0.2">
      <c r="A101" s="41" t="s">
        <v>4161</v>
      </c>
      <c r="B101" s="274" t="s">
        <v>3501</v>
      </c>
      <c r="C101" s="255" t="s">
        <v>2085</v>
      </c>
      <c r="D101" s="255" t="s">
        <v>3513</v>
      </c>
      <c r="E101" s="255" t="s">
        <v>3415</v>
      </c>
      <c r="F101" s="255" t="s">
        <v>3389</v>
      </c>
      <c r="G101" s="255" t="s">
        <v>3386</v>
      </c>
      <c r="H101" s="255" t="s">
        <v>3387</v>
      </c>
    </row>
    <row r="102" spans="1:8" ht="15" customHeight="1" x14ac:dyDescent="0.2">
      <c r="A102" s="41" t="s">
        <v>4766</v>
      </c>
      <c r="B102" s="274" t="s">
        <v>3843</v>
      </c>
      <c r="C102" s="255" t="s">
        <v>2260</v>
      </c>
      <c r="D102" s="255" t="s">
        <v>2259</v>
      </c>
      <c r="E102" s="255" t="s">
        <v>3460</v>
      </c>
      <c r="F102" s="255" t="s">
        <v>3389</v>
      </c>
      <c r="G102" s="255" t="s">
        <v>3386</v>
      </c>
      <c r="H102" s="255" t="s">
        <v>3387</v>
      </c>
    </row>
    <row r="103" spans="1:8" ht="15" customHeight="1" x14ac:dyDescent="0.2">
      <c r="A103" s="41" t="s">
        <v>4745</v>
      </c>
      <c r="B103" s="274" t="s">
        <v>3820</v>
      </c>
      <c r="C103" s="255" t="s">
        <v>1921</v>
      </c>
      <c r="D103" s="255" t="s">
        <v>1920</v>
      </c>
      <c r="E103" s="255" t="s">
        <v>3460</v>
      </c>
      <c r="F103" s="255" t="s">
        <v>3385</v>
      </c>
      <c r="G103" s="255" t="s">
        <v>3386</v>
      </c>
      <c r="H103" s="255" t="s">
        <v>3387</v>
      </c>
    </row>
    <row r="104" spans="1:8" ht="15" customHeight="1" x14ac:dyDescent="0.2">
      <c r="A104" s="41" t="s">
        <v>4828</v>
      </c>
      <c r="B104" s="274" t="s">
        <v>3869</v>
      </c>
      <c r="C104" s="255" t="s">
        <v>2181</v>
      </c>
      <c r="D104" s="255" t="s">
        <v>2180</v>
      </c>
      <c r="E104" s="255" t="s">
        <v>3415</v>
      </c>
      <c r="F104" s="255" t="s">
        <v>3389</v>
      </c>
      <c r="G104" s="255" t="s">
        <v>3386</v>
      </c>
      <c r="H104" s="255" t="s">
        <v>3387</v>
      </c>
    </row>
    <row r="105" spans="1:8" ht="15" customHeight="1" x14ac:dyDescent="0.2">
      <c r="A105" s="41" t="s">
        <v>4825</v>
      </c>
      <c r="B105" s="274" t="s">
        <v>3869</v>
      </c>
      <c r="C105" s="255" t="s">
        <v>2540</v>
      </c>
      <c r="D105" s="255" t="s">
        <v>3872</v>
      </c>
      <c r="E105" s="255" t="s">
        <v>3415</v>
      </c>
      <c r="F105" s="255" t="s">
        <v>3389</v>
      </c>
      <c r="G105" s="255" t="s">
        <v>3386</v>
      </c>
      <c r="H105" s="255" t="s">
        <v>3387</v>
      </c>
    </row>
    <row r="106" spans="1:8" ht="15" customHeight="1" x14ac:dyDescent="0.2">
      <c r="A106" s="41" t="s">
        <v>3993</v>
      </c>
      <c r="B106" s="274" t="s">
        <v>3416</v>
      </c>
      <c r="C106" s="255" t="s">
        <v>1960</v>
      </c>
      <c r="D106" s="255" t="s">
        <v>3417</v>
      </c>
      <c r="E106" s="255" t="s">
        <v>3403</v>
      </c>
      <c r="F106" s="255" t="s">
        <v>3389</v>
      </c>
      <c r="G106" s="255" t="s">
        <v>3386</v>
      </c>
      <c r="H106" s="255" t="s">
        <v>3387</v>
      </c>
    </row>
    <row r="107" spans="1:8" ht="15" customHeight="1" x14ac:dyDescent="0.2">
      <c r="A107" s="41" t="s">
        <v>4508</v>
      </c>
      <c r="B107" s="274" t="s">
        <v>3643</v>
      </c>
      <c r="C107" s="255" t="s">
        <v>2625</v>
      </c>
      <c r="D107" s="255" t="s">
        <v>2624</v>
      </c>
      <c r="E107" s="255" t="s">
        <v>3384</v>
      </c>
      <c r="F107" s="255" t="s">
        <v>3389</v>
      </c>
      <c r="G107" s="255" t="s">
        <v>3386</v>
      </c>
      <c r="H107" s="255" t="s">
        <v>3387</v>
      </c>
    </row>
    <row r="108" spans="1:8" ht="15" customHeight="1" x14ac:dyDescent="0.2">
      <c r="A108" s="41" t="s">
        <v>4126</v>
      </c>
      <c r="B108" s="274" t="s">
        <v>3496</v>
      </c>
      <c r="C108" s="255" t="s">
        <v>1873</v>
      </c>
      <c r="D108" s="255" t="s">
        <v>3498</v>
      </c>
      <c r="E108" s="255" t="s">
        <v>3395</v>
      </c>
      <c r="F108" s="255" t="s">
        <v>3389</v>
      </c>
      <c r="G108" s="255" t="s">
        <v>3386</v>
      </c>
      <c r="H108" s="255" t="s">
        <v>3387</v>
      </c>
    </row>
    <row r="109" spans="1:8" ht="15" customHeight="1" x14ac:dyDescent="0.2">
      <c r="A109" s="41" t="s">
        <v>4119</v>
      </c>
      <c r="B109" s="274" t="s">
        <v>3496</v>
      </c>
      <c r="C109" s="255" t="s">
        <v>1967</v>
      </c>
      <c r="D109" s="255" t="s">
        <v>1966</v>
      </c>
      <c r="E109" s="255" t="s">
        <v>3395</v>
      </c>
      <c r="F109" s="255" t="s">
        <v>3389</v>
      </c>
      <c r="G109" s="255" t="s">
        <v>3386</v>
      </c>
      <c r="H109" s="255" t="s">
        <v>3387</v>
      </c>
    </row>
    <row r="110" spans="1:8" ht="15" customHeight="1" x14ac:dyDescent="0.2">
      <c r="A110" s="41" t="s">
        <v>4121</v>
      </c>
      <c r="B110" s="274" t="s">
        <v>3496</v>
      </c>
      <c r="C110" s="255" t="s">
        <v>1836</v>
      </c>
      <c r="D110" s="255" t="s">
        <v>1835</v>
      </c>
      <c r="E110" s="255" t="s">
        <v>3395</v>
      </c>
      <c r="F110" s="255" t="s">
        <v>3385</v>
      </c>
      <c r="G110" s="255" t="s">
        <v>3386</v>
      </c>
      <c r="H110" s="255" t="s">
        <v>3387</v>
      </c>
    </row>
    <row r="111" spans="1:8" ht="15" customHeight="1" x14ac:dyDescent="0.2">
      <c r="A111" s="41" t="s">
        <v>4120</v>
      </c>
      <c r="B111" s="274" t="s">
        <v>3496</v>
      </c>
      <c r="C111" s="255" t="s">
        <v>2098</v>
      </c>
      <c r="D111" s="255" t="s">
        <v>2097</v>
      </c>
      <c r="E111" s="255" t="s">
        <v>3395</v>
      </c>
      <c r="F111" s="255" t="s">
        <v>3385</v>
      </c>
      <c r="G111" s="255" t="s">
        <v>3386</v>
      </c>
      <c r="H111" s="255" t="s">
        <v>3387</v>
      </c>
    </row>
    <row r="112" spans="1:8" ht="15" customHeight="1" x14ac:dyDescent="0.2">
      <c r="A112" s="41" t="s">
        <v>4122</v>
      </c>
      <c r="B112" s="274" t="s">
        <v>3496</v>
      </c>
      <c r="C112" s="255" t="s">
        <v>2211</v>
      </c>
      <c r="D112" s="255" t="s">
        <v>2210</v>
      </c>
      <c r="E112" s="255" t="s">
        <v>3395</v>
      </c>
      <c r="F112" s="255" t="s">
        <v>3385</v>
      </c>
      <c r="G112" s="255" t="s">
        <v>3386</v>
      </c>
      <c r="H112" s="255" t="s">
        <v>3387</v>
      </c>
    </row>
    <row r="113" spans="1:8" ht="15" customHeight="1" x14ac:dyDescent="0.2">
      <c r="A113" s="41" t="s">
        <v>4123</v>
      </c>
      <c r="B113" s="274" t="s">
        <v>3496</v>
      </c>
      <c r="C113" s="255" t="s">
        <v>1849</v>
      </c>
      <c r="D113" s="255" t="s">
        <v>1848</v>
      </c>
      <c r="E113" s="255" t="s">
        <v>3395</v>
      </c>
      <c r="F113" s="255" t="s">
        <v>3385</v>
      </c>
      <c r="G113" s="255" t="s">
        <v>3386</v>
      </c>
      <c r="H113" s="255" t="s">
        <v>3387</v>
      </c>
    </row>
    <row r="114" spans="1:8" ht="15" customHeight="1" x14ac:dyDescent="0.2">
      <c r="A114" s="41" t="s">
        <v>4128</v>
      </c>
      <c r="B114" s="274" t="s">
        <v>3496</v>
      </c>
      <c r="C114" s="255" t="s">
        <v>1988</v>
      </c>
      <c r="D114" s="255" t="s">
        <v>1987</v>
      </c>
      <c r="E114" s="255" t="s">
        <v>3395</v>
      </c>
      <c r="F114" s="255" t="s">
        <v>3389</v>
      </c>
      <c r="G114" s="255" t="s">
        <v>3499</v>
      </c>
      <c r="H114" s="255" t="s">
        <v>3392</v>
      </c>
    </row>
    <row r="115" spans="1:8" ht="15" customHeight="1" x14ac:dyDescent="0.2">
      <c r="A115" s="41" t="s">
        <v>4118</v>
      </c>
      <c r="B115" s="274" t="s">
        <v>3496</v>
      </c>
      <c r="C115" s="255" t="s">
        <v>2223</v>
      </c>
      <c r="D115" s="255" t="s">
        <v>3497</v>
      </c>
      <c r="E115" s="255" t="s">
        <v>3395</v>
      </c>
      <c r="F115" s="255" t="s">
        <v>3385</v>
      </c>
      <c r="G115" s="255" t="s">
        <v>3386</v>
      </c>
      <c r="H115" s="255" t="s">
        <v>3387</v>
      </c>
    </row>
    <row r="116" spans="1:8" ht="15" customHeight="1" x14ac:dyDescent="0.2">
      <c r="A116" s="41" t="s">
        <v>4127</v>
      </c>
      <c r="B116" s="274" t="s">
        <v>3496</v>
      </c>
      <c r="C116" s="255" t="s">
        <v>1845</v>
      </c>
      <c r="D116" s="255" t="s">
        <v>1844</v>
      </c>
      <c r="E116" s="255" t="s">
        <v>3395</v>
      </c>
      <c r="F116" s="255" t="s">
        <v>3385</v>
      </c>
      <c r="G116" s="255" t="s">
        <v>3386</v>
      </c>
      <c r="H116" s="255" t="s">
        <v>3387</v>
      </c>
    </row>
    <row r="117" spans="1:8" ht="15" customHeight="1" x14ac:dyDescent="0.2">
      <c r="A117" s="41" t="s">
        <v>4129</v>
      </c>
      <c r="B117" s="274" t="s">
        <v>3500</v>
      </c>
      <c r="C117" s="255" t="s">
        <v>1825</v>
      </c>
      <c r="D117" s="255" t="s">
        <v>1824</v>
      </c>
      <c r="E117" s="255" t="s">
        <v>3395</v>
      </c>
      <c r="F117" s="255" t="s">
        <v>3385</v>
      </c>
      <c r="G117" s="255" t="s">
        <v>3386</v>
      </c>
      <c r="H117" s="255" t="s">
        <v>3387</v>
      </c>
    </row>
    <row r="118" spans="1:8" ht="15" customHeight="1" x14ac:dyDescent="0.2">
      <c r="A118" s="41" t="s">
        <v>4130</v>
      </c>
      <c r="B118" s="274" t="s">
        <v>3500</v>
      </c>
      <c r="C118" s="255" t="s">
        <v>2225</v>
      </c>
      <c r="D118" s="255" t="s">
        <v>2224</v>
      </c>
      <c r="E118" s="255" t="s">
        <v>3395</v>
      </c>
      <c r="F118" s="255" t="s">
        <v>3389</v>
      </c>
      <c r="G118" s="255" t="s">
        <v>3386</v>
      </c>
      <c r="H118" s="255" t="s">
        <v>3387</v>
      </c>
    </row>
    <row r="119" spans="1:8" ht="15" customHeight="1" x14ac:dyDescent="0.2">
      <c r="A119" s="41" t="s">
        <v>4124</v>
      </c>
      <c r="B119" s="274" t="s">
        <v>3496</v>
      </c>
      <c r="C119" s="255" t="s">
        <v>1983</v>
      </c>
      <c r="D119" s="255" t="s">
        <v>1982</v>
      </c>
      <c r="E119" s="255" t="s">
        <v>3395</v>
      </c>
      <c r="F119" s="255" t="s">
        <v>3385</v>
      </c>
      <c r="G119" s="255" t="s">
        <v>3386</v>
      </c>
      <c r="H119" s="255" t="s">
        <v>3387</v>
      </c>
    </row>
    <row r="120" spans="1:8" ht="15" customHeight="1" x14ac:dyDescent="0.2">
      <c r="A120" s="41" t="s">
        <v>4819</v>
      </c>
      <c r="B120" s="274" t="s">
        <v>3854</v>
      </c>
      <c r="C120" s="255" t="s">
        <v>2155</v>
      </c>
      <c r="D120" s="255" t="s">
        <v>2154</v>
      </c>
      <c r="E120" s="255" t="s">
        <v>3415</v>
      </c>
      <c r="F120" s="255" t="s">
        <v>3385</v>
      </c>
      <c r="G120" s="255" t="s">
        <v>3386</v>
      </c>
      <c r="H120" s="255" t="s">
        <v>3387</v>
      </c>
    </row>
    <row r="121" spans="1:8" ht="15" customHeight="1" x14ac:dyDescent="0.2">
      <c r="A121" s="41" t="s">
        <v>4796</v>
      </c>
      <c r="B121" s="274" t="s">
        <v>3854</v>
      </c>
      <c r="C121" s="255" t="s">
        <v>2214</v>
      </c>
      <c r="D121" s="255" t="s">
        <v>3857</v>
      </c>
      <c r="E121" s="255" t="s">
        <v>3415</v>
      </c>
      <c r="F121" s="255" t="s">
        <v>3385</v>
      </c>
      <c r="G121" s="255" t="s">
        <v>3856</v>
      </c>
      <c r="H121" s="255" t="s">
        <v>3387</v>
      </c>
    </row>
    <row r="122" spans="1:8" ht="15" customHeight="1" x14ac:dyDescent="0.2">
      <c r="A122" s="41" t="s">
        <v>4816</v>
      </c>
      <c r="B122" s="274" t="s">
        <v>3854</v>
      </c>
      <c r="C122" s="255" t="s">
        <v>2023</v>
      </c>
      <c r="D122" s="255" t="s">
        <v>3867</v>
      </c>
      <c r="E122" s="255" t="s">
        <v>3415</v>
      </c>
      <c r="F122" s="255" t="s">
        <v>3385</v>
      </c>
      <c r="G122" s="255" t="s">
        <v>3386</v>
      </c>
      <c r="H122" s="255" t="s">
        <v>3387</v>
      </c>
    </row>
    <row r="123" spans="1:8" ht="15" customHeight="1" x14ac:dyDescent="0.2">
      <c r="A123" s="41" t="s">
        <v>4815</v>
      </c>
      <c r="B123" s="274" t="s">
        <v>3854</v>
      </c>
      <c r="C123" s="255" t="s">
        <v>1862</v>
      </c>
      <c r="D123" s="255" t="s">
        <v>3866</v>
      </c>
      <c r="E123" s="255" t="s">
        <v>3415</v>
      </c>
      <c r="F123" s="255" t="s">
        <v>3385</v>
      </c>
      <c r="G123" s="255" t="s">
        <v>3386</v>
      </c>
      <c r="H123" s="255" t="s">
        <v>3387</v>
      </c>
    </row>
    <row r="124" spans="1:8" ht="15" customHeight="1" x14ac:dyDescent="0.2">
      <c r="A124" s="41" t="s">
        <v>4792</v>
      </c>
      <c r="B124" s="274" t="s">
        <v>3854</v>
      </c>
      <c r="C124" s="255" t="s">
        <v>2133</v>
      </c>
      <c r="D124" s="255" t="s">
        <v>3855</v>
      </c>
      <c r="E124" s="255" t="s">
        <v>3415</v>
      </c>
      <c r="F124" s="255" t="s">
        <v>3385</v>
      </c>
      <c r="G124" s="255" t="s">
        <v>3856</v>
      </c>
      <c r="H124" s="255" t="s">
        <v>3387</v>
      </c>
    </row>
    <row r="125" spans="1:8" ht="15" customHeight="1" x14ac:dyDescent="0.2">
      <c r="A125" s="41" t="s">
        <v>4822</v>
      </c>
      <c r="B125" s="274" t="s">
        <v>3869</v>
      </c>
      <c r="C125" s="255" t="s">
        <v>2084</v>
      </c>
      <c r="D125" s="255" t="s">
        <v>2083</v>
      </c>
      <c r="E125" s="255" t="s">
        <v>3415</v>
      </c>
      <c r="F125" s="255" t="s">
        <v>3389</v>
      </c>
      <c r="G125" s="255" t="s">
        <v>3386</v>
      </c>
      <c r="H125" s="255" t="s">
        <v>3387</v>
      </c>
    </row>
    <row r="126" spans="1:8" ht="15" customHeight="1" x14ac:dyDescent="0.2">
      <c r="A126" s="41" t="s">
        <v>4030</v>
      </c>
      <c r="B126" s="274" t="s">
        <v>3419</v>
      </c>
      <c r="C126" s="255" t="s">
        <v>1900</v>
      </c>
      <c r="D126" s="255" t="s">
        <v>1899</v>
      </c>
      <c r="E126" s="255" t="s">
        <v>3403</v>
      </c>
      <c r="F126" s="255" t="s">
        <v>3385</v>
      </c>
      <c r="G126" s="255" t="s">
        <v>3386</v>
      </c>
      <c r="H126" s="255" t="s">
        <v>3387</v>
      </c>
    </row>
    <row r="127" spans="1:8" ht="15" customHeight="1" x14ac:dyDescent="0.2">
      <c r="A127" s="41" t="s">
        <v>4033</v>
      </c>
      <c r="B127" s="274" t="s">
        <v>3419</v>
      </c>
      <c r="C127" s="255" t="s">
        <v>2096</v>
      </c>
      <c r="D127" s="255" t="s">
        <v>2095</v>
      </c>
      <c r="E127" s="255" t="s">
        <v>3403</v>
      </c>
      <c r="F127" s="255" t="s">
        <v>3385</v>
      </c>
      <c r="G127" s="255" t="s">
        <v>3386</v>
      </c>
      <c r="H127" s="255" t="s">
        <v>3387</v>
      </c>
    </row>
    <row r="128" spans="1:8" ht="15" customHeight="1" x14ac:dyDescent="0.2">
      <c r="A128" s="41" t="s">
        <v>4010</v>
      </c>
      <c r="B128" s="274" t="s">
        <v>3419</v>
      </c>
      <c r="C128" s="255" t="s">
        <v>1853</v>
      </c>
      <c r="D128" s="255" t="s">
        <v>1852</v>
      </c>
      <c r="E128" s="255" t="s">
        <v>3403</v>
      </c>
      <c r="F128" s="255" t="s">
        <v>3385</v>
      </c>
      <c r="G128" s="255" t="s">
        <v>3386</v>
      </c>
      <c r="H128" s="255" t="s">
        <v>3387</v>
      </c>
    </row>
    <row r="129" spans="1:8" ht="15" customHeight="1" x14ac:dyDescent="0.2">
      <c r="A129" s="41" t="s">
        <v>4036</v>
      </c>
      <c r="B129" s="274" t="s">
        <v>3419</v>
      </c>
      <c r="C129" s="255" t="s">
        <v>1979</v>
      </c>
      <c r="D129" s="255" t="s">
        <v>1978</v>
      </c>
      <c r="E129" s="255" t="s">
        <v>3403</v>
      </c>
      <c r="F129" s="255" t="s">
        <v>3385</v>
      </c>
      <c r="G129" s="255" t="s">
        <v>3386</v>
      </c>
      <c r="H129" s="255" t="s">
        <v>3387</v>
      </c>
    </row>
    <row r="130" spans="1:8" ht="15" customHeight="1" x14ac:dyDescent="0.2">
      <c r="A130" s="41" t="s">
        <v>4014</v>
      </c>
      <c r="B130" s="274" t="s">
        <v>3419</v>
      </c>
      <c r="C130" s="255" t="s">
        <v>1859</v>
      </c>
      <c r="D130" s="255" t="s">
        <v>1858</v>
      </c>
      <c r="E130" s="255" t="s">
        <v>3403</v>
      </c>
      <c r="F130" s="255" t="s">
        <v>3389</v>
      </c>
      <c r="G130" s="255" t="s">
        <v>3386</v>
      </c>
      <c r="H130" s="255" t="s">
        <v>3387</v>
      </c>
    </row>
    <row r="131" spans="1:8" ht="15" customHeight="1" x14ac:dyDescent="0.2">
      <c r="A131" s="41" t="s">
        <v>4038</v>
      </c>
      <c r="B131" s="274" t="s">
        <v>3419</v>
      </c>
      <c r="C131" s="255" t="s">
        <v>1902</v>
      </c>
      <c r="D131" s="255" t="s">
        <v>1901</v>
      </c>
      <c r="E131" s="255" t="s">
        <v>3403</v>
      </c>
      <c r="F131" s="255" t="s">
        <v>3385</v>
      </c>
      <c r="G131" s="255" t="s">
        <v>3386</v>
      </c>
      <c r="H131" s="255" t="s">
        <v>3387</v>
      </c>
    </row>
    <row r="132" spans="1:8" ht="15" customHeight="1" x14ac:dyDescent="0.2">
      <c r="A132" s="41" t="s">
        <v>4028</v>
      </c>
      <c r="B132" s="274" t="s">
        <v>3419</v>
      </c>
      <c r="C132" s="255" t="s">
        <v>1947</v>
      </c>
      <c r="D132" s="255" t="s">
        <v>1946</v>
      </c>
      <c r="E132" s="255" t="s">
        <v>3403</v>
      </c>
      <c r="F132" s="255" t="s">
        <v>3389</v>
      </c>
      <c r="G132" s="255" t="s">
        <v>3386</v>
      </c>
      <c r="H132" s="255" t="s">
        <v>3387</v>
      </c>
    </row>
    <row r="133" spans="1:8" ht="15" customHeight="1" x14ac:dyDescent="0.2">
      <c r="A133" s="41" t="s">
        <v>4037</v>
      </c>
      <c r="B133" s="274" t="s">
        <v>3419</v>
      </c>
      <c r="C133" s="255" t="s">
        <v>2013</v>
      </c>
      <c r="D133" s="255" t="s">
        <v>3427</v>
      </c>
      <c r="E133" s="255" t="s">
        <v>3415</v>
      </c>
      <c r="F133" s="255" t="s">
        <v>3389</v>
      </c>
      <c r="G133" s="255" t="s">
        <v>3386</v>
      </c>
      <c r="H133" s="255" t="s">
        <v>3387</v>
      </c>
    </row>
    <row r="134" spans="1:8" ht="15" customHeight="1" x14ac:dyDescent="0.2">
      <c r="A134" s="41" t="s">
        <v>4011</v>
      </c>
      <c r="B134" s="274" t="s">
        <v>3419</v>
      </c>
      <c r="C134" s="255" t="s">
        <v>2156</v>
      </c>
      <c r="D134" s="255" t="s">
        <v>3422</v>
      </c>
      <c r="E134" s="255" t="s">
        <v>3403</v>
      </c>
      <c r="F134" s="255" t="s">
        <v>3385</v>
      </c>
      <c r="G134" s="255" t="s">
        <v>3386</v>
      </c>
      <c r="H134" s="255" t="s">
        <v>3387</v>
      </c>
    </row>
    <row r="135" spans="1:8" ht="15" customHeight="1" x14ac:dyDescent="0.2">
      <c r="A135" s="41" t="s">
        <v>4012</v>
      </c>
      <c r="B135" s="274" t="s">
        <v>3419</v>
      </c>
      <c r="C135" s="255" t="s">
        <v>1908</v>
      </c>
      <c r="D135" s="255" t="s">
        <v>3423</v>
      </c>
      <c r="E135" s="255" t="s">
        <v>3403</v>
      </c>
      <c r="F135" s="255" t="s">
        <v>3385</v>
      </c>
      <c r="G135" s="255" t="s">
        <v>3386</v>
      </c>
      <c r="H135" s="255" t="s">
        <v>3387</v>
      </c>
    </row>
    <row r="136" spans="1:8" ht="15" customHeight="1" x14ac:dyDescent="0.2">
      <c r="A136" s="41" t="s">
        <v>4015</v>
      </c>
      <c r="B136" s="274" t="s">
        <v>3419</v>
      </c>
      <c r="C136" s="255" t="s">
        <v>1909</v>
      </c>
      <c r="D136" s="255" t="s">
        <v>3425</v>
      </c>
      <c r="E136" s="255" t="s">
        <v>3403</v>
      </c>
      <c r="F136" s="255" t="s">
        <v>3385</v>
      </c>
      <c r="G136" s="255" t="s">
        <v>3386</v>
      </c>
      <c r="H136" s="255" t="s">
        <v>3387</v>
      </c>
    </row>
    <row r="137" spans="1:8" ht="15" customHeight="1" x14ac:dyDescent="0.2">
      <c r="A137" s="41" t="s">
        <v>4013</v>
      </c>
      <c r="B137" s="274" t="s">
        <v>3419</v>
      </c>
      <c r="C137" s="255" t="s">
        <v>1973</v>
      </c>
      <c r="D137" s="255" t="s">
        <v>3424</v>
      </c>
      <c r="E137" s="255" t="s">
        <v>3403</v>
      </c>
      <c r="F137" s="255" t="s">
        <v>3385</v>
      </c>
      <c r="G137" s="255" t="s">
        <v>3386</v>
      </c>
      <c r="H137" s="255" t="s">
        <v>3387</v>
      </c>
    </row>
    <row r="138" spans="1:8" ht="15" customHeight="1" x14ac:dyDescent="0.2">
      <c r="A138" s="41" t="s">
        <v>4016</v>
      </c>
      <c r="B138" s="274" t="s">
        <v>3419</v>
      </c>
      <c r="C138" s="255" t="s">
        <v>2061</v>
      </c>
      <c r="D138" s="255" t="s">
        <v>3426</v>
      </c>
      <c r="E138" s="255" t="s">
        <v>3403</v>
      </c>
      <c r="F138" s="255" t="s">
        <v>3385</v>
      </c>
      <c r="G138" s="255" t="s">
        <v>3386</v>
      </c>
      <c r="H138" s="255" t="s">
        <v>3387</v>
      </c>
    </row>
    <row r="139" spans="1:8" ht="15" customHeight="1" x14ac:dyDescent="0.2">
      <c r="A139" s="41" t="s">
        <v>3997</v>
      </c>
      <c r="B139" s="274" t="s">
        <v>3418</v>
      </c>
      <c r="C139" s="255" t="s">
        <v>1834</v>
      </c>
      <c r="D139" s="255" t="s">
        <v>1833</v>
      </c>
      <c r="E139" s="255" t="s">
        <v>3384</v>
      </c>
      <c r="F139" s="255" t="s">
        <v>3385</v>
      </c>
      <c r="G139" s="255" t="s">
        <v>3386</v>
      </c>
      <c r="H139" s="255" t="s">
        <v>3387</v>
      </c>
    </row>
    <row r="140" spans="1:8" ht="15" customHeight="1" x14ac:dyDescent="0.2">
      <c r="A140" s="41" t="s">
        <v>4007</v>
      </c>
      <c r="B140" s="274" t="s">
        <v>3419</v>
      </c>
      <c r="C140" s="255" t="s">
        <v>1838</v>
      </c>
      <c r="D140" s="255" t="s">
        <v>1837</v>
      </c>
      <c r="E140" s="255" t="s">
        <v>3403</v>
      </c>
      <c r="F140" s="255" t="s">
        <v>3385</v>
      </c>
      <c r="G140" s="255" t="s">
        <v>3386</v>
      </c>
      <c r="H140" s="255" t="s">
        <v>3387</v>
      </c>
    </row>
    <row r="141" spans="1:8" ht="15" customHeight="1" x14ac:dyDescent="0.2">
      <c r="A141" s="41" t="s">
        <v>4000</v>
      </c>
      <c r="B141" s="274" t="s">
        <v>3419</v>
      </c>
      <c r="C141" s="255" t="s">
        <v>1916</v>
      </c>
      <c r="D141" s="255" t="s">
        <v>1915</v>
      </c>
      <c r="E141" s="255" t="s">
        <v>3403</v>
      </c>
      <c r="F141" s="255" t="s">
        <v>3385</v>
      </c>
      <c r="G141" s="255" t="s">
        <v>3386</v>
      </c>
      <c r="H141" s="255" t="s">
        <v>3387</v>
      </c>
    </row>
    <row r="142" spans="1:8" ht="15" customHeight="1" x14ac:dyDescent="0.2">
      <c r="A142" s="41" t="s">
        <v>4031</v>
      </c>
      <c r="B142" s="274" t="s">
        <v>3419</v>
      </c>
      <c r="C142" s="255" t="s">
        <v>2141</v>
      </c>
      <c r="D142" s="255" t="s">
        <v>2140</v>
      </c>
      <c r="E142" s="255" t="s">
        <v>3403</v>
      </c>
      <c r="F142" s="255" t="s">
        <v>3385</v>
      </c>
      <c r="G142" s="255" t="s">
        <v>3386</v>
      </c>
      <c r="H142" s="255" t="s">
        <v>3387</v>
      </c>
    </row>
    <row r="143" spans="1:8" ht="15" customHeight="1" x14ac:dyDescent="0.2">
      <c r="A143" s="41" t="s">
        <v>4035</v>
      </c>
      <c r="B143" s="274" t="s">
        <v>3419</v>
      </c>
      <c r="C143" s="255" t="s">
        <v>2476</v>
      </c>
      <c r="D143" s="255" t="s">
        <v>2475</v>
      </c>
      <c r="E143" s="255" t="s">
        <v>3403</v>
      </c>
      <c r="F143" s="255" t="s">
        <v>3389</v>
      </c>
      <c r="G143" s="255" t="s">
        <v>3386</v>
      </c>
      <c r="H143" s="255" t="s">
        <v>3387</v>
      </c>
    </row>
    <row r="144" spans="1:8" ht="15" customHeight="1" x14ac:dyDescent="0.2">
      <c r="A144" s="41" t="s">
        <v>4009</v>
      </c>
      <c r="B144" s="274" t="s">
        <v>3419</v>
      </c>
      <c r="C144" s="255" t="s">
        <v>1896</v>
      </c>
      <c r="D144" s="255" t="s">
        <v>1895</v>
      </c>
      <c r="E144" s="255" t="s">
        <v>3403</v>
      </c>
      <c r="F144" s="255" t="s">
        <v>3385</v>
      </c>
      <c r="G144" s="255" t="s">
        <v>3386</v>
      </c>
      <c r="H144" s="255" t="s">
        <v>3387</v>
      </c>
    </row>
    <row r="145" spans="1:8" ht="15" customHeight="1" x14ac:dyDescent="0.2">
      <c r="A145" s="41" t="s">
        <v>4008</v>
      </c>
      <c r="B145" s="274" t="s">
        <v>3419</v>
      </c>
      <c r="C145" s="255" t="s">
        <v>1912</v>
      </c>
      <c r="D145" s="255" t="s">
        <v>3421</v>
      </c>
      <c r="E145" s="255" t="s">
        <v>3403</v>
      </c>
      <c r="F145" s="255" t="s">
        <v>3385</v>
      </c>
      <c r="G145" s="255" t="s">
        <v>3386</v>
      </c>
      <c r="H145" s="255" t="s">
        <v>3387</v>
      </c>
    </row>
    <row r="146" spans="1:8" ht="15" customHeight="1" x14ac:dyDescent="0.2">
      <c r="A146" s="41" t="s">
        <v>4004</v>
      </c>
      <c r="B146" s="274" t="s">
        <v>3419</v>
      </c>
      <c r="C146" s="255" t="s">
        <v>1919</v>
      </c>
      <c r="D146" s="255" t="s">
        <v>1918</v>
      </c>
      <c r="E146" s="255" t="s">
        <v>3403</v>
      </c>
      <c r="F146" s="255" t="s">
        <v>3385</v>
      </c>
      <c r="G146" s="255" t="s">
        <v>3386</v>
      </c>
      <c r="H146" s="255" t="s">
        <v>3387</v>
      </c>
    </row>
    <row r="147" spans="1:8" ht="15" customHeight="1" x14ac:dyDescent="0.2">
      <c r="A147" s="41" t="s">
        <v>4005</v>
      </c>
      <c r="B147" s="274" t="s">
        <v>3419</v>
      </c>
      <c r="C147" s="255" t="s">
        <v>2025</v>
      </c>
      <c r="D147" s="255" t="s">
        <v>2024</v>
      </c>
      <c r="E147" s="255" t="s">
        <v>3403</v>
      </c>
      <c r="F147" s="255" t="s">
        <v>3385</v>
      </c>
      <c r="G147" s="255" t="s">
        <v>3386</v>
      </c>
      <c r="H147" s="255" t="s">
        <v>3387</v>
      </c>
    </row>
    <row r="148" spans="1:8" ht="15" customHeight="1" x14ac:dyDescent="0.2">
      <c r="A148" s="41" t="s">
        <v>4003</v>
      </c>
      <c r="B148" s="274" t="s">
        <v>3419</v>
      </c>
      <c r="C148" s="255" t="s">
        <v>1890</v>
      </c>
      <c r="D148" s="255" t="s">
        <v>1889</v>
      </c>
      <c r="E148" s="255" t="s">
        <v>3403</v>
      </c>
      <c r="F148" s="255" t="s">
        <v>3385</v>
      </c>
      <c r="G148" s="255" t="s">
        <v>3386</v>
      </c>
      <c r="H148" s="255" t="s">
        <v>3387</v>
      </c>
    </row>
    <row r="149" spans="1:8" ht="15" customHeight="1" x14ac:dyDescent="0.2">
      <c r="A149" s="41" t="s">
        <v>4006</v>
      </c>
      <c r="B149" s="274" t="s">
        <v>3419</v>
      </c>
      <c r="C149" s="255" t="s">
        <v>2029</v>
      </c>
      <c r="D149" s="255" t="s">
        <v>2028</v>
      </c>
      <c r="E149" s="255" t="s">
        <v>3403</v>
      </c>
      <c r="F149" s="255" t="s">
        <v>3389</v>
      </c>
      <c r="G149" s="255" t="s">
        <v>3386</v>
      </c>
      <c r="H149" s="255" t="s">
        <v>3387</v>
      </c>
    </row>
    <row r="150" spans="1:8" ht="15" customHeight="1" x14ac:dyDescent="0.2">
      <c r="A150" s="41" t="s">
        <v>4001</v>
      </c>
      <c r="B150" s="274" t="s">
        <v>3419</v>
      </c>
      <c r="C150" s="255" t="s">
        <v>2027</v>
      </c>
      <c r="D150" s="255" t="s">
        <v>2026</v>
      </c>
      <c r="E150" s="255" t="s">
        <v>3384</v>
      </c>
      <c r="F150" s="255" t="s">
        <v>3389</v>
      </c>
      <c r="G150" s="255" t="s">
        <v>3386</v>
      </c>
      <c r="H150" s="255" t="s">
        <v>3387</v>
      </c>
    </row>
    <row r="151" spans="1:8" ht="15" customHeight="1" x14ac:dyDescent="0.2">
      <c r="A151" s="41" t="s">
        <v>4034</v>
      </c>
      <c r="B151" s="274" t="s">
        <v>3419</v>
      </c>
      <c r="C151" s="255" t="s">
        <v>2030</v>
      </c>
      <c r="D151" s="255" t="s">
        <v>1956</v>
      </c>
      <c r="E151" s="255" t="s">
        <v>3415</v>
      </c>
      <c r="F151" s="255" t="s">
        <v>3389</v>
      </c>
      <c r="G151" s="255" t="s">
        <v>3386</v>
      </c>
      <c r="H151" s="255" t="s">
        <v>3387</v>
      </c>
    </row>
    <row r="152" spans="1:8" ht="15" customHeight="1" x14ac:dyDescent="0.2">
      <c r="A152" s="41" t="s">
        <v>4029</v>
      </c>
      <c r="B152" s="274" t="s">
        <v>3419</v>
      </c>
      <c r="C152" s="255" t="s">
        <v>1957</v>
      </c>
      <c r="D152" s="255" t="s">
        <v>1956</v>
      </c>
      <c r="E152" s="255" t="s">
        <v>3403</v>
      </c>
      <c r="F152" s="255" t="s">
        <v>3389</v>
      </c>
      <c r="G152" s="255" t="s">
        <v>3386</v>
      </c>
      <c r="H152" s="255" t="s">
        <v>3387</v>
      </c>
    </row>
    <row r="153" spans="1:8" ht="15" customHeight="1" x14ac:dyDescent="0.2">
      <c r="A153" s="41" t="s">
        <v>4032</v>
      </c>
      <c r="B153" s="274" t="s">
        <v>3419</v>
      </c>
      <c r="C153" s="255" t="s">
        <v>2151</v>
      </c>
      <c r="D153" s="255" t="s">
        <v>2150</v>
      </c>
      <c r="E153" s="255" t="s">
        <v>3384</v>
      </c>
      <c r="F153" s="255" t="s">
        <v>3385</v>
      </c>
      <c r="G153" s="255" t="s">
        <v>3386</v>
      </c>
      <c r="H153" s="255" t="s">
        <v>3387</v>
      </c>
    </row>
    <row r="154" spans="1:8" ht="15" customHeight="1" x14ac:dyDescent="0.2">
      <c r="A154" s="41" t="s">
        <v>4802</v>
      </c>
      <c r="B154" s="274" t="s">
        <v>3854</v>
      </c>
      <c r="C154" s="255" t="s">
        <v>2648</v>
      </c>
      <c r="D154" s="255" t="s">
        <v>2647</v>
      </c>
      <c r="E154" s="255" t="s">
        <v>3415</v>
      </c>
      <c r="F154" s="255" t="s">
        <v>3389</v>
      </c>
      <c r="G154" s="255" t="s">
        <v>3386</v>
      </c>
      <c r="H154" s="255" t="s">
        <v>3387</v>
      </c>
    </row>
    <row r="155" spans="1:8" ht="15" customHeight="1" x14ac:dyDescent="0.2">
      <c r="A155" s="41" t="s">
        <v>4764</v>
      </c>
      <c r="B155" s="274" t="s">
        <v>3826</v>
      </c>
      <c r="C155" s="255" t="s">
        <v>3326</v>
      </c>
      <c r="D155" s="255" t="s">
        <v>3841</v>
      </c>
      <c r="E155" s="255" t="s">
        <v>3403</v>
      </c>
      <c r="F155" s="255" t="s">
        <v>3406</v>
      </c>
      <c r="G155" s="255" t="s">
        <v>3828</v>
      </c>
      <c r="H155" s="255" t="s">
        <v>3387</v>
      </c>
    </row>
    <row r="156" spans="1:8" ht="15" customHeight="1" x14ac:dyDescent="0.2">
      <c r="A156" s="41" t="s">
        <v>4765</v>
      </c>
      <c r="B156" s="274" t="s">
        <v>3826</v>
      </c>
      <c r="C156" s="255" t="s">
        <v>3327</v>
      </c>
      <c r="D156" s="255" t="s">
        <v>3842</v>
      </c>
      <c r="E156" s="255" t="s">
        <v>3403</v>
      </c>
      <c r="F156" s="255" t="s">
        <v>3406</v>
      </c>
      <c r="G156" s="255" t="s">
        <v>3828</v>
      </c>
      <c r="H156" s="255" t="s">
        <v>3387</v>
      </c>
    </row>
    <row r="157" spans="1:8" ht="15" customHeight="1" x14ac:dyDescent="0.2">
      <c r="A157" s="41" t="s">
        <v>4756</v>
      </c>
      <c r="B157" s="274" t="s">
        <v>3826</v>
      </c>
      <c r="C157" s="255" t="s">
        <v>3318</v>
      </c>
      <c r="D157" s="255" t="s">
        <v>3833</v>
      </c>
      <c r="E157" s="255" t="s">
        <v>3403</v>
      </c>
      <c r="F157" s="255" t="s">
        <v>3406</v>
      </c>
      <c r="G157" s="255" t="s">
        <v>3828</v>
      </c>
      <c r="H157" s="255" t="s">
        <v>3387</v>
      </c>
    </row>
    <row r="158" spans="1:8" ht="15" customHeight="1" x14ac:dyDescent="0.2">
      <c r="A158" s="41" t="s">
        <v>4763</v>
      </c>
      <c r="B158" s="274" t="s">
        <v>3826</v>
      </c>
      <c r="C158" s="255" t="s">
        <v>3325</v>
      </c>
      <c r="D158" s="255" t="s">
        <v>3840</v>
      </c>
      <c r="E158" s="255" t="s">
        <v>3403</v>
      </c>
      <c r="F158" s="255" t="s">
        <v>3406</v>
      </c>
      <c r="G158" s="255" t="s">
        <v>3828</v>
      </c>
      <c r="H158" s="255" t="s">
        <v>3387</v>
      </c>
    </row>
    <row r="159" spans="1:8" ht="15" customHeight="1" x14ac:dyDescent="0.2">
      <c r="A159" s="41" t="s">
        <v>4753</v>
      </c>
      <c r="B159" s="274" t="s">
        <v>3826</v>
      </c>
      <c r="C159" s="255" t="s">
        <v>3315</v>
      </c>
      <c r="D159" s="255" t="s">
        <v>3830</v>
      </c>
      <c r="E159" s="255" t="s">
        <v>3403</v>
      </c>
      <c r="F159" s="255" t="s">
        <v>3406</v>
      </c>
      <c r="G159" s="255" t="s">
        <v>3828</v>
      </c>
      <c r="H159" s="255" t="s">
        <v>3387</v>
      </c>
    </row>
    <row r="160" spans="1:8" ht="15" customHeight="1" x14ac:dyDescent="0.2">
      <c r="A160" s="41" t="s">
        <v>4757</v>
      </c>
      <c r="B160" s="274" t="s">
        <v>3826</v>
      </c>
      <c r="C160" s="255" t="s">
        <v>3319</v>
      </c>
      <c r="D160" s="255" t="s">
        <v>3834</v>
      </c>
      <c r="E160" s="255" t="s">
        <v>3403</v>
      </c>
      <c r="F160" s="255" t="s">
        <v>3406</v>
      </c>
      <c r="G160" s="255" t="s">
        <v>3828</v>
      </c>
      <c r="H160" s="255" t="s">
        <v>3387</v>
      </c>
    </row>
    <row r="161" spans="1:8" ht="15" customHeight="1" x14ac:dyDescent="0.2">
      <c r="A161" s="41" t="s">
        <v>4751</v>
      </c>
      <c r="B161" s="274" t="s">
        <v>3826</v>
      </c>
      <c r="C161" s="255" t="s">
        <v>3313</v>
      </c>
      <c r="D161" s="255" t="s">
        <v>3827</v>
      </c>
      <c r="E161" s="255" t="s">
        <v>3403</v>
      </c>
      <c r="F161" s="255" t="s">
        <v>3406</v>
      </c>
      <c r="G161" s="255" t="s">
        <v>3828</v>
      </c>
      <c r="H161" s="255" t="s">
        <v>3387</v>
      </c>
    </row>
    <row r="162" spans="1:8" ht="15" customHeight="1" x14ac:dyDescent="0.2">
      <c r="A162" s="41" t="s">
        <v>4761</v>
      </c>
      <c r="B162" s="274" t="s">
        <v>3826</v>
      </c>
      <c r="C162" s="255" t="s">
        <v>3323</v>
      </c>
      <c r="D162" s="255" t="s">
        <v>3838</v>
      </c>
      <c r="E162" s="255" t="s">
        <v>3403</v>
      </c>
      <c r="F162" s="255" t="s">
        <v>3406</v>
      </c>
      <c r="G162" s="255" t="s">
        <v>3828</v>
      </c>
      <c r="H162" s="255" t="s">
        <v>3387</v>
      </c>
    </row>
    <row r="163" spans="1:8" ht="15" customHeight="1" x14ac:dyDescent="0.2">
      <c r="A163" s="41" t="s">
        <v>4760</v>
      </c>
      <c r="B163" s="274" t="s">
        <v>3826</v>
      </c>
      <c r="C163" s="255" t="s">
        <v>3322</v>
      </c>
      <c r="D163" s="255" t="s">
        <v>3837</v>
      </c>
      <c r="E163" s="255" t="s">
        <v>3403</v>
      </c>
      <c r="F163" s="255" t="s">
        <v>3406</v>
      </c>
      <c r="G163" s="255" t="s">
        <v>3828</v>
      </c>
      <c r="H163" s="255" t="s">
        <v>3387</v>
      </c>
    </row>
    <row r="164" spans="1:8" ht="15" customHeight="1" x14ac:dyDescent="0.2">
      <c r="A164" s="41" t="s">
        <v>4758</v>
      </c>
      <c r="B164" s="274" t="s">
        <v>3826</v>
      </c>
      <c r="C164" s="255" t="s">
        <v>3320</v>
      </c>
      <c r="D164" s="255" t="s">
        <v>3835</v>
      </c>
      <c r="E164" s="255" t="s">
        <v>3403</v>
      </c>
      <c r="F164" s="255" t="s">
        <v>3406</v>
      </c>
      <c r="G164" s="255" t="s">
        <v>3828</v>
      </c>
      <c r="H164" s="255" t="s">
        <v>3387</v>
      </c>
    </row>
    <row r="165" spans="1:8" ht="15" customHeight="1" x14ac:dyDescent="0.2">
      <c r="A165" s="41" t="s">
        <v>4762</v>
      </c>
      <c r="B165" s="274" t="s">
        <v>3826</v>
      </c>
      <c r="C165" s="255" t="s">
        <v>3324</v>
      </c>
      <c r="D165" s="255" t="s">
        <v>3839</v>
      </c>
      <c r="E165" s="255" t="s">
        <v>3403</v>
      </c>
      <c r="F165" s="255" t="s">
        <v>3406</v>
      </c>
      <c r="G165" s="255" t="s">
        <v>3828</v>
      </c>
      <c r="H165" s="255" t="s">
        <v>3387</v>
      </c>
    </row>
    <row r="166" spans="1:8" ht="15" customHeight="1" x14ac:dyDescent="0.2">
      <c r="A166" s="41" t="s">
        <v>4759</v>
      </c>
      <c r="B166" s="274" t="s">
        <v>3826</v>
      </c>
      <c r="C166" s="255" t="s">
        <v>3321</v>
      </c>
      <c r="D166" s="255" t="s">
        <v>3836</v>
      </c>
      <c r="E166" s="255" t="s">
        <v>3403</v>
      </c>
      <c r="F166" s="255" t="s">
        <v>3406</v>
      </c>
      <c r="G166" s="255" t="s">
        <v>3828</v>
      </c>
      <c r="H166" s="255" t="s">
        <v>3387</v>
      </c>
    </row>
    <row r="167" spans="1:8" ht="15" customHeight="1" x14ac:dyDescent="0.2">
      <c r="A167" s="41" t="s">
        <v>4754</v>
      </c>
      <c r="B167" s="274" t="s">
        <v>3826</v>
      </c>
      <c r="C167" s="255" t="s">
        <v>3316</v>
      </c>
      <c r="D167" s="255" t="s">
        <v>3831</v>
      </c>
      <c r="E167" s="255" t="s">
        <v>3403</v>
      </c>
      <c r="F167" s="255" t="s">
        <v>3406</v>
      </c>
      <c r="G167" s="255" t="s">
        <v>3828</v>
      </c>
      <c r="H167" s="255" t="s">
        <v>3387</v>
      </c>
    </row>
    <row r="168" spans="1:8" ht="15" customHeight="1" x14ac:dyDescent="0.2">
      <c r="A168" s="41" t="s">
        <v>4755</v>
      </c>
      <c r="B168" s="274" t="s">
        <v>3826</v>
      </c>
      <c r="C168" s="255" t="s">
        <v>3317</v>
      </c>
      <c r="D168" s="255" t="s">
        <v>3832</v>
      </c>
      <c r="E168" s="255" t="s">
        <v>3403</v>
      </c>
      <c r="F168" s="255" t="s">
        <v>3406</v>
      </c>
      <c r="G168" s="255" t="s">
        <v>3828</v>
      </c>
      <c r="H168" s="255" t="s">
        <v>3387</v>
      </c>
    </row>
    <row r="169" spans="1:8" ht="15" customHeight="1" x14ac:dyDescent="0.2">
      <c r="A169" s="41" t="s">
        <v>4752</v>
      </c>
      <c r="B169" s="274" t="s">
        <v>3826</v>
      </c>
      <c r="C169" s="255" t="s">
        <v>3314</v>
      </c>
      <c r="D169" s="255" t="s">
        <v>3829</v>
      </c>
      <c r="E169" s="255" t="s">
        <v>3403</v>
      </c>
      <c r="F169" s="255" t="s">
        <v>3406</v>
      </c>
      <c r="G169" s="255" t="s">
        <v>3828</v>
      </c>
      <c r="H169" s="255" t="s">
        <v>3387</v>
      </c>
    </row>
    <row r="170" spans="1:8" ht="15" customHeight="1" x14ac:dyDescent="0.2">
      <c r="A170" s="41" t="s">
        <v>4820</v>
      </c>
      <c r="B170" s="274" t="s">
        <v>3869</v>
      </c>
      <c r="C170" s="255" t="s">
        <v>2860</v>
      </c>
      <c r="D170" s="255" t="s">
        <v>2859</v>
      </c>
      <c r="E170" s="255" t="s">
        <v>3415</v>
      </c>
      <c r="F170" s="255" t="s">
        <v>3389</v>
      </c>
      <c r="G170" s="255" t="s">
        <v>3386</v>
      </c>
      <c r="H170" s="255" t="s">
        <v>3387</v>
      </c>
    </row>
    <row r="171" spans="1:8" ht="15" customHeight="1" x14ac:dyDescent="0.2">
      <c r="A171" s="41" t="s">
        <v>4797</v>
      </c>
      <c r="B171" s="274" t="s">
        <v>3854</v>
      </c>
      <c r="C171" s="255" t="s">
        <v>2000</v>
      </c>
      <c r="D171" s="255" t="s">
        <v>1999</v>
      </c>
      <c r="E171" s="255" t="s">
        <v>3420</v>
      </c>
      <c r="F171" s="255" t="s">
        <v>3385</v>
      </c>
      <c r="G171" s="255" t="s">
        <v>3858</v>
      </c>
      <c r="H171" s="255" t="s">
        <v>3392</v>
      </c>
    </row>
    <row r="172" spans="1:8" ht="15" customHeight="1" x14ac:dyDescent="0.2">
      <c r="A172" s="41" t="s">
        <v>4818</v>
      </c>
      <c r="B172" s="274" t="s">
        <v>3854</v>
      </c>
      <c r="C172" s="255" t="s">
        <v>2651</v>
      </c>
      <c r="D172" s="255" t="s">
        <v>2650</v>
      </c>
      <c r="E172" s="255" t="s">
        <v>3415</v>
      </c>
      <c r="F172" s="255" t="s">
        <v>3389</v>
      </c>
      <c r="G172" s="255" t="s">
        <v>3386</v>
      </c>
      <c r="H172" s="255" t="s">
        <v>3387</v>
      </c>
    </row>
    <row r="173" spans="1:8" ht="15" customHeight="1" x14ac:dyDescent="0.2">
      <c r="A173" s="41" t="s">
        <v>4087</v>
      </c>
      <c r="B173" s="274" t="s">
        <v>3464</v>
      </c>
      <c r="C173" s="255" t="s">
        <v>2565</v>
      </c>
      <c r="D173" s="255" t="s">
        <v>2564</v>
      </c>
      <c r="E173" s="255" t="s">
        <v>3420</v>
      </c>
      <c r="F173" s="255" t="s">
        <v>3389</v>
      </c>
      <c r="G173" s="255" t="s">
        <v>3386</v>
      </c>
      <c r="H173" s="255" t="s">
        <v>3387</v>
      </c>
    </row>
    <row r="174" spans="1:8" ht="15" customHeight="1" x14ac:dyDescent="0.2">
      <c r="A174" s="41" t="s">
        <v>4870</v>
      </c>
      <c r="B174" s="274" t="s">
        <v>3886</v>
      </c>
      <c r="C174" s="255" t="s">
        <v>2008</v>
      </c>
      <c r="D174" s="255" t="s">
        <v>2007</v>
      </c>
      <c r="E174" s="255" t="s">
        <v>3415</v>
      </c>
      <c r="F174" s="255" t="s">
        <v>3389</v>
      </c>
      <c r="G174" s="255" t="s">
        <v>3386</v>
      </c>
      <c r="H174" s="255" t="s">
        <v>3392</v>
      </c>
    </row>
    <row r="175" spans="1:8" ht="15" customHeight="1" x14ac:dyDescent="0.2">
      <c r="A175" s="41" t="s">
        <v>4869</v>
      </c>
      <c r="B175" s="274" t="s">
        <v>3869</v>
      </c>
      <c r="C175" s="255" t="s">
        <v>2304</v>
      </c>
      <c r="D175" s="255" t="s">
        <v>3885</v>
      </c>
      <c r="E175" s="255" t="s">
        <v>3884</v>
      </c>
      <c r="F175" s="255" t="s">
        <v>3389</v>
      </c>
      <c r="G175" s="255" t="s">
        <v>3386</v>
      </c>
      <c r="H175" s="255" t="s">
        <v>3387</v>
      </c>
    </row>
    <row r="176" spans="1:8" ht="15" customHeight="1" x14ac:dyDescent="0.2">
      <c r="A176" s="41" t="s">
        <v>4868</v>
      </c>
      <c r="B176" s="274" t="s">
        <v>3869</v>
      </c>
      <c r="C176" s="255" t="s">
        <v>2092</v>
      </c>
      <c r="D176" s="255" t="s">
        <v>3883</v>
      </c>
      <c r="E176" s="255" t="s">
        <v>3884</v>
      </c>
      <c r="F176" s="255" t="s">
        <v>3389</v>
      </c>
      <c r="G176" s="255" t="s">
        <v>3386</v>
      </c>
      <c r="H176" s="255" t="s">
        <v>3387</v>
      </c>
    </row>
    <row r="177" spans="1:8" ht="15" customHeight="1" x14ac:dyDescent="0.2">
      <c r="A177" s="41" t="s">
        <v>4082</v>
      </c>
      <c r="B177" s="274" t="s">
        <v>3457</v>
      </c>
      <c r="C177" s="255" t="s">
        <v>2209</v>
      </c>
      <c r="D177" s="255" t="s">
        <v>2208</v>
      </c>
      <c r="E177" s="255" t="s">
        <v>3415</v>
      </c>
      <c r="F177" s="255" t="s">
        <v>3389</v>
      </c>
      <c r="G177" s="255" t="s">
        <v>3386</v>
      </c>
      <c r="H177" s="255" t="s">
        <v>3387</v>
      </c>
    </row>
    <row r="178" spans="1:8" ht="15" customHeight="1" x14ac:dyDescent="0.2">
      <c r="A178" s="41" t="s">
        <v>4782</v>
      </c>
      <c r="B178" s="274" t="s">
        <v>3844</v>
      </c>
      <c r="C178" s="255" t="s">
        <v>2643</v>
      </c>
      <c r="D178" s="255" t="s">
        <v>2642</v>
      </c>
      <c r="E178" s="255" t="s">
        <v>3420</v>
      </c>
      <c r="F178" s="255" t="s">
        <v>3389</v>
      </c>
      <c r="G178" s="255" t="s">
        <v>3386</v>
      </c>
      <c r="H178" s="255" t="s">
        <v>3387</v>
      </c>
    </row>
    <row r="179" spans="1:8" ht="15" customHeight="1" x14ac:dyDescent="0.2">
      <c r="A179" s="41" t="s">
        <v>3990</v>
      </c>
      <c r="B179" s="274" t="s">
        <v>3413</v>
      </c>
      <c r="C179" s="255" t="s">
        <v>1945</v>
      </c>
      <c r="D179" s="255" t="s">
        <v>3414</v>
      </c>
      <c r="E179" s="255" t="s">
        <v>3415</v>
      </c>
      <c r="F179" s="255" t="s">
        <v>3385</v>
      </c>
      <c r="G179" s="255" t="s">
        <v>3386</v>
      </c>
      <c r="H179" s="255" t="s">
        <v>3387</v>
      </c>
    </row>
    <row r="180" spans="1:8" ht="15" customHeight="1" x14ac:dyDescent="0.2">
      <c r="A180" s="41" t="s">
        <v>4039</v>
      </c>
      <c r="B180" s="274" t="s">
        <v>3428</v>
      </c>
      <c r="C180" s="255" t="s">
        <v>1965</v>
      </c>
      <c r="D180" s="255" t="s">
        <v>3429</v>
      </c>
      <c r="E180" s="255" t="s">
        <v>3403</v>
      </c>
      <c r="F180" s="255" t="s">
        <v>3385</v>
      </c>
      <c r="G180" s="255" t="s">
        <v>3386</v>
      </c>
      <c r="H180" s="255" t="s">
        <v>3387</v>
      </c>
    </row>
    <row r="181" spans="1:8" ht="15" customHeight="1" x14ac:dyDescent="0.2">
      <c r="A181" s="41" t="s">
        <v>4074</v>
      </c>
      <c r="B181" s="274" t="s">
        <v>3448</v>
      </c>
      <c r="C181" s="255" t="s">
        <v>2702</v>
      </c>
      <c r="D181" s="255" t="s">
        <v>2701</v>
      </c>
      <c r="E181" s="255" t="s">
        <v>3403</v>
      </c>
      <c r="F181" s="255" t="s">
        <v>3385</v>
      </c>
      <c r="G181" s="255" t="s">
        <v>3386</v>
      </c>
      <c r="H181" s="255" t="s">
        <v>3387</v>
      </c>
    </row>
    <row r="182" spans="1:8" ht="15" customHeight="1" x14ac:dyDescent="0.2">
      <c r="A182" s="41" t="s">
        <v>4071</v>
      </c>
      <c r="B182" s="274" t="s">
        <v>3448</v>
      </c>
      <c r="C182" s="255" t="s">
        <v>2479</v>
      </c>
      <c r="D182" s="255" t="s">
        <v>3449</v>
      </c>
      <c r="E182" s="255" t="s">
        <v>3403</v>
      </c>
      <c r="F182" s="255" t="s">
        <v>3385</v>
      </c>
      <c r="G182" s="255" t="s">
        <v>3386</v>
      </c>
      <c r="H182" s="255" t="s">
        <v>3387</v>
      </c>
    </row>
    <row r="183" spans="1:8" ht="15" customHeight="1" x14ac:dyDescent="0.2">
      <c r="A183" s="41" t="s">
        <v>4072</v>
      </c>
      <c r="B183" s="274" t="s">
        <v>3448</v>
      </c>
      <c r="C183" s="255" t="s">
        <v>2902</v>
      </c>
      <c r="D183" s="255" t="s">
        <v>3450</v>
      </c>
      <c r="E183" s="255" t="s">
        <v>3403</v>
      </c>
      <c r="F183" s="255" t="s">
        <v>3385</v>
      </c>
      <c r="G183" s="255" t="s">
        <v>3386</v>
      </c>
      <c r="H183" s="255" t="s">
        <v>3387</v>
      </c>
    </row>
    <row r="184" spans="1:8" ht="15" customHeight="1" x14ac:dyDescent="0.2">
      <c r="A184" s="41" t="s">
        <v>4073</v>
      </c>
      <c r="B184" s="274" t="s">
        <v>3448</v>
      </c>
      <c r="C184" s="255" t="s">
        <v>2563</v>
      </c>
      <c r="D184" s="255" t="s">
        <v>3451</v>
      </c>
      <c r="E184" s="255" t="s">
        <v>3403</v>
      </c>
      <c r="F184" s="255" t="s">
        <v>3385</v>
      </c>
      <c r="G184" s="255" t="s">
        <v>3386</v>
      </c>
      <c r="H184" s="255" t="s">
        <v>3387</v>
      </c>
    </row>
    <row r="185" spans="1:8" ht="15" customHeight="1" x14ac:dyDescent="0.2">
      <c r="A185" s="41" t="s">
        <v>4453</v>
      </c>
      <c r="B185" s="274" t="s">
        <v>3521</v>
      </c>
      <c r="C185" s="255" t="s">
        <v>1953</v>
      </c>
      <c r="D185" s="255" t="s">
        <v>1952</v>
      </c>
      <c r="E185" s="255" t="s">
        <v>3420</v>
      </c>
      <c r="F185" s="255" t="s">
        <v>3389</v>
      </c>
      <c r="G185" s="255" t="s">
        <v>3386</v>
      </c>
      <c r="H185" s="255" t="s">
        <v>3387</v>
      </c>
    </row>
    <row r="186" spans="1:8" ht="15" customHeight="1" x14ac:dyDescent="0.2">
      <c r="A186" s="41" t="s">
        <v>4821</v>
      </c>
      <c r="B186" s="274" t="s">
        <v>3869</v>
      </c>
      <c r="C186" s="255" t="s">
        <v>2217</v>
      </c>
      <c r="D186" s="255" t="s">
        <v>2216</v>
      </c>
      <c r="E186" s="255" t="s">
        <v>3415</v>
      </c>
      <c r="F186" s="255" t="s">
        <v>3385</v>
      </c>
      <c r="G186" s="255" t="s">
        <v>3386</v>
      </c>
      <c r="H186" s="255" t="s">
        <v>3387</v>
      </c>
    </row>
    <row r="187" spans="1:8" ht="15" customHeight="1" x14ac:dyDescent="0.2">
      <c r="A187" s="41" t="s">
        <v>4837</v>
      </c>
      <c r="B187" s="274" t="s">
        <v>3869</v>
      </c>
      <c r="C187" s="255" t="s">
        <v>2392</v>
      </c>
      <c r="D187" s="255" t="s">
        <v>2391</v>
      </c>
      <c r="E187" s="255" t="s">
        <v>3415</v>
      </c>
      <c r="F187" s="255" t="s">
        <v>3385</v>
      </c>
      <c r="G187" s="255" t="s">
        <v>3386</v>
      </c>
      <c r="H187" s="255" t="s">
        <v>3387</v>
      </c>
    </row>
    <row r="188" spans="1:8" ht="15" customHeight="1" x14ac:dyDescent="0.2">
      <c r="A188" s="41" t="s">
        <v>4838</v>
      </c>
      <c r="B188" s="274" t="s">
        <v>3869</v>
      </c>
      <c r="C188" s="255" t="s">
        <v>2657</v>
      </c>
      <c r="D188" s="255" t="s">
        <v>2656</v>
      </c>
      <c r="E188" s="255" t="s">
        <v>3415</v>
      </c>
      <c r="F188" s="255" t="s">
        <v>3385</v>
      </c>
      <c r="G188" s="255" t="s">
        <v>3386</v>
      </c>
      <c r="H188" s="255" t="s">
        <v>3387</v>
      </c>
    </row>
    <row r="189" spans="1:8" ht="15" customHeight="1" x14ac:dyDescent="0.2">
      <c r="A189" s="41" t="s">
        <v>4839</v>
      </c>
      <c r="B189" s="274" t="s">
        <v>3869</v>
      </c>
      <c r="C189" s="255" t="s">
        <v>2659</v>
      </c>
      <c r="D189" s="255" t="s">
        <v>2658</v>
      </c>
      <c r="E189" s="255" t="s">
        <v>3415</v>
      </c>
      <c r="F189" s="255" t="s">
        <v>3385</v>
      </c>
      <c r="G189" s="255" t="s">
        <v>3386</v>
      </c>
      <c r="H189" s="255" t="s">
        <v>3387</v>
      </c>
    </row>
    <row r="190" spans="1:8" ht="15" customHeight="1" x14ac:dyDescent="0.2">
      <c r="A190" s="41" t="s">
        <v>4853</v>
      </c>
      <c r="B190" s="274" t="s">
        <v>3869</v>
      </c>
      <c r="C190" s="255" t="s">
        <v>2878</v>
      </c>
      <c r="D190" s="255" t="s">
        <v>2877</v>
      </c>
      <c r="E190" s="255" t="s">
        <v>3415</v>
      </c>
      <c r="F190" s="255" t="s">
        <v>3385</v>
      </c>
      <c r="G190" s="255" t="s">
        <v>3386</v>
      </c>
      <c r="H190" s="255" t="s">
        <v>3387</v>
      </c>
    </row>
    <row r="191" spans="1:8" ht="15" customHeight="1" x14ac:dyDescent="0.2">
      <c r="A191" s="41" t="s">
        <v>4854</v>
      </c>
      <c r="B191" s="274" t="s">
        <v>3869</v>
      </c>
      <c r="C191" s="255" t="s">
        <v>2296</v>
      </c>
      <c r="D191" s="255" t="s">
        <v>2295</v>
      </c>
      <c r="E191" s="255" t="s">
        <v>3415</v>
      </c>
      <c r="F191" s="255" t="s">
        <v>3385</v>
      </c>
      <c r="G191" s="255" t="s">
        <v>3386</v>
      </c>
      <c r="H191" s="255" t="s">
        <v>3387</v>
      </c>
    </row>
    <row r="192" spans="1:8" ht="15" customHeight="1" x14ac:dyDescent="0.2">
      <c r="A192" s="41" t="s">
        <v>4855</v>
      </c>
      <c r="B192" s="274" t="s">
        <v>3869</v>
      </c>
      <c r="C192" s="255" t="s">
        <v>2298</v>
      </c>
      <c r="D192" s="255" t="s">
        <v>2297</v>
      </c>
      <c r="E192" s="255" t="s">
        <v>3415</v>
      </c>
      <c r="F192" s="255" t="s">
        <v>3385</v>
      </c>
      <c r="G192" s="255" t="s">
        <v>3386</v>
      </c>
      <c r="H192" s="255" t="s">
        <v>3387</v>
      </c>
    </row>
    <row r="193" spans="1:8" ht="15" customHeight="1" x14ac:dyDescent="0.2">
      <c r="A193" s="41" t="s">
        <v>4856</v>
      </c>
      <c r="B193" s="274" t="s">
        <v>3869</v>
      </c>
      <c r="C193" s="255" t="s">
        <v>2300</v>
      </c>
      <c r="D193" s="255" t="s">
        <v>2299</v>
      </c>
      <c r="E193" s="255" t="s">
        <v>3415</v>
      </c>
      <c r="F193" s="255" t="s">
        <v>3385</v>
      </c>
      <c r="G193" s="255" t="s">
        <v>3386</v>
      </c>
      <c r="H193" s="255" t="s">
        <v>3387</v>
      </c>
    </row>
    <row r="194" spans="1:8" ht="15" customHeight="1" x14ac:dyDescent="0.2">
      <c r="A194" s="41" t="s">
        <v>4857</v>
      </c>
      <c r="B194" s="274" t="s">
        <v>3869</v>
      </c>
      <c r="C194" s="255" t="s">
        <v>2458</v>
      </c>
      <c r="D194" s="255" t="s">
        <v>2457</v>
      </c>
      <c r="E194" s="255" t="s">
        <v>3415</v>
      </c>
      <c r="F194" s="255" t="s">
        <v>3385</v>
      </c>
      <c r="G194" s="255" t="s">
        <v>3386</v>
      </c>
      <c r="H194" s="255" t="s">
        <v>3387</v>
      </c>
    </row>
    <row r="195" spans="1:8" ht="15" customHeight="1" x14ac:dyDescent="0.2">
      <c r="A195" s="41" t="s">
        <v>4858</v>
      </c>
      <c r="B195" s="274" t="s">
        <v>3869</v>
      </c>
      <c r="C195" s="255" t="s">
        <v>2460</v>
      </c>
      <c r="D195" s="255" t="s">
        <v>2459</v>
      </c>
      <c r="E195" s="255" t="s">
        <v>3415</v>
      </c>
      <c r="F195" s="255" t="s">
        <v>3385</v>
      </c>
      <c r="G195" s="255" t="s">
        <v>3386</v>
      </c>
      <c r="H195" s="255" t="s">
        <v>3387</v>
      </c>
    </row>
    <row r="196" spans="1:8" ht="15" customHeight="1" x14ac:dyDescent="0.2">
      <c r="A196" s="41" t="s">
        <v>4859</v>
      </c>
      <c r="B196" s="274" t="s">
        <v>3869</v>
      </c>
      <c r="C196" s="255" t="s">
        <v>2348</v>
      </c>
      <c r="D196" s="255" t="s">
        <v>2347</v>
      </c>
      <c r="E196" s="255" t="s">
        <v>3415</v>
      </c>
      <c r="F196" s="255" t="s">
        <v>3385</v>
      </c>
      <c r="G196" s="255" t="s">
        <v>3386</v>
      </c>
      <c r="H196" s="255" t="s">
        <v>3387</v>
      </c>
    </row>
    <row r="197" spans="1:8" ht="15" customHeight="1" x14ac:dyDescent="0.2">
      <c r="A197" s="41" t="s">
        <v>4860</v>
      </c>
      <c r="B197" s="274" t="s">
        <v>3869</v>
      </c>
      <c r="C197" s="255" t="s">
        <v>2302</v>
      </c>
      <c r="D197" s="255" t="s">
        <v>2301</v>
      </c>
      <c r="E197" s="255" t="s">
        <v>3415</v>
      </c>
      <c r="F197" s="255" t="s">
        <v>3385</v>
      </c>
      <c r="G197" s="255" t="s">
        <v>3386</v>
      </c>
      <c r="H197" s="255" t="s">
        <v>3387</v>
      </c>
    </row>
    <row r="198" spans="1:8" ht="15" customHeight="1" x14ac:dyDescent="0.2">
      <c r="A198" s="41" t="s">
        <v>4861</v>
      </c>
      <c r="B198" s="274" t="s">
        <v>3869</v>
      </c>
      <c r="C198" s="255" t="s">
        <v>2880</v>
      </c>
      <c r="D198" s="255" t="s">
        <v>2879</v>
      </c>
      <c r="E198" s="255" t="s">
        <v>3415</v>
      </c>
      <c r="F198" s="255" t="s">
        <v>3385</v>
      </c>
      <c r="G198" s="255" t="s">
        <v>3386</v>
      </c>
      <c r="H198" s="255" t="s">
        <v>3387</v>
      </c>
    </row>
    <row r="199" spans="1:8" ht="15" customHeight="1" x14ac:dyDescent="0.2">
      <c r="A199" s="41" t="s">
        <v>4840</v>
      </c>
      <c r="B199" s="274" t="s">
        <v>3869</v>
      </c>
      <c r="C199" s="255" t="s">
        <v>3339</v>
      </c>
      <c r="D199" s="255" t="s">
        <v>3338</v>
      </c>
      <c r="E199" s="255" t="s">
        <v>3415</v>
      </c>
      <c r="F199" s="255" t="s">
        <v>3385</v>
      </c>
      <c r="G199" s="255" t="s">
        <v>3386</v>
      </c>
      <c r="H199" s="255" t="s">
        <v>3387</v>
      </c>
    </row>
    <row r="200" spans="1:8" ht="15" customHeight="1" x14ac:dyDescent="0.2">
      <c r="A200" s="41" t="s">
        <v>4841</v>
      </c>
      <c r="B200" s="274" t="s">
        <v>3869</v>
      </c>
      <c r="C200" s="255" t="s">
        <v>3341</v>
      </c>
      <c r="D200" s="255" t="s">
        <v>3340</v>
      </c>
      <c r="E200" s="255" t="s">
        <v>3415</v>
      </c>
      <c r="F200" s="255" t="s">
        <v>3385</v>
      </c>
      <c r="G200" s="255" t="s">
        <v>3386</v>
      </c>
      <c r="H200" s="255" t="s">
        <v>3387</v>
      </c>
    </row>
    <row r="201" spans="1:8" ht="15" customHeight="1" x14ac:dyDescent="0.2">
      <c r="A201" s="41" t="s">
        <v>4831</v>
      </c>
      <c r="B201" s="274" t="s">
        <v>3869</v>
      </c>
      <c r="C201" s="255" t="s">
        <v>2655</v>
      </c>
      <c r="D201" s="255" t="s">
        <v>2654</v>
      </c>
      <c r="E201" s="255" t="s">
        <v>3415</v>
      </c>
      <c r="F201" s="255" t="s">
        <v>3385</v>
      </c>
      <c r="G201" s="255" t="s">
        <v>3386</v>
      </c>
      <c r="H201" s="255" t="s">
        <v>3387</v>
      </c>
    </row>
    <row r="202" spans="1:8" ht="15" customHeight="1" x14ac:dyDescent="0.2">
      <c r="A202" s="41" t="s">
        <v>4842</v>
      </c>
      <c r="B202" s="274" t="s">
        <v>3869</v>
      </c>
      <c r="C202" s="255" t="s">
        <v>2866</v>
      </c>
      <c r="D202" s="255" t="s">
        <v>2865</v>
      </c>
      <c r="E202" s="255" t="s">
        <v>3415</v>
      </c>
      <c r="F202" s="255" t="s">
        <v>3385</v>
      </c>
      <c r="G202" s="255" t="s">
        <v>3386</v>
      </c>
      <c r="H202" s="255" t="s">
        <v>3387</v>
      </c>
    </row>
    <row r="203" spans="1:8" ht="15" customHeight="1" x14ac:dyDescent="0.2">
      <c r="A203" s="41" t="s">
        <v>4843</v>
      </c>
      <c r="B203" s="274" t="s">
        <v>3869</v>
      </c>
      <c r="C203" s="255" t="s">
        <v>3343</v>
      </c>
      <c r="D203" s="255" t="s">
        <v>3342</v>
      </c>
      <c r="E203" s="255" t="s">
        <v>3415</v>
      </c>
      <c r="F203" s="255" t="s">
        <v>3385</v>
      </c>
      <c r="G203" s="255" t="s">
        <v>3386</v>
      </c>
      <c r="H203" s="255" t="s">
        <v>3387</v>
      </c>
    </row>
    <row r="204" spans="1:8" ht="15" customHeight="1" x14ac:dyDescent="0.2">
      <c r="A204" s="41" t="s">
        <v>4844</v>
      </c>
      <c r="B204" s="274" t="s">
        <v>3869</v>
      </c>
      <c r="C204" s="255" t="s">
        <v>2868</v>
      </c>
      <c r="D204" s="255" t="s">
        <v>2867</v>
      </c>
      <c r="E204" s="255" t="s">
        <v>3415</v>
      </c>
      <c r="F204" s="255" t="s">
        <v>3385</v>
      </c>
      <c r="G204" s="255" t="s">
        <v>3386</v>
      </c>
      <c r="H204" s="255" t="s">
        <v>3387</v>
      </c>
    </row>
    <row r="205" spans="1:8" ht="15" customHeight="1" x14ac:dyDescent="0.2">
      <c r="A205" s="41" t="s">
        <v>4845</v>
      </c>
      <c r="B205" s="274" t="s">
        <v>3869</v>
      </c>
      <c r="C205" s="255" t="s">
        <v>2870</v>
      </c>
      <c r="D205" s="255" t="s">
        <v>2869</v>
      </c>
      <c r="E205" s="255" t="s">
        <v>3415</v>
      </c>
      <c r="F205" s="255" t="s">
        <v>3385</v>
      </c>
      <c r="G205" s="255" t="s">
        <v>3386</v>
      </c>
      <c r="H205" s="255" t="s">
        <v>3387</v>
      </c>
    </row>
    <row r="206" spans="1:8" ht="15" customHeight="1" x14ac:dyDescent="0.2">
      <c r="A206" s="41" t="s">
        <v>4846</v>
      </c>
      <c r="B206" s="274" t="s">
        <v>3869</v>
      </c>
      <c r="C206" s="255" t="s">
        <v>2872</v>
      </c>
      <c r="D206" s="255" t="s">
        <v>2871</v>
      </c>
      <c r="E206" s="255" t="s">
        <v>3415</v>
      </c>
      <c r="F206" s="255" t="s">
        <v>3385</v>
      </c>
      <c r="G206" s="255" t="s">
        <v>3386</v>
      </c>
      <c r="H206" s="255" t="s">
        <v>3387</v>
      </c>
    </row>
    <row r="207" spans="1:8" ht="15" customHeight="1" x14ac:dyDescent="0.2">
      <c r="A207" s="41" t="s">
        <v>4847</v>
      </c>
      <c r="B207" s="274" t="s">
        <v>3869</v>
      </c>
      <c r="C207" s="255" t="s">
        <v>2874</v>
      </c>
      <c r="D207" s="255" t="s">
        <v>2873</v>
      </c>
      <c r="E207" s="255" t="s">
        <v>3415</v>
      </c>
      <c r="F207" s="255" t="s">
        <v>3385</v>
      </c>
      <c r="G207" s="255" t="s">
        <v>3386</v>
      </c>
      <c r="H207" s="255" t="s">
        <v>3387</v>
      </c>
    </row>
    <row r="208" spans="1:8" ht="15" customHeight="1" x14ac:dyDescent="0.2">
      <c r="A208" s="41" t="s">
        <v>4832</v>
      </c>
      <c r="B208" s="274" t="s">
        <v>3869</v>
      </c>
      <c r="C208" s="255" t="s">
        <v>3331</v>
      </c>
      <c r="D208" s="255" t="s">
        <v>3330</v>
      </c>
      <c r="E208" s="255" t="s">
        <v>3415</v>
      </c>
      <c r="F208" s="255" t="s">
        <v>3385</v>
      </c>
      <c r="G208" s="255" t="s">
        <v>3386</v>
      </c>
      <c r="H208" s="255" t="s">
        <v>3387</v>
      </c>
    </row>
    <row r="209" spans="1:8" ht="15" customHeight="1" x14ac:dyDescent="0.2">
      <c r="A209" s="41" t="s">
        <v>4833</v>
      </c>
      <c r="B209" s="274" t="s">
        <v>3869</v>
      </c>
      <c r="C209" s="255" t="s">
        <v>3333</v>
      </c>
      <c r="D209" s="255" t="s">
        <v>3332</v>
      </c>
      <c r="E209" s="255" t="s">
        <v>3415</v>
      </c>
      <c r="F209" s="255" t="s">
        <v>3385</v>
      </c>
      <c r="G209" s="255" t="s">
        <v>3386</v>
      </c>
      <c r="H209" s="255" t="s">
        <v>3387</v>
      </c>
    </row>
    <row r="210" spans="1:8" ht="15" customHeight="1" x14ac:dyDescent="0.2">
      <c r="A210" s="41" t="s">
        <v>4834</v>
      </c>
      <c r="B210" s="274" t="s">
        <v>3869</v>
      </c>
      <c r="C210" s="255" t="s">
        <v>3335</v>
      </c>
      <c r="D210" s="255" t="s">
        <v>3334</v>
      </c>
      <c r="E210" s="255" t="s">
        <v>3415</v>
      </c>
      <c r="F210" s="255" t="s">
        <v>3385</v>
      </c>
      <c r="G210" s="255" t="s">
        <v>3386</v>
      </c>
      <c r="H210" s="255" t="s">
        <v>3387</v>
      </c>
    </row>
    <row r="211" spans="1:8" ht="15" customHeight="1" x14ac:dyDescent="0.2">
      <c r="A211" s="41" t="s">
        <v>4835</v>
      </c>
      <c r="B211" s="274" t="s">
        <v>3869</v>
      </c>
      <c r="C211" s="255" t="s">
        <v>3337</v>
      </c>
      <c r="D211" s="255" t="s">
        <v>3336</v>
      </c>
      <c r="E211" s="255" t="s">
        <v>3415</v>
      </c>
      <c r="F211" s="255" t="s">
        <v>3385</v>
      </c>
      <c r="G211" s="255" t="s">
        <v>3386</v>
      </c>
      <c r="H211" s="255" t="s">
        <v>3387</v>
      </c>
    </row>
    <row r="212" spans="1:8" ht="15" customHeight="1" x14ac:dyDescent="0.2">
      <c r="A212" s="41" t="s">
        <v>4836</v>
      </c>
      <c r="B212" s="274" t="s">
        <v>3869</v>
      </c>
      <c r="C212" s="255" t="s">
        <v>2864</v>
      </c>
      <c r="D212" s="255" t="s">
        <v>2863</v>
      </c>
      <c r="E212" s="255" t="s">
        <v>3415</v>
      </c>
      <c r="F212" s="255" t="s">
        <v>3385</v>
      </c>
      <c r="G212" s="255" t="s">
        <v>3386</v>
      </c>
      <c r="H212" s="255" t="s">
        <v>3387</v>
      </c>
    </row>
    <row r="213" spans="1:8" ht="15" customHeight="1" x14ac:dyDescent="0.2">
      <c r="A213" s="41" t="s">
        <v>4852</v>
      </c>
      <c r="B213" s="274" t="s">
        <v>3869</v>
      </c>
      <c r="C213" s="255" t="s">
        <v>2876</v>
      </c>
      <c r="D213" s="255" t="s">
        <v>2875</v>
      </c>
      <c r="E213" s="255" t="s">
        <v>3415</v>
      </c>
      <c r="F213" s="255" t="s">
        <v>3385</v>
      </c>
      <c r="G213" s="255" t="s">
        <v>3386</v>
      </c>
      <c r="H213" s="255" t="s">
        <v>3387</v>
      </c>
    </row>
    <row r="214" spans="1:8" ht="15" customHeight="1" x14ac:dyDescent="0.2">
      <c r="A214" s="41" t="s">
        <v>4517</v>
      </c>
      <c r="B214" s="274" t="s">
        <v>3650</v>
      </c>
      <c r="C214" s="255" t="s">
        <v>1927</v>
      </c>
      <c r="D214" s="255" t="s">
        <v>1926</v>
      </c>
      <c r="E214" s="255" t="s">
        <v>3415</v>
      </c>
      <c r="F214" s="255" t="s">
        <v>3385</v>
      </c>
      <c r="G214" s="255" t="s">
        <v>3386</v>
      </c>
      <c r="H214" s="255" t="s">
        <v>3387</v>
      </c>
    </row>
    <row r="215" spans="1:8" ht="15" customHeight="1" x14ac:dyDescent="0.2">
      <c r="A215" s="41" t="s">
        <v>4507</v>
      </c>
      <c r="B215" s="274" t="s">
        <v>3623</v>
      </c>
      <c r="C215" s="255" t="s">
        <v>2075</v>
      </c>
      <c r="D215" s="255" t="s">
        <v>2074</v>
      </c>
      <c r="E215" s="255" t="s">
        <v>3403</v>
      </c>
      <c r="F215" s="255" t="s">
        <v>3389</v>
      </c>
      <c r="G215" s="255" t="s">
        <v>3386</v>
      </c>
      <c r="H215" s="255" t="s">
        <v>3387</v>
      </c>
    </row>
    <row r="216" spans="1:8" ht="15" customHeight="1" x14ac:dyDescent="0.2">
      <c r="A216" s="41" t="s">
        <v>4804</v>
      </c>
      <c r="B216" s="274" t="s">
        <v>3854</v>
      </c>
      <c r="C216" s="255" t="s">
        <v>2022</v>
      </c>
      <c r="D216" s="255" t="s">
        <v>2021</v>
      </c>
      <c r="E216" s="255" t="s">
        <v>3415</v>
      </c>
      <c r="F216" s="255" t="s">
        <v>3389</v>
      </c>
      <c r="G216" s="255" t="s">
        <v>3386</v>
      </c>
      <c r="H216" s="255" t="s">
        <v>3387</v>
      </c>
    </row>
    <row r="217" spans="1:8" ht="15" customHeight="1" x14ac:dyDescent="0.2">
      <c r="A217" s="41" t="s">
        <v>4871</v>
      </c>
      <c r="B217" s="274" t="s">
        <v>3886</v>
      </c>
      <c r="C217" s="255" t="s">
        <v>1975</v>
      </c>
      <c r="D217" s="255" t="s">
        <v>1974</v>
      </c>
      <c r="E217" s="255" t="s">
        <v>3415</v>
      </c>
      <c r="F217" s="255" t="s">
        <v>3385</v>
      </c>
      <c r="G217" s="255" t="s">
        <v>3386</v>
      </c>
      <c r="H217" s="255" t="s">
        <v>3387</v>
      </c>
    </row>
    <row r="218" spans="1:8" ht="15" customHeight="1" x14ac:dyDescent="0.2">
      <c r="A218" s="41" t="s">
        <v>4791</v>
      </c>
      <c r="B218" s="274" t="s">
        <v>3844</v>
      </c>
      <c r="C218" s="255" t="s">
        <v>1935</v>
      </c>
      <c r="D218" s="255" t="s">
        <v>1934</v>
      </c>
      <c r="E218" s="255" t="s">
        <v>3415</v>
      </c>
      <c r="F218" s="255" t="s">
        <v>3389</v>
      </c>
      <c r="G218" s="255" t="s">
        <v>3526</v>
      </c>
      <c r="H218" s="255" t="s">
        <v>3392</v>
      </c>
    </row>
    <row r="219" spans="1:8" ht="15" customHeight="1" x14ac:dyDescent="0.2">
      <c r="A219" s="41" t="s">
        <v>3975</v>
      </c>
      <c r="B219" s="274" t="s">
        <v>3400</v>
      </c>
      <c r="C219" s="255" t="s">
        <v>2692</v>
      </c>
      <c r="D219" s="255" t="s">
        <v>3401</v>
      </c>
      <c r="E219" s="255" t="s">
        <v>3384</v>
      </c>
      <c r="F219" s="255" t="s">
        <v>3385</v>
      </c>
      <c r="G219" s="255" t="s">
        <v>3386</v>
      </c>
      <c r="H219" s="255" t="s">
        <v>3387</v>
      </c>
    </row>
    <row r="220" spans="1:8" ht="15" customHeight="1" x14ac:dyDescent="0.2">
      <c r="A220" s="41" t="s">
        <v>3982</v>
      </c>
      <c r="B220" s="274" t="s">
        <v>3400</v>
      </c>
      <c r="C220" s="255" t="s">
        <v>2897</v>
      </c>
      <c r="D220" s="255" t="s">
        <v>3407</v>
      </c>
      <c r="E220" s="255" t="s">
        <v>3384</v>
      </c>
      <c r="F220" s="255" t="s">
        <v>3406</v>
      </c>
      <c r="G220" s="255" t="s">
        <v>3386</v>
      </c>
      <c r="H220" s="255" t="s">
        <v>3387</v>
      </c>
    </row>
    <row r="221" spans="1:8" ht="15" customHeight="1" x14ac:dyDescent="0.2">
      <c r="A221" s="41" t="s">
        <v>3976</v>
      </c>
      <c r="B221" s="274" t="s">
        <v>3400</v>
      </c>
      <c r="C221" s="255" t="s">
        <v>1930</v>
      </c>
      <c r="D221" s="255" t="s">
        <v>3402</v>
      </c>
      <c r="E221" s="255" t="s">
        <v>3384</v>
      </c>
      <c r="F221" s="255" t="s">
        <v>3385</v>
      </c>
      <c r="G221" s="255" t="s">
        <v>3386</v>
      </c>
      <c r="H221" s="255" t="s">
        <v>3387</v>
      </c>
    </row>
    <row r="222" spans="1:8" ht="15" customHeight="1" x14ac:dyDescent="0.2">
      <c r="A222" s="41" t="s">
        <v>3981</v>
      </c>
      <c r="B222" s="274" t="s">
        <v>3400</v>
      </c>
      <c r="C222" s="255" t="s">
        <v>2472</v>
      </c>
      <c r="D222" s="255" t="s">
        <v>2471</v>
      </c>
      <c r="E222" s="255" t="s">
        <v>3384</v>
      </c>
      <c r="F222" s="255" t="s">
        <v>3406</v>
      </c>
      <c r="G222" s="255" t="s">
        <v>3386</v>
      </c>
      <c r="H222" s="255" t="s">
        <v>3387</v>
      </c>
    </row>
    <row r="223" spans="1:8" ht="15" customHeight="1" x14ac:dyDescent="0.2">
      <c r="A223" s="41" t="s">
        <v>3979</v>
      </c>
      <c r="B223" s="274" t="s">
        <v>3400</v>
      </c>
      <c r="C223" s="255" t="s">
        <v>2399</v>
      </c>
      <c r="D223" s="255" t="s">
        <v>3404</v>
      </c>
      <c r="E223" s="255" t="s">
        <v>3384</v>
      </c>
      <c r="F223" s="255" t="s">
        <v>3385</v>
      </c>
      <c r="G223" s="255" t="s">
        <v>3386</v>
      </c>
      <c r="H223" s="255" t="s">
        <v>3387</v>
      </c>
    </row>
    <row r="224" spans="1:8" ht="15" customHeight="1" x14ac:dyDescent="0.2">
      <c r="A224" s="41" t="s">
        <v>3980</v>
      </c>
      <c r="B224" s="274" t="s">
        <v>3400</v>
      </c>
      <c r="C224" s="255" t="s">
        <v>2246</v>
      </c>
      <c r="D224" s="255" t="s">
        <v>3405</v>
      </c>
      <c r="E224" s="255" t="s">
        <v>3384</v>
      </c>
      <c r="F224" s="255" t="s">
        <v>3385</v>
      </c>
      <c r="G224" s="255" t="s">
        <v>3386</v>
      </c>
      <c r="H224" s="255" t="s">
        <v>3387</v>
      </c>
    </row>
    <row r="225" spans="1:8" ht="15" customHeight="1" x14ac:dyDescent="0.2">
      <c r="A225" s="41" t="s">
        <v>4829</v>
      </c>
      <c r="B225" s="274" t="s">
        <v>3869</v>
      </c>
      <c r="C225" s="255" t="s">
        <v>2002</v>
      </c>
      <c r="D225" s="255" t="s">
        <v>2001</v>
      </c>
      <c r="E225" s="255" t="s">
        <v>3415</v>
      </c>
      <c r="F225" s="255" t="s">
        <v>3389</v>
      </c>
      <c r="G225" s="255" t="s">
        <v>3386</v>
      </c>
      <c r="H225" s="255" t="s">
        <v>3387</v>
      </c>
    </row>
    <row r="226" spans="1:8" ht="15" customHeight="1" x14ac:dyDescent="0.2">
      <c r="A226" s="41" t="s">
        <v>3918</v>
      </c>
      <c r="B226" s="274" t="s">
        <v>3383</v>
      </c>
      <c r="C226" s="255" t="s">
        <v>2673</v>
      </c>
      <c r="D226" s="255" t="s">
        <v>2672</v>
      </c>
      <c r="E226" s="255" t="s">
        <v>3384</v>
      </c>
      <c r="F226" s="255" t="s">
        <v>3389</v>
      </c>
      <c r="G226" s="255" t="s">
        <v>3386</v>
      </c>
      <c r="H226" s="255" t="s">
        <v>3387</v>
      </c>
    </row>
    <row r="227" spans="1:8" ht="15" customHeight="1" x14ac:dyDescent="0.2">
      <c r="A227" s="41" t="s">
        <v>4767</v>
      </c>
      <c r="B227" s="274" t="s">
        <v>3843</v>
      </c>
      <c r="C227" s="255" t="s">
        <v>1868</v>
      </c>
      <c r="D227" s="255" t="s">
        <v>1867</v>
      </c>
      <c r="E227" s="255" t="s">
        <v>3403</v>
      </c>
      <c r="F227" s="255" t="s">
        <v>3385</v>
      </c>
      <c r="G227" s="255" t="s">
        <v>3386</v>
      </c>
      <c r="H227" s="255" t="s">
        <v>3387</v>
      </c>
    </row>
    <row r="228" spans="1:8" ht="15" customHeight="1" x14ac:dyDescent="0.2">
      <c r="A228" s="41" t="s">
        <v>4826</v>
      </c>
      <c r="B228" s="274" t="s">
        <v>3869</v>
      </c>
      <c r="C228" s="255" t="s">
        <v>2390</v>
      </c>
      <c r="D228" s="255" t="s">
        <v>3873</v>
      </c>
      <c r="E228" s="255" t="s">
        <v>3415</v>
      </c>
      <c r="F228" s="255" t="s">
        <v>3389</v>
      </c>
      <c r="G228" s="255" t="s">
        <v>3386</v>
      </c>
      <c r="H228" s="255" t="s">
        <v>3387</v>
      </c>
    </row>
    <row r="229" spans="1:8" ht="15" customHeight="1" x14ac:dyDescent="0.2">
      <c r="A229" s="41" t="s">
        <v>4823</v>
      </c>
      <c r="B229" s="274" t="s">
        <v>3869</v>
      </c>
      <c r="C229" s="255" t="s">
        <v>2862</v>
      </c>
      <c r="D229" s="255" t="s">
        <v>2861</v>
      </c>
      <c r="E229" s="255" t="s">
        <v>3415</v>
      </c>
      <c r="F229" s="255" t="s">
        <v>3389</v>
      </c>
      <c r="G229" s="255" t="s">
        <v>3870</v>
      </c>
      <c r="H229" s="255" t="s">
        <v>3387</v>
      </c>
    </row>
    <row r="230" spans="1:8" ht="15" customHeight="1" x14ac:dyDescent="0.2">
      <c r="A230" s="41" t="s">
        <v>4830</v>
      </c>
      <c r="B230" s="274" t="s">
        <v>3869</v>
      </c>
      <c r="C230" s="255" t="s">
        <v>2653</v>
      </c>
      <c r="D230" s="255" t="s">
        <v>2652</v>
      </c>
      <c r="E230" s="255" t="s">
        <v>3415</v>
      </c>
      <c r="F230" s="255" t="s">
        <v>3389</v>
      </c>
      <c r="G230" s="255" t="s">
        <v>3870</v>
      </c>
      <c r="H230" s="255" t="s">
        <v>3387</v>
      </c>
    </row>
    <row r="231" spans="1:8" ht="15" customHeight="1" x14ac:dyDescent="0.2">
      <c r="A231" s="41" t="s">
        <v>4827</v>
      </c>
      <c r="B231" s="274" t="s">
        <v>3869</v>
      </c>
      <c r="C231" s="255" t="s">
        <v>1941</v>
      </c>
      <c r="D231" s="255" t="s">
        <v>1940</v>
      </c>
      <c r="E231" s="255" t="s">
        <v>3415</v>
      </c>
      <c r="F231" s="255" t="s">
        <v>3389</v>
      </c>
      <c r="G231" s="255" t="s">
        <v>3874</v>
      </c>
      <c r="H231" s="255" t="s">
        <v>3387</v>
      </c>
    </row>
    <row r="232" spans="1:8" ht="15" customHeight="1" x14ac:dyDescent="0.2">
      <c r="A232" s="41" t="s">
        <v>4850</v>
      </c>
      <c r="B232" s="274" t="s">
        <v>3869</v>
      </c>
      <c r="C232" s="255" t="s">
        <v>3344</v>
      </c>
      <c r="D232" s="255" t="s">
        <v>3877</v>
      </c>
      <c r="E232" s="255" t="s">
        <v>3415</v>
      </c>
      <c r="F232" s="255" t="s">
        <v>3385</v>
      </c>
      <c r="G232" s="255" t="s">
        <v>3386</v>
      </c>
      <c r="H232" s="255" t="s">
        <v>3387</v>
      </c>
    </row>
    <row r="233" spans="1:8" ht="15" customHeight="1" x14ac:dyDescent="0.2">
      <c r="A233" s="41" t="s">
        <v>4851</v>
      </c>
      <c r="B233" s="274" t="s">
        <v>3869</v>
      </c>
      <c r="C233" s="255" t="s">
        <v>2660</v>
      </c>
      <c r="D233" s="255" t="s">
        <v>3878</v>
      </c>
      <c r="E233" s="255" t="s">
        <v>3415</v>
      </c>
      <c r="F233" s="255" t="s">
        <v>3385</v>
      </c>
      <c r="G233" s="255" t="s">
        <v>3386</v>
      </c>
      <c r="H233" s="255" t="s">
        <v>3387</v>
      </c>
    </row>
    <row r="234" spans="1:8" ht="15" customHeight="1" x14ac:dyDescent="0.2">
      <c r="A234" s="41" t="s">
        <v>4824</v>
      </c>
      <c r="B234" s="274" t="s">
        <v>3869</v>
      </c>
      <c r="C234" s="255" t="s">
        <v>2148</v>
      </c>
      <c r="D234" s="255" t="s">
        <v>3871</v>
      </c>
      <c r="E234" s="255" t="s">
        <v>3415</v>
      </c>
      <c r="F234" s="255" t="s">
        <v>3385</v>
      </c>
      <c r="G234" s="255" t="s">
        <v>3386</v>
      </c>
      <c r="H234" s="255" t="s">
        <v>3387</v>
      </c>
    </row>
    <row r="235" spans="1:8" ht="15" customHeight="1" x14ac:dyDescent="0.2">
      <c r="A235" s="41" t="s">
        <v>4862</v>
      </c>
      <c r="B235" s="274" t="s">
        <v>3869</v>
      </c>
      <c r="C235" s="255" t="s">
        <v>2218</v>
      </c>
      <c r="D235" s="255" t="s">
        <v>3879</v>
      </c>
      <c r="E235" s="255" t="s">
        <v>3415</v>
      </c>
      <c r="F235" s="255" t="s">
        <v>3389</v>
      </c>
      <c r="G235" s="255" t="s">
        <v>3386</v>
      </c>
      <c r="H235" s="255" t="s">
        <v>3387</v>
      </c>
    </row>
    <row r="236" spans="1:8" ht="15" customHeight="1" x14ac:dyDescent="0.2">
      <c r="A236" s="41" t="s">
        <v>4848</v>
      </c>
      <c r="B236" s="274" t="s">
        <v>3869</v>
      </c>
      <c r="C236" s="255" t="s">
        <v>2070</v>
      </c>
      <c r="D236" s="255" t="s">
        <v>3875</v>
      </c>
      <c r="E236" s="255" t="s">
        <v>3415</v>
      </c>
      <c r="F236" s="255" t="s">
        <v>3385</v>
      </c>
      <c r="G236" s="255" t="s">
        <v>3386</v>
      </c>
      <c r="H236" s="255" t="s">
        <v>3387</v>
      </c>
    </row>
    <row r="237" spans="1:8" ht="15" customHeight="1" x14ac:dyDescent="0.2">
      <c r="A237" s="41" t="s">
        <v>4849</v>
      </c>
      <c r="B237" s="274" t="s">
        <v>3869</v>
      </c>
      <c r="C237" s="255" t="s">
        <v>2456</v>
      </c>
      <c r="D237" s="255" t="s">
        <v>3876</v>
      </c>
      <c r="E237" s="255" t="s">
        <v>3415</v>
      </c>
      <c r="F237" s="255" t="s">
        <v>3385</v>
      </c>
      <c r="G237" s="255" t="s">
        <v>3386</v>
      </c>
      <c r="H237" s="255" t="s">
        <v>3387</v>
      </c>
    </row>
    <row r="238" spans="1:8" ht="15" customHeight="1" x14ac:dyDescent="0.2">
      <c r="A238" s="41" t="s">
        <v>4171</v>
      </c>
      <c r="B238" s="274" t="s">
        <v>3519</v>
      </c>
      <c r="C238" s="255" t="s">
        <v>2051</v>
      </c>
      <c r="D238" s="255" t="s">
        <v>2050</v>
      </c>
      <c r="E238" s="255" t="s">
        <v>3415</v>
      </c>
      <c r="F238" s="255" t="s">
        <v>3389</v>
      </c>
      <c r="G238" s="255" t="s">
        <v>3386</v>
      </c>
      <c r="H238" s="255" t="s">
        <v>3387</v>
      </c>
    </row>
    <row r="239" spans="1:8" ht="15" customHeight="1" x14ac:dyDescent="0.2">
      <c r="A239" s="41" t="s">
        <v>4078</v>
      </c>
      <c r="B239" s="274" t="s">
        <v>3452</v>
      </c>
      <c r="C239" s="255" t="s">
        <v>1865</v>
      </c>
      <c r="D239" s="255" t="s">
        <v>1864</v>
      </c>
      <c r="E239" s="255" t="s">
        <v>3415</v>
      </c>
      <c r="F239" s="255" t="s">
        <v>3385</v>
      </c>
      <c r="G239" s="255" t="s">
        <v>3386</v>
      </c>
      <c r="H239" s="255" t="s">
        <v>3387</v>
      </c>
    </row>
    <row r="240" spans="1:8" ht="15" customHeight="1" x14ac:dyDescent="0.2">
      <c r="A240" s="41" t="s">
        <v>4075</v>
      </c>
      <c r="B240" s="274" t="s">
        <v>3452</v>
      </c>
      <c r="C240" s="255" t="s">
        <v>1928</v>
      </c>
      <c r="D240" s="255" t="s">
        <v>3453</v>
      </c>
      <c r="E240" s="255" t="s">
        <v>3415</v>
      </c>
      <c r="F240" s="255" t="s">
        <v>3385</v>
      </c>
      <c r="G240" s="255" t="s">
        <v>3386</v>
      </c>
      <c r="H240" s="255" t="s">
        <v>3387</v>
      </c>
    </row>
    <row r="241" spans="1:8" ht="15" customHeight="1" x14ac:dyDescent="0.2">
      <c r="A241" s="41" t="s">
        <v>4076</v>
      </c>
      <c r="B241" s="274" t="s">
        <v>3452</v>
      </c>
      <c r="C241" s="255" t="s">
        <v>1830</v>
      </c>
      <c r="D241" s="255" t="s">
        <v>3454</v>
      </c>
      <c r="E241" s="255" t="s">
        <v>3415</v>
      </c>
      <c r="F241" s="255" t="s">
        <v>3385</v>
      </c>
      <c r="G241" s="255" t="s">
        <v>3386</v>
      </c>
      <c r="H241" s="255" t="s">
        <v>3387</v>
      </c>
    </row>
    <row r="242" spans="1:8" ht="15" customHeight="1" x14ac:dyDescent="0.2">
      <c r="A242" s="41" t="s">
        <v>4077</v>
      </c>
      <c r="B242" s="274" t="s">
        <v>3452</v>
      </c>
      <c r="C242" s="255" t="s">
        <v>1860</v>
      </c>
      <c r="D242" s="255" t="s">
        <v>3455</v>
      </c>
      <c r="E242" s="255" t="s">
        <v>3415</v>
      </c>
      <c r="F242" s="255" t="s">
        <v>3385</v>
      </c>
      <c r="G242" s="255" t="s">
        <v>3386</v>
      </c>
      <c r="H242" s="255" t="s">
        <v>3387</v>
      </c>
    </row>
    <row r="243" spans="1:8" ht="15" customHeight="1" x14ac:dyDescent="0.2">
      <c r="A243" s="41" t="s">
        <v>4864</v>
      </c>
      <c r="B243" s="274" t="s">
        <v>3869</v>
      </c>
      <c r="C243" s="255" t="s">
        <v>2118</v>
      </c>
      <c r="D243" s="255" t="s">
        <v>3881</v>
      </c>
      <c r="E243" s="255" t="s">
        <v>3415</v>
      </c>
      <c r="F243" s="255" t="s">
        <v>3389</v>
      </c>
      <c r="G243" s="255" t="s">
        <v>3386</v>
      </c>
      <c r="H243" s="255" t="s">
        <v>3387</v>
      </c>
    </row>
    <row r="244" spans="1:8" ht="15" customHeight="1" x14ac:dyDescent="0.2">
      <c r="A244" s="41" t="s">
        <v>4865</v>
      </c>
      <c r="B244" s="274" t="s">
        <v>3869</v>
      </c>
      <c r="C244" s="255" t="s">
        <v>2266</v>
      </c>
      <c r="D244" s="255" t="s">
        <v>2265</v>
      </c>
      <c r="E244" s="255" t="s">
        <v>3415</v>
      </c>
      <c r="F244" s="255" t="s">
        <v>3389</v>
      </c>
      <c r="G244" s="255" t="s">
        <v>3386</v>
      </c>
      <c r="H244" s="255" t="s">
        <v>3387</v>
      </c>
    </row>
    <row r="245" spans="1:8" ht="15" customHeight="1" x14ac:dyDescent="0.2">
      <c r="A245" s="41" t="s">
        <v>4866</v>
      </c>
      <c r="B245" s="274" t="s">
        <v>3869</v>
      </c>
      <c r="C245" s="255" t="s">
        <v>2268</v>
      </c>
      <c r="D245" s="255" t="s">
        <v>2267</v>
      </c>
      <c r="E245" s="255" t="s">
        <v>3415</v>
      </c>
      <c r="F245" s="255" t="s">
        <v>3389</v>
      </c>
      <c r="G245" s="255" t="s">
        <v>3386</v>
      </c>
      <c r="H245" s="255" t="s">
        <v>3387</v>
      </c>
    </row>
    <row r="246" spans="1:8" ht="15" customHeight="1" x14ac:dyDescent="0.2">
      <c r="A246" s="41" t="s">
        <v>4863</v>
      </c>
      <c r="B246" s="274" t="s">
        <v>3869</v>
      </c>
      <c r="C246" s="255" t="s">
        <v>2202</v>
      </c>
      <c r="D246" s="255" t="s">
        <v>3880</v>
      </c>
      <c r="E246" s="255" t="s">
        <v>3415</v>
      </c>
      <c r="F246" s="255" t="s">
        <v>3389</v>
      </c>
      <c r="G246" s="255" t="s">
        <v>3386</v>
      </c>
      <c r="H246" s="255" t="s">
        <v>3387</v>
      </c>
    </row>
    <row r="247" spans="1:8" ht="15" customHeight="1" x14ac:dyDescent="0.2">
      <c r="A247" s="41" t="s">
        <v>4513</v>
      </c>
      <c r="B247" s="274" t="s">
        <v>3645</v>
      </c>
      <c r="C247" s="255" t="s">
        <v>1863</v>
      </c>
      <c r="D247" s="255" t="s">
        <v>3646</v>
      </c>
      <c r="E247" s="255" t="s">
        <v>3415</v>
      </c>
      <c r="F247" s="255" t="s">
        <v>3385</v>
      </c>
      <c r="G247" s="255" t="s">
        <v>3386</v>
      </c>
      <c r="H247" s="255" t="s">
        <v>3387</v>
      </c>
    </row>
    <row r="248" spans="1:8" ht="15" customHeight="1" x14ac:dyDescent="0.2">
      <c r="A248" s="41" t="s">
        <v>4514</v>
      </c>
      <c r="B248" s="274" t="s">
        <v>3645</v>
      </c>
      <c r="C248" s="255" t="s">
        <v>1879</v>
      </c>
      <c r="D248" s="255" t="s">
        <v>3647</v>
      </c>
      <c r="E248" s="255" t="s">
        <v>3415</v>
      </c>
      <c r="F248" s="255" t="s">
        <v>3385</v>
      </c>
      <c r="G248" s="255" t="s">
        <v>3386</v>
      </c>
      <c r="H248" s="255" t="s">
        <v>3387</v>
      </c>
    </row>
    <row r="249" spans="1:8" ht="15" customHeight="1" x14ac:dyDescent="0.2">
      <c r="A249" s="41" t="s">
        <v>4515</v>
      </c>
      <c r="B249" s="274" t="s">
        <v>3645</v>
      </c>
      <c r="C249" s="255" t="s">
        <v>1880</v>
      </c>
      <c r="D249" s="255" t="s">
        <v>3648</v>
      </c>
      <c r="E249" s="255" t="s">
        <v>3415</v>
      </c>
      <c r="F249" s="255" t="s">
        <v>3385</v>
      </c>
      <c r="G249" s="255" t="s">
        <v>3386</v>
      </c>
      <c r="H249" s="255" t="s">
        <v>3387</v>
      </c>
    </row>
    <row r="250" spans="1:8" ht="15" customHeight="1" x14ac:dyDescent="0.2">
      <c r="A250" s="41" t="s">
        <v>4786</v>
      </c>
      <c r="B250" s="274" t="s">
        <v>3844</v>
      </c>
      <c r="C250" s="255" t="s">
        <v>2854</v>
      </c>
      <c r="D250" s="255" t="s">
        <v>3849</v>
      </c>
      <c r="E250" s="255" t="s">
        <v>3415</v>
      </c>
      <c r="F250" s="255" t="s">
        <v>3385</v>
      </c>
      <c r="G250" s="255" t="s">
        <v>3386</v>
      </c>
      <c r="H250" s="255" t="s">
        <v>3387</v>
      </c>
    </row>
    <row r="251" spans="1:8" ht="15" customHeight="1" x14ac:dyDescent="0.2">
      <c r="A251" s="41" t="s">
        <v>4787</v>
      </c>
      <c r="B251" s="274" t="s">
        <v>3844</v>
      </c>
      <c r="C251" s="255" t="s">
        <v>2389</v>
      </c>
      <c r="D251" s="255" t="s">
        <v>3850</v>
      </c>
      <c r="E251" s="255" t="s">
        <v>3415</v>
      </c>
      <c r="F251" s="255" t="s">
        <v>3385</v>
      </c>
      <c r="G251" s="255" t="s">
        <v>3386</v>
      </c>
      <c r="H251" s="255" t="s">
        <v>3387</v>
      </c>
    </row>
    <row r="252" spans="1:8" ht="15" customHeight="1" x14ac:dyDescent="0.2">
      <c r="A252" s="41" t="s">
        <v>4523</v>
      </c>
      <c r="B252" s="274" t="s">
        <v>3653</v>
      </c>
      <c r="C252" s="255" t="s">
        <v>1870</v>
      </c>
      <c r="D252" s="255" t="s">
        <v>1869</v>
      </c>
      <c r="E252" s="255" t="s">
        <v>3460</v>
      </c>
      <c r="F252" s="255" t="s">
        <v>3385</v>
      </c>
      <c r="G252" s="255" t="s">
        <v>3386</v>
      </c>
      <c r="H252" s="255" t="s">
        <v>3387</v>
      </c>
    </row>
    <row r="253" spans="1:8" ht="15" customHeight="1" x14ac:dyDescent="0.2">
      <c r="A253" s="41" t="s">
        <v>4170</v>
      </c>
      <c r="B253" s="274" t="s">
        <v>3519</v>
      </c>
      <c r="C253" s="255" t="s">
        <v>1832</v>
      </c>
      <c r="D253" s="255" t="s">
        <v>1831</v>
      </c>
      <c r="E253" s="255" t="s">
        <v>3460</v>
      </c>
      <c r="F253" s="255" t="s">
        <v>3385</v>
      </c>
      <c r="G253" s="255" t="s">
        <v>3386</v>
      </c>
      <c r="H253" s="255" t="s">
        <v>3387</v>
      </c>
    </row>
    <row r="254" spans="1:8" ht="15" customHeight="1" x14ac:dyDescent="0.2">
      <c r="A254" s="41" t="s">
        <v>4040</v>
      </c>
      <c r="B254" s="274" t="s">
        <v>3428</v>
      </c>
      <c r="C254" s="255" t="s">
        <v>1925</v>
      </c>
      <c r="D254" s="255" t="s">
        <v>3430</v>
      </c>
      <c r="E254" s="255" t="s">
        <v>3403</v>
      </c>
      <c r="F254" s="255" t="s">
        <v>3385</v>
      </c>
      <c r="G254" s="255" t="s">
        <v>3386</v>
      </c>
      <c r="H254" s="255" t="s">
        <v>3387</v>
      </c>
    </row>
    <row r="255" spans="1:8" ht="15" customHeight="1" x14ac:dyDescent="0.2">
      <c r="A255" s="41" t="s">
        <v>4041</v>
      </c>
      <c r="B255" s="274" t="s">
        <v>3428</v>
      </c>
      <c r="C255" s="255" t="s">
        <v>2174</v>
      </c>
      <c r="D255" s="255" t="s">
        <v>3431</v>
      </c>
      <c r="E255" s="255" t="s">
        <v>3403</v>
      </c>
      <c r="F255" s="255" t="s">
        <v>3385</v>
      </c>
      <c r="G255" s="255" t="s">
        <v>3386</v>
      </c>
      <c r="H255" s="255" t="s">
        <v>3387</v>
      </c>
    </row>
    <row r="256" spans="1:8" ht="15" customHeight="1" x14ac:dyDescent="0.2">
      <c r="A256" s="41" t="s">
        <v>4042</v>
      </c>
      <c r="B256" s="274" t="s">
        <v>3428</v>
      </c>
      <c r="C256" s="255" t="s">
        <v>2279</v>
      </c>
      <c r="D256" s="255" t="s">
        <v>3432</v>
      </c>
      <c r="E256" s="255" t="s">
        <v>3403</v>
      </c>
      <c r="F256" s="255" t="s">
        <v>3385</v>
      </c>
      <c r="G256" s="255" t="s">
        <v>3386</v>
      </c>
      <c r="H256" s="255" t="s">
        <v>3387</v>
      </c>
    </row>
    <row r="257" spans="1:8" ht="15" customHeight="1" x14ac:dyDescent="0.2">
      <c r="A257" s="41" t="s">
        <v>4043</v>
      </c>
      <c r="B257" s="274" t="s">
        <v>3428</v>
      </c>
      <c r="C257" s="255" t="s">
        <v>2207</v>
      </c>
      <c r="D257" s="255" t="s">
        <v>3433</v>
      </c>
      <c r="E257" s="255" t="s">
        <v>3403</v>
      </c>
      <c r="F257" s="255" t="s">
        <v>3385</v>
      </c>
      <c r="G257" s="255" t="s">
        <v>3386</v>
      </c>
      <c r="H257" s="255" t="s">
        <v>3387</v>
      </c>
    </row>
    <row r="258" spans="1:8" ht="15" customHeight="1" x14ac:dyDescent="0.2">
      <c r="A258" s="41" t="s">
        <v>4044</v>
      </c>
      <c r="B258" s="274" t="s">
        <v>3428</v>
      </c>
      <c r="C258" s="255" t="s">
        <v>2693</v>
      </c>
      <c r="D258" s="255" t="s">
        <v>3434</v>
      </c>
      <c r="E258" s="255" t="s">
        <v>3403</v>
      </c>
      <c r="F258" s="255" t="s">
        <v>3385</v>
      </c>
      <c r="G258" s="255" t="s">
        <v>3386</v>
      </c>
      <c r="H258" s="255" t="s">
        <v>3387</v>
      </c>
    </row>
    <row r="259" spans="1:8" ht="15" customHeight="1" x14ac:dyDescent="0.2">
      <c r="A259" s="41" t="s">
        <v>4045</v>
      </c>
      <c r="B259" s="274" t="s">
        <v>3428</v>
      </c>
      <c r="C259" s="255" t="s">
        <v>2309</v>
      </c>
      <c r="D259" s="255" t="s">
        <v>3435</v>
      </c>
      <c r="E259" s="255" t="s">
        <v>3403</v>
      </c>
      <c r="F259" s="255" t="s">
        <v>3385</v>
      </c>
      <c r="G259" s="255" t="s">
        <v>3386</v>
      </c>
      <c r="H259" s="255" t="s">
        <v>3387</v>
      </c>
    </row>
    <row r="260" spans="1:8" ht="15" customHeight="1" x14ac:dyDescent="0.2">
      <c r="A260" s="41" t="s">
        <v>4046</v>
      </c>
      <c r="B260" s="274" t="s">
        <v>3428</v>
      </c>
      <c r="C260" s="255" t="s">
        <v>2694</v>
      </c>
      <c r="D260" s="255" t="s">
        <v>3436</v>
      </c>
      <c r="E260" s="255" t="s">
        <v>3403</v>
      </c>
      <c r="F260" s="255" t="s">
        <v>3385</v>
      </c>
      <c r="G260" s="255" t="s">
        <v>3386</v>
      </c>
      <c r="H260" s="255" t="s">
        <v>3387</v>
      </c>
    </row>
    <row r="261" spans="1:8" ht="15" customHeight="1" x14ac:dyDescent="0.2">
      <c r="A261" s="41" t="s">
        <v>4047</v>
      </c>
      <c r="B261" s="274" t="s">
        <v>3428</v>
      </c>
      <c r="C261" s="255" t="s">
        <v>2152</v>
      </c>
      <c r="D261" s="255" t="s">
        <v>3437</v>
      </c>
      <c r="E261" s="255" t="s">
        <v>3403</v>
      </c>
      <c r="F261" s="255" t="s">
        <v>3385</v>
      </c>
      <c r="G261" s="255" t="s">
        <v>3386</v>
      </c>
      <c r="H261" s="255" t="s">
        <v>3387</v>
      </c>
    </row>
    <row r="262" spans="1:8" ht="15" customHeight="1" x14ac:dyDescent="0.2">
      <c r="A262" s="41" t="s">
        <v>4053</v>
      </c>
      <c r="B262" s="274" t="s">
        <v>3428</v>
      </c>
      <c r="C262" s="255" t="s">
        <v>2280</v>
      </c>
      <c r="D262" s="255" t="s">
        <v>3443</v>
      </c>
      <c r="E262" s="255" t="s">
        <v>3403</v>
      </c>
      <c r="F262" s="255" t="s">
        <v>3385</v>
      </c>
      <c r="G262" s="255" t="s">
        <v>3386</v>
      </c>
      <c r="H262" s="255" t="s">
        <v>3387</v>
      </c>
    </row>
    <row r="263" spans="1:8" ht="15" customHeight="1" x14ac:dyDescent="0.2">
      <c r="A263" s="41" t="s">
        <v>4048</v>
      </c>
      <c r="B263" s="274" t="s">
        <v>3428</v>
      </c>
      <c r="C263" s="255" t="s">
        <v>2221</v>
      </c>
      <c r="D263" s="255" t="s">
        <v>3438</v>
      </c>
      <c r="E263" s="255" t="s">
        <v>3403</v>
      </c>
      <c r="F263" s="255" t="s">
        <v>3385</v>
      </c>
      <c r="G263" s="255" t="s">
        <v>3386</v>
      </c>
      <c r="H263" s="255" t="s">
        <v>3387</v>
      </c>
    </row>
    <row r="264" spans="1:8" ht="15" customHeight="1" x14ac:dyDescent="0.2">
      <c r="A264" s="41" t="s">
        <v>4049</v>
      </c>
      <c r="B264" s="274" t="s">
        <v>3428</v>
      </c>
      <c r="C264" s="255" t="s">
        <v>2901</v>
      </c>
      <c r="D264" s="255" t="s">
        <v>3439</v>
      </c>
      <c r="E264" s="255" t="s">
        <v>3403</v>
      </c>
      <c r="F264" s="255" t="s">
        <v>3385</v>
      </c>
      <c r="G264" s="255" t="s">
        <v>3386</v>
      </c>
      <c r="H264" s="255" t="s">
        <v>3387</v>
      </c>
    </row>
    <row r="265" spans="1:8" ht="15" customHeight="1" x14ac:dyDescent="0.2">
      <c r="A265" s="41" t="s">
        <v>4050</v>
      </c>
      <c r="B265" s="274" t="s">
        <v>3428</v>
      </c>
      <c r="C265" s="255" t="s">
        <v>2477</v>
      </c>
      <c r="D265" s="255" t="s">
        <v>3440</v>
      </c>
      <c r="E265" s="255" t="s">
        <v>3403</v>
      </c>
      <c r="F265" s="255" t="s">
        <v>3385</v>
      </c>
      <c r="G265" s="255" t="s">
        <v>3386</v>
      </c>
      <c r="H265" s="255" t="s">
        <v>3387</v>
      </c>
    </row>
    <row r="266" spans="1:8" ht="15" customHeight="1" x14ac:dyDescent="0.2">
      <c r="A266" s="41" t="s">
        <v>4052</v>
      </c>
      <c r="B266" s="274" t="s">
        <v>3428</v>
      </c>
      <c r="C266" s="255" t="s">
        <v>2478</v>
      </c>
      <c r="D266" s="255" t="s">
        <v>3442</v>
      </c>
      <c r="E266" s="255" t="s">
        <v>3403</v>
      </c>
      <c r="F266" s="255" t="s">
        <v>3385</v>
      </c>
      <c r="G266" s="255" t="s">
        <v>3386</v>
      </c>
      <c r="H266" s="255" t="s">
        <v>3387</v>
      </c>
    </row>
    <row r="267" spans="1:8" ht="15" customHeight="1" x14ac:dyDescent="0.2">
      <c r="A267" s="41" t="s">
        <v>4051</v>
      </c>
      <c r="B267" s="274" t="s">
        <v>3428</v>
      </c>
      <c r="C267" s="255" t="s">
        <v>2357</v>
      </c>
      <c r="D267" s="255" t="s">
        <v>3441</v>
      </c>
      <c r="E267" s="255" t="s">
        <v>3403</v>
      </c>
      <c r="F267" s="255" t="s">
        <v>3385</v>
      </c>
      <c r="G267" s="255" t="s">
        <v>3386</v>
      </c>
      <c r="H267" s="255" t="s">
        <v>3387</v>
      </c>
    </row>
    <row r="268" spans="1:8" ht="15" customHeight="1" x14ac:dyDescent="0.2">
      <c r="A268" s="41" t="s">
        <v>3897</v>
      </c>
      <c r="B268" s="274" t="s">
        <v>3383</v>
      </c>
      <c r="C268" s="255" t="s">
        <v>2662</v>
      </c>
      <c r="D268" s="255" t="s">
        <v>2661</v>
      </c>
      <c r="E268" s="255" t="s">
        <v>3384</v>
      </c>
      <c r="F268" s="255" t="s">
        <v>3385</v>
      </c>
      <c r="G268" s="255" t="s">
        <v>3386</v>
      </c>
      <c r="H268" s="255" t="s">
        <v>3387</v>
      </c>
    </row>
    <row r="269" spans="1:8" ht="15" customHeight="1" x14ac:dyDescent="0.2">
      <c r="A269" s="41" t="s">
        <v>3915</v>
      </c>
      <c r="B269" s="274" t="s">
        <v>3383</v>
      </c>
      <c r="C269" s="255" t="s">
        <v>2999</v>
      </c>
      <c r="D269" s="255" t="s">
        <v>2998</v>
      </c>
      <c r="E269" s="255" t="s">
        <v>3384</v>
      </c>
      <c r="F269" s="255" t="s">
        <v>3385</v>
      </c>
      <c r="G269" s="255" t="s">
        <v>3386</v>
      </c>
      <c r="H269" s="255" t="s">
        <v>3387</v>
      </c>
    </row>
    <row r="270" spans="1:8" ht="15" customHeight="1" x14ac:dyDescent="0.2">
      <c r="A270" s="41" t="s">
        <v>3898</v>
      </c>
      <c r="B270" s="274" t="s">
        <v>3383</v>
      </c>
      <c r="C270" s="255" t="s">
        <v>2664</v>
      </c>
      <c r="D270" s="255" t="s">
        <v>2663</v>
      </c>
      <c r="E270" s="255" t="s">
        <v>3384</v>
      </c>
      <c r="F270" s="255" t="s">
        <v>3385</v>
      </c>
      <c r="G270" s="255" t="s">
        <v>3386</v>
      </c>
      <c r="H270" s="255" t="s">
        <v>3387</v>
      </c>
    </row>
    <row r="271" spans="1:8" ht="15" customHeight="1" x14ac:dyDescent="0.2">
      <c r="A271" s="41" t="s">
        <v>3899</v>
      </c>
      <c r="B271" s="274" t="s">
        <v>3383</v>
      </c>
      <c r="C271" s="255" t="s">
        <v>2135</v>
      </c>
      <c r="D271" s="255" t="s">
        <v>2134</v>
      </c>
      <c r="E271" s="255" t="s">
        <v>3384</v>
      </c>
      <c r="F271" s="255" t="s">
        <v>3385</v>
      </c>
      <c r="G271" s="255" t="s">
        <v>3386</v>
      </c>
      <c r="H271" s="255" t="s">
        <v>3387</v>
      </c>
    </row>
    <row r="272" spans="1:8" ht="15" customHeight="1" x14ac:dyDescent="0.2">
      <c r="A272" s="41" t="s">
        <v>3900</v>
      </c>
      <c r="B272" s="274" t="s">
        <v>3383</v>
      </c>
      <c r="C272" s="255" t="s">
        <v>2544</v>
      </c>
      <c r="D272" s="255" t="s">
        <v>2543</v>
      </c>
      <c r="E272" s="255" t="s">
        <v>3384</v>
      </c>
      <c r="F272" s="255" t="s">
        <v>3385</v>
      </c>
      <c r="G272" s="255" t="s">
        <v>3386</v>
      </c>
      <c r="H272" s="255" t="s">
        <v>3387</v>
      </c>
    </row>
    <row r="273" spans="1:8" ht="15" customHeight="1" x14ac:dyDescent="0.2">
      <c r="A273" s="41" t="s">
        <v>3901</v>
      </c>
      <c r="B273" s="274" t="s">
        <v>3383</v>
      </c>
      <c r="C273" s="255" t="s">
        <v>2892</v>
      </c>
      <c r="D273" s="255" t="s">
        <v>2891</v>
      </c>
      <c r="E273" s="255" t="s">
        <v>3384</v>
      </c>
      <c r="F273" s="255" t="s">
        <v>3385</v>
      </c>
      <c r="G273" s="255" t="s">
        <v>3386</v>
      </c>
      <c r="H273" s="255" t="s">
        <v>3387</v>
      </c>
    </row>
    <row r="274" spans="1:8" ht="15" customHeight="1" x14ac:dyDescent="0.2">
      <c r="A274" s="41" t="s">
        <v>3912</v>
      </c>
      <c r="B274" s="274" t="s">
        <v>3383</v>
      </c>
      <c r="C274" s="255" t="s">
        <v>2668</v>
      </c>
      <c r="D274" s="255" t="s">
        <v>2667</v>
      </c>
      <c r="E274" s="255" t="s">
        <v>3384</v>
      </c>
      <c r="F274" s="255" t="s">
        <v>3385</v>
      </c>
      <c r="G274" s="255" t="s">
        <v>3386</v>
      </c>
      <c r="H274" s="255" t="s">
        <v>3387</v>
      </c>
    </row>
    <row r="275" spans="1:8" ht="15" customHeight="1" x14ac:dyDescent="0.2">
      <c r="A275" s="41" t="s">
        <v>3914</v>
      </c>
      <c r="B275" s="274" t="s">
        <v>3383</v>
      </c>
      <c r="C275" s="255" t="s">
        <v>2670</v>
      </c>
      <c r="D275" s="255" t="s">
        <v>2669</v>
      </c>
      <c r="E275" s="255" t="s">
        <v>3384</v>
      </c>
      <c r="F275" s="255" t="s">
        <v>3385</v>
      </c>
      <c r="G275" s="255" t="s">
        <v>3386</v>
      </c>
      <c r="H275" s="255" t="s">
        <v>3387</v>
      </c>
    </row>
    <row r="276" spans="1:8" ht="15" customHeight="1" x14ac:dyDescent="0.2">
      <c r="A276" s="41" t="s">
        <v>3913</v>
      </c>
      <c r="B276" s="274" t="s">
        <v>3383</v>
      </c>
      <c r="C276" s="255" t="s">
        <v>2204</v>
      </c>
      <c r="D276" s="255" t="s">
        <v>2203</v>
      </c>
      <c r="E276" s="255" t="s">
        <v>3384</v>
      </c>
      <c r="F276" s="255" t="s">
        <v>3385</v>
      </c>
      <c r="G276" s="255" t="s">
        <v>3386</v>
      </c>
      <c r="H276" s="255" t="s">
        <v>3387</v>
      </c>
    </row>
    <row r="277" spans="1:8" ht="15" customHeight="1" x14ac:dyDescent="0.2">
      <c r="A277" s="41" t="s">
        <v>3895</v>
      </c>
      <c r="B277" s="274" t="s">
        <v>3383</v>
      </c>
      <c r="C277" s="255" t="s">
        <v>1840</v>
      </c>
      <c r="D277" s="255" t="s">
        <v>1839</v>
      </c>
      <c r="E277" s="255" t="s">
        <v>3384</v>
      </c>
      <c r="F277" s="255" t="s">
        <v>3385</v>
      </c>
      <c r="G277" s="255" t="s">
        <v>3386</v>
      </c>
      <c r="H277" s="255" t="s">
        <v>3387</v>
      </c>
    </row>
    <row r="278" spans="1:8" ht="15" customHeight="1" x14ac:dyDescent="0.2">
      <c r="A278" s="41" t="s">
        <v>3896</v>
      </c>
      <c r="B278" s="274" t="s">
        <v>3383</v>
      </c>
      <c r="C278" s="255" t="s">
        <v>2270</v>
      </c>
      <c r="D278" s="255" t="s">
        <v>2269</v>
      </c>
      <c r="E278" s="255" t="s">
        <v>3384</v>
      </c>
      <c r="F278" s="255" t="s">
        <v>3385</v>
      </c>
      <c r="G278" s="255" t="s">
        <v>3386</v>
      </c>
      <c r="H278" s="255" t="s">
        <v>3387</v>
      </c>
    </row>
    <row r="279" spans="1:8" ht="15" customHeight="1" x14ac:dyDescent="0.2">
      <c r="A279" s="41" t="s">
        <v>3890</v>
      </c>
      <c r="B279" s="274" t="s">
        <v>3383</v>
      </c>
      <c r="C279" s="255" t="s">
        <v>2882</v>
      </c>
      <c r="D279" s="255" t="s">
        <v>2881</v>
      </c>
      <c r="E279" s="255" t="s">
        <v>3384</v>
      </c>
      <c r="F279" s="255" t="s">
        <v>3385</v>
      </c>
      <c r="G279" s="255" t="s">
        <v>3386</v>
      </c>
      <c r="H279" s="255" t="s">
        <v>3387</v>
      </c>
    </row>
    <row r="280" spans="1:8" ht="15" customHeight="1" x14ac:dyDescent="0.2">
      <c r="A280" s="41" t="s">
        <v>3916</v>
      </c>
      <c r="B280" s="274" t="s">
        <v>3383</v>
      </c>
      <c r="C280" s="255" t="s">
        <v>2671</v>
      </c>
      <c r="D280" s="255" t="s">
        <v>3388</v>
      </c>
      <c r="E280" s="255" t="s">
        <v>3384</v>
      </c>
      <c r="F280" s="255" t="s">
        <v>3385</v>
      </c>
      <c r="G280" s="255" t="s">
        <v>3386</v>
      </c>
      <c r="H280" s="255" t="s">
        <v>3387</v>
      </c>
    </row>
    <row r="281" spans="1:8" ht="15" customHeight="1" x14ac:dyDescent="0.2">
      <c r="A281" s="41" t="s">
        <v>3891</v>
      </c>
      <c r="B281" s="274" t="s">
        <v>3383</v>
      </c>
      <c r="C281" s="255" t="s">
        <v>2884</v>
      </c>
      <c r="D281" s="255" t="s">
        <v>2883</v>
      </c>
      <c r="E281" s="255" t="s">
        <v>3384</v>
      </c>
      <c r="F281" s="255" t="s">
        <v>3385</v>
      </c>
      <c r="G281" s="255" t="s">
        <v>3386</v>
      </c>
      <c r="H281" s="255" t="s">
        <v>3387</v>
      </c>
    </row>
    <row r="282" spans="1:8" ht="15" customHeight="1" x14ac:dyDescent="0.2">
      <c r="A282" s="41" t="s">
        <v>3892</v>
      </c>
      <c r="B282" s="274" t="s">
        <v>3383</v>
      </c>
      <c r="C282" s="255" t="s">
        <v>2886</v>
      </c>
      <c r="D282" s="255" t="s">
        <v>2885</v>
      </c>
      <c r="E282" s="255" t="s">
        <v>3384</v>
      </c>
      <c r="F282" s="255" t="s">
        <v>3385</v>
      </c>
      <c r="G282" s="255" t="s">
        <v>3386</v>
      </c>
      <c r="H282" s="255" t="s">
        <v>3387</v>
      </c>
    </row>
    <row r="283" spans="1:8" ht="15" customHeight="1" x14ac:dyDescent="0.2">
      <c r="A283" s="41" t="s">
        <v>3893</v>
      </c>
      <c r="B283" s="274" t="s">
        <v>3383</v>
      </c>
      <c r="C283" s="255" t="s">
        <v>2888</v>
      </c>
      <c r="D283" s="255" t="s">
        <v>2887</v>
      </c>
      <c r="E283" s="255" t="s">
        <v>3384</v>
      </c>
      <c r="F283" s="255" t="s">
        <v>3385</v>
      </c>
      <c r="G283" s="255" t="s">
        <v>3386</v>
      </c>
      <c r="H283" s="255" t="s">
        <v>3387</v>
      </c>
    </row>
    <row r="284" spans="1:8" ht="15" customHeight="1" x14ac:dyDescent="0.2">
      <c r="A284" s="41" t="s">
        <v>3894</v>
      </c>
      <c r="B284" s="274" t="s">
        <v>3383</v>
      </c>
      <c r="C284" s="255" t="s">
        <v>2890</v>
      </c>
      <c r="D284" s="255" t="s">
        <v>2889</v>
      </c>
      <c r="E284" s="255" t="s">
        <v>3384</v>
      </c>
      <c r="F284" s="255" t="s">
        <v>3385</v>
      </c>
      <c r="G284" s="255" t="s">
        <v>3386</v>
      </c>
      <c r="H284" s="255" t="s">
        <v>3387</v>
      </c>
    </row>
    <row r="285" spans="1:8" ht="15" customHeight="1" x14ac:dyDescent="0.2">
      <c r="A285" s="41" t="s">
        <v>3909</v>
      </c>
      <c r="B285" s="274" t="s">
        <v>3383</v>
      </c>
      <c r="C285" s="255" t="s">
        <v>2137</v>
      </c>
      <c r="D285" s="255" t="s">
        <v>2136</v>
      </c>
      <c r="E285" s="255" t="s">
        <v>3384</v>
      </c>
      <c r="F285" s="255" t="s">
        <v>3385</v>
      </c>
      <c r="G285" s="255" t="s">
        <v>3386</v>
      </c>
      <c r="H285" s="255" t="s">
        <v>3387</v>
      </c>
    </row>
    <row r="286" spans="1:8" ht="15" customHeight="1" x14ac:dyDescent="0.2">
      <c r="A286" s="41" t="s">
        <v>3910</v>
      </c>
      <c r="B286" s="274" t="s">
        <v>3383</v>
      </c>
      <c r="C286" s="255" t="s">
        <v>2464</v>
      </c>
      <c r="D286" s="255" t="s">
        <v>2463</v>
      </c>
      <c r="E286" s="255" t="s">
        <v>3384</v>
      </c>
      <c r="F286" s="255" t="s">
        <v>3385</v>
      </c>
      <c r="G286" s="255" t="s">
        <v>3386</v>
      </c>
      <c r="H286" s="255" t="s">
        <v>3387</v>
      </c>
    </row>
    <row r="287" spans="1:8" ht="15" customHeight="1" x14ac:dyDescent="0.2">
      <c r="A287" s="41" t="s">
        <v>3911</v>
      </c>
      <c r="B287" s="274" t="s">
        <v>3383</v>
      </c>
      <c r="C287" s="255" t="s">
        <v>2548</v>
      </c>
      <c r="D287" s="255" t="s">
        <v>2547</v>
      </c>
      <c r="E287" s="255" t="s">
        <v>3384</v>
      </c>
      <c r="F287" s="255" t="s">
        <v>3385</v>
      </c>
      <c r="G287" s="255" t="s">
        <v>3386</v>
      </c>
      <c r="H287" s="255" t="s">
        <v>3387</v>
      </c>
    </row>
    <row r="288" spans="1:8" ht="15" customHeight="1" x14ac:dyDescent="0.2">
      <c r="A288" s="41" t="s">
        <v>3888</v>
      </c>
      <c r="B288" s="274" t="s">
        <v>3383</v>
      </c>
      <c r="C288" s="255" t="s">
        <v>2394</v>
      </c>
      <c r="D288" s="255" t="s">
        <v>2393</v>
      </c>
      <c r="E288" s="255" t="s">
        <v>3384</v>
      </c>
      <c r="F288" s="255" t="s">
        <v>3385</v>
      </c>
      <c r="G288" s="255" t="s">
        <v>3386</v>
      </c>
      <c r="H288" s="255" t="s">
        <v>3387</v>
      </c>
    </row>
    <row r="289" spans="1:8" ht="15" customHeight="1" x14ac:dyDescent="0.2">
      <c r="A289" s="41" t="s">
        <v>3889</v>
      </c>
      <c r="B289" s="274" t="s">
        <v>3383</v>
      </c>
      <c r="C289" s="255" t="s">
        <v>2542</v>
      </c>
      <c r="D289" s="255" t="s">
        <v>2541</v>
      </c>
      <c r="E289" s="255" t="s">
        <v>3384</v>
      </c>
      <c r="F289" s="255" t="s">
        <v>3385</v>
      </c>
      <c r="G289" s="255" t="s">
        <v>3386</v>
      </c>
      <c r="H289" s="255" t="s">
        <v>3387</v>
      </c>
    </row>
    <row r="290" spans="1:8" ht="15" customHeight="1" x14ac:dyDescent="0.2">
      <c r="A290" s="41" t="s">
        <v>3986</v>
      </c>
      <c r="B290" s="274" t="s">
        <v>3408</v>
      </c>
      <c r="C290" s="255" t="s">
        <v>2558</v>
      </c>
      <c r="D290" s="255" t="s">
        <v>3409</v>
      </c>
      <c r="E290" s="255" t="s">
        <v>3384</v>
      </c>
      <c r="F290" s="255" t="s">
        <v>3389</v>
      </c>
      <c r="G290" s="255" t="s">
        <v>3386</v>
      </c>
      <c r="H290" s="255" t="s">
        <v>3387</v>
      </c>
    </row>
    <row r="291" spans="1:8" ht="15" customHeight="1" x14ac:dyDescent="0.2">
      <c r="A291" s="41" t="s">
        <v>3987</v>
      </c>
      <c r="B291" s="274" t="s">
        <v>3408</v>
      </c>
      <c r="C291" s="255" t="s">
        <v>2898</v>
      </c>
      <c r="D291" s="255" t="s">
        <v>3410</v>
      </c>
      <c r="E291" s="255" t="s">
        <v>3384</v>
      </c>
      <c r="F291" s="255" t="s">
        <v>3389</v>
      </c>
      <c r="G291" s="255" t="s">
        <v>3386</v>
      </c>
      <c r="H291" s="255" t="s">
        <v>3387</v>
      </c>
    </row>
    <row r="292" spans="1:8" ht="15" customHeight="1" x14ac:dyDescent="0.2">
      <c r="A292" s="41" t="s">
        <v>3988</v>
      </c>
      <c r="B292" s="274" t="s">
        <v>3408</v>
      </c>
      <c r="C292" s="255" t="s">
        <v>2899</v>
      </c>
      <c r="D292" s="255" t="s">
        <v>3411</v>
      </c>
      <c r="E292" s="255" t="s">
        <v>3384</v>
      </c>
      <c r="F292" s="255" t="s">
        <v>3389</v>
      </c>
      <c r="G292" s="255" t="s">
        <v>3386</v>
      </c>
      <c r="H292" s="255" t="s">
        <v>3387</v>
      </c>
    </row>
    <row r="293" spans="1:8" ht="15" customHeight="1" x14ac:dyDescent="0.2">
      <c r="A293" s="41" t="s">
        <v>3989</v>
      </c>
      <c r="B293" s="274" t="s">
        <v>3408</v>
      </c>
      <c r="C293" s="255" t="s">
        <v>2900</v>
      </c>
      <c r="D293" s="255" t="s">
        <v>3412</v>
      </c>
      <c r="E293" s="255" t="s">
        <v>3384</v>
      </c>
      <c r="F293" s="255" t="s">
        <v>3389</v>
      </c>
      <c r="G293" s="255" t="s">
        <v>3386</v>
      </c>
      <c r="H293" s="255" t="s">
        <v>3387</v>
      </c>
    </row>
    <row r="294" spans="1:8" ht="15" customHeight="1" x14ac:dyDescent="0.2">
      <c r="A294" s="41" t="s">
        <v>3947</v>
      </c>
      <c r="B294" s="274" t="s">
        <v>3390</v>
      </c>
      <c r="C294" s="255" t="s">
        <v>2554</v>
      </c>
      <c r="D294" s="255" t="s">
        <v>2553</v>
      </c>
      <c r="E294" s="255" t="s">
        <v>3395</v>
      </c>
      <c r="F294" s="255" t="s">
        <v>3389</v>
      </c>
      <c r="G294" s="255" t="s">
        <v>3386</v>
      </c>
      <c r="H294" s="255" t="s">
        <v>3387</v>
      </c>
    </row>
    <row r="295" spans="1:8" ht="15" customHeight="1" x14ac:dyDescent="0.2">
      <c r="A295" s="41" t="s">
        <v>4067</v>
      </c>
      <c r="B295" s="274" t="s">
        <v>3447</v>
      </c>
      <c r="C295" s="255" t="s">
        <v>2700</v>
      </c>
      <c r="D295" s="255" t="s">
        <v>2699</v>
      </c>
      <c r="E295" s="255" t="s">
        <v>3384</v>
      </c>
      <c r="F295" s="255" t="s">
        <v>3385</v>
      </c>
      <c r="G295" s="255" t="s">
        <v>3386</v>
      </c>
      <c r="H295" s="255" t="s">
        <v>3387</v>
      </c>
    </row>
    <row r="296" spans="1:8" ht="15" customHeight="1" x14ac:dyDescent="0.2">
      <c r="A296" s="41" t="s">
        <v>4066</v>
      </c>
      <c r="B296" s="274" t="s">
        <v>3447</v>
      </c>
      <c r="C296" s="255" t="s">
        <v>2361</v>
      </c>
      <c r="D296" s="255" t="s">
        <v>2360</v>
      </c>
      <c r="E296" s="255" t="s">
        <v>3384</v>
      </c>
      <c r="F296" s="255" t="s">
        <v>3385</v>
      </c>
      <c r="G296" s="255" t="s">
        <v>3386</v>
      </c>
      <c r="H296" s="255" t="s">
        <v>3387</v>
      </c>
    </row>
    <row r="297" spans="1:8" ht="15" customHeight="1" x14ac:dyDescent="0.2">
      <c r="A297" s="41" t="s">
        <v>4065</v>
      </c>
      <c r="B297" s="274" t="s">
        <v>3447</v>
      </c>
      <c r="C297" s="255" t="s">
        <v>1847</v>
      </c>
      <c r="D297" s="255" t="s">
        <v>1846</v>
      </c>
      <c r="E297" s="255" t="s">
        <v>3384</v>
      </c>
      <c r="F297" s="255" t="s">
        <v>3385</v>
      </c>
      <c r="G297" s="255" t="s">
        <v>3386</v>
      </c>
      <c r="H297" s="255" t="s">
        <v>3387</v>
      </c>
    </row>
    <row r="298" spans="1:8" ht="15" customHeight="1" x14ac:dyDescent="0.2">
      <c r="A298" s="41" t="s">
        <v>4070</v>
      </c>
      <c r="B298" s="274" t="s">
        <v>3447</v>
      </c>
      <c r="C298" s="255" t="s">
        <v>3011</v>
      </c>
      <c r="D298" s="255" t="s">
        <v>3010</v>
      </c>
      <c r="E298" s="255" t="s">
        <v>3384</v>
      </c>
      <c r="F298" s="255" t="s">
        <v>3385</v>
      </c>
      <c r="G298" s="255" t="s">
        <v>3386</v>
      </c>
      <c r="H298" s="255" t="s">
        <v>3387</v>
      </c>
    </row>
    <row r="299" spans="1:8" ht="15" customHeight="1" x14ac:dyDescent="0.2">
      <c r="A299" s="41" t="s">
        <v>4064</v>
      </c>
      <c r="B299" s="274" t="s">
        <v>3447</v>
      </c>
      <c r="C299" s="255" t="s">
        <v>2176</v>
      </c>
      <c r="D299" s="255" t="s">
        <v>2175</v>
      </c>
      <c r="E299" s="255" t="s">
        <v>3384</v>
      </c>
      <c r="F299" s="255" t="s">
        <v>3385</v>
      </c>
      <c r="G299" s="255" t="s">
        <v>3386</v>
      </c>
      <c r="H299" s="255" t="s">
        <v>3387</v>
      </c>
    </row>
    <row r="300" spans="1:8" ht="15" customHeight="1" x14ac:dyDescent="0.2">
      <c r="A300" s="41" t="s">
        <v>4068</v>
      </c>
      <c r="B300" s="274" t="s">
        <v>3447</v>
      </c>
      <c r="C300" s="255" t="s">
        <v>1851</v>
      </c>
      <c r="D300" s="255" t="s">
        <v>1850</v>
      </c>
      <c r="E300" s="255" t="s">
        <v>3384</v>
      </c>
      <c r="F300" s="255" t="s">
        <v>3385</v>
      </c>
      <c r="G300" s="255" t="s">
        <v>3386</v>
      </c>
      <c r="H300" s="255" t="s">
        <v>3387</v>
      </c>
    </row>
    <row r="301" spans="1:8" ht="15" customHeight="1" x14ac:dyDescent="0.2">
      <c r="A301" s="41" t="s">
        <v>4069</v>
      </c>
      <c r="B301" s="274" t="s">
        <v>3447</v>
      </c>
      <c r="C301" s="255" t="s">
        <v>2562</v>
      </c>
      <c r="D301" s="255" t="s">
        <v>2561</v>
      </c>
      <c r="E301" s="255" t="s">
        <v>3384</v>
      </c>
      <c r="F301" s="255" t="s">
        <v>3385</v>
      </c>
      <c r="G301" s="255" t="s">
        <v>3386</v>
      </c>
      <c r="H301" s="255" t="s">
        <v>3387</v>
      </c>
    </row>
    <row r="302" spans="1:8" ht="15" customHeight="1" x14ac:dyDescent="0.2">
      <c r="A302" s="41" t="s">
        <v>4484</v>
      </c>
      <c r="B302" s="274" t="s">
        <v>3623</v>
      </c>
      <c r="C302" s="255" t="s">
        <v>2037</v>
      </c>
      <c r="D302" s="255" t="s">
        <v>2036</v>
      </c>
      <c r="E302" s="255" t="s">
        <v>3384</v>
      </c>
      <c r="F302" s="255" t="s">
        <v>3385</v>
      </c>
      <c r="G302" s="255" t="s">
        <v>3386</v>
      </c>
      <c r="H302" s="255" t="s">
        <v>3387</v>
      </c>
    </row>
    <row r="303" spans="1:8" ht="15" customHeight="1" x14ac:dyDescent="0.2">
      <c r="A303" s="41" t="s">
        <v>3984</v>
      </c>
      <c r="B303" s="274" t="s">
        <v>3408</v>
      </c>
      <c r="C303" s="255" t="s">
        <v>1842</v>
      </c>
      <c r="D303" s="255" t="s">
        <v>1841</v>
      </c>
      <c r="E303" s="255" t="s">
        <v>3384</v>
      </c>
      <c r="F303" s="255" t="s">
        <v>3385</v>
      </c>
      <c r="G303" s="255" t="s">
        <v>3386</v>
      </c>
      <c r="H303" s="255" t="s">
        <v>3387</v>
      </c>
    </row>
    <row r="304" spans="1:8" ht="15" customHeight="1" x14ac:dyDescent="0.2">
      <c r="A304" s="41" t="s">
        <v>3985</v>
      </c>
      <c r="B304" s="274" t="s">
        <v>3408</v>
      </c>
      <c r="C304" s="255" t="s">
        <v>1883</v>
      </c>
      <c r="D304" s="255" t="s">
        <v>1882</v>
      </c>
      <c r="E304" s="255" t="s">
        <v>3384</v>
      </c>
      <c r="F304" s="255" t="s">
        <v>3385</v>
      </c>
      <c r="G304" s="255" t="s">
        <v>3386</v>
      </c>
      <c r="H304" s="255" t="s">
        <v>3387</v>
      </c>
    </row>
    <row r="305" spans="1:8" ht="15" customHeight="1" x14ac:dyDescent="0.2">
      <c r="A305" s="41" t="s">
        <v>3973</v>
      </c>
      <c r="B305" s="274" t="s">
        <v>3398</v>
      </c>
      <c r="C305" s="255" t="s">
        <v>2691</v>
      </c>
      <c r="D305" s="255" t="s">
        <v>2690</v>
      </c>
      <c r="E305" s="255" t="s">
        <v>3384</v>
      </c>
      <c r="F305" s="255" t="s">
        <v>3389</v>
      </c>
      <c r="G305" s="255" t="s">
        <v>3386</v>
      </c>
      <c r="H305" s="255" t="s">
        <v>3387</v>
      </c>
    </row>
    <row r="306" spans="1:8" ht="15" customHeight="1" x14ac:dyDescent="0.2">
      <c r="A306" s="41" t="s">
        <v>3952</v>
      </c>
      <c r="B306" s="274" t="s">
        <v>3398</v>
      </c>
      <c r="C306" s="255" t="s">
        <v>1977</v>
      </c>
      <c r="D306" s="255" t="s">
        <v>1976</v>
      </c>
      <c r="E306" s="255" t="s">
        <v>3384</v>
      </c>
      <c r="F306" s="255" t="s">
        <v>3385</v>
      </c>
      <c r="G306" s="255" t="s">
        <v>3386</v>
      </c>
      <c r="H306" s="255" t="s">
        <v>3387</v>
      </c>
    </row>
    <row r="307" spans="1:8" ht="15" customHeight="1" x14ac:dyDescent="0.2">
      <c r="A307" s="41" t="s">
        <v>3964</v>
      </c>
      <c r="B307" s="274" t="s">
        <v>3398</v>
      </c>
      <c r="C307" s="255" t="s">
        <v>2308</v>
      </c>
      <c r="D307" s="255" t="s">
        <v>2307</v>
      </c>
      <c r="E307" s="255" t="s">
        <v>3384</v>
      </c>
      <c r="F307" s="255" t="s">
        <v>3385</v>
      </c>
      <c r="G307" s="255" t="s">
        <v>3386</v>
      </c>
      <c r="H307" s="255" t="s">
        <v>3387</v>
      </c>
    </row>
    <row r="308" spans="1:8" ht="15" customHeight="1" x14ac:dyDescent="0.2">
      <c r="A308" s="41" t="s">
        <v>3953</v>
      </c>
      <c r="B308" s="274" t="s">
        <v>3398</v>
      </c>
      <c r="C308" s="255" t="s">
        <v>2048</v>
      </c>
      <c r="D308" s="255" t="s">
        <v>2047</v>
      </c>
      <c r="E308" s="255" t="s">
        <v>3384</v>
      </c>
      <c r="F308" s="255" t="s">
        <v>3385</v>
      </c>
      <c r="G308" s="255" t="s">
        <v>3386</v>
      </c>
      <c r="H308" s="255" t="s">
        <v>3387</v>
      </c>
    </row>
    <row r="309" spans="1:8" ht="15" customHeight="1" x14ac:dyDescent="0.2">
      <c r="A309" s="41" t="s">
        <v>3965</v>
      </c>
      <c r="B309" s="274" t="s">
        <v>3398</v>
      </c>
      <c r="C309" s="255" t="s">
        <v>2468</v>
      </c>
      <c r="D309" s="255" t="s">
        <v>2467</v>
      </c>
      <c r="E309" s="255" t="s">
        <v>3384</v>
      </c>
      <c r="F309" s="255" t="s">
        <v>3385</v>
      </c>
      <c r="G309" s="255" t="s">
        <v>3386</v>
      </c>
      <c r="H309" s="255" t="s">
        <v>3387</v>
      </c>
    </row>
    <row r="310" spans="1:8" ht="15" customHeight="1" x14ac:dyDescent="0.2">
      <c r="A310" s="41" t="s">
        <v>3954</v>
      </c>
      <c r="B310" s="274" t="s">
        <v>3398</v>
      </c>
      <c r="C310" s="255" t="s">
        <v>1898</v>
      </c>
      <c r="D310" s="255" t="s">
        <v>1897</v>
      </c>
      <c r="E310" s="255" t="s">
        <v>3384</v>
      </c>
      <c r="F310" s="255" t="s">
        <v>3385</v>
      </c>
      <c r="G310" s="255" t="s">
        <v>3386</v>
      </c>
      <c r="H310" s="255" t="s">
        <v>3387</v>
      </c>
    </row>
    <row r="311" spans="1:8" ht="15" customHeight="1" x14ac:dyDescent="0.2">
      <c r="A311" s="41" t="s">
        <v>3966</v>
      </c>
      <c r="B311" s="274" t="s">
        <v>3398</v>
      </c>
      <c r="C311" s="255" t="s">
        <v>2687</v>
      </c>
      <c r="D311" s="255" t="s">
        <v>2686</v>
      </c>
      <c r="E311" s="255" t="s">
        <v>3384</v>
      </c>
      <c r="F311" s="255" t="s">
        <v>3385</v>
      </c>
      <c r="G311" s="255" t="s">
        <v>3386</v>
      </c>
      <c r="H311" s="255" t="s">
        <v>3387</v>
      </c>
    </row>
    <row r="312" spans="1:8" ht="15" customHeight="1" x14ac:dyDescent="0.2">
      <c r="A312" s="41" t="s">
        <v>3955</v>
      </c>
      <c r="B312" s="274" t="s">
        <v>3398</v>
      </c>
      <c r="C312" s="255" t="s">
        <v>2094</v>
      </c>
      <c r="D312" s="255" t="s">
        <v>2093</v>
      </c>
      <c r="E312" s="255" t="s">
        <v>3384</v>
      </c>
      <c r="F312" s="255" t="s">
        <v>3385</v>
      </c>
      <c r="G312" s="255" t="s">
        <v>3386</v>
      </c>
      <c r="H312" s="255" t="s">
        <v>3387</v>
      </c>
    </row>
    <row r="313" spans="1:8" ht="15" customHeight="1" x14ac:dyDescent="0.2">
      <c r="A313" s="41" t="s">
        <v>3967</v>
      </c>
      <c r="B313" s="274" t="s">
        <v>3398</v>
      </c>
      <c r="C313" s="255" t="s">
        <v>2556</v>
      </c>
      <c r="D313" s="255" t="s">
        <v>2555</v>
      </c>
      <c r="E313" s="255" t="s">
        <v>3384</v>
      </c>
      <c r="F313" s="255" t="s">
        <v>3385</v>
      </c>
      <c r="G313" s="255" t="s">
        <v>3386</v>
      </c>
      <c r="H313" s="255" t="s">
        <v>3387</v>
      </c>
    </row>
    <row r="314" spans="1:8" ht="15" customHeight="1" x14ac:dyDescent="0.2">
      <c r="A314" s="41" t="s">
        <v>3956</v>
      </c>
      <c r="B314" s="274" t="s">
        <v>3398</v>
      </c>
      <c r="C314" s="255" t="s">
        <v>2045</v>
      </c>
      <c r="D314" s="255" t="s">
        <v>2044</v>
      </c>
      <c r="E314" s="255" t="s">
        <v>3384</v>
      </c>
      <c r="F314" s="255" t="s">
        <v>3385</v>
      </c>
      <c r="G314" s="255" t="s">
        <v>3386</v>
      </c>
      <c r="H314" s="255" t="s">
        <v>3387</v>
      </c>
    </row>
    <row r="315" spans="1:8" ht="15" customHeight="1" x14ac:dyDescent="0.2">
      <c r="A315" s="41" t="s">
        <v>3968</v>
      </c>
      <c r="B315" s="274" t="s">
        <v>3398</v>
      </c>
      <c r="C315" s="255" t="s">
        <v>2689</v>
      </c>
      <c r="D315" s="255" t="s">
        <v>2688</v>
      </c>
      <c r="E315" s="255" t="s">
        <v>3384</v>
      </c>
      <c r="F315" s="255" t="s">
        <v>3385</v>
      </c>
      <c r="G315" s="255" t="s">
        <v>3386</v>
      </c>
      <c r="H315" s="255" t="s">
        <v>3387</v>
      </c>
    </row>
    <row r="316" spans="1:8" ht="15" customHeight="1" x14ac:dyDescent="0.2">
      <c r="A316" s="41" t="s">
        <v>3957</v>
      </c>
      <c r="B316" s="274" t="s">
        <v>3398</v>
      </c>
      <c r="C316" s="255" t="s">
        <v>2173</v>
      </c>
      <c r="D316" s="255" t="s">
        <v>2172</v>
      </c>
      <c r="E316" s="255" t="s">
        <v>3384</v>
      </c>
      <c r="F316" s="255" t="s">
        <v>3385</v>
      </c>
      <c r="G316" s="255" t="s">
        <v>3386</v>
      </c>
      <c r="H316" s="255" t="s">
        <v>3387</v>
      </c>
    </row>
    <row r="317" spans="1:8" ht="15" customHeight="1" x14ac:dyDescent="0.2">
      <c r="A317" s="41" t="s">
        <v>3969</v>
      </c>
      <c r="B317" s="274" t="s">
        <v>3398</v>
      </c>
      <c r="C317" s="255" t="s">
        <v>3009</v>
      </c>
      <c r="D317" s="255" t="s">
        <v>3008</v>
      </c>
      <c r="E317" s="255" t="s">
        <v>3384</v>
      </c>
      <c r="F317" s="255" t="s">
        <v>3385</v>
      </c>
      <c r="G317" s="255" t="s">
        <v>3386</v>
      </c>
      <c r="H317" s="255" t="s">
        <v>3387</v>
      </c>
    </row>
    <row r="318" spans="1:8" ht="15" customHeight="1" x14ac:dyDescent="0.2">
      <c r="A318" s="41" t="s">
        <v>3960</v>
      </c>
      <c r="B318" s="274" t="s">
        <v>3398</v>
      </c>
      <c r="C318" s="255" t="s">
        <v>2192</v>
      </c>
      <c r="D318" s="255" t="s">
        <v>2191</v>
      </c>
      <c r="E318" s="255" t="s">
        <v>3384</v>
      </c>
      <c r="F318" s="255" t="s">
        <v>3385</v>
      </c>
      <c r="G318" s="255" t="s">
        <v>3386</v>
      </c>
      <c r="H318" s="255" t="s">
        <v>3387</v>
      </c>
    </row>
    <row r="319" spans="1:8" ht="15" customHeight="1" x14ac:dyDescent="0.2">
      <c r="A319" s="41" t="s">
        <v>3962</v>
      </c>
      <c r="B319" s="274" t="s">
        <v>3398</v>
      </c>
      <c r="C319" s="255" t="s">
        <v>2685</v>
      </c>
      <c r="D319" s="255" t="s">
        <v>2684</v>
      </c>
      <c r="E319" s="255" t="s">
        <v>3384</v>
      </c>
      <c r="F319" s="255" t="s">
        <v>3385</v>
      </c>
      <c r="G319" s="255" t="s">
        <v>3386</v>
      </c>
      <c r="H319" s="255" t="s">
        <v>3387</v>
      </c>
    </row>
    <row r="320" spans="1:8" ht="15" customHeight="1" x14ac:dyDescent="0.2">
      <c r="A320" s="41" t="s">
        <v>3970</v>
      </c>
      <c r="B320" s="274" t="s">
        <v>3398</v>
      </c>
      <c r="C320" s="255" t="s">
        <v>1937</v>
      </c>
      <c r="D320" s="255" t="s">
        <v>1936</v>
      </c>
      <c r="E320" s="255" t="s">
        <v>3384</v>
      </c>
      <c r="F320" s="255" t="s">
        <v>3385</v>
      </c>
      <c r="G320" s="255" t="s">
        <v>3386</v>
      </c>
      <c r="H320" s="255" t="s">
        <v>3387</v>
      </c>
    </row>
    <row r="321" spans="1:8" ht="15" customHeight="1" x14ac:dyDescent="0.2">
      <c r="A321" s="41" t="s">
        <v>3974</v>
      </c>
      <c r="B321" s="274" t="s">
        <v>3398</v>
      </c>
      <c r="C321" s="255" t="s">
        <v>2557</v>
      </c>
      <c r="D321" s="255" t="s">
        <v>3399</v>
      </c>
      <c r="E321" s="255" t="s">
        <v>3384</v>
      </c>
      <c r="F321" s="255" t="s">
        <v>3385</v>
      </c>
      <c r="G321" s="255" t="s">
        <v>3386</v>
      </c>
      <c r="H321" s="255" t="s">
        <v>3387</v>
      </c>
    </row>
    <row r="322" spans="1:8" ht="15" customHeight="1" x14ac:dyDescent="0.2">
      <c r="A322" s="41" t="s">
        <v>3959</v>
      </c>
      <c r="B322" s="274" t="s">
        <v>3398</v>
      </c>
      <c r="C322" s="255" t="s">
        <v>1949</v>
      </c>
      <c r="D322" s="255" t="s">
        <v>1948</v>
      </c>
      <c r="E322" s="255" t="s">
        <v>3384</v>
      </c>
      <c r="F322" s="255" t="s">
        <v>3385</v>
      </c>
      <c r="G322" s="255" t="s">
        <v>3386</v>
      </c>
      <c r="H322" s="255" t="s">
        <v>3387</v>
      </c>
    </row>
    <row r="323" spans="1:8" ht="15" customHeight="1" x14ac:dyDescent="0.2">
      <c r="A323" s="41" t="s">
        <v>3971</v>
      </c>
      <c r="B323" s="274" t="s">
        <v>3398</v>
      </c>
      <c r="C323" s="255" t="s">
        <v>1914</v>
      </c>
      <c r="D323" s="255" t="s">
        <v>1913</v>
      </c>
      <c r="E323" s="255" t="s">
        <v>3384</v>
      </c>
      <c r="F323" s="255" t="s">
        <v>3385</v>
      </c>
      <c r="G323" s="255" t="s">
        <v>3386</v>
      </c>
      <c r="H323" s="255" t="s">
        <v>3387</v>
      </c>
    </row>
    <row r="324" spans="1:8" ht="15" customHeight="1" x14ac:dyDescent="0.2">
      <c r="A324" s="41" t="s">
        <v>3972</v>
      </c>
      <c r="B324" s="274" t="s">
        <v>3398</v>
      </c>
      <c r="C324" s="255" t="s">
        <v>2470</v>
      </c>
      <c r="D324" s="255" t="s">
        <v>2469</v>
      </c>
      <c r="E324" s="255" t="s">
        <v>3384</v>
      </c>
      <c r="F324" s="255" t="s">
        <v>3385</v>
      </c>
      <c r="G324" s="255" t="s">
        <v>3386</v>
      </c>
      <c r="H324" s="255" t="s">
        <v>3387</v>
      </c>
    </row>
    <row r="325" spans="1:8" ht="15" customHeight="1" x14ac:dyDescent="0.2">
      <c r="A325" s="41" t="s">
        <v>3961</v>
      </c>
      <c r="B325" s="274" t="s">
        <v>3398</v>
      </c>
      <c r="C325" s="255" t="s">
        <v>2016</v>
      </c>
      <c r="D325" s="255" t="s">
        <v>2015</v>
      </c>
      <c r="E325" s="255" t="s">
        <v>3384</v>
      </c>
      <c r="F325" s="255" t="s">
        <v>3385</v>
      </c>
      <c r="G325" s="255" t="s">
        <v>3386</v>
      </c>
      <c r="H325" s="255" t="s">
        <v>3387</v>
      </c>
    </row>
    <row r="326" spans="1:8" ht="15" customHeight="1" x14ac:dyDescent="0.2">
      <c r="A326" s="41" t="s">
        <v>3958</v>
      </c>
      <c r="B326" s="274" t="s">
        <v>3398</v>
      </c>
      <c r="C326" s="255" t="s">
        <v>1972</v>
      </c>
      <c r="D326" s="255" t="s">
        <v>1971</v>
      </c>
      <c r="E326" s="255" t="s">
        <v>3384</v>
      </c>
      <c r="F326" s="255" t="s">
        <v>3385</v>
      </c>
      <c r="G326" s="255" t="s">
        <v>3386</v>
      </c>
      <c r="H326" s="255" t="s">
        <v>3387</v>
      </c>
    </row>
    <row r="327" spans="1:8" ht="15" customHeight="1" x14ac:dyDescent="0.2">
      <c r="A327" s="41" t="s">
        <v>3963</v>
      </c>
      <c r="B327" s="274" t="s">
        <v>3398</v>
      </c>
      <c r="C327" s="255" t="s">
        <v>2276</v>
      </c>
      <c r="D327" s="255" t="s">
        <v>2275</v>
      </c>
      <c r="E327" s="255" t="s">
        <v>3384</v>
      </c>
      <c r="F327" s="255" t="s">
        <v>3385</v>
      </c>
      <c r="G327" s="255" t="s">
        <v>3386</v>
      </c>
      <c r="H327" s="255" t="s">
        <v>3387</v>
      </c>
    </row>
    <row r="328" spans="1:8" ht="15" customHeight="1" x14ac:dyDescent="0.2">
      <c r="A328" s="41" t="s">
        <v>4096</v>
      </c>
      <c r="B328" s="274" t="s">
        <v>3472</v>
      </c>
      <c r="C328" s="255" t="s">
        <v>2014</v>
      </c>
      <c r="D328" s="255" t="s">
        <v>3475</v>
      </c>
      <c r="E328" s="255" t="s">
        <v>3403</v>
      </c>
      <c r="F328" s="255" t="s">
        <v>3385</v>
      </c>
      <c r="G328" s="255" t="s">
        <v>3386</v>
      </c>
      <c r="H328" s="255" t="s">
        <v>3387</v>
      </c>
    </row>
    <row r="329" spans="1:8" ht="15" customHeight="1" x14ac:dyDescent="0.2">
      <c r="A329" s="41" t="s">
        <v>4097</v>
      </c>
      <c r="B329" s="274" t="s">
        <v>3472</v>
      </c>
      <c r="C329" s="255" t="s">
        <v>1905</v>
      </c>
      <c r="D329" s="255" t="s">
        <v>3476</v>
      </c>
      <c r="E329" s="255" t="s">
        <v>3403</v>
      </c>
      <c r="F329" s="255" t="s">
        <v>3385</v>
      </c>
      <c r="G329" s="255" t="s">
        <v>3386</v>
      </c>
      <c r="H329" s="255" t="s">
        <v>3387</v>
      </c>
    </row>
    <row r="330" spans="1:8" ht="15" customHeight="1" x14ac:dyDescent="0.2">
      <c r="A330" s="41" t="s">
        <v>4095</v>
      </c>
      <c r="B330" s="274" t="s">
        <v>3472</v>
      </c>
      <c r="C330" s="255" t="s">
        <v>1980</v>
      </c>
      <c r="D330" s="255" t="s">
        <v>3474</v>
      </c>
      <c r="E330" s="255" t="s">
        <v>3403</v>
      </c>
      <c r="F330" s="255" t="s">
        <v>3385</v>
      </c>
      <c r="G330" s="255" t="s">
        <v>3386</v>
      </c>
      <c r="H330" s="255" t="s">
        <v>3387</v>
      </c>
    </row>
    <row r="331" spans="1:8" ht="15" customHeight="1" x14ac:dyDescent="0.2">
      <c r="A331" s="41" t="s">
        <v>4095</v>
      </c>
      <c r="B331" s="274" t="s">
        <v>3472</v>
      </c>
      <c r="C331" s="255" t="s">
        <v>2311</v>
      </c>
      <c r="D331" s="255" t="s">
        <v>3474</v>
      </c>
      <c r="E331" s="255" t="s">
        <v>3403</v>
      </c>
      <c r="F331" s="255" t="s">
        <v>3385</v>
      </c>
      <c r="G331" s="255" t="s">
        <v>3386</v>
      </c>
      <c r="H331" s="255" t="s">
        <v>3387</v>
      </c>
    </row>
    <row r="332" spans="1:8" ht="15" customHeight="1" x14ac:dyDescent="0.2">
      <c r="A332" s="41" t="s">
        <v>4116</v>
      </c>
      <c r="B332" s="274" t="s">
        <v>3472</v>
      </c>
      <c r="C332" s="255" t="s">
        <v>2568</v>
      </c>
      <c r="D332" s="255" t="s">
        <v>3494</v>
      </c>
      <c r="E332" s="255" t="s">
        <v>3403</v>
      </c>
      <c r="F332" s="255" t="s">
        <v>3385</v>
      </c>
      <c r="G332" s="255" t="s">
        <v>3386</v>
      </c>
      <c r="H332" s="255" t="s">
        <v>3387</v>
      </c>
    </row>
    <row r="333" spans="1:8" ht="15" customHeight="1" x14ac:dyDescent="0.2">
      <c r="A333" s="41" t="s">
        <v>4098</v>
      </c>
      <c r="B333" s="274" t="s">
        <v>3472</v>
      </c>
      <c r="C333" s="255" t="s">
        <v>2903</v>
      </c>
      <c r="D333" s="255" t="s">
        <v>3477</v>
      </c>
      <c r="E333" s="255" t="s">
        <v>3403</v>
      </c>
      <c r="F333" s="255" t="s">
        <v>3385</v>
      </c>
      <c r="G333" s="255" t="s">
        <v>3386</v>
      </c>
      <c r="H333" s="255" t="s">
        <v>3387</v>
      </c>
    </row>
    <row r="334" spans="1:8" ht="15" customHeight="1" x14ac:dyDescent="0.2">
      <c r="A334" s="41" t="s">
        <v>4094</v>
      </c>
      <c r="B334" s="274" t="s">
        <v>3472</v>
      </c>
      <c r="C334" s="255" t="s">
        <v>2017</v>
      </c>
      <c r="D334" s="255" t="s">
        <v>3473</v>
      </c>
      <c r="E334" s="255" t="s">
        <v>3403</v>
      </c>
      <c r="F334" s="255" t="s">
        <v>3385</v>
      </c>
      <c r="G334" s="255" t="s">
        <v>3386</v>
      </c>
      <c r="H334" s="255" t="s">
        <v>3387</v>
      </c>
    </row>
    <row r="335" spans="1:8" ht="15" customHeight="1" x14ac:dyDescent="0.2">
      <c r="A335" s="41" t="s">
        <v>4094</v>
      </c>
      <c r="B335" s="274" t="s">
        <v>3472</v>
      </c>
      <c r="C335" s="255" t="s">
        <v>1910</v>
      </c>
      <c r="D335" s="255" t="s">
        <v>3473</v>
      </c>
      <c r="E335" s="255" t="s">
        <v>3403</v>
      </c>
      <c r="F335" s="255" t="s">
        <v>3385</v>
      </c>
      <c r="G335" s="255" t="s">
        <v>3386</v>
      </c>
      <c r="H335" s="255" t="s">
        <v>3387</v>
      </c>
    </row>
    <row r="336" spans="1:8" ht="15" customHeight="1" x14ac:dyDescent="0.2">
      <c r="A336" s="41" t="s">
        <v>4113</v>
      </c>
      <c r="B336" s="274" t="s">
        <v>3472</v>
      </c>
      <c r="C336" s="255" t="s">
        <v>2157</v>
      </c>
      <c r="D336" s="255" t="s">
        <v>3492</v>
      </c>
      <c r="E336" s="255" t="s">
        <v>3403</v>
      </c>
      <c r="F336" s="255" t="s">
        <v>3385</v>
      </c>
      <c r="G336" s="255" t="s">
        <v>3386</v>
      </c>
      <c r="H336" s="255" t="s">
        <v>3387</v>
      </c>
    </row>
    <row r="337" spans="1:8" ht="15" customHeight="1" x14ac:dyDescent="0.2">
      <c r="A337" s="41" t="s">
        <v>4111</v>
      </c>
      <c r="B337" s="274" t="s">
        <v>3472</v>
      </c>
      <c r="C337" s="255" t="s">
        <v>2567</v>
      </c>
      <c r="D337" s="255" t="s">
        <v>3490</v>
      </c>
      <c r="E337" s="255" t="s">
        <v>3403</v>
      </c>
      <c r="F337" s="255" t="s">
        <v>3385</v>
      </c>
      <c r="G337" s="255" t="s">
        <v>3386</v>
      </c>
      <c r="H337" s="255" t="s">
        <v>3387</v>
      </c>
    </row>
    <row r="338" spans="1:8" ht="15" customHeight="1" x14ac:dyDescent="0.2">
      <c r="A338" s="41" t="s">
        <v>4105</v>
      </c>
      <c r="B338" s="274" t="s">
        <v>3472</v>
      </c>
      <c r="C338" s="255" t="s">
        <v>3014</v>
      </c>
      <c r="D338" s="255" t="s">
        <v>3484</v>
      </c>
      <c r="E338" s="255" t="s">
        <v>3403</v>
      </c>
      <c r="F338" s="255" t="s">
        <v>3385</v>
      </c>
      <c r="G338" s="255" t="s">
        <v>3386</v>
      </c>
      <c r="H338" s="255" t="s">
        <v>3387</v>
      </c>
    </row>
    <row r="339" spans="1:8" ht="15" customHeight="1" x14ac:dyDescent="0.2">
      <c r="A339" s="41" t="s">
        <v>4104</v>
      </c>
      <c r="B339" s="274" t="s">
        <v>3472</v>
      </c>
      <c r="C339" s="255" t="s">
        <v>2031</v>
      </c>
      <c r="D339" s="255" t="s">
        <v>3483</v>
      </c>
      <c r="E339" s="255" t="s">
        <v>3403</v>
      </c>
      <c r="F339" s="255" t="s">
        <v>3385</v>
      </c>
      <c r="G339" s="255" t="s">
        <v>3386</v>
      </c>
      <c r="H339" s="255" t="s">
        <v>3387</v>
      </c>
    </row>
    <row r="340" spans="1:8" ht="15" customHeight="1" x14ac:dyDescent="0.2">
      <c r="A340" s="41" t="s">
        <v>4106</v>
      </c>
      <c r="B340" s="274" t="s">
        <v>3472</v>
      </c>
      <c r="C340" s="255" t="s">
        <v>2247</v>
      </c>
      <c r="D340" s="255" t="s">
        <v>3485</v>
      </c>
      <c r="E340" s="255" t="s">
        <v>3403</v>
      </c>
      <c r="F340" s="255" t="s">
        <v>3385</v>
      </c>
      <c r="G340" s="255" t="s">
        <v>3386</v>
      </c>
      <c r="H340" s="255" t="s">
        <v>3387</v>
      </c>
    </row>
    <row r="341" spans="1:8" ht="15" customHeight="1" x14ac:dyDescent="0.2">
      <c r="A341" s="41" t="s">
        <v>4110</v>
      </c>
      <c r="B341" s="274" t="s">
        <v>3472</v>
      </c>
      <c r="C341" s="255" t="s">
        <v>2707</v>
      </c>
      <c r="D341" s="255" t="s">
        <v>3489</v>
      </c>
      <c r="E341" s="255" t="s">
        <v>3403</v>
      </c>
      <c r="F341" s="255" t="s">
        <v>3385</v>
      </c>
      <c r="G341" s="255" t="s">
        <v>3386</v>
      </c>
      <c r="H341" s="255" t="s">
        <v>3387</v>
      </c>
    </row>
    <row r="342" spans="1:8" ht="15" customHeight="1" x14ac:dyDescent="0.2">
      <c r="A342" s="41" t="s">
        <v>4108</v>
      </c>
      <c r="B342" s="274" t="s">
        <v>3472</v>
      </c>
      <c r="C342" s="255" t="s">
        <v>2705</v>
      </c>
      <c r="D342" s="255" t="s">
        <v>3487</v>
      </c>
      <c r="E342" s="255" t="s">
        <v>3403</v>
      </c>
      <c r="F342" s="255" t="s">
        <v>3385</v>
      </c>
      <c r="G342" s="255" t="s">
        <v>3386</v>
      </c>
      <c r="H342" s="255" t="s">
        <v>3387</v>
      </c>
    </row>
    <row r="343" spans="1:8" ht="15" customHeight="1" x14ac:dyDescent="0.2">
      <c r="A343" s="41" t="s">
        <v>4109</v>
      </c>
      <c r="B343" s="274" t="s">
        <v>3472</v>
      </c>
      <c r="C343" s="255" t="s">
        <v>2706</v>
      </c>
      <c r="D343" s="255" t="s">
        <v>3488</v>
      </c>
      <c r="E343" s="255" t="s">
        <v>3403</v>
      </c>
      <c r="F343" s="255" t="s">
        <v>3385</v>
      </c>
      <c r="G343" s="255" t="s">
        <v>3386</v>
      </c>
      <c r="H343" s="255" t="s">
        <v>3387</v>
      </c>
    </row>
    <row r="344" spans="1:8" ht="15" customHeight="1" x14ac:dyDescent="0.2">
      <c r="A344" s="41" t="s">
        <v>4099</v>
      </c>
      <c r="B344" s="274" t="s">
        <v>3472</v>
      </c>
      <c r="C344" s="255" t="s">
        <v>3012</v>
      </c>
      <c r="D344" s="255" t="s">
        <v>3478</v>
      </c>
      <c r="E344" s="255" t="s">
        <v>3403</v>
      </c>
      <c r="F344" s="255" t="s">
        <v>3385</v>
      </c>
      <c r="G344" s="255" t="s">
        <v>3386</v>
      </c>
      <c r="H344" s="255" t="s">
        <v>3387</v>
      </c>
    </row>
    <row r="345" spans="1:8" ht="15" customHeight="1" x14ac:dyDescent="0.2">
      <c r="A345" s="41" t="s">
        <v>4100</v>
      </c>
      <c r="B345" s="274" t="s">
        <v>3472</v>
      </c>
      <c r="C345" s="255" t="s">
        <v>2401</v>
      </c>
      <c r="D345" s="255" t="s">
        <v>3479</v>
      </c>
      <c r="E345" s="255" t="s">
        <v>3403</v>
      </c>
      <c r="F345" s="255" t="s">
        <v>3385</v>
      </c>
      <c r="G345" s="255" t="s">
        <v>3386</v>
      </c>
      <c r="H345" s="255" t="s">
        <v>3387</v>
      </c>
    </row>
    <row r="346" spans="1:8" ht="15" customHeight="1" x14ac:dyDescent="0.2">
      <c r="A346" s="41" t="s">
        <v>4101</v>
      </c>
      <c r="B346" s="274" t="s">
        <v>3472</v>
      </c>
      <c r="C346" s="255" t="s">
        <v>2222</v>
      </c>
      <c r="D346" s="255" t="s">
        <v>3480</v>
      </c>
      <c r="E346" s="255" t="s">
        <v>3403</v>
      </c>
      <c r="F346" s="255" t="s">
        <v>3385</v>
      </c>
      <c r="G346" s="255" t="s">
        <v>3386</v>
      </c>
      <c r="H346" s="255" t="s">
        <v>3387</v>
      </c>
    </row>
    <row r="347" spans="1:8" ht="15" customHeight="1" x14ac:dyDescent="0.2">
      <c r="A347" s="41" t="s">
        <v>4117</v>
      </c>
      <c r="B347" s="274" t="s">
        <v>3472</v>
      </c>
      <c r="C347" s="255" t="s">
        <v>3015</v>
      </c>
      <c r="D347" s="255" t="s">
        <v>3495</v>
      </c>
      <c r="E347" s="255" t="s">
        <v>3403</v>
      </c>
      <c r="F347" s="255" t="s">
        <v>3385</v>
      </c>
      <c r="G347" s="255" t="s">
        <v>3386</v>
      </c>
      <c r="H347" s="255" t="s">
        <v>3387</v>
      </c>
    </row>
    <row r="348" spans="1:8" ht="15" customHeight="1" x14ac:dyDescent="0.2">
      <c r="A348" s="41" t="s">
        <v>4102</v>
      </c>
      <c r="B348" s="274" t="s">
        <v>3472</v>
      </c>
      <c r="C348" s="255" t="s">
        <v>3013</v>
      </c>
      <c r="D348" s="255" t="s">
        <v>3481</v>
      </c>
      <c r="E348" s="255" t="s">
        <v>3403</v>
      </c>
      <c r="F348" s="255" t="s">
        <v>3385</v>
      </c>
      <c r="G348" s="255" t="s">
        <v>3386</v>
      </c>
      <c r="H348" s="255" t="s">
        <v>3387</v>
      </c>
    </row>
    <row r="349" spans="1:8" ht="15" customHeight="1" x14ac:dyDescent="0.2">
      <c r="A349" s="41" t="s">
        <v>4103</v>
      </c>
      <c r="B349" s="274" t="s">
        <v>3472</v>
      </c>
      <c r="C349" s="255" t="s">
        <v>2310</v>
      </c>
      <c r="D349" s="255" t="s">
        <v>3482</v>
      </c>
      <c r="E349" s="255" t="s">
        <v>3403</v>
      </c>
      <c r="F349" s="255" t="s">
        <v>3385</v>
      </c>
      <c r="G349" s="255" t="s">
        <v>3386</v>
      </c>
      <c r="H349" s="255" t="s">
        <v>3387</v>
      </c>
    </row>
    <row r="350" spans="1:8" ht="15" customHeight="1" x14ac:dyDescent="0.2">
      <c r="A350" s="41" t="s">
        <v>4115</v>
      </c>
      <c r="B350" s="274" t="s">
        <v>3472</v>
      </c>
      <c r="C350" s="255" t="s">
        <v>2709</v>
      </c>
      <c r="D350" s="255" t="s">
        <v>3493</v>
      </c>
      <c r="E350" s="255" t="s">
        <v>3403</v>
      </c>
      <c r="F350" s="255" t="s">
        <v>3385</v>
      </c>
      <c r="G350" s="255" t="s">
        <v>3386</v>
      </c>
      <c r="H350" s="255" t="s">
        <v>3387</v>
      </c>
    </row>
    <row r="351" spans="1:8" ht="15" customHeight="1" x14ac:dyDescent="0.2">
      <c r="A351" s="41" t="s">
        <v>4112</v>
      </c>
      <c r="B351" s="274" t="s">
        <v>3472</v>
      </c>
      <c r="C351" s="255" t="s">
        <v>2708</v>
      </c>
      <c r="D351" s="255" t="s">
        <v>3491</v>
      </c>
      <c r="E351" s="255" t="s">
        <v>3403</v>
      </c>
      <c r="F351" s="255" t="s">
        <v>3385</v>
      </c>
      <c r="G351" s="255" t="s">
        <v>3386</v>
      </c>
      <c r="H351" s="255" t="s">
        <v>3387</v>
      </c>
    </row>
    <row r="352" spans="1:8" ht="15" customHeight="1" x14ac:dyDescent="0.2">
      <c r="A352" s="41" t="s">
        <v>4107</v>
      </c>
      <c r="B352" s="274" t="s">
        <v>3472</v>
      </c>
      <c r="C352" s="255" t="s">
        <v>2480</v>
      </c>
      <c r="D352" s="255" t="s">
        <v>3486</v>
      </c>
      <c r="E352" s="255" t="s">
        <v>3403</v>
      </c>
      <c r="F352" s="255" t="s">
        <v>3385</v>
      </c>
      <c r="G352" s="255" t="s">
        <v>3386</v>
      </c>
      <c r="H352" s="255" t="s">
        <v>3387</v>
      </c>
    </row>
    <row r="353" spans="1:8" ht="15" customHeight="1" x14ac:dyDescent="0.2">
      <c r="A353" s="41" t="s">
        <v>4457</v>
      </c>
      <c r="B353" s="274" t="s">
        <v>3623</v>
      </c>
      <c r="C353" s="255" t="s">
        <v>2078</v>
      </c>
      <c r="D353" s="255" t="s">
        <v>2077</v>
      </c>
      <c r="E353" s="255" t="s">
        <v>3415</v>
      </c>
      <c r="F353" s="255" t="s">
        <v>3389</v>
      </c>
      <c r="G353" s="255" t="s">
        <v>3386</v>
      </c>
      <c r="H353" s="255" t="s">
        <v>3387</v>
      </c>
    </row>
    <row r="354" spans="1:8" ht="15" customHeight="1" x14ac:dyDescent="0.2">
      <c r="A354" s="41" t="s">
        <v>4506</v>
      </c>
      <c r="B354" s="274" t="s">
        <v>3623</v>
      </c>
      <c r="C354" s="255" t="s">
        <v>2106</v>
      </c>
      <c r="D354" s="255" t="s">
        <v>2105</v>
      </c>
      <c r="E354" s="255" t="s">
        <v>3403</v>
      </c>
      <c r="F354" s="255" t="s">
        <v>3389</v>
      </c>
      <c r="G354" s="255" t="s">
        <v>3386</v>
      </c>
      <c r="H354" s="255" t="s">
        <v>3387</v>
      </c>
    </row>
    <row r="355" spans="1:8" ht="15" customHeight="1" x14ac:dyDescent="0.2">
      <c r="A355" s="41" t="s">
        <v>4495</v>
      </c>
      <c r="B355" s="274" t="s">
        <v>3623</v>
      </c>
      <c r="C355" s="255" t="s">
        <v>2179</v>
      </c>
      <c r="D355" s="255" t="s">
        <v>2178</v>
      </c>
      <c r="E355" s="255" t="s">
        <v>3415</v>
      </c>
      <c r="F355" s="255" t="s">
        <v>3389</v>
      </c>
      <c r="G355" s="255" t="s">
        <v>3386</v>
      </c>
      <c r="H355" s="255" t="s">
        <v>3387</v>
      </c>
    </row>
    <row r="356" spans="1:8" ht="15" customHeight="1" x14ac:dyDescent="0.2">
      <c r="A356" s="41" t="s">
        <v>3948</v>
      </c>
      <c r="B356" s="274" t="s">
        <v>3390</v>
      </c>
      <c r="C356" s="255" t="s">
        <v>2354</v>
      </c>
      <c r="D356" s="255" t="s">
        <v>2353</v>
      </c>
      <c r="E356" s="255" t="s">
        <v>3384</v>
      </c>
      <c r="F356" s="255" t="s">
        <v>3389</v>
      </c>
      <c r="G356" s="255" t="s">
        <v>3386</v>
      </c>
      <c r="H356" s="255" t="s">
        <v>3387</v>
      </c>
    </row>
    <row r="357" spans="1:8" ht="15" customHeight="1" x14ac:dyDescent="0.2">
      <c r="A357" s="41" t="s">
        <v>3938</v>
      </c>
      <c r="B357" s="274" t="s">
        <v>3390</v>
      </c>
      <c r="C357" s="255" t="s">
        <v>2676</v>
      </c>
      <c r="D357" s="255" t="s">
        <v>3393</v>
      </c>
      <c r="E357" s="255" t="s">
        <v>3384</v>
      </c>
      <c r="F357" s="255" t="s">
        <v>3389</v>
      </c>
      <c r="G357" s="255" t="s">
        <v>3386</v>
      </c>
      <c r="H357" s="255" t="s">
        <v>3387</v>
      </c>
    </row>
    <row r="358" spans="1:8" ht="15" customHeight="1" x14ac:dyDescent="0.2">
      <c r="A358" s="41" t="s">
        <v>3951</v>
      </c>
      <c r="B358" s="274" t="s">
        <v>3390</v>
      </c>
      <c r="C358" s="255" t="s">
        <v>2683</v>
      </c>
      <c r="D358" s="255" t="s">
        <v>3397</v>
      </c>
      <c r="E358" s="255" t="s">
        <v>3384</v>
      </c>
      <c r="F358" s="255" t="s">
        <v>3389</v>
      </c>
      <c r="G358" s="255" t="s">
        <v>3386</v>
      </c>
      <c r="H358" s="255" t="s">
        <v>3387</v>
      </c>
    </row>
    <row r="359" spans="1:8" ht="15" customHeight="1" x14ac:dyDescent="0.2">
      <c r="A359" s="41" t="s">
        <v>3950</v>
      </c>
      <c r="B359" s="274" t="s">
        <v>3390</v>
      </c>
      <c r="C359" s="255" t="s">
        <v>2682</v>
      </c>
      <c r="D359" s="255" t="s">
        <v>2681</v>
      </c>
      <c r="E359" s="255" t="s">
        <v>3384</v>
      </c>
      <c r="F359" s="255" t="s">
        <v>3389</v>
      </c>
      <c r="G359" s="255" t="s">
        <v>3386</v>
      </c>
      <c r="H359" s="255" t="s">
        <v>3387</v>
      </c>
    </row>
    <row r="360" spans="1:8" ht="15" customHeight="1" x14ac:dyDescent="0.2">
      <c r="A360" s="41" t="s">
        <v>3949</v>
      </c>
      <c r="B360" s="274" t="s">
        <v>3390</v>
      </c>
      <c r="C360" s="255" t="s">
        <v>2680</v>
      </c>
      <c r="D360" s="255" t="s">
        <v>2679</v>
      </c>
      <c r="E360" s="255" t="s">
        <v>3384</v>
      </c>
      <c r="F360" s="255" t="s">
        <v>3389</v>
      </c>
      <c r="G360" s="255" t="s">
        <v>3386</v>
      </c>
      <c r="H360" s="255" t="s">
        <v>3387</v>
      </c>
    </row>
    <row r="361" spans="1:8" ht="15" customHeight="1" x14ac:dyDescent="0.2">
      <c r="A361" s="41" t="s">
        <v>3945</v>
      </c>
      <c r="B361" s="274" t="s">
        <v>3390</v>
      </c>
      <c r="C361" s="255" t="s">
        <v>2182</v>
      </c>
      <c r="D361" s="255" t="s">
        <v>3394</v>
      </c>
      <c r="E361" s="255" t="s">
        <v>3395</v>
      </c>
      <c r="F361" s="255" t="s">
        <v>3389</v>
      </c>
      <c r="G361" s="255" t="s">
        <v>3396</v>
      </c>
      <c r="H361" s="255" t="s">
        <v>3387</v>
      </c>
    </row>
    <row r="362" spans="1:8" ht="15" customHeight="1" x14ac:dyDescent="0.2">
      <c r="A362" s="41" t="s">
        <v>3940</v>
      </c>
      <c r="B362" s="274" t="s">
        <v>3390</v>
      </c>
      <c r="C362" s="255" t="s">
        <v>2552</v>
      </c>
      <c r="D362" s="255" t="s">
        <v>2551</v>
      </c>
      <c r="E362" s="255" t="s">
        <v>3384</v>
      </c>
      <c r="F362" s="255" t="s">
        <v>3389</v>
      </c>
      <c r="G362" s="255" t="s">
        <v>3386</v>
      </c>
      <c r="H362" s="255" t="s">
        <v>3387</v>
      </c>
    </row>
    <row r="363" spans="1:8" ht="15" customHeight="1" x14ac:dyDescent="0.2">
      <c r="A363" s="41" t="s">
        <v>3941</v>
      </c>
      <c r="B363" s="274" t="s">
        <v>3390</v>
      </c>
      <c r="C363" s="255" t="s">
        <v>2274</v>
      </c>
      <c r="D363" s="255" t="s">
        <v>2273</v>
      </c>
      <c r="E363" s="255" t="s">
        <v>3384</v>
      </c>
      <c r="F363" s="255" t="s">
        <v>3389</v>
      </c>
      <c r="G363" s="255" t="s">
        <v>3386</v>
      </c>
      <c r="H363" s="255" t="s">
        <v>3387</v>
      </c>
    </row>
    <row r="364" spans="1:8" ht="15" customHeight="1" x14ac:dyDescent="0.2">
      <c r="A364" s="41" t="s">
        <v>3942</v>
      </c>
      <c r="B364" s="274" t="s">
        <v>3390</v>
      </c>
      <c r="C364" s="255" t="s">
        <v>2466</v>
      </c>
      <c r="D364" s="255" t="s">
        <v>2465</v>
      </c>
      <c r="E364" s="255" t="s">
        <v>3384</v>
      </c>
      <c r="F364" s="255" t="s">
        <v>3389</v>
      </c>
      <c r="G364" s="255" t="s">
        <v>3386</v>
      </c>
      <c r="H364" s="255" t="s">
        <v>3387</v>
      </c>
    </row>
    <row r="365" spans="1:8" ht="15" customHeight="1" x14ac:dyDescent="0.2">
      <c r="A365" s="41" t="s">
        <v>3943</v>
      </c>
      <c r="B365" s="274" t="s">
        <v>3390</v>
      </c>
      <c r="C365" s="255" t="s">
        <v>3005</v>
      </c>
      <c r="D365" s="255" t="s">
        <v>3004</v>
      </c>
      <c r="E365" s="255" t="s">
        <v>3384</v>
      </c>
      <c r="F365" s="255" t="s">
        <v>3389</v>
      </c>
      <c r="G365" s="255" t="s">
        <v>3386</v>
      </c>
      <c r="H365" s="255" t="s">
        <v>3387</v>
      </c>
    </row>
    <row r="366" spans="1:8" ht="15" customHeight="1" x14ac:dyDescent="0.2">
      <c r="A366" s="41" t="s">
        <v>3944</v>
      </c>
      <c r="B366" s="274" t="s">
        <v>3390</v>
      </c>
      <c r="C366" s="255" t="s">
        <v>2678</v>
      </c>
      <c r="D366" s="255" t="s">
        <v>2677</v>
      </c>
      <c r="E366" s="255" t="s">
        <v>3384</v>
      </c>
      <c r="F366" s="255" t="s">
        <v>3389</v>
      </c>
      <c r="G366" s="255" t="s">
        <v>3386</v>
      </c>
      <c r="H366" s="255" t="s">
        <v>3387</v>
      </c>
    </row>
    <row r="367" spans="1:8" ht="15" customHeight="1" x14ac:dyDescent="0.2">
      <c r="A367" s="41" t="s">
        <v>3946</v>
      </c>
      <c r="B367" s="274" t="s">
        <v>3390</v>
      </c>
      <c r="C367" s="255" t="s">
        <v>3007</v>
      </c>
      <c r="D367" s="255" t="s">
        <v>3006</v>
      </c>
      <c r="E367" s="255" t="s">
        <v>3384</v>
      </c>
      <c r="F367" s="255" t="s">
        <v>3389</v>
      </c>
      <c r="G367" s="255" t="s">
        <v>3386</v>
      </c>
      <c r="H367" s="255" t="s">
        <v>3387</v>
      </c>
    </row>
    <row r="368" spans="1:8" ht="15" customHeight="1" x14ac:dyDescent="0.2">
      <c r="A368" s="41" t="s">
        <v>3925</v>
      </c>
      <c r="B368" s="274" t="s">
        <v>3390</v>
      </c>
      <c r="C368" s="255" t="s">
        <v>2245</v>
      </c>
      <c r="D368" s="255" t="s">
        <v>2244</v>
      </c>
      <c r="E368" s="255" t="s">
        <v>3384</v>
      </c>
      <c r="F368" s="255" t="s">
        <v>3385</v>
      </c>
      <c r="G368" s="255" t="s">
        <v>3391</v>
      </c>
      <c r="H368" s="255" t="s">
        <v>3392</v>
      </c>
    </row>
    <row r="369" spans="1:8" ht="15" customHeight="1" x14ac:dyDescent="0.2">
      <c r="A369" s="41" t="s">
        <v>3919</v>
      </c>
      <c r="B369" s="274" t="s">
        <v>3390</v>
      </c>
      <c r="C369" s="255" t="s">
        <v>2012</v>
      </c>
      <c r="D369" s="255" t="s">
        <v>2011</v>
      </c>
      <c r="E369" s="255" t="s">
        <v>3384</v>
      </c>
      <c r="F369" s="255" t="s">
        <v>3385</v>
      </c>
      <c r="G369" s="255" t="s">
        <v>3386</v>
      </c>
      <c r="H369" s="255" t="s">
        <v>3387</v>
      </c>
    </row>
    <row r="370" spans="1:8" ht="15" customHeight="1" x14ac:dyDescent="0.2">
      <c r="A370" s="41" t="s">
        <v>3926</v>
      </c>
      <c r="B370" s="274" t="s">
        <v>3390</v>
      </c>
      <c r="C370" s="255" t="s">
        <v>2171</v>
      </c>
      <c r="D370" s="255" t="s">
        <v>2170</v>
      </c>
      <c r="E370" s="255" t="s">
        <v>3384</v>
      </c>
      <c r="F370" s="255" t="s">
        <v>3385</v>
      </c>
      <c r="G370" s="255" t="s">
        <v>3386</v>
      </c>
      <c r="H370" s="255" t="s">
        <v>3387</v>
      </c>
    </row>
    <row r="371" spans="1:8" ht="15" customHeight="1" x14ac:dyDescent="0.2">
      <c r="A371" s="41" t="s">
        <v>3920</v>
      </c>
      <c r="B371" s="274" t="s">
        <v>3390</v>
      </c>
      <c r="C371" s="255" t="s">
        <v>2060</v>
      </c>
      <c r="D371" s="255" t="s">
        <v>2059</v>
      </c>
      <c r="E371" s="255" t="s">
        <v>3384</v>
      </c>
      <c r="F371" s="255" t="s">
        <v>3385</v>
      </c>
      <c r="G371" s="255" t="s">
        <v>3386</v>
      </c>
      <c r="H371" s="255" t="s">
        <v>3387</v>
      </c>
    </row>
    <row r="372" spans="1:8" ht="15" customHeight="1" x14ac:dyDescent="0.2">
      <c r="A372" s="41" t="s">
        <v>3927</v>
      </c>
      <c r="B372" s="274" t="s">
        <v>3390</v>
      </c>
      <c r="C372" s="255" t="s">
        <v>2396</v>
      </c>
      <c r="D372" s="255" t="s">
        <v>2395</v>
      </c>
      <c r="E372" s="255" t="s">
        <v>3384</v>
      </c>
      <c r="F372" s="255" t="s">
        <v>3385</v>
      </c>
      <c r="G372" s="255" t="s">
        <v>3386</v>
      </c>
      <c r="H372" s="255" t="s">
        <v>3387</v>
      </c>
    </row>
    <row r="373" spans="1:8" ht="15" customHeight="1" x14ac:dyDescent="0.2">
      <c r="A373" s="41" t="s">
        <v>3921</v>
      </c>
      <c r="B373" s="274" t="s">
        <v>3390</v>
      </c>
      <c r="C373" s="255" t="s">
        <v>2034</v>
      </c>
      <c r="D373" s="255" t="s">
        <v>2033</v>
      </c>
      <c r="E373" s="255" t="s">
        <v>3384</v>
      </c>
      <c r="F373" s="255" t="s">
        <v>3385</v>
      </c>
      <c r="G373" s="255" t="s">
        <v>3386</v>
      </c>
      <c r="H373" s="255" t="s">
        <v>3387</v>
      </c>
    </row>
    <row r="374" spans="1:8" ht="15" customHeight="1" x14ac:dyDescent="0.2">
      <c r="A374" s="41" t="s">
        <v>3928</v>
      </c>
      <c r="B374" s="274" t="s">
        <v>3390</v>
      </c>
      <c r="C374" s="255" t="s">
        <v>2306</v>
      </c>
      <c r="D374" s="255" t="s">
        <v>2305</v>
      </c>
      <c r="E374" s="255" t="s">
        <v>3384</v>
      </c>
      <c r="F374" s="255" t="s">
        <v>3385</v>
      </c>
      <c r="G374" s="255" t="s">
        <v>3386</v>
      </c>
      <c r="H374" s="255" t="s">
        <v>3387</v>
      </c>
    </row>
    <row r="375" spans="1:8" ht="15" customHeight="1" x14ac:dyDescent="0.2">
      <c r="A375" s="41" t="s">
        <v>3922</v>
      </c>
      <c r="B375" s="274" t="s">
        <v>3390</v>
      </c>
      <c r="C375" s="255" t="s">
        <v>2272</v>
      </c>
      <c r="D375" s="255" t="s">
        <v>2271</v>
      </c>
      <c r="E375" s="255" t="s">
        <v>3384</v>
      </c>
      <c r="F375" s="255" t="s">
        <v>3385</v>
      </c>
      <c r="G375" s="255" t="s">
        <v>3386</v>
      </c>
      <c r="H375" s="255" t="s">
        <v>3387</v>
      </c>
    </row>
    <row r="376" spans="1:8" ht="15" customHeight="1" x14ac:dyDescent="0.2">
      <c r="A376" s="41" t="s">
        <v>3929</v>
      </c>
      <c r="B376" s="274" t="s">
        <v>3390</v>
      </c>
      <c r="C376" s="255" t="s">
        <v>2550</v>
      </c>
      <c r="D376" s="255" t="s">
        <v>2549</v>
      </c>
      <c r="E376" s="255" t="s">
        <v>3384</v>
      </c>
      <c r="F376" s="255" t="s">
        <v>3385</v>
      </c>
      <c r="G376" s="255" t="s">
        <v>3386</v>
      </c>
      <c r="H376" s="255" t="s">
        <v>3387</v>
      </c>
    </row>
    <row r="377" spans="1:8" ht="15" customHeight="1" x14ac:dyDescent="0.2">
      <c r="A377" s="41" t="s">
        <v>3923</v>
      </c>
      <c r="B377" s="274" t="s">
        <v>3390</v>
      </c>
      <c r="C377" s="255" t="s">
        <v>2065</v>
      </c>
      <c r="D377" s="255" t="s">
        <v>2064</v>
      </c>
      <c r="E377" s="255" t="s">
        <v>3384</v>
      </c>
      <c r="F377" s="255" t="s">
        <v>3385</v>
      </c>
      <c r="G377" s="255" t="s">
        <v>3386</v>
      </c>
      <c r="H377" s="255" t="s">
        <v>3387</v>
      </c>
    </row>
    <row r="378" spans="1:8" ht="15" customHeight="1" x14ac:dyDescent="0.2">
      <c r="A378" s="41" t="s">
        <v>3930</v>
      </c>
      <c r="B378" s="274" t="s">
        <v>3390</v>
      </c>
      <c r="C378" s="255" t="s">
        <v>2894</v>
      </c>
      <c r="D378" s="255" t="s">
        <v>2893</v>
      </c>
      <c r="E378" s="255" t="s">
        <v>3384</v>
      </c>
      <c r="F378" s="255" t="s">
        <v>3385</v>
      </c>
      <c r="G378" s="255" t="s">
        <v>3386</v>
      </c>
      <c r="H378" s="255" t="s">
        <v>3387</v>
      </c>
    </row>
    <row r="379" spans="1:8" ht="15" customHeight="1" x14ac:dyDescent="0.2">
      <c r="A379" s="41" t="s">
        <v>3924</v>
      </c>
      <c r="B379" s="274" t="s">
        <v>3390</v>
      </c>
      <c r="C379" s="255" t="s">
        <v>2206</v>
      </c>
      <c r="D379" s="255" t="s">
        <v>2205</v>
      </c>
      <c r="E379" s="255" t="s">
        <v>3384</v>
      </c>
      <c r="F379" s="255" t="s">
        <v>3385</v>
      </c>
      <c r="G379" s="255" t="s">
        <v>3386</v>
      </c>
      <c r="H379" s="255" t="s">
        <v>3387</v>
      </c>
    </row>
    <row r="380" spans="1:8" ht="15" customHeight="1" x14ac:dyDescent="0.2">
      <c r="A380" s="41" t="s">
        <v>3931</v>
      </c>
      <c r="B380" s="274" t="s">
        <v>3390</v>
      </c>
      <c r="C380" s="255" t="s">
        <v>2896</v>
      </c>
      <c r="D380" s="255" t="s">
        <v>2895</v>
      </c>
      <c r="E380" s="255" t="s">
        <v>3384</v>
      </c>
      <c r="F380" s="255" t="s">
        <v>3385</v>
      </c>
      <c r="G380" s="255" t="s">
        <v>3386</v>
      </c>
      <c r="H380" s="255" t="s">
        <v>3387</v>
      </c>
    </row>
    <row r="381" spans="1:8" ht="15" customHeight="1" x14ac:dyDescent="0.2">
      <c r="A381" s="41" t="s">
        <v>3932</v>
      </c>
      <c r="B381" s="274" t="s">
        <v>3390</v>
      </c>
      <c r="C381" s="255" t="s">
        <v>2675</v>
      </c>
      <c r="D381" s="255" t="s">
        <v>2674</v>
      </c>
      <c r="E381" s="255" t="s">
        <v>3384</v>
      </c>
      <c r="F381" s="255" t="s">
        <v>3385</v>
      </c>
      <c r="G381" s="255" t="s">
        <v>3386</v>
      </c>
      <c r="H381" s="255" t="s">
        <v>3387</v>
      </c>
    </row>
    <row r="382" spans="1:8" ht="15" customHeight="1" x14ac:dyDescent="0.2">
      <c r="A382" s="41" t="s">
        <v>3939</v>
      </c>
      <c r="B382" s="274" t="s">
        <v>3390</v>
      </c>
      <c r="C382" s="255" t="s">
        <v>2352</v>
      </c>
      <c r="D382" s="255" t="s">
        <v>2351</v>
      </c>
      <c r="E382" s="255" t="s">
        <v>3384</v>
      </c>
      <c r="F382" s="255" t="s">
        <v>3385</v>
      </c>
      <c r="G382" s="255" t="s">
        <v>3386</v>
      </c>
      <c r="H382" s="255" t="s">
        <v>3387</v>
      </c>
    </row>
    <row r="383" spans="1:8" ht="15" customHeight="1" x14ac:dyDescent="0.2">
      <c r="A383" s="41" t="s">
        <v>3937</v>
      </c>
      <c r="B383" s="274" t="s">
        <v>3390</v>
      </c>
      <c r="C383" s="255" t="s">
        <v>3003</v>
      </c>
      <c r="D383" s="255" t="s">
        <v>3002</v>
      </c>
      <c r="E383" s="255" t="s">
        <v>3384</v>
      </c>
      <c r="F383" s="255" t="s">
        <v>3385</v>
      </c>
      <c r="G383" s="255" t="s">
        <v>3386</v>
      </c>
      <c r="H383" s="255" t="s">
        <v>3387</v>
      </c>
    </row>
    <row r="384" spans="1:8" ht="15" customHeight="1" x14ac:dyDescent="0.2">
      <c r="A384" s="41" t="s">
        <v>3934</v>
      </c>
      <c r="B384" s="274" t="s">
        <v>3390</v>
      </c>
      <c r="C384" s="255" t="s">
        <v>2398</v>
      </c>
      <c r="D384" s="255" t="s">
        <v>2397</v>
      </c>
      <c r="E384" s="255" t="s">
        <v>3384</v>
      </c>
      <c r="F384" s="255" t="s">
        <v>3385</v>
      </c>
      <c r="G384" s="255" t="s">
        <v>3386</v>
      </c>
      <c r="H384" s="255" t="s">
        <v>3387</v>
      </c>
    </row>
    <row r="385" spans="1:8" ht="15" customHeight="1" x14ac:dyDescent="0.2">
      <c r="A385" s="41" t="s">
        <v>3936</v>
      </c>
      <c r="B385" s="274" t="s">
        <v>3390</v>
      </c>
      <c r="C385" s="255" t="s">
        <v>2350</v>
      </c>
      <c r="D385" s="255" t="s">
        <v>2349</v>
      </c>
      <c r="E385" s="255" t="s">
        <v>3384</v>
      </c>
      <c r="F385" s="255" t="s">
        <v>3385</v>
      </c>
      <c r="G385" s="255" t="s">
        <v>3386</v>
      </c>
      <c r="H385" s="255" t="s">
        <v>3387</v>
      </c>
    </row>
    <row r="386" spans="1:8" ht="15" customHeight="1" x14ac:dyDescent="0.2">
      <c r="A386" s="41" t="s">
        <v>3933</v>
      </c>
      <c r="B386" s="274" t="s">
        <v>3390</v>
      </c>
      <c r="C386" s="255" t="s">
        <v>2080</v>
      </c>
      <c r="D386" s="255" t="s">
        <v>2079</v>
      </c>
      <c r="E386" s="255" t="s">
        <v>3384</v>
      </c>
      <c r="F386" s="255" t="s">
        <v>3385</v>
      </c>
      <c r="G386" s="255" t="s">
        <v>3386</v>
      </c>
      <c r="H386" s="255" t="s">
        <v>3387</v>
      </c>
    </row>
    <row r="387" spans="1:8" ht="15" customHeight="1" x14ac:dyDescent="0.2">
      <c r="A387" s="41" t="s">
        <v>3935</v>
      </c>
      <c r="B387" s="274" t="s">
        <v>3390</v>
      </c>
      <c r="C387" s="255" t="s">
        <v>2043</v>
      </c>
      <c r="D387" s="255" t="s">
        <v>2042</v>
      </c>
      <c r="E387" s="255" t="s">
        <v>3384</v>
      </c>
      <c r="F387" s="255" t="s">
        <v>3385</v>
      </c>
      <c r="G387" s="255" t="s">
        <v>3386</v>
      </c>
      <c r="H387" s="255" t="s">
        <v>3387</v>
      </c>
    </row>
    <row r="388" spans="1:8" ht="15" customHeight="1" x14ac:dyDescent="0.2">
      <c r="A388" s="41" t="s">
        <v>4166</v>
      </c>
      <c r="B388" s="274" t="s">
        <v>3501</v>
      </c>
      <c r="C388" s="255" t="s">
        <v>1861</v>
      </c>
      <c r="D388" s="255" t="s">
        <v>3517</v>
      </c>
      <c r="E388" s="255" t="s">
        <v>3395</v>
      </c>
      <c r="F388" s="255" t="s">
        <v>3385</v>
      </c>
      <c r="G388" s="255" t="s">
        <v>3386</v>
      </c>
      <c r="H388" s="255" t="s">
        <v>3387</v>
      </c>
    </row>
    <row r="389" spans="1:8" ht="15" customHeight="1" x14ac:dyDescent="0.2">
      <c r="A389" s="41" t="s">
        <v>4167</v>
      </c>
      <c r="B389" s="274" t="s">
        <v>3501</v>
      </c>
      <c r="C389" s="255" t="s">
        <v>2056</v>
      </c>
      <c r="D389" s="255" t="s">
        <v>3517</v>
      </c>
      <c r="E389" s="255" t="s">
        <v>3403</v>
      </c>
      <c r="F389" s="255" t="s">
        <v>3385</v>
      </c>
      <c r="G389" s="255" t="s">
        <v>3386</v>
      </c>
      <c r="H389" s="255" t="s">
        <v>3387</v>
      </c>
    </row>
    <row r="390" spans="1:8" ht="15" customHeight="1" x14ac:dyDescent="0.2">
      <c r="A390" s="41" t="s">
        <v>4169</v>
      </c>
      <c r="B390" s="274" t="s">
        <v>3501</v>
      </c>
      <c r="C390" s="255" t="s">
        <v>2049</v>
      </c>
      <c r="D390" s="255" t="s">
        <v>3518</v>
      </c>
      <c r="E390" s="255" t="s">
        <v>3395</v>
      </c>
      <c r="F390" s="255" t="s">
        <v>3385</v>
      </c>
      <c r="G390" s="255" t="s">
        <v>3386</v>
      </c>
      <c r="H390" s="255" t="s">
        <v>3387</v>
      </c>
    </row>
    <row r="391" spans="1:8" ht="15" customHeight="1" x14ac:dyDescent="0.2">
      <c r="A391" s="41" t="s">
        <v>4168</v>
      </c>
      <c r="B391" s="274" t="s">
        <v>3501</v>
      </c>
      <c r="C391" s="255" t="s">
        <v>2153</v>
      </c>
      <c r="D391" s="255" t="s">
        <v>3518</v>
      </c>
      <c r="E391" s="255" t="s">
        <v>3403</v>
      </c>
      <c r="F391" s="255" t="s">
        <v>3385</v>
      </c>
      <c r="G391" s="255" t="s">
        <v>3386</v>
      </c>
      <c r="H391" s="255" t="s">
        <v>3387</v>
      </c>
    </row>
    <row r="392" spans="1:8" ht="15" customHeight="1" x14ac:dyDescent="0.2">
      <c r="A392" s="41" t="s">
        <v>4153</v>
      </c>
      <c r="B392" s="274" t="s">
        <v>3501</v>
      </c>
      <c r="C392" s="255" t="s">
        <v>1866</v>
      </c>
      <c r="D392" s="255" t="s">
        <v>3506</v>
      </c>
      <c r="E392" s="255" t="s">
        <v>3395</v>
      </c>
      <c r="F392" s="255" t="s">
        <v>3385</v>
      </c>
      <c r="G392" s="255" t="s">
        <v>3386</v>
      </c>
      <c r="H392" s="255" t="s">
        <v>3387</v>
      </c>
    </row>
    <row r="393" spans="1:8" ht="15" customHeight="1" x14ac:dyDescent="0.2">
      <c r="A393" s="41" t="s">
        <v>4148</v>
      </c>
      <c r="B393" s="274" t="s">
        <v>3501</v>
      </c>
      <c r="C393" s="255" t="s">
        <v>1888</v>
      </c>
      <c r="D393" s="255" t="s">
        <v>3506</v>
      </c>
      <c r="E393" s="255" t="s">
        <v>3403</v>
      </c>
      <c r="F393" s="255" t="s">
        <v>3385</v>
      </c>
      <c r="G393" s="255" t="s">
        <v>3386</v>
      </c>
      <c r="H393" s="255" t="s">
        <v>3387</v>
      </c>
    </row>
    <row r="394" spans="1:8" ht="15" customHeight="1" x14ac:dyDescent="0.2">
      <c r="A394" s="41" t="s">
        <v>4154</v>
      </c>
      <c r="B394" s="274" t="s">
        <v>3501</v>
      </c>
      <c r="C394" s="255" t="s">
        <v>1878</v>
      </c>
      <c r="D394" s="255" t="s">
        <v>3505</v>
      </c>
      <c r="E394" s="255" t="s">
        <v>3395</v>
      </c>
      <c r="F394" s="255" t="s">
        <v>3385</v>
      </c>
      <c r="G394" s="255" t="s">
        <v>3386</v>
      </c>
      <c r="H394" s="255" t="s">
        <v>3387</v>
      </c>
    </row>
    <row r="395" spans="1:8" ht="15" customHeight="1" x14ac:dyDescent="0.2">
      <c r="A395" s="41" t="s">
        <v>4147</v>
      </c>
      <c r="B395" s="274" t="s">
        <v>3501</v>
      </c>
      <c r="C395" s="255" t="s">
        <v>1881</v>
      </c>
      <c r="D395" s="255" t="s">
        <v>3505</v>
      </c>
      <c r="E395" s="255" t="s">
        <v>3403</v>
      </c>
      <c r="F395" s="255" t="s">
        <v>3385</v>
      </c>
      <c r="G395" s="255" t="s">
        <v>3386</v>
      </c>
      <c r="H395" s="255" t="s">
        <v>3387</v>
      </c>
    </row>
    <row r="396" spans="1:8" ht="15" customHeight="1" x14ac:dyDescent="0.2">
      <c r="A396" s="41" t="s">
        <v>4155</v>
      </c>
      <c r="B396" s="274" t="s">
        <v>3501</v>
      </c>
      <c r="C396" s="255" t="s">
        <v>1968</v>
      </c>
      <c r="D396" s="255" t="s">
        <v>3508</v>
      </c>
      <c r="E396" s="255" t="s">
        <v>3395</v>
      </c>
      <c r="F396" s="255" t="s">
        <v>3385</v>
      </c>
      <c r="G396" s="255" t="s">
        <v>3386</v>
      </c>
      <c r="H396" s="255" t="s">
        <v>3387</v>
      </c>
    </row>
    <row r="397" spans="1:8" ht="15" customHeight="1" x14ac:dyDescent="0.2">
      <c r="A397" s="41" t="s">
        <v>4150</v>
      </c>
      <c r="B397" s="274" t="s">
        <v>3501</v>
      </c>
      <c r="C397" s="255" t="s">
        <v>1996</v>
      </c>
      <c r="D397" s="255" t="s">
        <v>3508</v>
      </c>
      <c r="E397" s="255" t="s">
        <v>3403</v>
      </c>
      <c r="F397" s="255" t="s">
        <v>3385</v>
      </c>
      <c r="G397" s="255" t="s">
        <v>3386</v>
      </c>
      <c r="H397" s="255" t="s">
        <v>3387</v>
      </c>
    </row>
    <row r="398" spans="1:8" ht="15" customHeight="1" x14ac:dyDescent="0.2">
      <c r="A398" s="41" t="s">
        <v>4156</v>
      </c>
      <c r="B398" s="274" t="s">
        <v>3501</v>
      </c>
      <c r="C398" s="255" t="s">
        <v>1997</v>
      </c>
      <c r="D398" s="255" t="s">
        <v>3507</v>
      </c>
      <c r="E398" s="255" t="s">
        <v>3395</v>
      </c>
      <c r="F398" s="255" t="s">
        <v>3385</v>
      </c>
      <c r="G398" s="255" t="s">
        <v>3386</v>
      </c>
      <c r="H398" s="255" t="s">
        <v>3387</v>
      </c>
    </row>
    <row r="399" spans="1:8" ht="15" customHeight="1" x14ac:dyDescent="0.2">
      <c r="A399" s="41" t="s">
        <v>4149</v>
      </c>
      <c r="B399" s="274" t="s">
        <v>3501</v>
      </c>
      <c r="C399" s="255" t="s">
        <v>2073</v>
      </c>
      <c r="D399" s="255" t="s">
        <v>3507</v>
      </c>
      <c r="E399" s="255" t="s">
        <v>3403</v>
      </c>
      <c r="F399" s="255" t="s">
        <v>3385</v>
      </c>
      <c r="G399" s="255" t="s">
        <v>3386</v>
      </c>
      <c r="H399" s="255" t="s">
        <v>3387</v>
      </c>
    </row>
    <row r="400" spans="1:8" ht="15" customHeight="1" x14ac:dyDescent="0.2">
      <c r="A400" s="41" t="s">
        <v>4157</v>
      </c>
      <c r="B400" s="274" t="s">
        <v>3501</v>
      </c>
      <c r="C400" s="255" t="s">
        <v>2487</v>
      </c>
      <c r="D400" s="255" t="s">
        <v>3510</v>
      </c>
      <c r="E400" s="255" t="s">
        <v>3395</v>
      </c>
      <c r="F400" s="255" t="s">
        <v>3385</v>
      </c>
      <c r="G400" s="255" t="s">
        <v>3386</v>
      </c>
      <c r="H400" s="255" t="s">
        <v>3387</v>
      </c>
    </row>
    <row r="401" spans="1:8" ht="15" customHeight="1" x14ac:dyDescent="0.2">
      <c r="A401" s="41" t="s">
        <v>4152</v>
      </c>
      <c r="B401" s="274" t="s">
        <v>3501</v>
      </c>
      <c r="C401" s="255" t="s">
        <v>2404</v>
      </c>
      <c r="D401" s="255" t="s">
        <v>3510</v>
      </c>
      <c r="E401" s="255" t="s">
        <v>3403</v>
      </c>
      <c r="F401" s="255" t="s">
        <v>3385</v>
      </c>
      <c r="G401" s="255" t="s">
        <v>3386</v>
      </c>
      <c r="H401" s="255" t="s">
        <v>3387</v>
      </c>
    </row>
    <row r="402" spans="1:8" ht="15" customHeight="1" x14ac:dyDescent="0.2">
      <c r="A402" s="41" t="s">
        <v>4158</v>
      </c>
      <c r="B402" s="274" t="s">
        <v>3501</v>
      </c>
      <c r="C402" s="255" t="s">
        <v>2405</v>
      </c>
      <c r="D402" s="255" t="s">
        <v>3509</v>
      </c>
      <c r="E402" s="255" t="s">
        <v>3395</v>
      </c>
      <c r="F402" s="255" t="s">
        <v>3385</v>
      </c>
      <c r="G402" s="255" t="s">
        <v>3386</v>
      </c>
      <c r="H402" s="255" t="s">
        <v>3387</v>
      </c>
    </row>
    <row r="403" spans="1:8" ht="15" customHeight="1" x14ac:dyDescent="0.2">
      <c r="A403" s="41" t="s">
        <v>4151</v>
      </c>
      <c r="B403" s="274" t="s">
        <v>3501</v>
      </c>
      <c r="C403" s="255" t="s">
        <v>2035</v>
      </c>
      <c r="D403" s="255" t="s">
        <v>3509</v>
      </c>
      <c r="E403" s="255" t="s">
        <v>3403</v>
      </c>
      <c r="F403" s="255" t="s">
        <v>3385</v>
      </c>
      <c r="G403" s="255" t="s">
        <v>3386</v>
      </c>
      <c r="H403" s="255" t="s">
        <v>3387</v>
      </c>
    </row>
    <row r="404" spans="1:8" ht="15" customHeight="1" x14ac:dyDescent="0.2">
      <c r="A404" s="41" t="s">
        <v>4054</v>
      </c>
      <c r="B404" s="274" t="s">
        <v>3444</v>
      </c>
      <c r="C404" s="255" t="s">
        <v>1885</v>
      </c>
      <c r="D404" s="255" t="s">
        <v>1884</v>
      </c>
      <c r="E404" s="255" t="s">
        <v>3384</v>
      </c>
      <c r="F404" s="255" t="s">
        <v>3385</v>
      </c>
      <c r="G404" s="255" t="s">
        <v>3445</v>
      </c>
      <c r="H404" s="255" t="s">
        <v>3387</v>
      </c>
    </row>
    <row r="405" spans="1:8" ht="15" customHeight="1" x14ac:dyDescent="0.2">
      <c r="A405" s="41" t="s">
        <v>4055</v>
      </c>
      <c r="B405" s="274" t="s">
        <v>3444</v>
      </c>
      <c r="C405" s="255" t="s">
        <v>2359</v>
      </c>
      <c r="D405" s="255" t="s">
        <v>2358</v>
      </c>
      <c r="E405" s="255" t="s">
        <v>3384</v>
      </c>
      <c r="F405" s="255" t="s">
        <v>3385</v>
      </c>
      <c r="G405" s="255" t="s">
        <v>3445</v>
      </c>
      <c r="H405" s="255" t="s">
        <v>3387</v>
      </c>
    </row>
    <row r="406" spans="1:8" ht="15" customHeight="1" x14ac:dyDescent="0.2">
      <c r="A406" s="41" t="s">
        <v>4056</v>
      </c>
      <c r="B406" s="274" t="s">
        <v>3444</v>
      </c>
      <c r="C406" s="255" t="s">
        <v>1827</v>
      </c>
      <c r="D406" s="255" t="s">
        <v>1826</v>
      </c>
      <c r="E406" s="255" t="s">
        <v>3384</v>
      </c>
      <c r="F406" s="255" t="s">
        <v>3385</v>
      </c>
      <c r="G406" s="255" t="s">
        <v>3445</v>
      </c>
      <c r="H406" s="255" t="s">
        <v>3387</v>
      </c>
    </row>
    <row r="407" spans="1:8" ht="15" customHeight="1" x14ac:dyDescent="0.2">
      <c r="A407" s="41" t="s">
        <v>4057</v>
      </c>
      <c r="B407" s="274" t="s">
        <v>3444</v>
      </c>
      <c r="C407" s="255" t="s">
        <v>1943</v>
      </c>
      <c r="D407" s="255" t="s">
        <v>1942</v>
      </c>
      <c r="E407" s="255" t="s">
        <v>3384</v>
      </c>
      <c r="F407" s="255" t="s">
        <v>3385</v>
      </c>
      <c r="G407" s="255" t="s">
        <v>3445</v>
      </c>
      <c r="H407" s="255" t="s">
        <v>3387</v>
      </c>
    </row>
    <row r="408" spans="1:8" ht="15" customHeight="1" x14ac:dyDescent="0.2">
      <c r="A408" s="41" t="s">
        <v>4058</v>
      </c>
      <c r="B408" s="274" t="s">
        <v>3444</v>
      </c>
      <c r="C408" s="255" t="s">
        <v>1939</v>
      </c>
      <c r="D408" s="255" t="s">
        <v>1938</v>
      </c>
      <c r="E408" s="255" t="s">
        <v>3384</v>
      </c>
      <c r="F408" s="255" t="s">
        <v>3385</v>
      </c>
      <c r="G408" s="255" t="s">
        <v>3445</v>
      </c>
      <c r="H408" s="255" t="s">
        <v>3387</v>
      </c>
    </row>
    <row r="409" spans="1:8" ht="15" customHeight="1" x14ac:dyDescent="0.2">
      <c r="A409" s="41" t="s">
        <v>4059</v>
      </c>
      <c r="B409" s="274" t="s">
        <v>3444</v>
      </c>
      <c r="C409" s="255" t="s">
        <v>2194</v>
      </c>
      <c r="D409" s="255" t="s">
        <v>2193</v>
      </c>
      <c r="E409" s="255" t="s">
        <v>3384</v>
      </c>
      <c r="F409" s="255" t="s">
        <v>3385</v>
      </c>
      <c r="G409" s="255" t="s">
        <v>3445</v>
      </c>
      <c r="H409" s="255" t="s">
        <v>3387</v>
      </c>
    </row>
    <row r="410" spans="1:8" ht="15" customHeight="1" x14ac:dyDescent="0.2">
      <c r="A410" s="41" t="s">
        <v>4060</v>
      </c>
      <c r="B410" s="274" t="s">
        <v>3444</v>
      </c>
      <c r="C410" s="255" t="s">
        <v>2113</v>
      </c>
      <c r="D410" s="255" t="s">
        <v>2112</v>
      </c>
      <c r="E410" s="255" t="s">
        <v>3384</v>
      </c>
      <c r="F410" s="255" t="s">
        <v>3385</v>
      </c>
      <c r="G410" s="255" t="s">
        <v>3445</v>
      </c>
      <c r="H410" s="255" t="s">
        <v>3387</v>
      </c>
    </row>
    <row r="411" spans="1:8" ht="15" customHeight="1" x14ac:dyDescent="0.2">
      <c r="A411" s="41" t="s">
        <v>4062</v>
      </c>
      <c r="B411" s="274" t="s">
        <v>3444</v>
      </c>
      <c r="C411" s="255" t="s">
        <v>2696</v>
      </c>
      <c r="D411" s="255" t="s">
        <v>2695</v>
      </c>
      <c r="E411" s="255" t="s">
        <v>3384</v>
      </c>
      <c r="F411" s="255" t="s">
        <v>3385</v>
      </c>
      <c r="G411" s="255" t="s">
        <v>3445</v>
      </c>
      <c r="H411" s="255" t="s">
        <v>3387</v>
      </c>
    </row>
    <row r="412" spans="1:8" ht="15" customHeight="1" x14ac:dyDescent="0.2">
      <c r="A412" s="41" t="s">
        <v>4063</v>
      </c>
      <c r="B412" s="274" t="s">
        <v>3444</v>
      </c>
      <c r="C412" s="255" t="s">
        <v>2698</v>
      </c>
      <c r="D412" s="255" t="s">
        <v>2697</v>
      </c>
      <c r="E412" s="255" t="s">
        <v>3384</v>
      </c>
      <c r="F412" s="255" t="s">
        <v>3385</v>
      </c>
      <c r="G412" s="255" t="s">
        <v>3446</v>
      </c>
      <c r="H412" s="255" t="s">
        <v>3387</v>
      </c>
    </row>
    <row r="413" spans="1:8" ht="15" customHeight="1" x14ac:dyDescent="0.2">
      <c r="A413" s="41" t="s">
        <v>4061</v>
      </c>
      <c r="B413" s="274" t="s">
        <v>3444</v>
      </c>
      <c r="C413" s="255" t="s">
        <v>2560</v>
      </c>
      <c r="D413" s="255" t="s">
        <v>2559</v>
      </c>
      <c r="E413" s="255" t="s">
        <v>3384</v>
      </c>
      <c r="F413" s="255" t="s">
        <v>3385</v>
      </c>
      <c r="G413" s="255" t="s">
        <v>3445</v>
      </c>
      <c r="H413" s="255" t="s">
        <v>3387</v>
      </c>
    </row>
    <row r="414" spans="1:8" ht="15" customHeight="1" x14ac:dyDescent="0.2">
      <c r="A414" s="41" t="s">
        <v>4114</v>
      </c>
      <c r="B414" s="274" t="s">
        <v>3472</v>
      </c>
      <c r="C414" s="255" t="s">
        <v>2482</v>
      </c>
      <c r="D414" s="255" t="s">
        <v>2481</v>
      </c>
      <c r="E414" s="255" t="s">
        <v>3403</v>
      </c>
      <c r="F414" s="255" t="s">
        <v>3385</v>
      </c>
      <c r="G414" s="255" t="s">
        <v>3386</v>
      </c>
      <c r="H414" s="255" t="s">
        <v>3387</v>
      </c>
    </row>
    <row r="415" spans="1:8" ht="15" customHeight="1" x14ac:dyDescent="0.2">
      <c r="A415" s="41" t="s">
        <v>4163</v>
      </c>
      <c r="B415" s="274" t="s">
        <v>3501</v>
      </c>
      <c r="C415" s="255" t="s">
        <v>2488</v>
      </c>
      <c r="D415" s="255" t="s">
        <v>3515</v>
      </c>
      <c r="E415" s="255" t="s">
        <v>3384</v>
      </c>
      <c r="F415" s="255" t="s">
        <v>3385</v>
      </c>
      <c r="G415" s="255" t="s">
        <v>3386</v>
      </c>
      <c r="H415" s="255" t="s">
        <v>3387</v>
      </c>
    </row>
    <row r="416" spans="1:8" ht="15" customHeight="1" x14ac:dyDescent="0.2">
      <c r="A416" s="41" t="s">
        <v>4164</v>
      </c>
      <c r="B416" s="274" t="s">
        <v>3501</v>
      </c>
      <c r="C416" s="255" t="s">
        <v>2569</v>
      </c>
      <c r="D416" s="255" t="s">
        <v>3516</v>
      </c>
      <c r="E416" s="255" t="s">
        <v>3384</v>
      </c>
      <c r="F416" s="255" t="s">
        <v>3385</v>
      </c>
      <c r="G416" s="255" t="s">
        <v>3386</v>
      </c>
      <c r="H416" s="255" t="s">
        <v>3387</v>
      </c>
    </row>
    <row r="417" spans="1:8" ht="15" customHeight="1" x14ac:dyDescent="0.2">
      <c r="A417" s="41" t="s">
        <v>4134</v>
      </c>
      <c r="B417" s="274" t="s">
        <v>3501</v>
      </c>
      <c r="C417" s="255" t="s">
        <v>1907</v>
      </c>
      <c r="D417" s="255" t="s">
        <v>1906</v>
      </c>
      <c r="E417" s="255" t="s">
        <v>3384</v>
      </c>
      <c r="F417" s="255" t="s">
        <v>3385</v>
      </c>
      <c r="G417" s="255" t="s">
        <v>3386</v>
      </c>
      <c r="H417" s="255" t="s">
        <v>3387</v>
      </c>
    </row>
    <row r="418" spans="1:8" ht="15" customHeight="1" x14ac:dyDescent="0.2">
      <c r="A418" s="41" t="s">
        <v>4135</v>
      </c>
      <c r="B418" s="274" t="s">
        <v>3501</v>
      </c>
      <c r="C418" s="255" t="s">
        <v>2484</v>
      </c>
      <c r="D418" s="255" t="s">
        <v>2483</v>
      </c>
      <c r="E418" s="255" t="s">
        <v>3384</v>
      </c>
      <c r="F418" s="255" t="s">
        <v>3385</v>
      </c>
      <c r="G418" s="255" t="s">
        <v>3386</v>
      </c>
      <c r="H418" s="255" t="s">
        <v>3387</v>
      </c>
    </row>
    <row r="419" spans="1:8" ht="15" customHeight="1" x14ac:dyDescent="0.2">
      <c r="A419" s="41" t="s">
        <v>4136</v>
      </c>
      <c r="B419" s="274" t="s">
        <v>3501</v>
      </c>
      <c r="C419" s="255" t="s">
        <v>2365</v>
      </c>
      <c r="D419" s="255" t="s">
        <v>2364</v>
      </c>
      <c r="E419" s="255" t="s">
        <v>3384</v>
      </c>
      <c r="F419" s="255" t="s">
        <v>3385</v>
      </c>
      <c r="G419" s="255" t="s">
        <v>3386</v>
      </c>
      <c r="H419" s="255" t="s">
        <v>3387</v>
      </c>
    </row>
    <row r="420" spans="1:8" ht="15" customHeight="1" x14ac:dyDescent="0.2">
      <c r="A420" s="41" t="s">
        <v>4137</v>
      </c>
      <c r="B420" s="274" t="s">
        <v>3501</v>
      </c>
      <c r="C420" s="255" t="s">
        <v>2905</v>
      </c>
      <c r="D420" s="255" t="s">
        <v>2904</v>
      </c>
      <c r="E420" s="255" t="s">
        <v>3384</v>
      </c>
      <c r="F420" s="255" t="s">
        <v>3385</v>
      </c>
      <c r="G420" s="255" t="s">
        <v>3386</v>
      </c>
      <c r="H420" s="255" t="s">
        <v>3387</v>
      </c>
    </row>
    <row r="421" spans="1:8" ht="15" customHeight="1" x14ac:dyDescent="0.2">
      <c r="A421" s="41" t="s">
        <v>4138</v>
      </c>
      <c r="B421" s="274" t="s">
        <v>3501</v>
      </c>
      <c r="C421" s="255" t="s">
        <v>2159</v>
      </c>
      <c r="D421" s="255" t="s">
        <v>2158</v>
      </c>
      <c r="E421" s="255" t="s">
        <v>3384</v>
      </c>
      <c r="F421" s="255" t="s">
        <v>3385</v>
      </c>
      <c r="G421" s="255" t="s">
        <v>3386</v>
      </c>
      <c r="H421" s="255" t="s">
        <v>3387</v>
      </c>
    </row>
    <row r="422" spans="1:8" ht="15" customHeight="1" x14ac:dyDescent="0.2">
      <c r="A422" s="41" t="s">
        <v>4139</v>
      </c>
      <c r="B422" s="274" t="s">
        <v>3501</v>
      </c>
      <c r="C422" s="255" t="s">
        <v>3017</v>
      </c>
      <c r="D422" s="255" t="s">
        <v>3016</v>
      </c>
      <c r="E422" s="255" t="s">
        <v>3384</v>
      </c>
      <c r="F422" s="255" t="s">
        <v>3385</v>
      </c>
      <c r="G422" s="255" t="s">
        <v>3386</v>
      </c>
      <c r="H422" s="255" t="s">
        <v>3387</v>
      </c>
    </row>
    <row r="423" spans="1:8" ht="15" customHeight="1" x14ac:dyDescent="0.2">
      <c r="A423" s="41" t="s">
        <v>4140</v>
      </c>
      <c r="B423" s="274" t="s">
        <v>3501</v>
      </c>
      <c r="C423" s="255" t="s">
        <v>2161</v>
      </c>
      <c r="D423" s="255" t="s">
        <v>2160</v>
      </c>
      <c r="E423" s="255" t="s">
        <v>3384</v>
      </c>
      <c r="F423" s="255" t="s">
        <v>3385</v>
      </c>
      <c r="G423" s="255" t="s">
        <v>3386</v>
      </c>
      <c r="H423" s="255" t="s">
        <v>3387</v>
      </c>
    </row>
    <row r="424" spans="1:8" ht="15" customHeight="1" x14ac:dyDescent="0.2">
      <c r="A424" s="41" t="s">
        <v>4141</v>
      </c>
      <c r="B424" s="274" t="s">
        <v>3501</v>
      </c>
      <c r="C424" s="255" t="s">
        <v>2907</v>
      </c>
      <c r="D424" s="255" t="s">
        <v>2906</v>
      </c>
      <c r="E424" s="255" t="s">
        <v>3384</v>
      </c>
      <c r="F424" s="255" t="s">
        <v>3385</v>
      </c>
      <c r="G424" s="255" t="s">
        <v>3386</v>
      </c>
      <c r="H424" s="255" t="s">
        <v>3387</v>
      </c>
    </row>
    <row r="425" spans="1:8" ht="15" customHeight="1" x14ac:dyDescent="0.2">
      <c r="A425" s="41" t="s">
        <v>4142</v>
      </c>
      <c r="B425" s="274" t="s">
        <v>3501</v>
      </c>
      <c r="C425" s="255" t="s">
        <v>2486</v>
      </c>
      <c r="D425" s="255" t="s">
        <v>2485</v>
      </c>
      <c r="E425" s="255" t="s">
        <v>3384</v>
      </c>
      <c r="F425" s="255" t="s">
        <v>3385</v>
      </c>
      <c r="G425" s="255" t="s">
        <v>3386</v>
      </c>
      <c r="H425" s="255" t="s">
        <v>3387</v>
      </c>
    </row>
    <row r="426" spans="1:8" ht="15" customHeight="1" x14ac:dyDescent="0.2">
      <c r="A426" s="41" t="s">
        <v>4143</v>
      </c>
      <c r="B426" s="274" t="s">
        <v>3501</v>
      </c>
      <c r="C426" s="255" t="s">
        <v>2313</v>
      </c>
      <c r="D426" s="255" t="s">
        <v>2312</v>
      </c>
      <c r="E426" s="255" t="s">
        <v>3384</v>
      </c>
      <c r="F426" s="255" t="s">
        <v>3385</v>
      </c>
      <c r="G426" s="255" t="s">
        <v>3386</v>
      </c>
      <c r="H426" s="255" t="s">
        <v>3387</v>
      </c>
    </row>
    <row r="427" spans="1:8" ht="15" customHeight="1" x14ac:dyDescent="0.2">
      <c r="A427" s="41" t="s">
        <v>4146</v>
      </c>
      <c r="B427" s="274" t="s">
        <v>3501</v>
      </c>
      <c r="C427" s="255" t="s">
        <v>2403</v>
      </c>
      <c r="D427" s="255" t="s">
        <v>2402</v>
      </c>
      <c r="E427" s="255" t="s">
        <v>3384</v>
      </c>
      <c r="F427" s="255" t="s">
        <v>3385</v>
      </c>
      <c r="G427" s="255" t="s">
        <v>3386</v>
      </c>
      <c r="H427" s="255" t="s">
        <v>3387</v>
      </c>
    </row>
    <row r="428" spans="1:8" ht="15" customHeight="1" x14ac:dyDescent="0.2">
      <c r="A428" s="41" t="s">
        <v>4144</v>
      </c>
      <c r="B428" s="274" t="s">
        <v>3501</v>
      </c>
      <c r="C428" s="255" t="s">
        <v>2909</v>
      </c>
      <c r="D428" s="255" t="s">
        <v>2908</v>
      </c>
      <c r="E428" s="255" t="s">
        <v>3384</v>
      </c>
      <c r="F428" s="255" t="s">
        <v>3385</v>
      </c>
      <c r="G428" s="255" t="s">
        <v>3386</v>
      </c>
      <c r="H428" s="255" t="s">
        <v>3387</v>
      </c>
    </row>
    <row r="429" spans="1:8" ht="15" customHeight="1" x14ac:dyDescent="0.2">
      <c r="A429" s="41" t="s">
        <v>4145</v>
      </c>
      <c r="B429" s="274" t="s">
        <v>3501</v>
      </c>
      <c r="C429" s="255" t="s">
        <v>2911</v>
      </c>
      <c r="D429" s="255" t="s">
        <v>2910</v>
      </c>
      <c r="E429" s="255" t="s">
        <v>3384</v>
      </c>
      <c r="F429" s="255" t="s">
        <v>3385</v>
      </c>
      <c r="G429" s="255" t="s">
        <v>3386</v>
      </c>
      <c r="H429" s="255" t="s">
        <v>3387</v>
      </c>
    </row>
    <row r="430" spans="1:8" ht="15" customHeight="1" x14ac:dyDescent="0.2">
      <c r="A430" s="41" t="s">
        <v>4165</v>
      </c>
      <c r="B430" s="274" t="s">
        <v>3501</v>
      </c>
      <c r="C430" s="255" t="s">
        <v>3019</v>
      </c>
      <c r="D430" s="255" t="s">
        <v>3018</v>
      </c>
      <c r="E430" s="255" t="s">
        <v>3384</v>
      </c>
      <c r="F430" s="255" t="s">
        <v>3385</v>
      </c>
      <c r="G430" s="255" t="s">
        <v>3386</v>
      </c>
      <c r="H430" s="255" t="s">
        <v>3387</v>
      </c>
    </row>
    <row r="431" spans="1:8" ht="15" customHeight="1" x14ac:dyDescent="0.2">
      <c r="A431" s="41" t="s">
        <v>4090</v>
      </c>
      <c r="B431" s="274" t="s">
        <v>3465</v>
      </c>
      <c r="C431" s="255" t="s">
        <v>2363</v>
      </c>
      <c r="D431" s="255" t="s">
        <v>3467</v>
      </c>
      <c r="E431" s="255" t="s">
        <v>3415</v>
      </c>
      <c r="F431" s="255" t="s">
        <v>3406</v>
      </c>
      <c r="G431" s="255" t="s">
        <v>3466</v>
      </c>
      <c r="H431" s="255" t="s">
        <v>3387</v>
      </c>
    </row>
    <row r="432" spans="1:8" ht="15" customHeight="1" x14ac:dyDescent="0.2">
      <c r="A432" s="41" t="s">
        <v>4091</v>
      </c>
      <c r="B432" s="274" t="s">
        <v>3465</v>
      </c>
      <c r="C432" s="255" t="s">
        <v>1917</v>
      </c>
      <c r="D432" s="255" t="s">
        <v>3468</v>
      </c>
      <c r="E432" s="255" t="s">
        <v>3415</v>
      </c>
      <c r="F432" s="255" t="s">
        <v>3406</v>
      </c>
      <c r="G432" s="255" t="s">
        <v>3466</v>
      </c>
      <c r="H432" s="255" t="s">
        <v>3387</v>
      </c>
    </row>
    <row r="433" spans="1:8" ht="15" customHeight="1" x14ac:dyDescent="0.2">
      <c r="A433" s="41" t="s">
        <v>3995</v>
      </c>
      <c r="B433" s="274" t="s">
        <v>3418</v>
      </c>
      <c r="C433" s="255" t="s">
        <v>1829</v>
      </c>
      <c r="D433" s="255" t="s">
        <v>1828</v>
      </c>
      <c r="E433" s="255" t="s">
        <v>3384</v>
      </c>
      <c r="F433" s="255" t="s">
        <v>3385</v>
      </c>
      <c r="G433" s="255" t="s">
        <v>3386</v>
      </c>
      <c r="H433" s="255" t="s">
        <v>3387</v>
      </c>
    </row>
    <row r="434" spans="1:8" ht="15" customHeight="1" x14ac:dyDescent="0.2">
      <c r="A434" s="41" t="s">
        <v>3994</v>
      </c>
      <c r="B434" s="274" t="s">
        <v>3418</v>
      </c>
      <c r="C434" s="255" t="s">
        <v>1964</v>
      </c>
      <c r="D434" s="255" t="s">
        <v>1963</v>
      </c>
      <c r="E434" s="255" t="s">
        <v>3384</v>
      </c>
      <c r="F434" s="255" t="s">
        <v>3385</v>
      </c>
      <c r="G434" s="255" t="s">
        <v>3386</v>
      </c>
      <c r="H434" s="255" t="s">
        <v>3387</v>
      </c>
    </row>
    <row r="435" spans="1:8" ht="15" customHeight="1" x14ac:dyDescent="0.2">
      <c r="A435" s="41" t="s">
        <v>3998</v>
      </c>
      <c r="B435" s="274" t="s">
        <v>3418</v>
      </c>
      <c r="C435" s="255" t="s">
        <v>2278</v>
      </c>
      <c r="D435" s="255" t="s">
        <v>2277</v>
      </c>
      <c r="E435" s="255" t="s">
        <v>3384</v>
      </c>
      <c r="F435" s="255" t="s">
        <v>3385</v>
      </c>
      <c r="G435" s="255" t="s">
        <v>3386</v>
      </c>
      <c r="H435" s="255" t="s">
        <v>3387</v>
      </c>
    </row>
    <row r="436" spans="1:8" ht="15" customHeight="1" x14ac:dyDescent="0.2">
      <c r="A436" s="41" t="s">
        <v>4780</v>
      </c>
      <c r="B436" s="274" t="s">
        <v>3844</v>
      </c>
      <c r="C436" s="255" t="s">
        <v>2108</v>
      </c>
      <c r="D436" s="255" t="s">
        <v>2107</v>
      </c>
      <c r="E436" s="255" t="s">
        <v>3415</v>
      </c>
      <c r="F436" s="255" t="s">
        <v>3389</v>
      </c>
      <c r="G436" s="255" t="s">
        <v>3386</v>
      </c>
      <c r="H436" s="255" t="s">
        <v>3387</v>
      </c>
    </row>
    <row r="437" spans="1:8" ht="15" customHeight="1" x14ac:dyDescent="0.2">
      <c r="A437" s="41" t="s">
        <v>4808</v>
      </c>
      <c r="B437" s="274" t="s">
        <v>3854</v>
      </c>
      <c r="C437" s="255" t="s">
        <v>1922</v>
      </c>
      <c r="D437" s="255" t="s">
        <v>3860</v>
      </c>
      <c r="E437" s="255" t="s">
        <v>3415</v>
      </c>
      <c r="F437" s="255" t="s">
        <v>3385</v>
      </c>
      <c r="G437" s="255" t="s">
        <v>3856</v>
      </c>
      <c r="H437" s="255" t="s">
        <v>3387</v>
      </c>
    </row>
    <row r="438" spans="1:8" ht="15" customHeight="1" x14ac:dyDescent="0.2">
      <c r="A438" s="41" t="s">
        <v>4809</v>
      </c>
      <c r="B438" s="274" t="s">
        <v>3854</v>
      </c>
      <c r="C438" s="255" t="s">
        <v>1955</v>
      </c>
      <c r="D438" s="255" t="s">
        <v>3861</v>
      </c>
      <c r="E438" s="255" t="s">
        <v>3415</v>
      </c>
      <c r="F438" s="255" t="s">
        <v>3385</v>
      </c>
      <c r="G438" s="255" t="s">
        <v>3856</v>
      </c>
      <c r="H438" s="255" t="s">
        <v>3387</v>
      </c>
    </row>
    <row r="439" spans="1:8" ht="15" customHeight="1" x14ac:dyDescent="0.2">
      <c r="A439" s="41" t="s">
        <v>4810</v>
      </c>
      <c r="B439" s="274" t="s">
        <v>3854</v>
      </c>
      <c r="C439" s="255" t="s">
        <v>2215</v>
      </c>
      <c r="D439" s="255" t="s">
        <v>3862</v>
      </c>
      <c r="E439" s="255" t="s">
        <v>3415</v>
      </c>
      <c r="F439" s="255" t="s">
        <v>3385</v>
      </c>
      <c r="G439" s="255" t="s">
        <v>3856</v>
      </c>
      <c r="H439" s="255" t="s">
        <v>3387</v>
      </c>
    </row>
    <row r="440" spans="1:8" ht="15" customHeight="1" x14ac:dyDescent="0.2">
      <c r="A440" s="41" t="s">
        <v>4811</v>
      </c>
      <c r="B440" s="274" t="s">
        <v>3854</v>
      </c>
      <c r="C440" s="255" t="s">
        <v>2076</v>
      </c>
      <c r="D440" s="255" t="s">
        <v>3863</v>
      </c>
      <c r="E440" s="255" t="s">
        <v>3415</v>
      </c>
      <c r="F440" s="255" t="s">
        <v>3385</v>
      </c>
      <c r="G440" s="255" t="s">
        <v>3856</v>
      </c>
      <c r="H440" s="255" t="s">
        <v>3387</v>
      </c>
    </row>
    <row r="441" spans="1:8" ht="15" customHeight="1" x14ac:dyDescent="0.2">
      <c r="A441" s="41" t="s">
        <v>4812</v>
      </c>
      <c r="B441" s="274" t="s">
        <v>3854</v>
      </c>
      <c r="C441" s="255" t="s">
        <v>2539</v>
      </c>
      <c r="D441" s="255" t="s">
        <v>3864</v>
      </c>
      <c r="E441" s="255" t="s">
        <v>3415</v>
      </c>
      <c r="F441" s="255" t="s">
        <v>3385</v>
      </c>
      <c r="G441" s="255" t="s">
        <v>3856</v>
      </c>
      <c r="H441" s="255" t="s">
        <v>3387</v>
      </c>
    </row>
    <row r="442" spans="1:8" ht="15" customHeight="1" x14ac:dyDescent="0.2">
      <c r="A442" s="41" t="s">
        <v>4813</v>
      </c>
      <c r="B442" s="274" t="s">
        <v>3854</v>
      </c>
      <c r="C442" s="255" t="s">
        <v>2649</v>
      </c>
      <c r="D442" s="255" t="s">
        <v>3865</v>
      </c>
      <c r="E442" s="255" t="s">
        <v>3415</v>
      </c>
      <c r="F442" s="255" t="s">
        <v>3385</v>
      </c>
      <c r="G442" s="255" t="s">
        <v>3856</v>
      </c>
      <c r="H442" s="255" t="s">
        <v>3387</v>
      </c>
    </row>
    <row r="443" spans="1:8" ht="15" customHeight="1" x14ac:dyDescent="0.2">
      <c r="A443" s="41" t="s">
        <v>4899</v>
      </c>
      <c r="B443" s="274">
        <v>805</v>
      </c>
      <c r="C443" s="255" t="s">
        <v>4900</v>
      </c>
      <c r="D443" s="255" t="s">
        <v>4901</v>
      </c>
      <c r="E443" s="255" t="s">
        <v>3415</v>
      </c>
      <c r="F443" s="255" t="s">
        <v>3385</v>
      </c>
      <c r="G443" s="255"/>
      <c r="H443" s="255" t="s">
        <v>3387</v>
      </c>
    </row>
    <row r="444" spans="1:8" ht="15" customHeight="1" x14ac:dyDescent="0.2">
      <c r="A444" s="41" t="s">
        <v>4799</v>
      </c>
      <c r="B444" s="274" t="s">
        <v>3854</v>
      </c>
      <c r="C444" s="255" t="s">
        <v>1855</v>
      </c>
      <c r="D444" s="255" t="s">
        <v>1854</v>
      </c>
      <c r="E444" s="255" t="s">
        <v>3415</v>
      </c>
      <c r="F444" s="255" t="s">
        <v>3385</v>
      </c>
      <c r="G444" s="255" t="s">
        <v>3386</v>
      </c>
      <c r="H444" s="255" t="s">
        <v>3387</v>
      </c>
    </row>
    <row r="445" spans="1:8" ht="15" customHeight="1" x14ac:dyDescent="0.2">
      <c r="A445" s="41" t="s">
        <v>4801</v>
      </c>
      <c r="B445" s="274" t="s">
        <v>3854</v>
      </c>
      <c r="C445" s="255" t="s">
        <v>2856</v>
      </c>
      <c r="D445" s="255" t="s">
        <v>2855</v>
      </c>
      <c r="E445" s="255" t="s">
        <v>3415</v>
      </c>
      <c r="F445" s="255" t="s">
        <v>3385</v>
      </c>
      <c r="G445" s="255" t="s">
        <v>3386</v>
      </c>
      <c r="H445" s="255" t="s">
        <v>3387</v>
      </c>
    </row>
    <row r="446" spans="1:8" ht="15" customHeight="1" x14ac:dyDescent="0.2">
      <c r="A446" s="41" t="s">
        <v>4798</v>
      </c>
      <c r="B446" s="274" t="s">
        <v>3854</v>
      </c>
      <c r="C446" s="255" t="s">
        <v>2644</v>
      </c>
      <c r="D446" s="255" t="s">
        <v>3859</v>
      </c>
      <c r="E446" s="255" t="s">
        <v>3415</v>
      </c>
      <c r="F446" s="255" t="s">
        <v>3385</v>
      </c>
      <c r="G446" s="255" t="s">
        <v>3386</v>
      </c>
      <c r="H446" s="255" t="s">
        <v>3387</v>
      </c>
    </row>
    <row r="447" spans="1:8" ht="15" customHeight="1" x14ac:dyDescent="0.2">
      <c r="A447" s="41" t="s">
        <v>4793</v>
      </c>
      <c r="B447" s="274" t="s">
        <v>3854</v>
      </c>
      <c r="C447" s="255" t="s">
        <v>1872</v>
      </c>
      <c r="D447" s="255" t="s">
        <v>1871</v>
      </c>
      <c r="E447" s="255" t="s">
        <v>3415</v>
      </c>
      <c r="F447" s="255" t="s">
        <v>3385</v>
      </c>
      <c r="G447" s="255" t="s">
        <v>3856</v>
      </c>
      <c r="H447" s="255" t="s">
        <v>3387</v>
      </c>
    </row>
    <row r="448" spans="1:8" ht="15" customHeight="1" x14ac:dyDescent="0.2">
      <c r="A448" s="41" t="s">
        <v>4795</v>
      </c>
      <c r="B448" s="274" t="s">
        <v>3854</v>
      </c>
      <c r="C448" s="255" t="s">
        <v>2346</v>
      </c>
      <c r="D448" s="255" t="s">
        <v>2345</v>
      </c>
      <c r="E448" s="255" t="s">
        <v>3415</v>
      </c>
      <c r="F448" s="255" t="s">
        <v>3385</v>
      </c>
      <c r="G448" s="255" t="s">
        <v>3856</v>
      </c>
      <c r="H448" s="255" t="s">
        <v>3387</v>
      </c>
    </row>
    <row r="449" spans="1:8" ht="15" customHeight="1" x14ac:dyDescent="0.2">
      <c r="A449" s="41" t="s">
        <v>4800</v>
      </c>
      <c r="B449" s="274" t="s">
        <v>3854</v>
      </c>
      <c r="C449" s="255" t="s">
        <v>2646</v>
      </c>
      <c r="D449" s="255" t="s">
        <v>2645</v>
      </c>
      <c r="E449" s="255" t="s">
        <v>3415</v>
      </c>
      <c r="F449" s="255" t="s">
        <v>3389</v>
      </c>
      <c r="G449" s="255" t="s">
        <v>3386</v>
      </c>
      <c r="H449" s="255" t="s">
        <v>3387</v>
      </c>
    </row>
    <row r="450" spans="1:8" ht="15" customHeight="1" x14ac:dyDescent="0.2">
      <c r="A450" s="41" t="s">
        <v>4806</v>
      </c>
      <c r="B450" s="274" t="s">
        <v>3854</v>
      </c>
      <c r="C450" s="255" t="s">
        <v>2455</v>
      </c>
      <c r="D450" s="255" t="s">
        <v>2454</v>
      </c>
      <c r="E450" s="255" t="s">
        <v>3415</v>
      </c>
      <c r="F450" s="255" t="s">
        <v>3389</v>
      </c>
      <c r="G450" s="255" t="s">
        <v>3386</v>
      </c>
      <c r="H450" s="255" t="s">
        <v>3387</v>
      </c>
    </row>
    <row r="451" spans="1:8" ht="15" customHeight="1" x14ac:dyDescent="0.2">
      <c r="A451" s="41" t="s">
        <v>4794</v>
      </c>
      <c r="B451" s="274" t="s">
        <v>3854</v>
      </c>
      <c r="C451" s="255" t="s">
        <v>2110</v>
      </c>
      <c r="D451" s="255" t="s">
        <v>2109</v>
      </c>
      <c r="E451" s="255" t="s">
        <v>3415</v>
      </c>
      <c r="F451" s="255" t="s">
        <v>3389</v>
      </c>
      <c r="G451" s="255" t="s">
        <v>3386</v>
      </c>
      <c r="H451" s="255" t="s">
        <v>3387</v>
      </c>
    </row>
    <row r="452" spans="1:8" ht="15" customHeight="1" x14ac:dyDescent="0.2">
      <c r="A452" s="41" t="s">
        <v>4079</v>
      </c>
      <c r="B452" s="274" t="s">
        <v>3456</v>
      </c>
      <c r="C452" s="255" t="s">
        <v>2120</v>
      </c>
      <c r="D452" s="255" t="s">
        <v>2119</v>
      </c>
      <c r="E452" s="255" t="s">
        <v>3384</v>
      </c>
      <c r="F452" s="255" t="s">
        <v>3385</v>
      </c>
      <c r="G452" s="255" t="s">
        <v>3386</v>
      </c>
      <c r="H452" s="255" t="s">
        <v>3387</v>
      </c>
    </row>
    <row r="453" spans="1:8" ht="15" customHeight="1" x14ac:dyDescent="0.2">
      <c r="A453" s="41" t="s">
        <v>4081</v>
      </c>
      <c r="B453" s="274" t="s">
        <v>3456</v>
      </c>
      <c r="C453" s="255" t="s">
        <v>1875</v>
      </c>
      <c r="D453" s="255" t="s">
        <v>1874</v>
      </c>
      <c r="E453" s="255" t="s">
        <v>3384</v>
      </c>
      <c r="F453" s="255" t="s">
        <v>3385</v>
      </c>
      <c r="G453" s="255" t="s">
        <v>3386</v>
      </c>
      <c r="H453" s="255" t="s">
        <v>3387</v>
      </c>
    </row>
    <row r="454" spans="1:8" ht="15" customHeight="1" x14ac:dyDescent="0.2">
      <c r="A454" s="41" t="s">
        <v>4080</v>
      </c>
      <c r="B454" s="274" t="s">
        <v>3456</v>
      </c>
      <c r="C454" s="255" t="s">
        <v>1990</v>
      </c>
      <c r="D454" s="255" t="s">
        <v>1989</v>
      </c>
      <c r="E454" s="255" t="s">
        <v>3384</v>
      </c>
      <c r="F454" s="255" t="s">
        <v>3385</v>
      </c>
      <c r="G454" s="255" t="s">
        <v>3386</v>
      </c>
      <c r="H454" s="255" t="s">
        <v>3387</v>
      </c>
    </row>
    <row r="455" spans="1:8" ht="15" customHeight="1" x14ac:dyDescent="0.2">
      <c r="A455" s="41" t="s">
        <v>4518</v>
      </c>
      <c r="B455" s="274" t="s">
        <v>3651</v>
      </c>
      <c r="C455" s="255" t="s">
        <v>2130</v>
      </c>
      <c r="D455" s="255" t="s">
        <v>2129</v>
      </c>
      <c r="E455" s="255" t="s">
        <v>3415</v>
      </c>
      <c r="F455" s="255" t="s">
        <v>3389</v>
      </c>
      <c r="G455" s="255" t="s">
        <v>3386</v>
      </c>
      <c r="H455" s="255" t="s">
        <v>3392</v>
      </c>
    </row>
    <row r="456" spans="1:8" ht="15" customHeight="1" x14ac:dyDescent="0.2">
      <c r="A456" s="41" t="s">
        <v>4519</v>
      </c>
      <c r="B456" s="274" t="s">
        <v>3651</v>
      </c>
      <c r="C456" s="255" t="s">
        <v>2798</v>
      </c>
      <c r="D456" s="255" t="s">
        <v>3652</v>
      </c>
      <c r="E456" s="255" t="s">
        <v>3415</v>
      </c>
      <c r="F456" s="255" t="s">
        <v>3389</v>
      </c>
      <c r="G456" s="255" t="s">
        <v>3386</v>
      </c>
      <c r="H456" s="255" t="s">
        <v>3387</v>
      </c>
    </row>
    <row r="457" spans="1:8" ht="15" customHeight="1" x14ac:dyDescent="0.2">
      <c r="A457" s="41" t="s">
        <v>4086</v>
      </c>
      <c r="B457" s="274" t="s">
        <v>3458</v>
      </c>
      <c r="C457" s="255" t="s">
        <v>2362</v>
      </c>
      <c r="D457" s="255" t="s">
        <v>3463</v>
      </c>
      <c r="E457" s="255" t="s">
        <v>3460</v>
      </c>
      <c r="F457" s="255" t="s">
        <v>3406</v>
      </c>
      <c r="G457" s="255" t="s">
        <v>3461</v>
      </c>
      <c r="H457" s="255" t="s">
        <v>3392</v>
      </c>
    </row>
    <row r="458" spans="1:8" ht="15" customHeight="1" x14ac:dyDescent="0.2">
      <c r="A458" s="41" t="s">
        <v>4085</v>
      </c>
      <c r="B458" s="274" t="s">
        <v>3458</v>
      </c>
      <c r="C458" s="255" t="s">
        <v>1981</v>
      </c>
      <c r="D458" s="255" t="s">
        <v>3462</v>
      </c>
      <c r="E458" s="255" t="s">
        <v>3460</v>
      </c>
      <c r="F458" s="255" t="s">
        <v>3406</v>
      </c>
      <c r="G458" s="255" t="s">
        <v>3461</v>
      </c>
      <c r="H458" s="255" t="s">
        <v>3392</v>
      </c>
    </row>
    <row r="459" spans="1:8" ht="15" customHeight="1" x14ac:dyDescent="0.2">
      <c r="A459" s="41" t="s">
        <v>4084</v>
      </c>
      <c r="B459" s="274" t="s">
        <v>3458</v>
      </c>
      <c r="C459" s="255" t="s">
        <v>2195</v>
      </c>
      <c r="D459" s="255" t="s">
        <v>3459</v>
      </c>
      <c r="E459" s="255" t="s">
        <v>3460</v>
      </c>
      <c r="F459" s="255" t="s">
        <v>3406</v>
      </c>
      <c r="G459" s="255" t="s">
        <v>3461</v>
      </c>
      <c r="H459" s="255" t="s">
        <v>3392</v>
      </c>
    </row>
    <row r="460" spans="1:8" ht="15" customHeight="1" x14ac:dyDescent="0.2">
      <c r="A460" s="41" t="s">
        <v>3996</v>
      </c>
      <c r="B460" s="274" t="s">
        <v>3418</v>
      </c>
      <c r="C460" s="255" t="s">
        <v>2072</v>
      </c>
      <c r="D460" s="255" t="s">
        <v>2071</v>
      </c>
      <c r="E460" s="255" t="s">
        <v>3384</v>
      </c>
      <c r="F460" s="255" t="s">
        <v>3389</v>
      </c>
      <c r="G460" s="255" t="s">
        <v>3386</v>
      </c>
      <c r="H460" s="255" t="s">
        <v>3387</v>
      </c>
    </row>
    <row r="461" spans="1:8" ht="15" customHeight="1" x14ac:dyDescent="0.2">
      <c r="A461" s="41" t="s">
        <v>3999</v>
      </c>
      <c r="B461" s="274" t="s">
        <v>3418</v>
      </c>
      <c r="C461" s="255" t="s">
        <v>1924</v>
      </c>
      <c r="D461" s="255" t="s">
        <v>1923</v>
      </c>
      <c r="E461" s="255" t="s">
        <v>3395</v>
      </c>
      <c r="F461" s="255" t="s">
        <v>3385</v>
      </c>
      <c r="G461" s="255" t="s">
        <v>3386</v>
      </c>
      <c r="H461" s="255" t="s">
        <v>3387</v>
      </c>
    </row>
    <row r="462" spans="1:8" ht="15" customHeight="1" x14ac:dyDescent="0.2">
      <c r="A462" s="41" t="s">
        <v>4172</v>
      </c>
      <c r="B462" s="274" t="s">
        <v>3520</v>
      </c>
      <c r="C462" s="255" t="s">
        <v>1992</v>
      </c>
      <c r="D462" s="255" t="s">
        <v>1991</v>
      </c>
      <c r="E462" s="255" t="s">
        <v>3415</v>
      </c>
      <c r="F462" s="255" t="s">
        <v>3389</v>
      </c>
      <c r="G462" s="255" t="s">
        <v>3386</v>
      </c>
      <c r="H462" s="255" t="s">
        <v>3392</v>
      </c>
    </row>
    <row r="463" spans="1:8" ht="15" customHeight="1" x14ac:dyDescent="0.2">
      <c r="A463" s="41" t="s">
        <v>4414</v>
      </c>
      <c r="B463" s="274" t="s">
        <v>3521</v>
      </c>
      <c r="C463" s="255" t="s">
        <v>3113</v>
      </c>
      <c r="D463" s="255" t="s">
        <v>3603</v>
      </c>
      <c r="E463" s="255" t="s">
        <v>3403</v>
      </c>
      <c r="F463" s="255" t="s">
        <v>3385</v>
      </c>
      <c r="G463" s="255" t="s">
        <v>3386</v>
      </c>
      <c r="H463" s="255" t="s">
        <v>3387</v>
      </c>
    </row>
    <row r="464" spans="1:8" ht="15" customHeight="1" x14ac:dyDescent="0.2">
      <c r="A464" s="41" t="s">
        <v>4370</v>
      </c>
      <c r="B464" s="274" t="s">
        <v>3521</v>
      </c>
      <c r="C464" s="255" t="s">
        <v>3095</v>
      </c>
      <c r="D464" s="255" t="s">
        <v>3577</v>
      </c>
      <c r="E464" s="255" t="s">
        <v>3403</v>
      </c>
      <c r="F464" s="255" t="s">
        <v>3385</v>
      </c>
      <c r="G464" s="255" t="s">
        <v>3386</v>
      </c>
      <c r="H464" s="255" t="s">
        <v>3387</v>
      </c>
    </row>
    <row r="465" spans="1:8" ht="15" customHeight="1" x14ac:dyDescent="0.2">
      <c r="A465" s="41" t="s">
        <v>4312</v>
      </c>
      <c r="B465" s="274" t="s">
        <v>3521</v>
      </c>
      <c r="C465" s="255" t="s">
        <v>3054</v>
      </c>
      <c r="D465" s="255" t="s">
        <v>3053</v>
      </c>
      <c r="E465" s="255" t="s">
        <v>3403</v>
      </c>
      <c r="F465" s="255" t="s">
        <v>3385</v>
      </c>
      <c r="G465" s="255" t="s">
        <v>3386</v>
      </c>
      <c r="H465" s="255" t="s">
        <v>3387</v>
      </c>
    </row>
    <row r="466" spans="1:8" ht="15" customHeight="1" x14ac:dyDescent="0.2">
      <c r="A466" s="41" t="s">
        <v>4412</v>
      </c>
      <c r="B466" s="274" t="s">
        <v>3521</v>
      </c>
      <c r="C466" s="255" t="s">
        <v>3110</v>
      </c>
      <c r="D466" s="255" t="s">
        <v>3602</v>
      </c>
      <c r="E466" s="255" t="s">
        <v>3403</v>
      </c>
      <c r="F466" s="255" t="s">
        <v>3385</v>
      </c>
      <c r="G466" s="255" t="s">
        <v>3386</v>
      </c>
      <c r="H466" s="255" t="s">
        <v>3387</v>
      </c>
    </row>
    <row r="467" spans="1:8" ht="15" customHeight="1" x14ac:dyDescent="0.2">
      <c r="A467" s="41" t="s">
        <v>4373</v>
      </c>
      <c r="B467" s="274" t="s">
        <v>3521</v>
      </c>
      <c r="C467" s="255" t="s">
        <v>2745</v>
      </c>
      <c r="D467" s="255" t="s">
        <v>3579</v>
      </c>
      <c r="E467" s="255" t="s">
        <v>3403</v>
      </c>
      <c r="F467" s="255" t="s">
        <v>3385</v>
      </c>
      <c r="G467" s="255" t="s">
        <v>3386</v>
      </c>
      <c r="H467" s="255" t="s">
        <v>3387</v>
      </c>
    </row>
    <row r="468" spans="1:8" ht="15" customHeight="1" x14ac:dyDescent="0.2">
      <c r="A468" s="41" t="s">
        <v>4450</v>
      </c>
      <c r="B468" s="274" t="s">
        <v>3521</v>
      </c>
      <c r="C468" s="255" t="s">
        <v>3150</v>
      </c>
      <c r="D468" s="255" t="s">
        <v>3149</v>
      </c>
      <c r="E468" s="255" t="s">
        <v>3403</v>
      </c>
      <c r="F468" s="255" t="s">
        <v>3385</v>
      </c>
      <c r="G468" s="255" t="s">
        <v>3386</v>
      </c>
      <c r="H468" s="255" t="s">
        <v>3387</v>
      </c>
    </row>
    <row r="469" spans="1:8" ht="15" customHeight="1" x14ac:dyDescent="0.2">
      <c r="A469" s="41" t="s">
        <v>4422</v>
      </c>
      <c r="B469" s="274" t="s">
        <v>3521</v>
      </c>
      <c r="C469" s="255" t="s">
        <v>3120</v>
      </c>
      <c r="D469" s="255" t="s">
        <v>3119</v>
      </c>
      <c r="E469" s="255" t="s">
        <v>3403</v>
      </c>
      <c r="F469" s="255" t="s">
        <v>3385</v>
      </c>
      <c r="G469" s="255" t="s">
        <v>3386</v>
      </c>
      <c r="H469" s="255" t="s">
        <v>3387</v>
      </c>
    </row>
    <row r="470" spans="1:8" ht="15" customHeight="1" x14ac:dyDescent="0.2">
      <c r="A470" s="41" t="s">
        <v>4313</v>
      </c>
      <c r="B470" s="274" t="s">
        <v>3521</v>
      </c>
      <c r="C470" s="255" t="s">
        <v>3056</v>
      </c>
      <c r="D470" s="255" t="s">
        <v>3055</v>
      </c>
      <c r="E470" s="255" t="s">
        <v>3403</v>
      </c>
      <c r="F470" s="255" t="s">
        <v>3385</v>
      </c>
      <c r="G470" s="255" t="s">
        <v>3386</v>
      </c>
      <c r="H470" s="255" t="s">
        <v>3387</v>
      </c>
    </row>
    <row r="471" spans="1:8" ht="15" customHeight="1" x14ac:dyDescent="0.2">
      <c r="A471" s="41" t="s">
        <v>4176</v>
      </c>
      <c r="B471" s="274" t="s">
        <v>3521</v>
      </c>
      <c r="C471" s="255" t="s">
        <v>2570</v>
      </c>
      <c r="D471" s="255" t="s">
        <v>3523</v>
      </c>
      <c r="E471" s="255" t="s">
        <v>3403</v>
      </c>
      <c r="F471" s="255" t="s">
        <v>3385</v>
      </c>
      <c r="G471" s="255" t="s">
        <v>3386</v>
      </c>
      <c r="H471" s="255" t="s">
        <v>3387</v>
      </c>
    </row>
    <row r="472" spans="1:8" ht="15" customHeight="1" x14ac:dyDescent="0.2">
      <c r="A472" s="41" t="s">
        <v>4427</v>
      </c>
      <c r="B472" s="274" t="s">
        <v>3521</v>
      </c>
      <c r="C472" s="255" t="s">
        <v>2774</v>
      </c>
      <c r="D472" s="255" t="s">
        <v>3614</v>
      </c>
      <c r="E472" s="255" t="s">
        <v>3403</v>
      </c>
      <c r="F472" s="255" t="s">
        <v>3385</v>
      </c>
      <c r="G472" s="255" t="s">
        <v>3386</v>
      </c>
      <c r="H472" s="255" t="s">
        <v>3387</v>
      </c>
    </row>
    <row r="473" spans="1:8" ht="15" customHeight="1" x14ac:dyDescent="0.2">
      <c r="A473" s="41" t="s">
        <v>4226</v>
      </c>
      <c r="B473" s="274" t="s">
        <v>3521</v>
      </c>
      <c r="C473" s="255" t="s">
        <v>2920</v>
      </c>
      <c r="D473" s="255" t="s">
        <v>2919</v>
      </c>
      <c r="E473" s="255" t="s">
        <v>3403</v>
      </c>
      <c r="F473" s="255" t="s">
        <v>3385</v>
      </c>
      <c r="G473" s="255" t="s">
        <v>3386</v>
      </c>
      <c r="H473" s="255" t="s">
        <v>3387</v>
      </c>
    </row>
    <row r="474" spans="1:8" ht="15" customHeight="1" x14ac:dyDescent="0.2">
      <c r="A474" s="41" t="s">
        <v>4227</v>
      </c>
      <c r="B474" s="274" t="s">
        <v>3521</v>
      </c>
      <c r="C474" s="255" t="s">
        <v>2921</v>
      </c>
      <c r="D474" s="255" t="s">
        <v>3532</v>
      </c>
      <c r="E474" s="255" t="s">
        <v>3403</v>
      </c>
      <c r="F474" s="255" t="s">
        <v>3385</v>
      </c>
      <c r="G474" s="255" t="s">
        <v>3386</v>
      </c>
      <c r="H474" s="255" t="s">
        <v>3387</v>
      </c>
    </row>
    <row r="475" spans="1:8" ht="15" customHeight="1" x14ac:dyDescent="0.2">
      <c r="A475" s="41" t="s">
        <v>4385</v>
      </c>
      <c r="B475" s="274" t="s">
        <v>3521</v>
      </c>
      <c r="C475" s="255" t="s">
        <v>2752</v>
      </c>
      <c r="D475" s="255" t="s">
        <v>3587</v>
      </c>
      <c r="E475" s="255" t="s">
        <v>3403</v>
      </c>
      <c r="F475" s="255" t="s">
        <v>3385</v>
      </c>
      <c r="G475" s="255" t="s">
        <v>3386</v>
      </c>
      <c r="H475" s="255" t="s">
        <v>3387</v>
      </c>
    </row>
    <row r="476" spans="1:8" ht="15" customHeight="1" x14ac:dyDescent="0.2">
      <c r="A476" s="41" t="s">
        <v>4341</v>
      </c>
      <c r="B476" s="274" t="s">
        <v>3521</v>
      </c>
      <c r="C476" s="255" t="s">
        <v>3073</v>
      </c>
      <c r="D476" s="255" t="s">
        <v>3072</v>
      </c>
      <c r="E476" s="255" t="s">
        <v>3403</v>
      </c>
      <c r="F476" s="255" t="s">
        <v>3385</v>
      </c>
      <c r="G476" s="255" t="s">
        <v>3386</v>
      </c>
      <c r="H476" s="255" t="s">
        <v>3387</v>
      </c>
    </row>
    <row r="477" spans="1:8" ht="15" customHeight="1" x14ac:dyDescent="0.2">
      <c r="A477" s="41" t="s">
        <v>4390</v>
      </c>
      <c r="B477" s="274" t="s">
        <v>3521</v>
      </c>
      <c r="C477" s="255" t="s">
        <v>2757</v>
      </c>
      <c r="D477" s="255" t="s">
        <v>3591</v>
      </c>
      <c r="E477" s="255" t="s">
        <v>3403</v>
      </c>
      <c r="F477" s="255" t="s">
        <v>3385</v>
      </c>
      <c r="G477" s="255" t="s">
        <v>3386</v>
      </c>
      <c r="H477" s="255" t="s">
        <v>3387</v>
      </c>
    </row>
    <row r="478" spans="1:8" ht="15" customHeight="1" x14ac:dyDescent="0.2">
      <c r="A478" s="41" t="s">
        <v>4219</v>
      </c>
      <c r="B478" s="274" t="s">
        <v>3521</v>
      </c>
      <c r="C478" s="255" t="s">
        <v>2918</v>
      </c>
      <c r="D478" s="255" t="s">
        <v>3530</v>
      </c>
      <c r="E478" s="255" t="s">
        <v>3403</v>
      </c>
      <c r="F478" s="255" t="s">
        <v>3385</v>
      </c>
      <c r="G478" s="255" t="s">
        <v>3386</v>
      </c>
      <c r="H478" s="255" t="s">
        <v>3387</v>
      </c>
    </row>
    <row r="479" spans="1:8" ht="15" customHeight="1" x14ac:dyDescent="0.2">
      <c r="A479" s="41" t="s">
        <v>4225</v>
      </c>
      <c r="B479" s="274" t="s">
        <v>3521</v>
      </c>
      <c r="C479" s="255" t="s">
        <v>2329</v>
      </c>
      <c r="D479" s="255" t="s">
        <v>2328</v>
      </c>
      <c r="E479" s="255" t="s">
        <v>3403</v>
      </c>
      <c r="F479" s="255" t="s">
        <v>3385</v>
      </c>
      <c r="G479" s="255" t="s">
        <v>3386</v>
      </c>
      <c r="H479" s="255" t="s">
        <v>3387</v>
      </c>
    </row>
    <row r="480" spans="1:8" ht="15" customHeight="1" x14ac:dyDescent="0.2">
      <c r="A480" s="41" t="s">
        <v>4178</v>
      </c>
      <c r="B480" s="274" t="s">
        <v>3521</v>
      </c>
      <c r="C480" s="255" t="s">
        <v>3024</v>
      </c>
      <c r="D480" s="255" t="s">
        <v>3023</v>
      </c>
      <c r="E480" s="255" t="s">
        <v>3403</v>
      </c>
      <c r="F480" s="255" t="s">
        <v>3385</v>
      </c>
      <c r="G480" s="255" t="s">
        <v>3386</v>
      </c>
      <c r="H480" s="255" t="s">
        <v>3387</v>
      </c>
    </row>
    <row r="481" spans="1:8" ht="15" customHeight="1" x14ac:dyDescent="0.2">
      <c r="A481" s="41" t="s">
        <v>4435</v>
      </c>
      <c r="B481" s="274" t="s">
        <v>3521</v>
      </c>
      <c r="C481" s="255" t="s">
        <v>3126</v>
      </c>
      <c r="D481" s="255" t="s">
        <v>3125</v>
      </c>
      <c r="E481" s="255" t="s">
        <v>3403</v>
      </c>
      <c r="F481" s="255" t="s">
        <v>3385</v>
      </c>
      <c r="G481" s="255" t="s">
        <v>3386</v>
      </c>
      <c r="H481" s="255" t="s">
        <v>3387</v>
      </c>
    </row>
    <row r="482" spans="1:8" ht="15" customHeight="1" x14ac:dyDescent="0.2">
      <c r="A482" s="41" t="s">
        <v>4177</v>
      </c>
      <c r="B482" s="274" t="s">
        <v>3521</v>
      </c>
      <c r="C482" s="255" t="s">
        <v>2315</v>
      </c>
      <c r="D482" s="255" t="s">
        <v>3524</v>
      </c>
      <c r="E482" s="255" t="s">
        <v>3403</v>
      </c>
      <c r="F482" s="255" t="s">
        <v>3385</v>
      </c>
      <c r="G482" s="255" t="s">
        <v>3386</v>
      </c>
      <c r="H482" s="255" t="s">
        <v>3387</v>
      </c>
    </row>
    <row r="483" spans="1:8" ht="15" customHeight="1" x14ac:dyDescent="0.2">
      <c r="A483" s="41" t="s">
        <v>4438</v>
      </c>
      <c r="B483" s="274" t="s">
        <v>3521</v>
      </c>
      <c r="C483" s="255" t="s">
        <v>3129</v>
      </c>
      <c r="D483" s="255" t="s">
        <v>3618</v>
      </c>
      <c r="E483" s="255" t="s">
        <v>3403</v>
      </c>
      <c r="F483" s="255" t="s">
        <v>3385</v>
      </c>
      <c r="G483" s="255" t="s">
        <v>3386</v>
      </c>
      <c r="H483" s="255" t="s">
        <v>3387</v>
      </c>
    </row>
    <row r="484" spans="1:8" ht="15" customHeight="1" x14ac:dyDescent="0.2">
      <c r="A484" s="41" t="s">
        <v>4409</v>
      </c>
      <c r="B484" s="274" t="s">
        <v>3521</v>
      </c>
      <c r="C484" s="255" t="s">
        <v>2766</v>
      </c>
      <c r="D484" s="255" t="s">
        <v>3600</v>
      </c>
      <c r="E484" s="255" t="s">
        <v>3403</v>
      </c>
      <c r="F484" s="255" t="s">
        <v>3385</v>
      </c>
      <c r="G484" s="255" t="s">
        <v>3386</v>
      </c>
      <c r="H484" s="255" t="s">
        <v>3387</v>
      </c>
    </row>
    <row r="485" spans="1:8" ht="15" customHeight="1" x14ac:dyDescent="0.2">
      <c r="A485" s="41" t="s">
        <v>4259</v>
      </c>
      <c r="B485" s="274" t="s">
        <v>3521</v>
      </c>
      <c r="C485" s="255" t="s">
        <v>2375</v>
      </c>
      <c r="D485" s="255" t="s">
        <v>2374</v>
      </c>
      <c r="E485" s="255" t="s">
        <v>3403</v>
      </c>
      <c r="F485" s="255" t="s">
        <v>3385</v>
      </c>
      <c r="G485" s="255" t="s">
        <v>3386</v>
      </c>
      <c r="H485" s="255" t="s">
        <v>3387</v>
      </c>
    </row>
    <row r="486" spans="1:8" ht="15" customHeight="1" x14ac:dyDescent="0.2">
      <c r="A486" s="41" t="s">
        <v>4231</v>
      </c>
      <c r="B486" s="274" t="s">
        <v>3521</v>
      </c>
      <c r="C486" s="255" t="s">
        <v>2502</v>
      </c>
      <c r="D486" s="255" t="s">
        <v>2501</v>
      </c>
      <c r="E486" s="255" t="s">
        <v>3403</v>
      </c>
      <c r="F486" s="255" t="s">
        <v>3385</v>
      </c>
      <c r="G486" s="255" t="s">
        <v>3386</v>
      </c>
      <c r="H486" s="255" t="s">
        <v>3387</v>
      </c>
    </row>
    <row r="487" spans="1:8" ht="15" customHeight="1" x14ac:dyDescent="0.2">
      <c r="A487" s="41" t="s">
        <v>4441</v>
      </c>
      <c r="B487" s="274" t="s">
        <v>3521</v>
      </c>
      <c r="C487" s="255" t="s">
        <v>3134</v>
      </c>
      <c r="D487" s="255" t="s">
        <v>3619</v>
      </c>
      <c r="E487" s="255" t="s">
        <v>3403</v>
      </c>
      <c r="F487" s="255" t="s">
        <v>3385</v>
      </c>
      <c r="G487" s="255" t="s">
        <v>3386</v>
      </c>
      <c r="H487" s="255" t="s">
        <v>3387</v>
      </c>
    </row>
    <row r="488" spans="1:8" ht="15" customHeight="1" x14ac:dyDescent="0.2">
      <c r="A488" s="41" t="s">
        <v>4397</v>
      </c>
      <c r="B488" s="274" t="s">
        <v>3521</v>
      </c>
      <c r="C488" s="255" t="s">
        <v>3103</v>
      </c>
      <c r="D488" s="255" t="s">
        <v>3595</v>
      </c>
      <c r="E488" s="255" t="s">
        <v>3403</v>
      </c>
      <c r="F488" s="255" t="s">
        <v>3385</v>
      </c>
      <c r="G488" s="255" t="s">
        <v>3386</v>
      </c>
      <c r="H488" s="255" t="s">
        <v>3387</v>
      </c>
    </row>
    <row r="489" spans="1:8" ht="15" customHeight="1" x14ac:dyDescent="0.2">
      <c r="A489" s="41" t="s">
        <v>4446</v>
      </c>
      <c r="B489" s="274" t="s">
        <v>3521</v>
      </c>
      <c r="C489" s="255" t="s">
        <v>3143</v>
      </c>
      <c r="D489" s="255" t="s">
        <v>3142</v>
      </c>
      <c r="E489" s="255" t="s">
        <v>3403</v>
      </c>
      <c r="F489" s="255" t="s">
        <v>3385</v>
      </c>
      <c r="G489" s="255" t="s">
        <v>3386</v>
      </c>
      <c r="H489" s="255" t="s">
        <v>3387</v>
      </c>
    </row>
    <row r="490" spans="1:8" ht="15" customHeight="1" x14ac:dyDescent="0.2">
      <c r="A490" s="41" t="s">
        <v>4223</v>
      </c>
      <c r="B490" s="274" t="s">
        <v>3521</v>
      </c>
      <c r="C490" s="255" t="s">
        <v>2500</v>
      </c>
      <c r="D490" s="255" t="s">
        <v>2499</v>
      </c>
      <c r="E490" s="255" t="s">
        <v>3403</v>
      </c>
      <c r="F490" s="255" t="s">
        <v>3385</v>
      </c>
      <c r="G490" s="255" t="s">
        <v>3386</v>
      </c>
      <c r="H490" s="255" t="s">
        <v>3387</v>
      </c>
    </row>
    <row r="491" spans="1:8" ht="15" customHeight="1" x14ac:dyDescent="0.2">
      <c r="A491" s="41" t="s">
        <v>4349</v>
      </c>
      <c r="B491" s="274" t="s">
        <v>3521</v>
      </c>
      <c r="C491" s="255" t="s">
        <v>2600</v>
      </c>
      <c r="D491" s="255" t="s">
        <v>2599</v>
      </c>
      <c r="E491" s="255" t="s">
        <v>3403</v>
      </c>
      <c r="F491" s="255" t="s">
        <v>3385</v>
      </c>
      <c r="G491" s="255" t="s">
        <v>3386</v>
      </c>
      <c r="H491" s="255" t="s">
        <v>3387</v>
      </c>
    </row>
    <row r="492" spans="1:8" ht="15" customHeight="1" x14ac:dyDescent="0.2">
      <c r="A492" s="41" t="s">
        <v>4369</v>
      </c>
      <c r="B492" s="274" t="s">
        <v>3521</v>
      </c>
      <c r="C492" s="255" t="s">
        <v>3094</v>
      </c>
      <c r="D492" s="255" t="s">
        <v>3093</v>
      </c>
      <c r="E492" s="255" t="s">
        <v>3403</v>
      </c>
      <c r="F492" s="255" t="s">
        <v>3385</v>
      </c>
      <c r="G492" s="255" t="s">
        <v>3386</v>
      </c>
      <c r="H492" s="255" t="s">
        <v>3387</v>
      </c>
    </row>
    <row r="493" spans="1:8" ht="15" customHeight="1" x14ac:dyDescent="0.2">
      <c r="A493" s="41" t="s">
        <v>4203</v>
      </c>
      <c r="B493" s="274" t="s">
        <v>3521</v>
      </c>
      <c r="C493" s="255" t="s">
        <v>2575</v>
      </c>
      <c r="D493" s="255" t="s">
        <v>3527</v>
      </c>
      <c r="E493" s="255" t="s">
        <v>3403</v>
      </c>
      <c r="F493" s="255" t="s">
        <v>3385</v>
      </c>
      <c r="G493" s="255" t="s">
        <v>3386</v>
      </c>
      <c r="H493" s="255" t="s">
        <v>3387</v>
      </c>
    </row>
    <row r="494" spans="1:8" ht="15" customHeight="1" x14ac:dyDescent="0.2">
      <c r="A494" s="41" t="s">
        <v>4260</v>
      </c>
      <c r="B494" s="274" t="s">
        <v>3521</v>
      </c>
      <c r="C494" s="255" t="s">
        <v>3038</v>
      </c>
      <c r="D494" s="255" t="s">
        <v>3037</v>
      </c>
      <c r="E494" s="255" t="s">
        <v>3403</v>
      </c>
      <c r="F494" s="255" t="s">
        <v>3385</v>
      </c>
      <c r="G494" s="255" t="s">
        <v>3386</v>
      </c>
      <c r="H494" s="255" t="s">
        <v>3387</v>
      </c>
    </row>
    <row r="495" spans="1:8" ht="15" customHeight="1" x14ac:dyDescent="0.2">
      <c r="A495" s="41" t="s">
        <v>4233</v>
      </c>
      <c r="B495" s="274" t="s">
        <v>3521</v>
      </c>
      <c r="C495" s="255" t="s">
        <v>3026</v>
      </c>
      <c r="D495" s="255" t="s">
        <v>3025</v>
      </c>
      <c r="E495" s="255" t="s">
        <v>3403</v>
      </c>
      <c r="F495" s="255" t="s">
        <v>3385</v>
      </c>
      <c r="G495" s="255" t="s">
        <v>3386</v>
      </c>
      <c r="H495" s="255" t="s">
        <v>3387</v>
      </c>
    </row>
    <row r="496" spans="1:8" ht="15" customHeight="1" x14ac:dyDescent="0.2">
      <c r="A496" s="41" t="s">
        <v>4447</v>
      </c>
      <c r="B496" s="274" t="s">
        <v>3521</v>
      </c>
      <c r="C496" s="255" t="s">
        <v>3145</v>
      </c>
      <c r="D496" s="255" t="s">
        <v>3144</v>
      </c>
      <c r="E496" s="255" t="s">
        <v>3403</v>
      </c>
      <c r="F496" s="255" t="s">
        <v>3385</v>
      </c>
      <c r="G496" s="255" t="s">
        <v>3386</v>
      </c>
      <c r="H496" s="255" t="s">
        <v>3387</v>
      </c>
    </row>
    <row r="497" spans="1:8" ht="15" customHeight="1" x14ac:dyDescent="0.2">
      <c r="A497" s="41" t="s">
        <v>4173</v>
      </c>
      <c r="B497" s="274" t="s">
        <v>3521</v>
      </c>
      <c r="C497" s="255" t="s">
        <v>3021</v>
      </c>
      <c r="D497" s="255" t="s">
        <v>3020</v>
      </c>
      <c r="E497" s="255" t="s">
        <v>3403</v>
      </c>
      <c r="F497" s="255" t="s">
        <v>3385</v>
      </c>
      <c r="G497" s="255" t="s">
        <v>3386</v>
      </c>
      <c r="H497" s="255" t="s">
        <v>3387</v>
      </c>
    </row>
    <row r="498" spans="1:8" ht="15" customHeight="1" x14ac:dyDescent="0.2">
      <c r="A498" s="41" t="s">
        <v>4230</v>
      </c>
      <c r="B498" s="274" t="s">
        <v>3521</v>
      </c>
      <c r="C498" s="255" t="s">
        <v>2587</v>
      </c>
      <c r="D498" s="255" t="s">
        <v>2586</v>
      </c>
      <c r="E498" s="255" t="s">
        <v>3403</v>
      </c>
      <c r="F498" s="255" t="s">
        <v>3385</v>
      </c>
      <c r="G498" s="255" t="s">
        <v>3386</v>
      </c>
      <c r="H498" s="255" t="s">
        <v>3387</v>
      </c>
    </row>
    <row r="499" spans="1:8" ht="15" customHeight="1" x14ac:dyDescent="0.2">
      <c r="A499" s="41" t="s">
        <v>4739</v>
      </c>
      <c r="B499" s="274" t="s">
        <v>3657</v>
      </c>
      <c r="C499" s="255" t="s">
        <v>3304</v>
      </c>
      <c r="D499" s="255" t="s">
        <v>3818</v>
      </c>
      <c r="E499" s="255" t="s">
        <v>3403</v>
      </c>
      <c r="F499" s="255" t="s">
        <v>3385</v>
      </c>
      <c r="G499" s="255" t="s">
        <v>3386</v>
      </c>
      <c r="H499" s="255" t="s">
        <v>3387</v>
      </c>
    </row>
    <row r="500" spans="1:8" ht="15" customHeight="1" x14ac:dyDescent="0.2">
      <c r="A500" s="41" t="s">
        <v>4721</v>
      </c>
      <c r="B500" s="274" t="s">
        <v>3657</v>
      </c>
      <c r="C500" s="255" t="s">
        <v>3279</v>
      </c>
      <c r="D500" s="255" t="s">
        <v>3808</v>
      </c>
      <c r="E500" s="255" t="s">
        <v>3403</v>
      </c>
      <c r="F500" s="255" t="s">
        <v>3385</v>
      </c>
      <c r="G500" s="255" t="s">
        <v>3386</v>
      </c>
      <c r="H500" s="255" t="s">
        <v>3387</v>
      </c>
    </row>
    <row r="501" spans="1:8" ht="15" customHeight="1" x14ac:dyDescent="0.2">
      <c r="A501" s="41" t="s">
        <v>4736</v>
      </c>
      <c r="B501" s="274" t="s">
        <v>3657</v>
      </c>
      <c r="C501" s="255" t="s">
        <v>3299</v>
      </c>
      <c r="D501" s="255" t="s">
        <v>3817</v>
      </c>
      <c r="E501" s="255" t="s">
        <v>3403</v>
      </c>
      <c r="F501" s="255" t="s">
        <v>3385</v>
      </c>
      <c r="G501" s="255" t="s">
        <v>3386</v>
      </c>
      <c r="H501" s="255" t="s">
        <v>3387</v>
      </c>
    </row>
    <row r="502" spans="1:8" ht="15" customHeight="1" x14ac:dyDescent="0.2">
      <c r="A502" s="41" t="s">
        <v>4174</v>
      </c>
      <c r="B502" s="274" t="s">
        <v>3521</v>
      </c>
      <c r="C502" s="255" t="s">
        <v>3022</v>
      </c>
      <c r="D502" s="255" t="s">
        <v>3522</v>
      </c>
      <c r="E502" s="255" t="s">
        <v>3403</v>
      </c>
      <c r="F502" s="255" t="s">
        <v>3385</v>
      </c>
      <c r="G502" s="255" t="s">
        <v>3386</v>
      </c>
      <c r="H502" s="255" t="s">
        <v>3387</v>
      </c>
    </row>
    <row r="503" spans="1:8" ht="15" customHeight="1" x14ac:dyDescent="0.2">
      <c r="A503" s="41" t="s">
        <v>4309</v>
      </c>
      <c r="B503" s="274" t="s">
        <v>3521</v>
      </c>
      <c r="C503" s="255" t="s">
        <v>2945</v>
      </c>
      <c r="D503" s="255" t="s">
        <v>3543</v>
      </c>
      <c r="E503" s="255" t="s">
        <v>3403</v>
      </c>
      <c r="F503" s="255" t="s">
        <v>3385</v>
      </c>
      <c r="G503" s="255" t="s">
        <v>3386</v>
      </c>
      <c r="H503" s="255" t="s">
        <v>3387</v>
      </c>
    </row>
    <row r="504" spans="1:8" ht="15" customHeight="1" x14ac:dyDescent="0.2">
      <c r="A504" s="41" t="s">
        <v>4302</v>
      </c>
      <c r="B504" s="274" t="s">
        <v>3521</v>
      </c>
      <c r="C504" s="255" t="s">
        <v>2427</v>
      </c>
      <c r="D504" s="255" t="s">
        <v>3539</v>
      </c>
      <c r="E504" s="255" t="s">
        <v>3403</v>
      </c>
      <c r="F504" s="255" t="s">
        <v>3385</v>
      </c>
      <c r="G504" s="255" t="s">
        <v>3386</v>
      </c>
      <c r="H504" s="255" t="s">
        <v>3387</v>
      </c>
    </row>
    <row r="505" spans="1:8" ht="15" customHeight="1" x14ac:dyDescent="0.2">
      <c r="A505" s="41" t="s">
        <v>4306</v>
      </c>
      <c r="B505" s="274" t="s">
        <v>3521</v>
      </c>
      <c r="C505" s="255" t="s">
        <v>2728</v>
      </c>
      <c r="D505" s="255" t="s">
        <v>3542</v>
      </c>
      <c r="E505" s="255" t="s">
        <v>3403</v>
      </c>
      <c r="F505" s="255" t="s">
        <v>3385</v>
      </c>
      <c r="G505" s="255" t="s">
        <v>3386</v>
      </c>
      <c r="H505" s="255" t="s">
        <v>3387</v>
      </c>
    </row>
    <row r="506" spans="1:8" ht="15" customHeight="1" x14ac:dyDescent="0.2">
      <c r="A506" s="41" t="s">
        <v>4300</v>
      </c>
      <c r="B506" s="274" t="s">
        <v>3521</v>
      </c>
      <c r="C506" s="255" t="s">
        <v>2334</v>
      </c>
      <c r="D506" s="255" t="s">
        <v>3538</v>
      </c>
      <c r="E506" s="255" t="s">
        <v>3403</v>
      </c>
      <c r="F506" s="255" t="s">
        <v>3385</v>
      </c>
      <c r="G506" s="255" t="s">
        <v>3386</v>
      </c>
      <c r="H506" s="255" t="s">
        <v>3387</v>
      </c>
    </row>
    <row r="507" spans="1:8" ht="15" customHeight="1" x14ac:dyDescent="0.2">
      <c r="A507" s="41" t="s">
        <v>4305</v>
      </c>
      <c r="B507" s="274" t="s">
        <v>3521</v>
      </c>
      <c r="C507" s="255" t="s">
        <v>2252</v>
      </c>
      <c r="D507" s="255" t="s">
        <v>3541</v>
      </c>
      <c r="E507" s="255" t="s">
        <v>3403</v>
      </c>
      <c r="F507" s="255" t="s">
        <v>3385</v>
      </c>
      <c r="G507" s="255" t="s">
        <v>3386</v>
      </c>
      <c r="H507" s="255" t="s">
        <v>3387</v>
      </c>
    </row>
    <row r="508" spans="1:8" ht="15" customHeight="1" x14ac:dyDescent="0.2">
      <c r="A508" s="41" t="s">
        <v>4304</v>
      </c>
      <c r="B508" s="274" t="s">
        <v>3521</v>
      </c>
      <c r="C508" s="255" t="s">
        <v>2944</v>
      </c>
      <c r="D508" s="255" t="s">
        <v>3540</v>
      </c>
      <c r="E508" s="255" t="s">
        <v>3403</v>
      </c>
      <c r="F508" s="255" t="s">
        <v>3385</v>
      </c>
      <c r="G508" s="255" t="s">
        <v>3386</v>
      </c>
      <c r="H508" s="255" t="s">
        <v>3387</v>
      </c>
    </row>
    <row r="509" spans="1:8" ht="15" customHeight="1" x14ac:dyDescent="0.2">
      <c r="A509" s="41" t="s">
        <v>4255</v>
      </c>
      <c r="B509" s="274" t="s">
        <v>3521</v>
      </c>
      <c r="C509" s="255" t="s">
        <v>2938</v>
      </c>
      <c r="D509" s="255" t="s">
        <v>3535</v>
      </c>
      <c r="E509" s="255" t="s">
        <v>3403</v>
      </c>
      <c r="F509" s="255" t="s">
        <v>3385</v>
      </c>
      <c r="G509" s="255" t="s">
        <v>3386</v>
      </c>
      <c r="H509" s="255" t="s">
        <v>3387</v>
      </c>
    </row>
    <row r="510" spans="1:8" ht="15" customHeight="1" x14ac:dyDescent="0.2">
      <c r="A510" s="41" t="s">
        <v>4346</v>
      </c>
      <c r="B510" s="274" t="s">
        <v>3521</v>
      </c>
      <c r="C510" s="255" t="s">
        <v>2598</v>
      </c>
      <c r="D510" s="255" t="s">
        <v>3565</v>
      </c>
      <c r="E510" s="255" t="s">
        <v>3403</v>
      </c>
      <c r="F510" s="255" t="s">
        <v>3385</v>
      </c>
      <c r="G510" s="255" t="s">
        <v>3386</v>
      </c>
      <c r="H510" s="255" t="s">
        <v>3387</v>
      </c>
    </row>
    <row r="511" spans="1:8" ht="15" customHeight="1" x14ac:dyDescent="0.2">
      <c r="A511" s="41" t="s">
        <v>4321</v>
      </c>
      <c r="B511" s="274" t="s">
        <v>3521</v>
      </c>
      <c r="C511" s="255" t="s">
        <v>2595</v>
      </c>
      <c r="D511" s="255" t="s">
        <v>3550</v>
      </c>
      <c r="E511" s="255" t="s">
        <v>3403</v>
      </c>
      <c r="F511" s="255" t="s">
        <v>3385</v>
      </c>
      <c r="G511" s="255" t="s">
        <v>3386</v>
      </c>
      <c r="H511" s="255" t="s">
        <v>3387</v>
      </c>
    </row>
    <row r="512" spans="1:8" ht="15" customHeight="1" x14ac:dyDescent="0.2">
      <c r="A512" s="41" t="s">
        <v>4338</v>
      </c>
      <c r="B512" s="274" t="s">
        <v>3521</v>
      </c>
      <c r="C512" s="255" t="s">
        <v>2734</v>
      </c>
      <c r="D512" s="255" t="s">
        <v>3562</v>
      </c>
      <c r="E512" s="255" t="s">
        <v>3403</v>
      </c>
      <c r="F512" s="255" t="s">
        <v>3385</v>
      </c>
      <c r="G512" s="255" t="s">
        <v>3386</v>
      </c>
      <c r="H512" s="255" t="s">
        <v>3387</v>
      </c>
    </row>
    <row r="513" spans="1:8" ht="15" customHeight="1" x14ac:dyDescent="0.2">
      <c r="A513" s="41" t="s">
        <v>4405</v>
      </c>
      <c r="B513" s="274" t="s">
        <v>3521</v>
      </c>
      <c r="C513" s="255" t="s">
        <v>3107</v>
      </c>
      <c r="D513" s="255" t="s">
        <v>3106</v>
      </c>
      <c r="E513" s="255" t="s">
        <v>3403</v>
      </c>
      <c r="F513" s="255" t="s">
        <v>3385</v>
      </c>
      <c r="G513" s="255" t="s">
        <v>3386</v>
      </c>
      <c r="H513" s="255" t="s">
        <v>3387</v>
      </c>
    </row>
    <row r="514" spans="1:8" ht="15" customHeight="1" x14ac:dyDescent="0.2">
      <c r="A514" s="41" t="s">
        <v>4333</v>
      </c>
      <c r="B514" s="274" t="s">
        <v>3521</v>
      </c>
      <c r="C514" s="255" t="s">
        <v>2429</v>
      </c>
      <c r="D514" s="255" t="s">
        <v>3561</v>
      </c>
      <c r="E514" s="255" t="s">
        <v>3403</v>
      </c>
      <c r="F514" s="255" t="s">
        <v>3385</v>
      </c>
      <c r="G514" s="255" t="s">
        <v>3386</v>
      </c>
      <c r="H514" s="255" t="s">
        <v>3387</v>
      </c>
    </row>
    <row r="515" spans="1:8" ht="15" customHeight="1" x14ac:dyDescent="0.2">
      <c r="A515" s="41" t="s">
        <v>4344</v>
      </c>
      <c r="B515" s="274" t="s">
        <v>3521</v>
      </c>
      <c r="C515" s="255" t="s">
        <v>2597</v>
      </c>
      <c r="D515" s="255" t="s">
        <v>3564</v>
      </c>
      <c r="E515" s="255" t="s">
        <v>3403</v>
      </c>
      <c r="F515" s="255" t="s">
        <v>3385</v>
      </c>
      <c r="G515" s="255" t="s">
        <v>3386</v>
      </c>
      <c r="H515" s="255" t="s">
        <v>3387</v>
      </c>
    </row>
    <row r="516" spans="1:8" ht="15" customHeight="1" x14ac:dyDescent="0.2">
      <c r="A516" s="41" t="s">
        <v>4406</v>
      </c>
      <c r="B516" s="274" t="s">
        <v>3521</v>
      </c>
      <c r="C516" s="255" t="s">
        <v>2613</v>
      </c>
      <c r="D516" s="255" t="s">
        <v>3598</v>
      </c>
      <c r="E516" s="255" t="s">
        <v>3403</v>
      </c>
      <c r="F516" s="255" t="s">
        <v>3385</v>
      </c>
      <c r="G516" s="255" t="s">
        <v>3386</v>
      </c>
      <c r="H516" s="255" t="s">
        <v>3387</v>
      </c>
    </row>
    <row r="517" spans="1:8" ht="15" customHeight="1" x14ac:dyDescent="0.2">
      <c r="A517" s="41" t="s">
        <v>4432</v>
      </c>
      <c r="B517" s="274" t="s">
        <v>3521</v>
      </c>
      <c r="C517" s="255" t="s">
        <v>2778</v>
      </c>
      <c r="D517" s="255" t="s">
        <v>2777</v>
      </c>
      <c r="E517" s="255" t="s">
        <v>3403</v>
      </c>
      <c r="F517" s="255" t="s">
        <v>3385</v>
      </c>
      <c r="G517" s="255" t="s">
        <v>3386</v>
      </c>
      <c r="H517" s="255" t="s">
        <v>3387</v>
      </c>
    </row>
    <row r="518" spans="1:8" ht="15" customHeight="1" x14ac:dyDescent="0.2">
      <c r="A518" s="41" t="s">
        <v>4395</v>
      </c>
      <c r="B518" s="274" t="s">
        <v>3521</v>
      </c>
      <c r="C518" s="255" t="s">
        <v>2761</v>
      </c>
      <c r="D518" s="255" t="s">
        <v>3594</v>
      </c>
      <c r="E518" s="255" t="s">
        <v>3403</v>
      </c>
      <c r="F518" s="255" t="s">
        <v>3385</v>
      </c>
      <c r="G518" s="255" t="s">
        <v>3386</v>
      </c>
      <c r="H518" s="255" t="s">
        <v>3387</v>
      </c>
    </row>
    <row r="519" spans="1:8" ht="15" customHeight="1" x14ac:dyDescent="0.2">
      <c r="A519" s="41" t="s">
        <v>4415</v>
      </c>
      <c r="B519" s="274" t="s">
        <v>3521</v>
      </c>
      <c r="C519" s="255" t="s">
        <v>2768</v>
      </c>
      <c r="D519" s="255" t="s">
        <v>3604</v>
      </c>
      <c r="E519" s="255" t="s">
        <v>3403</v>
      </c>
      <c r="F519" s="255" t="s">
        <v>3385</v>
      </c>
      <c r="G519" s="255" t="s">
        <v>3386</v>
      </c>
      <c r="H519" s="255" t="s">
        <v>3387</v>
      </c>
    </row>
    <row r="520" spans="1:8" ht="15" customHeight="1" x14ac:dyDescent="0.2">
      <c r="A520" s="41" t="s">
        <v>4431</v>
      </c>
      <c r="B520" s="274" t="s">
        <v>3521</v>
      </c>
      <c r="C520" s="255" t="s">
        <v>3124</v>
      </c>
      <c r="D520" s="255" t="s">
        <v>3123</v>
      </c>
      <c r="E520" s="255" t="s">
        <v>3403</v>
      </c>
      <c r="F520" s="255" t="s">
        <v>3385</v>
      </c>
      <c r="G520" s="255" t="s">
        <v>3386</v>
      </c>
      <c r="H520" s="255" t="s">
        <v>3387</v>
      </c>
    </row>
    <row r="521" spans="1:8" ht="15" customHeight="1" x14ac:dyDescent="0.2">
      <c r="A521" s="41" t="s">
        <v>4384</v>
      </c>
      <c r="B521" s="274" t="s">
        <v>3521</v>
      </c>
      <c r="C521" s="255" t="s">
        <v>2751</v>
      </c>
      <c r="D521" s="255" t="s">
        <v>3586</v>
      </c>
      <c r="E521" s="255" t="s">
        <v>3403</v>
      </c>
      <c r="F521" s="255" t="s">
        <v>3385</v>
      </c>
      <c r="G521" s="255" t="s">
        <v>3386</v>
      </c>
      <c r="H521" s="255" t="s">
        <v>3387</v>
      </c>
    </row>
    <row r="522" spans="1:8" ht="15" customHeight="1" x14ac:dyDescent="0.2">
      <c r="A522" s="41" t="s">
        <v>4430</v>
      </c>
      <c r="B522" s="274" t="s">
        <v>3521</v>
      </c>
      <c r="C522" s="255" t="s">
        <v>3122</v>
      </c>
      <c r="D522" s="255" t="s">
        <v>3121</v>
      </c>
      <c r="E522" s="255" t="s">
        <v>3403</v>
      </c>
      <c r="F522" s="255" t="s">
        <v>3385</v>
      </c>
      <c r="G522" s="255" t="s">
        <v>3386</v>
      </c>
      <c r="H522" s="255" t="s">
        <v>3387</v>
      </c>
    </row>
    <row r="523" spans="1:8" ht="15" customHeight="1" x14ac:dyDescent="0.2">
      <c r="A523" s="41" t="s">
        <v>4340</v>
      </c>
      <c r="B523" s="274" t="s">
        <v>3521</v>
      </c>
      <c r="C523" s="255" t="s">
        <v>2948</v>
      </c>
      <c r="D523" s="255" t="s">
        <v>3563</v>
      </c>
      <c r="E523" s="255" t="s">
        <v>3403</v>
      </c>
      <c r="F523" s="255" t="s">
        <v>3385</v>
      </c>
      <c r="G523" s="255" t="s">
        <v>3386</v>
      </c>
      <c r="H523" s="255" t="s">
        <v>3387</v>
      </c>
    </row>
    <row r="524" spans="1:8" ht="15" customHeight="1" x14ac:dyDescent="0.2">
      <c r="A524" s="41" t="s">
        <v>4324</v>
      </c>
      <c r="B524" s="274" t="s">
        <v>3521</v>
      </c>
      <c r="C524" s="255" t="s">
        <v>2285</v>
      </c>
      <c r="D524" s="255" t="s">
        <v>3553</v>
      </c>
      <c r="E524" s="255" t="s">
        <v>3403</v>
      </c>
      <c r="F524" s="255" t="s">
        <v>3385</v>
      </c>
      <c r="G524" s="255" t="s">
        <v>3386</v>
      </c>
      <c r="H524" s="255" t="s">
        <v>3387</v>
      </c>
    </row>
    <row r="525" spans="1:8" ht="15" customHeight="1" x14ac:dyDescent="0.2">
      <c r="A525" s="41" t="s">
        <v>4296</v>
      </c>
      <c r="B525" s="274" t="s">
        <v>3521</v>
      </c>
      <c r="C525" s="255" t="s">
        <v>2509</v>
      </c>
      <c r="D525" s="255" t="s">
        <v>3536</v>
      </c>
      <c r="E525" s="255" t="s">
        <v>3403</v>
      </c>
      <c r="F525" s="255" t="s">
        <v>3385</v>
      </c>
      <c r="G525" s="255" t="s">
        <v>3386</v>
      </c>
      <c r="H525" s="255" t="s">
        <v>3387</v>
      </c>
    </row>
    <row r="526" spans="1:8" ht="15" customHeight="1" x14ac:dyDescent="0.2">
      <c r="A526" s="41" t="s">
        <v>4248</v>
      </c>
      <c r="B526" s="274" t="s">
        <v>3521</v>
      </c>
      <c r="C526" s="255" t="s">
        <v>3034</v>
      </c>
      <c r="D526" s="255" t="s">
        <v>3033</v>
      </c>
      <c r="E526" s="255" t="s">
        <v>3403</v>
      </c>
      <c r="F526" s="255" t="s">
        <v>3385</v>
      </c>
      <c r="G526" s="255" t="s">
        <v>3386</v>
      </c>
      <c r="H526" s="255" t="s">
        <v>3387</v>
      </c>
    </row>
    <row r="527" spans="1:8" ht="15" customHeight="1" x14ac:dyDescent="0.2">
      <c r="A527" s="41" t="s">
        <v>4317</v>
      </c>
      <c r="B527" s="274" t="s">
        <v>3521</v>
      </c>
      <c r="C527" s="255" t="s">
        <v>2946</v>
      </c>
      <c r="D527" s="255" t="s">
        <v>3547</v>
      </c>
      <c r="E527" s="255" t="s">
        <v>3403</v>
      </c>
      <c r="F527" s="255" t="s">
        <v>3385</v>
      </c>
      <c r="G527" s="255" t="s">
        <v>3386</v>
      </c>
      <c r="H527" s="255" t="s">
        <v>3387</v>
      </c>
    </row>
    <row r="528" spans="1:8" ht="15" customHeight="1" x14ac:dyDescent="0.2">
      <c r="A528" s="41" t="s">
        <v>4379</v>
      </c>
      <c r="B528" s="274" t="s">
        <v>3521</v>
      </c>
      <c r="C528" s="255" t="s">
        <v>2747</v>
      </c>
      <c r="D528" s="255" t="s">
        <v>2746</v>
      </c>
      <c r="E528" s="255" t="s">
        <v>3403</v>
      </c>
      <c r="F528" s="255" t="s">
        <v>3385</v>
      </c>
      <c r="G528" s="255" t="s">
        <v>3386</v>
      </c>
      <c r="H528" s="255" t="s">
        <v>3387</v>
      </c>
    </row>
    <row r="529" spans="1:8" ht="15" customHeight="1" x14ac:dyDescent="0.2">
      <c r="A529" s="41" t="s">
        <v>4394</v>
      </c>
      <c r="B529" s="274" t="s">
        <v>3521</v>
      </c>
      <c r="C529" s="255" t="s">
        <v>2760</v>
      </c>
      <c r="D529" s="255" t="s">
        <v>2759</v>
      </c>
      <c r="E529" s="255" t="s">
        <v>3403</v>
      </c>
      <c r="F529" s="255" t="s">
        <v>3385</v>
      </c>
      <c r="G529" s="255" t="s">
        <v>3386</v>
      </c>
      <c r="H529" s="255" t="s">
        <v>3387</v>
      </c>
    </row>
    <row r="530" spans="1:8" ht="15" customHeight="1" x14ac:dyDescent="0.2">
      <c r="A530" s="41" t="s">
        <v>4410</v>
      </c>
      <c r="B530" s="274" t="s">
        <v>3521</v>
      </c>
      <c r="C530" s="255" t="s">
        <v>2767</v>
      </c>
      <c r="D530" s="255" t="s">
        <v>3601</v>
      </c>
      <c r="E530" s="255" t="s">
        <v>3403</v>
      </c>
      <c r="F530" s="255" t="s">
        <v>3385</v>
      </c>
      <c r="G530" s="255" t="s">
        <v>3386</v>
      </c>
      <c r="H530" s="255" t="s">
        <v>3387</v>
      </c>
    </row>
    <row r="531" spans="1:8" ht="15" customHeight="1" x14ac:dyDescent="0.2">
      <c r="A531" s="41" t="s">
        <v>4404</v>
      </c>
      <c r="B531" s="274" t="s">
        <v>3521</v>
      </c>
      <c r="C531" s="255" t="s">
        <v>2520</v>
      </c>
      <c r="D531" s="255" t="s">
        <v>3597</v>
      </c>
      <c r="E531" s="255" t="s">
        <v>3403</v>
      </c>
      <c r="F531" s="255" t="s">
        <v>3385</v>
      </c>
      <c r="G531" s="255" t="s">
        <v>3386</v>
      </c>
      <c r="H531" s="255" t="s">
        <v>3387</v>
      </c>
    </row>
    <row r="532" spans="1:8" ht="15" customHeight="1" x14ac:dyDescent="0.2">
      <c r="A532" s="41" t="s">
        <v>4348</v>
      </c>
      <c r="B532" s="274" t="s">
        <v>3521</v>
      </c>
      <c r="C532" s="255" t="s">
        <v>2512</v>
      </c>
      <c r="D532" s="255" t="s">
        <v>3567</v>
      </c>
      <c r="E532" s="255" t="s">
        <v>3403</v>
      </c>
      <c r="F532" s="255" t="s">
        <v>3385</v>
      </c>
      <c r="G532" s="255" t="s">
        <v>3386</v>
      </c>
      <c r="H532" s="255" t="s">
        <v>3387</v>
      </c>
    </row>
    <row r="533" spans="1:8" ht="15" customHeight="1" x14ac:dyDescent="0.2">
      <c r="A533" s="41" t="s">
        <v>4330</v>
      </c>
      <c r="B533" s="274" t="s">
        <v>3521</v>
      </c>
      <c r="C533" s="255" t="s">
        <v>2511</v>
      </c>
      <c r="D533" s="255" t="s">
        <v>3558</v>
      </c>
      <c r="E533" s="255" t="s">
        <v>3403</v>
      </c>
      <c r="F533" s="255" t="s">
        <v>3385</v>
      </c>
      <c r="G533" s="255" t="s">
        <v>3386</v>
      </c>
      <c r="H533" s="255" t="s">
        <v>3387</v>
      </c>
    </row>
    <row r="534" spans="1:8" ht="15" customHeight="1" x14ac:dyDescent="0.2">
      <c r="A534" s="41" t="s">
        <v>4326</v>
      </c>
      <c r="B534" s="274" t="s">
        <v>3521</v>
      </c>
      <c r="C534" s="255" t="s">
        <v>2510</v>
      </c>
      <c r="D534" s="255" t="s">
        <v>3555</v>
      </c>
      <c r="E534" s="255" t="s">
        <v>3403</v>
      </c>
      <c r="F534" s="255" t="s">
        <v>3385</v>
      </c>
      <c r="G534" s="255" t="s">
        <v>3386</v>
      </c>
      <c r="H534" s="255" t="s">
        <v>3387</v>
      </c>
    </row>
    <row r="535" spans="1:8" ht="15" customHeight="1" x14ac:dyDescent="0.2">
      <c r="A535" s="41" t="s">
        <v>4347</v>
      </c>
      <c r="B535" s="274" t="s">
        <v>3521</v>
      </c>
      <c r="C535" s="255" t="s">
        <v>3080</v>
      </c>
      <c r="D535" s="255" t="s">
        <v>3566</v>
      </c>
      <c r="E535" s="255" t="s">
        <v>3403</v>
      </c>
      <c r="F535" s="255" t="s">
        <v>3385</v>
      </c>
      <c r="G535" s="255" t="s">
        <v>3386</v>
      </c>
      <c r="H535" s="255" t="s">
        <v>3387</v>
      </c>
    </row>
    <row r="536" spans="1:8" ht="15" customHeight="1" x14ac:dyDescent="0.2">
      <c r="A536" s="41" t="s">
        <v>4354</v>
      </c>
      <c r="B536" s="274" t="s">
        <v>3521</v>
      </c>
      <c r="C536" s="255" t="s">
        <v>2735</v>
      </c>
      <c r="D536" s="255" t="s">
        <v>3570</v>
      </c>
      <c r="E536" s="255" t="s">
        <v>3403</v>
      </c>
      <c r="F536" s="255" t="s">
        <v>3385</v>
      </c>
      <c r="G536" s="255" t="s">
        <v>3386</v>
      </c>
      <c r="H536" s="255" t="s">
        <v>3387</v>
      </c>
    </row>
    <row r="537" spans="1:8" ht="15" customHeight="1" x14ac:dyDescent="0.2">
      <c r="A537" s="41" t="s">
        <v>4357</v>
      </c>
      <c r="B537" s="274" t="s">
        <v>3521</v>
      </c>
      <c r="C537" s="255" t="s">
        <v>3085</v>
      </c>
      <c r="D537" s="255" t="s">
        <v>3572</v>
      </c>
      <c r="E537" s="255" t="s">
        <v>3403</v>
      </c>
      <c r="F537" s="255" t="s">
        <v>3385</v>
      </c>
      <c r="G537" s="255" t="s">
        <v>3386</v>
      </c>
      <c r="H537" s="255" t="s">
        <v>3387</v>
      </c>
    </row>
    <row r="538" spans="1:8" ht="15" customHeight="1" x14ac:dyDescent="0.2">
      <c r="A538" s="41" t="s">
        <v>4448</v>
      </c>
      <c r="B538" s="274" t="s">
        <v>3521</v>
      </c>
      <c r="C538" s="255" t="s">
        <v>3146</v>
      </c>
      <c r="D538" s="255" t="s">
        <v>3621</v>
      </c>
      <c r="E538" s="255" t="s">
        <v>3403</v>
      </c>
      <c r="F538" s="255" t="s">
        <v>3385</v>
      </c>
      <c r="G538" s="255" t="s">
        <v>3386</v>
      </c>
      <c r="H538" s="255" t="s">
        <v>3387</v>
      </c>
    </row>
    <row r="539" spans="1:8" ht="15" customHeight="1" x14ac:dyDescent="0.2">
      <c r="A539" s="41" t="s">
        <v>4323</v>
      </c>
      <c r="B539" s="274" t="s">
        <v>3521</v>
      </c>
      <c r="C539" s="255" t="s">
        <v>2733</v>
      </c>
      <c r="D539" s="255" t="s">
        <v>3552</v>
      </c>
      <c r="E539" s="255" t="s">
        <v>3403</v>
      </c>
      <c r="F539" s="255" t="s">
        <v>3385</v>
      </c>
      <c r="G539" s="255" t="s">
        <v>3386</v>
      </c>
      <c r="H539" s="255" t="s">
        <v>3387</v>
      </c>
    </row>
    <row r="540" spans="1:8" ht="15" customHeight="1" x14ac:dyDescent="0.2">
      <c r="A540" s="41" t="s">
        <v>4367</v>
      </c>
      <c r="B540" s="274" t="s">
        <v>3521</v>
      </c>
      <c r="C540" s="255" t="s">
        <v>2742</v>
      </c>
      <c r="D540" s="255" t="s">
        <v>2741</v>
      </c>
      <c r="E540" s="255" t="s">
        <v>3403</v>
      </c>
      <c r="F540" s="255" t="s">
        <v>3385</v>
      </c>
      <c r="G540" s="255" t="s">
        <v>3386</v>
      </c>
      <c r="H540" s="255" t="s">
        <v>3387</v>
      </c>
    </row>
    <row r="541" spans="1:8" ht="15" customHeight="1" x14ac:dyDescent="0.2">
      <c r="A541" s="41" t="s">
        <v>4420</v>
      </c>
      <c r="B541" s="274" t="s">
        <v>3521</v>
      </c>
      <c r="C541" s="255" t="s">
        <v>3117</v>
      </c>
      <c r="D541" s="255" t="s">
        <v>3608</v>
      </c>
      <c r="E541" s="255" t="s">
        <v>3403</v>
      </c>
      <c r="F541" s="255" t="s">
        <v>3385</v>
      </c>
      <c r="G541" s="255" t="s">
        <v>3386</v>
      </c>
      <c r="H541" s="255" t="s">
        <v>3387</v>
      </c>
    </row>
    <row r="542" spans="1:8" ht="15" customHeight="1" x14ac:dyDescent="0.2">
      <c r="A542" s="41" t="s">
        <v>4416</v>
      </c>
      <c r="B542" s="274" t="s">
        <v>3521</v>
      </c>
      <c r="C542" s="255" t="s">
        <v>2615</v>
      </c>
      <c r="D542" s="255" t="s">
        <v>3605</v>
      </c>
      <c r="E542" s="255" t="s">
        <v>3403</v>
      </c>
      <c r="F542" s="255" t="s">
        <v>3385</v>
      </c>
      <c r="G542" s="255" t="s">
        <v>3386</v>
      </c>
      <c r="H542" s="255" t="s">
        <v>3387</v>
      </c>
    </row>
    <row r="543" spans="1:8" ht="15" customHeight="1" x14ac:dyDescent="0.2">
      <c r="A543" s="41" t="s">
        <v>4332</v>
      </c>
      <c r="B543" s="274" t="s">
        <v>3521</v>
      </c>
      <c r="C543" s="255" t="s">
        <v>2428</v>
      </c>
      <c r="D543" s="255" t="s">
        <v>3560</v>
      </c>
      <c r="E543" s="255" t="s">
        <v>3403</v>
      </c>
      <c r="F543" s="255" t="s">
        <v>3385</v>
      </c>
      <c r="G543" s="255" t="s">
        <v>3386</v>
      </c>
      <c r="H543" s="255" t="s">
        <v>3387</v>
      </c>
    </row>
    <row r="544" spans="1:8" ht="15" customHeight="1" x14ac:dyDescent="0.2">
      <c r="A544" s="41" t="s">
        <v>4365</v>
      </c>
      <c r="B544" s="274" t="s">
        <v>3521</v>
      </c>
      <c r="C544" s="255" t="s">
        <v>2513</v>
      </c>
      <c r="D544" s="255" t="s">
        <v>3574</v>
      </c>
      <c r="E544" s="255" t="s">
        <v>3403</v>
      </c>
      <c r="F544" s="255" t="s">
        <v>3385</v>
      </c>
      <c r="G544" s="255" t="s">
        <v>3386</v>
      </c>
      <c r="H544" s="255" t="s">
        <v>3387</v>
      </c>
    </row>
    <row r="545" spans="1:8" ht="15" customHeight="1" x14ac:dyDescent="0.2">
      <c r="A545" s="41" t="s">
        <v>4366</v>
      </c>
      <c r="B545" s="274" t="s">
        <v>3521</v>
      </c>
      <c r="C545" s="255" t="s">
        <v>2434</v>
      </c>
      <c r="D545" s="255" t="s">
        <v>3575</v>
      </c>
      <c r="E545" s="255" t="s">
        <v>3403</v>
      </c>
      <c r="F545" s="255" t="s">
        <v>3385</v>
      </c>
      <c r="G545" s="255" t="s">
        <v>3386</v>
      </c>
      <c r="H545" s="255" t="s">
        <v>3387</v>
      </c>
    </row>
    <row r="546" spans="1:8" ht="15" customHeight="1" x14ac:dyDescent="0.2">
      <c r="A546" s="41" t="s">
        <v>4375</v>
      </c>
      <c r="B546" s="274" t="s">
        <v>3521</v>
      </c>
      <c r="C546" s="255" t="s">
        <v>2514</v>
      </c>
      <c r="D546" s="255" t="s">
        <v>3581</v>
      </c>
      <c r="E546" s="255" t="s">
        <v>3403</v>
      </c>
      <c r="F546" s="255" t="s">
        <v>3385</v>
      </c>
      <c r="G546" s="255" t="s">
        <v>3386</v>
      </c>
      <c r="H546" s="255" t="s">
        <v>3387</v>
      </c>
    </row>
    <row r="547" spans="1:8" ht="15" customHeight="1" x14ac:dyDescent="0.2">
      <c r="A547" s="41" t="s">
        <v>4298</v>
      </c>
      <c r="B547" s="274" t="s">
        <v>3521</v>
      </c>
      <c r="C547" s="255" t="s">
        <v>2943</v>
      </c>
      <c r="D547" s="255" t="s">
        <v>3537</v>
      </c>
      <c r="E547" s="255" t="s">
        <v>3403</v>
      </c>
      <c r="F547" s="255" t="s">
        <v>3385</v>
      </c>
      <c r="G547" s="255" t="s">
        <v>3386</v>
      </c>
      <c r="H547" s="255" t="s">
        <v>3387</v>
      </c>
    </row>
    <row r="548" spans="1:8" ht="15" customHeight="1" x14ac:dyDescent="0.2">
      <c r="A548" s="41" t="s">
        <v>4234</v>
      </c>
      <c r="B548" s="274" t="s">
        <v>3521</v>
      </c>
      <c r="C548" s="255" t="s">
        <v>2414</v>
      </c>
      <c r="D548" s="255" t="s">
        <v>3533</v>
      </c>
      <c r="E548" s="255" t="s">
        <v>3403</v>
      </c>
      <c r="F548" s="255" t="s">
        <v>3385</v>
      </c>
      <c r="G548" s="255" t="s">
        <v>3386</v>
      </c>
      <c r="H548" s="255" t="s">
        <v>3387</v>
      </c>
    </row>
    <row r="549" spans="1:8" ht="15" customHeight="1" x14ac:dyDescent="0.2">
      <c r="A549" s="41" t="s">
        <v>4408</v>
      </c>
      <c r="B549" s="274" t="s">
        <v>3521</v>
      </c>
      <c r="C549" s="255" t="s">
        <v>2765</v>
      </c>
      <c r="D549" s="255" t="s">
        <v>2764</v>
      </c>
      <c r="E549" s="255" t="s">
        <v>3403</v>
      </c>
      <c r="F549" s="255" t="s">
        <v>3385</v>
      </c>
      <c r="G549" s="255" t="s">
        <v>3386</v>
      </c>
      <c r="H549" s="255" t="s">
        <v>3387</v>
      </c>
    </row>
    <row r="550" spans="1:8" ht="15" customHeight="1" x14ac:dyDescent="0.2">
      <c r="A550" s="41" t="s">
        <v>4355</v>
      </c>
      <c r="B550" s="274" t="s">
        <v>3521</v>
      </c>
      <c r="C550" s="255" t="s">
        <v>2736</v>
      </c>
      <c r="D550" s="255" t="s">
        <v>3571</v>
      </c>
      <c r="E550" s="255" t="s">
        <v>3403</v>
      </c>
      <c r="F550" s="255" t="s">
        <v>3385</v>
      </c>
      <c r="G550" s="255" t="s">
        <v>3386</v>
      </c>
      <c r="H550" s="255" t="s">
        <v>3387</v>
      </c>
    </row>
    <row r="551" spans="1:8" ht="15" customHeight="1" x14ac:dyDescent="0.2">
      <c r="A551" s="41" t="s">
        <v>4314</v>
      </c>
      <c r="B551" s="274" t="s">
        <v>3521</v>
      </c>
      <c r="C551" s="255" t="s">
        <v>2729</v>
      </c>
      <c r="D551" s="255" t="s">
        <v>3544</v>
      </c>
      <c r="E551" s="255" t="s">
        <v>3403</v>
      </c>
      <c r="F551" s="255" t="s">
        <v>3385</v>
      </c>
      <c r="G551" s="255" t="s">
        <v>3386</v>
      </c>
      <c r="H551" s="255" t="s">
        <v>3387</v>
      </c>
    </row>
    <row r="552" spans="1:8" ht="15" customHeight="1" x14ac:dyDescent="0.2">
      <c r="A552" s="41" t="s">
        <v>4322</v>
      </c>
      <c r="B552" s="274" t="s">
        <v>3521</v>
      </c>
      <c r="C552" s="255" t="s">
        <v>2732</v>
      </c>
      <c r="D552" s="255" t="s">
        <v>3551</v>
      </c>
      <c r="E552" s="255" t="s">
        <v>3403</v>
      </c>
      <c r="F552" s="255" t="s">
        <v>3385</v>
      </c>
      <c r="G552" s="255" t="s">
        <v>3386</v>
      </c>
      <c r="H552" s="255" t="s">
        <v>3387</v>
      </c>
    </row>
    <row r="553" spans="1:8" ht="15" customHeight="1" x14ac:dyDescent="0.2">
      <c r="A553" s="41" t="s">
        <v>4247</v>
      </c>
      <c r="B553" s="274" t="s">
        <v>3521</v>
      </c>
      <c r="C553" s="255" t="s">
        <v>3032</v>
      </c>
      <c r="D553" s="255" t="s">
        <v>3031</v>
      </c>
      <c r="E553" s="255" t="s">
        <v>3403</v>
      </c>
      <c r="F553" s="255" t="s">
        <v>3385</v>
      </c>
      <c r="G553" s="255" t="s">
        <v>3386</v>
      </c>
      <c r="H553" s="255" t="s">
        <v>3387</v>
      </c>
    </row>
    <row r="554" spans="1:8" ht="15" customHeight="1" x14ac:dyDescent="0.2">
      <c r="A554" s="41" t="s">
        <v>4429</v>
      </c>
      <c r="B554" s="274" t="s">
        <v>3521</v>
      </c>
      <c r="C554" s="255" t="s">
        <v>2776</v>
      </c>
      <c r="D554" s="255" t="s">
        <v>3616</v>
      </c>
      <c r="E554" s="255" t="s">
        <v>3403</v>
      </c>
      <c r="F554" s="255" t="s">
        <v>3385</v>
      </c>
      <c r="G554" s="255" t="s">
        <v>3386</v>
      </c>
      <c r="H554" s="255" t="s">
        <v>3387</v>
      </c>
    </row>
    <row r="555" spans="1:8" ht="15" customHeight="1" x14ac:dyDescent="0.2">
      <c r="A555" s="41" t="s">
        <v>4407</v>
      </c>
      <c r="B555" s="274" t="s">
        <v>3521</v>
      </c>
      <c r="C555" s="255" t="s">
        <v>2614</v>
      </c>
      <c r="D555" s="255" t="s">
        <v>3599</v>
      </c>
      <c r="E555" s="255" t="s">
        <v>3403</v>
      </c>
      <c r="F555" s="255" t="s">
        <v>3385</v>
      </c>
      <c r="G555" s="255" t="s">
        <v>3386</v>
      </c>
      <c r="H555" s="255" t="s">
        <v>3387</v>
      </c>
    </row>
    <row r="556" spans="1:8" ht="15" customHeight="1" x14ac:dyDescent="0.2">
      <c r="A556" s="41" t="s">
        <v>4452</v>
      </c>
      <c r="B556" s="274" t="s">
        <v>3521</v>
      </c>
      <c r="C556" s="255" t="s">
        <v>3154</v>
      </c>
      <c r="D556" s="255" t="s">
        <v>3153</v>
      </c>
      <c r="E556" s="255" t="s">
        <v>3403</v>
      </c>
      <c r="F556" s="255" t="s">
        <v>3385</v>
      </c>
      <c r="G556" s="255" t="s">
        <v>3386</v>
      </c>
      <c r="H556" s="255" t="s">
        <v>3387</v>
      </c>
    </row>
    <row r="557" spans="1:8" ht="15" customHeight="1" x14ac:dyDescent="0.2">
      <c r="A557" s="41" t="s">
        <v>4380</v>
      </c>
      <c r="B557" s="274" t="s">
        <v>3521</v>
      </c>
      <c r="C557" s="255" t="s">
        <v>2748</v>
      </c>
      <c r="D557" s="255" t="s">
        <v>3584</v>
      </c>
      <c r="E557" s="255" t="s">
        <v>3403</v>
      </c>
      <c r="F557" s="255" t="s">
        <v>3385</v>
      </c>
      <c r="G557" s="255" t="s">
        <v>3386</v>
      </c>
      <c r="H557" s="255" t="s">
        <v>3387</v>
      </c>
    </row>
    <row r="558" spans="1:8" ht="15" customHeight="1" x14ac:dyDescent="0.2">
      <c r="A558" s="41" t="s">
        <v>4388</v>
      </c>
      <c r="B558" s="274" t="s">
        <v>3521</v>
      </c>
      <c r="C558" s="255" t="s">
        <v>2755</v>
      </c>
      <c r="D558" s="255" t="s">
        <v>3589</v>
      </c>
      <c r="E558" s="255" t="s">
        <v>3403</v>
      </c>
      <c r="F558" s="255" t="s">
        <v>3385</v>
      </c>
      <c r="G558" s="255" t="s">
        <v>3386</v>
      </c>
      <c r="H558" s="255" t="s">
        <v>3387</v>
      </c>
    </row>
    <row r="559" spans="1:8" ht="15" customHeight="1" x14ac:dyDescent="0.2">
      <c r="A559" s="41" t="s">
        <v>4419</v>
      </c>
      <c r="B559" s="274" t="s">
        <v>3521</v>
      </c>
      <c r="C559" s="255" t="s">
        <v>3116</v>
      </c>
      <c r="D559" s="255" t="s">
        <v>3607</v>
      </c>
      <c r="E559" s="255" t="s">
        <v>3403</v>
      </c>
      <c r="F559" s="255" t="s">
        <v>3385</v>
      </c>
      <c r="G559" s="255" t="s">
        <v>3386</v>
      </c>
      <c r="H559" s="255" t="s">
        <v>3387</v>
      </c>
    </row>
    <row r="560" spans="1:8" ht="15" customHeight="1" x14ac:dyDescent="0.2">
      <c r="A560" s="41" t="s">
        <v>4378</v>
      </c>
      <c r="B560" s="274" t="s">
        <v>3521</v>
      </c>
      <c r="C560" s="255" t="s">
        <v>2606</v>
      </c>
      <c r="D560" s="255" t="s">
        <v>2605</v>
      </c>
      <c r="E560" s="255" t="s">
        <v>3403</v>
      </c>
      <c r="F560" s="255" t="s">
        <v>3385</v>
      </c>
      <c r="G560" s="255" t="s">
        <v>3386</v>
      </c>
      <c r="H560" s="255" t="s">
        <v>3387</v>
      </c>
    </row>
    <row r="561" spans="1:8" ht="15" customHeight="1" x14ac:dyDescent="0.2">
      <c r="A561" s="41" t="s">
        <v>4383</v>
      </c>
      <c r="B561" s="274" t="s">
        <v>3521</v>
      </c>
      <c r="C561" s="255" t="s">
        <v>2750</v>
      </c>
      <c r="D561" s="255" t="s">
        <v>2749</v>
      </c>
      <c r="E561" s="255" t="s">
        <v>3403</v>
      </c>
      <c r="F561" s="255" t="s">
        <v>3385</v>
      </c>
      <c r="G561" s="255" t="s">
        <v>3386</v>
      </c>
      <c r="H561" s="255" t="s">
        <v>3387</v>
      </c>
    </row>
    <row r="562" spans="1:8" ht="15" customHeight="1" x14ac:dyDescent="0.2">
      <c r="A562" s="41" t="s">
        <v>4433</v>
      </c>
      <c r="B562" s="274" t="s">
        <v>3521</v>
      </c>
      <c r="C562" s="255" t="s">
        <v>2780</v>
      </c>
      <c r="D562" s="255" t="s">
        <v>2779</v>
      </c>
      <c r="E562" s="255" t="s">
        <v>3403</v>
      </c>
      <c r="F562" s="255" t="s">
        <v>3385</v>
      </c>
      <c r="G562" s="255" t="s">
        <v>3386</v>
      </c>
      <c r="H562" s="255" t="s">
        <v>3387</v>
      </c>
    </row>
    <row r="563" spans="1:8" ht="15" customHeight="1" x14ac:dyDescent="0.2">
      <c r="A563" s="41" t="s">
        <v>4436</v>
      </c>
      <c r="B563" s="274" t="s">
        <v>3521</v>
      </c>
      <c r="C563" s="255" t="s">
        <v>2783</v>
      </c>
      <c r="D563" s="255" t="s">
        <v>3617</v>
      </c>
      <c r="E563" s="255" t="s">
        <v>3403</v>
      </c>
      <c r="F563" s="255" t="s">
        <v>3385</v>
      </c>
      <c r="G563" s="255" t="s">
        <v>3386</v>
      </c>
      <c r="H563" s="255" t="s">
        <v>3387</v>
      </c>
    </row>
    <row r="564" spans="1:8" ht="15" customHeight="1" x14ac:dyDescent="0.2">
      <c r="A564" s="41" t="s">
        <v>4413</v>
      </c>
      <c r="B564" s="274" t="s">
        <v>3521</v>
      </c>
      <c r="C564" s="255" t="s">
        <v>3112</v>
      </c>
      <c r="D564" s="255" t="s">
        <v>3111</v>
      </c>
      <c r="E564" s="255" t="s">
        <v>3403</v>
      </c>
      <c r="F564" s="255" t="s">
        <v>3385</v>
      </c>
      <c r="G564" s="255" t="s">
        <v>3386</v>
      </c>
      <c r="H564" s="255" t="s">
        <v>3387</v>
      </c>
    </row>
    <row r="565" spans="1:8" ht="15" customHeight="1" x14ac:dyDescent="0.2">
      <c r="A565" s="41" t="s">
        <v>4319</v>
      </c>
      <c r="B565" s="274" t="s">
        <v>3521</v>
      </c>
      <c r="C565" s="255" t="s">
        <v>2594</v>
      </c>
      <c r="D565" s="255" t="s">
        <v>3549</v>
      </c>
      <c r="E565" s="255" t="s">
        <v>3403</v>
      </c>
      <c r="F565" s="255" t="s">
        <v>3385</v>
      </c>
      <c r="G565" s="255" t="s">
        <v>3386</v>
      </c>
      <c r="H565" s="255" t="s">
        <v>3387</v>
      </c>
    </row>
    <row r="566" spans="1:8" ht="15" customHeight="1" x14ac:dyDescent="0.2">
      <c r="A566" s="41" t="s">
        <v>4392</v>
      </c>
      <c r="B566" s="274" t="s">
        <v>3521</v>
      </c>
      <c r="C566" s="255" t="s">
        <v>3101</v>
      </c>
      <c r="D566" s="255" t="s">
        <v>3100</v>
      </c>
      <c r="E566" s="255" t="s">
        <v>3403</v>
      </c>
      <c r="F566" s="255" t="s">
        <v>3385</v>
      </c>
      <c r="G566" s="255" t="s">
        <v>3386</v>
      </c>
      <c r="H566" s="255" t="s">
        <v>3387</v>
      </c>
    </row>
    <row r="567" spans="1:8" ht="15" customHeight="1" x14ac:dyDescent="0.2">
      <c r="A567" s="41" t="s">
        <v>4396</v>
      </c>
      <c r="B567" s="274" t="s">
        <v>3521</v>
      </c>
      <c r="C567" s="255" t="s">
        <v>2608</v>
      </c>
      <c r="D567" s="255" t="s">
        <v>2607</v>
      </c>
      <c r="E567" s="255" t="s">
        <v>3403</v>
      </c>
      <c r="F567" s="255" t="s">
        <v>3385</v>
      </c>
      <c r="G567" s="255" t="s">
        <v>3386</v>
      </c>
      <c r="H567" s="255" t="s">
        <v>3387</v>
      </c>
    </row>
    <row r="568" spans="1:8" ht="15" customHeight="1" x14ac:dyDescent="0.2">
      <c r="A568" s="41" t="s">
        <v>4391</v>
      </c>
      <c r="B568" s="274" t="s">
        <v>3521</v>
      </c>
      <c r="C568" s="255" t="s">
        <v>2758</v>
      </c>
      <c r="D568" s="255" t="s">
        <v>3592</v>
      </c>
      <c r="E568" s="255" t="s">
        <v>3403</v>
      </c>
      <c r="F568" s="255" t="s">
        <v>3385</v>
      </c>
      <c r="G568" s="255" t="s">
        <v>3386</v>
      </c>
      <c r="H568" s="255" t="s">
        <v>3387</v>
      </c>
    </row>
    <row r="569" spans="1:8" ht="15" customHeight="1" x14ac:dyDescent="0.2">
      <c r="A569" s="41" t="s">
        <v>4295</v>
      </c>
      <c r="B569" s="274" t="s">
        <v>3521</v>
      </c>
      <c r="C569" s="255" t="s">
        <v>3040</v>
      </c>
      <c r="D569" s="255" t="s">
        <v>3039</v>
      </c>
      <c r="E569" s="255" t="s">
        <v>3403</v>
      </c>
      <c r="F569" s="255" t="s">
        <v>3385</v>
      </c>
      <c r="G569" s="255" t="s">
        <v>3386</v>
      </c>
      <c r="H569" s="255" t="s">
        <v>3387</v>
      </c>
    </row>
    <row r="570" spans="1:8" ht="15" customHeight="1" x14ac:dyDescent="0.2">
      <c r="A570" s="41" t="s">
        <v>4426</v>
      </c>
      <c r="B570" s="274" t="s">
        <v>3521</v>
      </c>
      <c r="C570" s="255" t="s">
        <v>2773</v>
      </c>
      <c r="D570" s="255" t="s">
        <v>3613</v>
      </c>
      <c r="E570" s="255" t="s">
        <v>3403</v>
      </c>
      <c r="F570" s="255" t="s">
        <v>3385</v>
      </c>
      <c r="G570" s="255" t="s">
        <v>3386</v>
      </c>
      <c r="H570" s="255" t="s">
        <v>3387</v>
      </c>
    </row>
    <row r="571" spans="1:8" ht="15" customHeight="1" x14ac:dyDescent="0.2">
      <c r="A571" s="41" t="s">
        <v>4425</v>
      </c>
      <c r="B571" s="274" t="s">
        <v>3521</v>
      </c>
      <c r="C571" s="255" t="s">
        <v>2772</v>
      </c>
      <c r="D571" s="255" t="s">
        <v>3612</v>
      </c>
      <c r="E571" s="255" t="s">
        <v>3403</v>
      </c>
      <c r="F571" s="255" t="s">
        <v>3385</v>
      </c>
      <c r="G571" s="255" t="s">
        <v>3386</v>
      </c>
      <c r="H571" s="255" t="s">
        <v>3387</v>
      </c>
    </row>
    <row r="572" spans="1:8" ht="15" customHeight="1" x14ac:dyDescent="0.2">
      <c r="A572" s="41" t="s">
        <v>4400</v>
      </c>
      <c r="B572" s="274" t="s">
        <v>3521</v>
      </c>
      <c r="C572" s="255" t="s">
        <v>2518</v>
      </c>
      <c r="D572" s="255" t="s">
        <v>2517</v>
      </c>
      <c r="E572" s="255" t="s">
        <v>3403</v>
      </c>
      <c r="F572" s="255" t="s">
        <v>3385</v>
      </c>
      <c r="G572" s="255" t="s">
        <v>3386</v>
      </c>
      <c r="H572" s="255" t="s">
        <v>3387</v>
      </c>
    </row>
    <row r="573" spans="1:8" ht="15" customHeight="1" x14ac:dyDescent="0.2">
      <c r="A573" s="41" t="s">
        <v>4401</v>
      </c>
      <c r="B573" s="274" t="s">
        <v>3521</v>
      </c>
      <c r="C573" s="255" t="s">
        <v>2763</v>
      </c>
      <c r="D573" s="255" t="s">
        <v>2762</v>
      </c>
      <c r="E573" s="255" t="s">
        <v>3403</v>
      </c>
      <c r="F573" s="255" t="s">
        <v>3385</v>
      </c>
      <c r="G573" s="255" t="s">
        <v>3386</v>
      </c>
      <c r="H573" s="255" t="s">
        <v>3387</v>
      </c>
    </row>
    <row r="574" spans="1:8" ht="15" customHeight="1" x14ac:dyDescent="0.2">
      <c r="A574" s="41" t="s">
        <v>4351</v>
      </c>
      <c r="B574" s="274" t="s">
        <v>3521</v>
      </c>
      <c r="C574" s="255" t="s">
        <v>2430</v>
      </c>
      <c r="D574" s="255" t="s">
        <v>3568</v>
      </c>
      <c r="E574" s="255" t="s">
        <v>3403</v>
      </c>
      <c r="F574" s="255" t="s">
        <v>3385</v>
      </c>
      <c r="G574" s="255" t="s">
        <v>3386</v>
      </c>
      <c r="H574" s="255" t="s">
        <v>3387</v>
      </c>
    </row>
    <row r="575" spans="1:8" ht="15" customHeight="1" x14ac:dyDescent="0.2">
      <c r="A575" s="41" t="s">
        <v>4445</v>
      </c>
      <c r="B575" s="274" t="s">
        <v>3521</v>
      </c>
      <c r="C575" s="255" t="s">
        <v>3141</v>
      </c>
      <c r="D575" s="255" t="s">
        <v>3140</v>
      </c>
      <c r="E575" s="255" t="s">
        <v>3403</v>
      </c>
      <c r="F575" s="255" t="s">
        <v>3385</v>
      </c>
      <c r="G575" s="255" t="s">
        <v>3386</v>
      </c>
      <c r="H575" s="255" t="s">
        <v>3387</v>
      </c>
    </row>
    <row r="576" spans="1:8" ht="15" customHeight="1" x14ac:dyDescent="0.2">
      <c r="A576" s="41" t="s">
        <v>4387</v>
      </c>
      <c r="B576" s="274" t="s">
        <v>3521</v>
      </c>
      <c r="C576" s="255" t="s">
        <v>2754</v>
      </c>
      <c r="D576" s="255" t="s">
        <v>2753</v>
      </c>
      <c r="E576" s="255" t="s">
        <v>3403</v>
      </c>
      <c r="F576" s="255" t="s">
        <v>3385</v>
      </c>
      <c r="G576" s="255" t="s">
        <v>3386</v>
      </c>
      <c r="H576" s="255" t="s">
        <v>3387</v>
      </c>
    </row>
    <row r="577" spans="1:8" ht="15" customHeight="1" x14ac:dyDescent="0.2">
      <c r="A577" s="41" t="s">
        <v>4389</v>
      </c>
      <c r="B577" s="274" t="s">
        <v>3521</v>
      </c>
      <c r="C577" s="255" t="s">
        <v>2756</v>
      </c>
      <c r="D577" s="255" t="s">
        <v>3590</v>
      </c>
      <c r="E577" s="255" t="s">
        <v>3403</v>
      </c>
      <c r="F577" s="255" t="s">
        <v>3385</v>
      </c>
      <c r="G577" s="255" t="s">
        <v>3386</v>
      </c>
      <c r="H577" s="255" t="s">
        <v>3387</v>
      </c>
    </row>
    <row r="578" spans="1:8" ht="15" customHeight="1" x14ac:dyDescent="0.2">
      <c r="A578" s="41" t="s">
        <v>4398</v>
      </c>
      <c r="B578" s="274" t="s">
        <v>3521</v>
      </c>
      <c r="C578" s="255" t="s">
        <v>2610</v>
      </c>
      <c r="D578" s="255" t="s">
        <v>2609</v>
      </c>
      <c r="E578" s="255" t="s">
        <v>3403</v>
      </c>
      <c r="F578" s="255" t="s">
        <v>3385</v>
      </c>
      <c r="G578" s="255" t="s">
        <v>3386</v>
      </c>
      <c r="H578" s="255" t="s">
        <v>3387</v>
      </c>
    </row>
    <row r="579" spans="1:8" ht="15" customHeight="1" x14ac:dyDescent="0.2">
      <c r="A579" s="41" t="s">
        <v>4424</v>
      </c>
      <c r="B579" s="274" t="s">
        <v>3521</v>
      </c>
      <c r="C579" s="255" t="s">
        <v>2771</v>
      </c>
      <c r="D579" s="255" t="s">
        <v>3611</v>
      </c>
      <c r="E579" s="255" t="s">
        <v>3403</v>
      </c>
      <c r="F579" s="255" t="s">
        <v>3385</v>
      </c>
      <c r="G579" s="255" t="s">
        <v>3386</v>
      </c>
      <c r="H579" s="255" t="s">
        <v>3387</v>
      </c>
    </row>
    <row r="580" spans="1:8" ht="15" customHeight="1" x14ac:dyDescent="0.2">
      <c r="A580" s="41" t="s">
        <v>4377</v>
      </c>
      <c r="B580" s="274" t="s">
        <v>3521</v>
      </c>
      <c r="C580" s="255" t="s">
        <v>2604</v>
      </c>
      <c r="D580" s="255" t="s">
        <v>3583</v>
      </c>
      <c r="E580" s="255" t="s">
        <v>3403</v>
      </c>
      <c r="F580" s="255" t="s">
        <v>3385</v>
      </c>
      <c r="G580" s="255" t="s">
        <v>3386</v>
      </c>
      <c r="H580" s="255" t="s">
        <v>3387</v>
      </c>
    </row>
    <row r="581" spans="1:8" ht="15" customHeight="1" x14ac:dyDescent="0.2">
      <c r="A581" s="41" t="s">
        <v>4328</v>
      </c>
      <c r="B581" s="274" t="s">
        <v>3521</v>
      </c>
      <c r="C581" s="255" t="s">
        <v>2286</v>
      </c>
      <c r="D581" s="255" t="s">
        <v>3556</v>
      </c>
      <c r="E581" s="255" t="s">
        <v>3403</v>
      </c>
      <c r="F581" s="255" t="s">
        <v>3385</v>
      </c>
      <c r="G581" s="255" t="s">
        <v>3386</v>
      </c>
      <c r="H581" s="255" t="s">
        <v>3387</v>
      </c>
    </row>
    <row r="582" spans="1:8" ht="15" customHeight="1" x14ac:dyDescent="0.2">
      <c r="A582" s="41" t="s">
        <v>4368</v>
      </c>
      <c r="B582" s="274" t="s">
        <v>3521</v>
      </c>
      <c r="C582" s="255" t="s">
        <v>2335</v>
      </c>
      <c r="D582" s="255" t="s">
        <v>3576</v>
      </c>
      <c r="E582" s="255" t="s">
        <v>3403</v>
      </c>
      <c r="F582" s="255" t="s">
        <v>3385</v>
      </c>
      <c r="G582" s="255" t="s">
        <v>3386</v>
      </c>
      <c r="H582" s="255" t="s">
        <v>3387</v>
      </c>
    </row>
    <row r="583" spans="1:8" ht="15" customHeight="1" x14ac:dyDescent="0.2">
      <c r="A583" s="41" t="s">
        <v>4382</v>
      </c>
      <c r="B583" s="274" t="s">
        <v>3521</v>
      </c>
      <c r="C583" s="255" t="s">
        <v>2515</v>
      </c>
      <c r="D583" s="255" t="s">
        <v>3585</v>
      </c>
      <c r="E583" s="255" t="s">
        <v>3403</v>
      </c>
      <c r="F583" s="255" t="s">
        <v>3385</v>
      </c>
      <c r="G583" s="255" t="s">
        <v>3386</v>
      </c>
      <c r="H583" s="255" t="s">
        <v>3387</v>
      </c>
    </row>
    <row r="584" spans="1:8" ht="15" customHeight="1" x14ac:dyDescent="0.2">
      <c r="A584" s="41" t="s">
        <v>4402</v>
      </c>
      <c r="B584" s="274" t="s">
        <v>3521</v>
      </c>
      <c r="C584" s="255" t="s">
        <v>2519</v>
      </c>
      <c r="D584" s="255" t="s">
        <v>3596</v>
      </c>
      <c r="E584" s="255" t="s">
        <v>3403</v>
      </c>
      <c r="F584" s="255" t="s">
        <v>3385</v>
      </c>
      <c r="G584" s="255" t="s">
        <v>3386</v>
      </c>
      <c r="H584" s="255" t="s">
        <v>3387</v>
      </c>
    </row>
    <row r="585" spans="1:8" ht="15" customHeight="1" x14ac:dyDescent="0.2">
      <c r="A585" s="41" t="s">
        <v>4352</v>
      </c>
      <c r="B585" s="274" t="s">
        <v>3521</v>
      </c>
      <c r="C585" s="255" t="s">
        <v>2431</v>
      </c>
      <c r="D585" s="255" t="s">
        <v>3569</v>
      </c>
      <c r="E585" s="255" t="s">
        <v>3403</v>
      </c>
      <c r="F585" s="255" t="s">
        <v>3385</v>
      </c>
      <c r="G585" s="255" t="s">
        <v>3386</v>
      </c>
      <c r="H585" s="255" t="s">
        <v>3387</v>
      </c>
    </row>
    <row r="586" spans="1:8" ht="15" customHeight="1" x14ac:dyDescent="0.2">
      <c r="A586" s="41" t="s">
        <v>4386</v>
      </c>
      <c r="B586" s="274" t="s">
        <v>3521</v>
      </c>
      <c r="C586" s="255" t="s">
        <v>2516</v>
      </c>
      <c r="D586" s="255" t="s">
        <v>3588</v>
      </c>
      <c r="E586" s="255" t="s">
        <v>3403</v>
      </c>
      <c r="F586" s="255" t="s">
        <v>3385</v>
      </c>
      <c r="G586" s="255" t="s">
        <v>3386</v>
      </c>
      <c r="H586" s="255" t="s">
        <v>3387</v>
      </c>
    </row>
    <row r="587" spans="1:8" ht="15" customHeight="1" x14ac:dyDescent="0.2">
      <c r="A587" s="41" t="s">
        <v>4434</v>
      </c>
      <c r="B587" s="274" t="s">
        <v>3521</v>
      </c>
      <c r="C587" s="255" t="s">
        <v>2782</v>
      </c>
      <c r="D587" s="255" t="s">
        <v>2781</v>
      </c>
      <c r="E587" s="255" t="s">
        <v>3403</v>
      </c>
      <c r="F587" s="255" t="s">
        <v>3385</v>
      </c>
      <c r="G587" s="255" t="s">
        <v>3386</v>
      </c>
      <c r="H587" s="255" t="s">
        <v>3387</v>
      </c>
    </row>
    <row r="588" spans="1:8" ht="15" customHeight="1" x14ac:dyDescent="0.2">
      <c r="A588" s="41" t="s">
        <v>4376</v>
      </c>
      <c r="B588" s="274" t="s">
        <v>3521</v>
      </c>
      <c r="C588" s="255" t="s">
        <v>2603</v>
      </c>
      <c r="D588" s="255" t="s">
        <v>3582</v>
      </c>
      <c r="E588" s="255" t="s">
        <v>3403</v>
      </c>
      <c r="F588" s="255" t="s">
        <v>3385</v>
      </c>
      <c r="G588" s="255" t="s">
        <v>3386</v>
      </c>
      <c r="H588" s="255" t="s">
        <v>3387</v>
      </c>
    </row>
    <row r="589" spans="1:8" ht="15" customHeight="1" x14ac:dyDescent="0.2">
      <c r="A589" s="41" t="s">
        <v>4331</v>
      </c>
      <c r="B589" s="274" t="s">
        <v>3521</v>
      </c>
      <c r="C589" s="255" t="s">
        <v>2255</v>
      </c>
      <c r="D589" s="255" t="s">
        <v>3559</v>
      </c>
      <c r="E589" s="255" t="s">
        <v>3403</v>
      </c>
      <c r="F589" s="255" t="s">
        <v>3385</v>
      </c>
      <c r="G589" s="255" t="s">
        <v>3386</v>
      </c>
      <c r="H589" s="255" t="s">
        <v>3387</v>
      </c>
    </row>
    <row r="590" spans="1:8" ht="15" customHeight="1" x14ac:dyDescent="0.2">
      <c r="A590" s="41" t="s">
        <v>4417</v>
      </c>
      <c r="B590" s="274" t="s">
        <v>3521</v>
      </c>
      <c r="C590" s="255" t="s">
        <v>2769</v>
      </c>
      <c r="D590" s="255" t="s">
        <v>3606</v>
      </c>
      <c r="E590" s="255" t="s">
        <v>3403</v>
      </c>
      <c r="F590" s="255" t="s">
        <v>3385</v>
      </c>
      <c r="G590" s="255" t="s">
        <v>3386</v>
      </c>
      <c r="H590" s="255" t="s">
        <v>3387</v>
      </c>
    </row>
    <row r="591" spans="1:8" ht="15" customHeight="1" x14ac:dyDescent="0.2">
      <c r="A591" s="41" t="s">
        <v>4316</v>
      </c>
      <c r="B591" s="274" t="s">
        <v>3521</v>
      </c>
      <c r="C591" s="255" t="s">
        <v>2731</v>
      </c>
      <c r="D591" s="255" t="s">
        <v>3546</v>
      </c>
      <c r="E591" s="255" t="s">
        <v>3403</v>
      </c>
      <c r="F591" s="255" t="s">
        <v>3385</v>
      </c>
      <c r="G591" s="255" t="s">
        <v>3386</v>
      </c>
      <c r="H591" s="255" t="s">
        <v>3387</v>
      </c>
    </row>
    <row r="592" spans="1:8" ht="15" customHeight="1" x14ac:dyDescent="0.2">
      <c r="A592" s="41" t="s">
        <v>4329</v>
      </c>
      <c r="B592" s="274" t="s">
        <v>3521</v>
      </c>
      <c r="C592" s="255" t="s">
        <v>2596</v>
      </c>
      <c r="D592" s="255" t="s">
        <v>3557</v>
      </c>
      <c r="E592" s="255" t="s">
        <v>3403</v>
      </c>
      <c r="F592" s="255" t="s">
        <v>3385</v>
      </c>
      <c r="G592" s="255" t="s">
        <v>3386</v>
      </c>
      <c r="H592" s="255" t="s">
        <v>3387</v>
      </c>
    </row>
    <row r="593" spans="1:8" ht="15" customHeight="1" x14ac:dyDescent="0.2">
      <c r="A593" s="41" t="s">
        <v>4403</v>
      </c>
      <c r="B593" s="274" t="s">
        <v>3521</v>
      </c>
      <c r="C593" s="255" t="s">
        <v>2612</v>
      </c>
      <c r="D593" s="255" t="s">
        <v>2611</v>
      </c>
      <c r="E593" s="255" t="s">
        <v>3403</v>
      </c>
      <c r="F593" s="255" t="s">
        <v>3385</v>
      </c>
      <c r="G593" s="255" t="s">
        <v>3386</v>
      </c>
      <c r="H593" s="255" t="s">
        <v>3387</v>
      </c>
    </row>
    <row r="594" spans="1:8" ht="15" customHeight="1" x14ac:dyDescent="0.2">
      <c r="A594" s="41" t="s">
        <v>4320</v>
      </c>
      <c r="B594" s="274" t="s">
        <v>3521</v>
      </c>
      <c r="C594" s="255" t="s">
        <v>3058</v>
      </c>
      <c r="D594" s="255" t="s">
        <v>3057</v>
      </c>
      <c r="E594" s="255" t="s">
        <v>3403</v>
      </c>
      <c r="F594" s="255" t="s">
        <v>3385</v>
      </c>
      <c r="G594" s="255" t="s">
        <v>3386</v>
      </c>
      <c r="H594" s="255" t="s">
        <v>3387</v>
      </c>
    </row>
    <row r="595" spans="1:8" ht="15" customHeight="1" x14ac:dyDescent="0.2">
      <c r="A595" s="41" t="s">
        <v>4642</v>
      </c>
      <c r="B595" s="274" t="s">
        <v>3657</v>
      </c>
      <c r="C595" s="255" t="s">
        <v>2827</v>
      </c>
      <c r="D595" s="255" t="s">
        <v>3766</v>
      </c>
      <c r="E595" s="255" t="s">
        <v>3403</v>
      </c>
      <c r="F595" s="255" t="s">
        <v>3385</v>
      </c>
      <c r="G595" s="255" t="s">
        <v>3386</v>
      </c>
      <c r="H595" s="255" t="s">
        <v>3387</v>
      </c>
    </row>
    <row r="596" spans="1:8" ht="15" customHeight="1" x14ac:dyDescent="0.2">
      <c r="A596" s="41" t="s">
        <v>4709</v>
      </c>
      <c r="B596" s="274" t="s">
        <v>3657</v>
      </c>
      <c r="C596" s="255" t="s">
        <v>3264</v>
      </c>
      <c r="D596" s="255" t="s">
        <v>3263</v>
      </c>
      <c r="E596" s="255" t="s">
        <v>3403</v>
      </c>
      <c r="F596" s="255" t="s">
        <v>3385</v>
      </c>
      <c r="G596" s="255" t="s">
        <v>3386</v>
      </c>
      <c r="H596" s="255" t="s">
        <v>3387</v>
      </c>
    </row>
    <row r="597" spans="1:8" ht="15" customHeight="1" x14ac:dyDescent="0.2">
      <c r="A597" s="41" t="s">
        <v>4648</v>
      </c>
      <c r="B597" s="274" t="s">
        <v>3657</v>
      </c>
      <c r="C597" s="255" t="s">
        <v>3202</v>
      </c>
      <c r="D597" s="255" t="s">
        <v>3769</v>
      </c>
      <c r="E597" s="255" t="s">
        <v>3403</v>
      </c>
      <c r="F597" s="255" t="s">
        <v>3385</v>
      </c>
      <c r="G597" s="255" t="s">
        <v>3386</v>
      </c>
      <c r="H597" s="255" t="s">
        <v>3387</v>
      </c>
    </row>
    <row r="598" spans="1:8" ht="15" customHeight="1" x14ac:dyDescent="0.2">
      <c r="A598" s="41" t="s">
        <v>4687</v>
      </c>
      <c r="B598" s="274" t="s">
        <v>3657</v>
      </c>
      <c r="C598" s="255" t="s">
        <v>3236</v>
      </c>
      <c r="D598" s="255" t="s">
        <v>3235</v>
      </c>
      <c r="E598" s="255" t="s">
        <v>3403</v>
      </c>
      <c r="F598" s="255" t="s">
        <v>3385</v>
      </c>
      <c r="G598" s="255" t="s">
        <v>3386</v>
      </c>
      <c r="H598" s="255" t="s">
        <v>3387</v>
      </c>
    </row>
    <row r="599" spans="1:8" ht="15" customHeight="1" x14ac:dyDescent="0.2">
      <c r="A599" s="41" t="s">
        <v>4637</v>
      </c>
      <c r="B599" s="274" t="s">
        <v>3657</v>
      </c>
      <c r="C599" s="255" t="s">
        <v>2636</v>
      </c>
      <c r="D599" s="255" t="s">
        <v>3761</v>
      </c>
      <c r="E599" s="255" t="s">
        <v>3403</v>
      </c>
      <c r="F599" s="255" t="s">
        <v>3385</v>
      </c>
      <c r="G599" s="255" t="s">
        <v>3386</v>
      </c>
      <c r="H599" s="255" t="s">
        <v>3387</v>
      </c>
    </row>
    <row r="600" spans="1:8" ht="15" customHeight="1" x14ac:dyDescent="0.2">
      <c r="A600" s="41" t="s">
        <v>4619</v>
      </c>
      <c r="B600" s="274" t="s">
        <v>3657</v>
      </c>
      <c r="C600" s="255" t="s">
        <v>3188</v>
      </c>
      <c r="D600" s="255" t="s">
        <v>3187</v>
      </c>
      <c r="E600" s="255" t="s">
        <v>3403</v>
      </c>
      <c r="F600" s="255" t="s">
        <v>3385</v>
      </c>
      <c r="G600" s="255" t="s">
        <v>3386</v>
      </c>
      <c r="H600" s="255" t="s">
        <v>3387</v>
      </c>
    </row>
    <row r="601" spans="1:8" ht="15" customHeight="1" x14ac:dyDescent="0.2">
      <c r="A601" s="41" t="s">
        <v>4694</v>
      </c>
      <c r="B601" s="274" t="s">
        <v>3657</v>
      </c>
      <c r="C601" s="255" t="s">
        <v>2845</v>
      </c>
      <c r="D601" s="255" t="s">
        <v>3799</v>
      </c>
      <c r="E601" s="255" t="s">
        <v>3403</v>
      </c>
      <c r="F601" s="255" t="s">
        <v>3385</v>
      </c>
      <c r="G601" s="255" t="s">
        <v>3386</v>
      </c>
      <c r="H601" s="255" t="s">
        <v>3387</v>
      </c>
    </row>
    <row r="602" spans="1:8" ht="15" customHeight="1" x14ac:dyDescent="0.2">
      <c r="A602" s="41" t="s">
        <v>4712</v>
      </c>
      <c r="B602" s="274" t="s">
        <v>3657</v>
      </c>
      <c r="C602" s="255" t="s">
        <v>3270</v>
      </c>
      <c r="D602" s="255" t="s">
        <v>3269</v>
      </c>
      <c r="E602" s="255" t="s">
        <v>3403</v>
      </c>
      <c r="F602" s="255" t="s">
        <v>3385</v>
      </c>
      <c r="G602" s="255" t="s">
        <v>3386</v>
      </c>
      <c r="H602" s="255" t="s">
        <v>3387</v>
      </c>
    </row>
    <row r="603" spans="1:8" ht="15" customHeight="1" x14ac:dyDescent="0.2">
      <c r="A603" s="41" t="s">
        <v>4674</v>
      </c>
      <c r="B603" s="274" t="s">
        <v>3657</v>
      </c>
      <c r="C603" s="255" t="s">
        <v>2639</v>
      </c>
      <c r="D603" s="255" t="s">
        <v>3787</v>
      </c>
      <c r="E603" s="255" t="s">
        <v>3403</v>
      </c>
      <c r="F603" s="255" t="s">
        <v>3385</v>
      </c>
      <c r="G603" s="255" t="s">
        <v>3386</v>
      </c>
      <c r="H603" s="255" t="s">
        <v>3387</v>
      </c>
    </row>
    <row r="604" spans="1:8" ht="15" customHeight="1" x14ac:dyDescent="0.2">
      <c r="A604" s="41" t="s">
        <v>4672</v>
      </c>
      <c r="B604" s="274" t="s">
        <v>3657</v>
      </c>
      <c r="C604" s="255" t="s">
        <v>3222</v>
      </c>
      <c r="D604" s="255" t="s">
        <v>3785</v>
      </c>
      <c r="E604" s="255" t="s">
        <v>3403</v>
      </c>
      <c r="F604" s="255" t="s">
        <v>3385</v>
      </c>
      <c r="G604" s="255" t="s">
        <v>3386</v>
      </c>
      <c r="H604" s="255" t="s">
        <v>3387</v>
      </c>
    </row>
    <row r="605" spans="1:8" ht="15" customHeight="1" x14ac:dyDescent="0.2">
      <c r="A605" s="41" t="s">
        <v>4670</v>
      </c>
      <c r="B605" s="274" t="s">
        <v>3657</v>
      </c>
      <c r="C605" s="255" t="s">
        <v>2836</v>
      </c>
      <c r="D605" s="255" t="s">
        <v>3784</v>
      </c>
      <c r="E605" s="255" t="s">
        <v>3403</v>
      </c>
      <c r="F605" s="255" t="s">
        <v>3385</v>
      </c>
      <c r="G605" s="255" t="s">
        <v>3386</v>
      </c>
      <c r="H605" s="255" t="s">
        <v>3387</v>
      </c>
    </row>
    <row r="606" spans="1:8" ht="15" customHeight="1" x14ac:dyDescent="0.2">
      <c r="A606" s="41" t="s">
        <v>4691</v>
      </c>
      <c r="B606" s="274" t="s">
        <v>3657</v>
      </c>
      <c r="C606" s="255" t="s">
        <v>3239</v>
      </c>
      <c r="D606" s="255" t="s">
        <v>3238</v>
      </c>
      <c r="E606" s="255" t="s">
        <v>3403</v>
      </c>
      <c r="F606" s="255" t="s">
        <v>3385</v>
      </c>
      <c r="G606" s="255" t="s">
        <v>3386</v>
      </c>
      <c r="H606" s="255" t="s">
        <v>3387</v>
      </c>
    </row>
    <row r="607" spans="1:8" ht="15" customHeight="1" x14ac:dyDescent="0.2">
      <c r="A607" s="41" t="s">
        <v>4707</v>
      </c>
      <c r="B607" s="274" t="s">
        <v>3657</v>
      </c>
      <c r="C607" s="255" t="s">
        <v>3260</v>
      </c>
      <c r="D607" s="255" t="s">
        <v>3259</v>
      </c>
      <c r="E607" s="255" t="s">
        <v>3403</v>
      </c>
      <c r="F607" s="255" t="s">
        <v>3385</v>
      </c>
      <c r="G607" s="255" t="s">
        <v>3386</v>
      </c>
      <c r="H607" s="255" t="s">
        <v>3387</v>
      </c>
    </row>
    <row r="608" spans="1:8" ht="15" customHeight="1" x14ac:dyDescent="0.2">
      <c r="A608" s="41" t="s">
        <v>4677</v>
      </c>
      <c r="B608" s="274" t="s">
        <v>3657</v>
      </c>
      <c r="C608" s="255" t="s">
        <v>2838</v>
      </c>
      <c r="D608" s="255" t="s">
        <v>3789</v>
      </c>
      <c r="E608" s="255" t="s">
        <v>3403</v>
      </c>
      <c r="F608" s="255" t="s">
        <v>3385</v>
      </c>
      <c r="G608" s="255" t="s">
        <v>3386</v>
      </c>
      <c r="H608" s="255" t="s">
        <v>3387</v>
      </c>
    </row>
    <row r="609" spans="1:8" ht="15" customHeight="1" x14ac:dyDescent="0.2">
      <c r="A609" s="41" t="s">
        <v>4620</v>
      </c>
      <c r="B609" s="274" t="s">
        <v>3657</v>
      </c>
      <c r="C609" s="255" t="s">
        <v>3190</v>
      </c>
      <c r="D609" s="255" t="s">
        <v>3189</v>
      </c>
      <c r="E609" s="255" t="s">
        <v>3403</v>
      </c>
      <c r="F609" s="255" t="s">
        <v>3385</v>
      </c>
      <c r="G609" s="255" t="s">
        <v>3386</v>
      </c>
      <c r="H609" s="255" t="s">
        <v>3387</v>
      </c>
    </row>
    <row r="610" spans="1:8" ht="15" customHeight="1" x14ac:dyDescent="0.2">
      <c r="A610" s="41" t="s">
        <v>4618</v>
      </c>
      <c r="B610" s="274" t="s">
        <v>3657</v>
      </c>
      <c r="C610" s="255" t="s">
        <v>3186</v>
      </c>
      <c r="D610" s="255" t="s">
        <v>3185</v>
      </c>
      <c r="E610" s="255" t="s">
        <v>3403</v>
      </c>
      <c r="F610" s="255" t="s">
        <v>3385</v>
      </c>
      <c r="G610" s="255" t="s">
        <v>3386</v>
      </c>
      <c r="H610" s="255" t="s">
        <v>3387</v>
      </c>
    </row>
    <row r="611" spans="1:8" ht="15" customHeight="1" x14ac:dyDescent="0.2">
      <c r="A611" s="41" t="s">
        <v>4673</v>
      </c>
      <c r="B611" s="274" t="s">
        <v>3657</v>
      </c>
      <c r="C611" s="255" t="s">
        <v>2837</v>
      </c>
      <c r="D611" s="255" t="s">
        <v>3786</v>
      </c>
      <c r="E611" s="255" t="s">
        <v>3403</v>
      </c>
      <c r="F611" s="255" t="s">
        <v>3385</v>
      </c>
      <c r="G611" s="255" t="s">
        <v>3386</v>
      </c>
      <c r="H611" s="255" t="s">
        <v>3387</v>
      </c>
    </row>
    <row r="612" spans="1:8" ht="15" customHeight="1" x14ac:dyDescent="0.2">
      <c r="A612" s="41" t="s">
        <v>4653</v>
      </c>
      <c r="B612" s="274" t="s">
        <v>3657</v>
      </c>
      <c r="C612" s="255" t="s">
        <v>2831</v>
      </c>
      <c r="D612" s="255" t="s">
        <v>3772</v>
      </c>
      <c r="E612" s="255" t="s">
        <v>3403</v>
      </c>
      <c r="F612" s="255" t="s">
        <v>3385</v>
      </c>
      <c r="G612" s="255" t="s">
        <v>3386</v>
      </c>
      <c r="H612" s="255" t="s">
        <v>3387</v>
      </c>
    </row>
    <row r="613" spans="1:8" ht="15" customHeight="1" x14ac:dyDescent="0.2">
      <c r="A613" s="41" t="s">
        <v>4654</v>
      </c>
      <c r="B613" s="274" t="s">
        <v>3657</v>
      </c>
      <c r="C613" s="255" t="s">
        <v>2531</v>
      </c>
      <c r="D613" s="255" t="s">
        <v>3773</v>
      </c>
      <c r="E613" s="255" t="s">
        <v>3403</v>
      </c>
      <c r="F613" s="255" t="s">
        <v>3385</v>
      </c>
      <c r="G613" s="255" t="s">
        <v>3386</v>
      </c>
      <c r="H613" s="255" t="s">
        <v>3387</v>
      </c>
    </row>
    <row r="614" spans="1:8" ht="15" customHeight="1" x14ac:dyDescent="0.2">
      <c r="A614" s="41" t="s">
        <v>4650</v>
      </c>
      <c r="B614" s="274" t="s">
        <v>3657</v>
      </c>
      <c r="C614" s="255" t="s">
        <v>3206</v>
      </c>
      <c r="D614" s="255" t="s">
        <v>3205</v>
      </c>
      <c r="E614" s="255" t="s">
        <v>3403</v>
      </c>
      <c r="F614" s="255" t="s">
        <v>3385</v>
      </c>
      <c r="G614" s="255" t="s">
        <v>3386</v>
      </c>
      <c r="H614" s="255" t="s">
        <v>3387</v>
      </c>
    </row>
    <row r="615" spans="1:8" ht="15" customHeight="1" x14ac:dyDescent="0.2">
      <c r="A615" s="41" t="s">
        <v>4657</v>
      </c>
      <c r="B615" s="274" t="s">
        <v>3657</v>
      </c>
      <c r="C615" s="255" t="s">
        <v>3209</v>
      </c>
      <c r="D615" s="255" t="s">
        <v>3208</v>
      </c>
      <c r="E615" s="255" t="s">
        <v>3403</v>
      </c>
      <c r="F615" s="255" t="s">
        <v>3385</v>
      </c>
      <c r="G615" s="255" t="s">
        <v>3386</v>
      </c>
      <c r="H615" s="255" t="s">
        <v>3387</v>
      </c>
    </row>
    <row r="616" spans="1:8" ht="15" customHeight="1" x14ac:dyDescent="0.2">
      <c r="A616" s="41" t="s">
        <v>4680</v>
      </c>
      <c r="B616" s="274" t="s">
        <v>3657</v>
      </c>
      <c r="C616" s="255" t="s">
        <v>2535</v>
      </c>
      <c r="D616" s="255" t="s">
        <v>3791</v>
      </c>
      <c r="E616" s="255" t="s">
        <v>3403</v>
      </c>
      <c r="F616" s="255" t="s">
        <v>3385</v>
      </c>
      <c r="G616" s="255" t="s">
        <v>3386</v>
      </c>
      <c r="H616" s="255" t="s">
        <v>3387</v>
      </c>
    </row>
    <row r="617" spans="1:8" ht="15" customHeight="1" x14ac:dyDescent="0.2">
      <c r="A617" s="41" t="s">
        <v>4617</v>
      </c>
      <c r="B617" s="274" t="s">
        <v>3657</v>
      </c>
      <c r="C617" s="255" t="s">
        <v>2978</v>
      </c>
      <c r="D617" s="255" t="s">
        <v>3746</v>
      </c>
      <c r="E617" s="255" t="s">
        <v>3403</v>
      </c>
      <c r="F617" s="255" t="s">
        <v>3385</v>
      </c>
      <c r="G617" s="255" t="s">
        <v>3386</v>
      </c>
      <c r="H617" s="255" t="s">
        <v>3387</v>
      </c>
    </row>
    <row r="618" spans="1:8" ht="15" customHeight="1" x14ac:dyDescent="0.2">
      <c r="A618" s="41" t="s">
        <v>4705</v>
      </c>
      <c r="B618" s="274" t="s">
        <v>3657</v>
      </c>
      <c r="C618" s="255" t="s">
        <v>3256</v>
      </c>
      <c r="D618" s="255" t="s">
        <v>3803</v>
      </c>
      <c r="E618" s="255" t="s">
        <v>3403</v>
      </c>
      <c r="F618" s="255" t="s">
        <v>3385</v>
      </c>
      <c r="G618" s="255" t="s">
        <v>3386</v>
      </c>
      <c r="H618" s="255" t="s">
        <v>3387</v>
      </c>
    </row>
    <row r="619" spans="1:8" ht="15" customHeight="1" x14ac:dyDescent="0.2">
      <c r="A619" s="41" t="s">
        <v>4615</v>
      </c>
      <c r="B619" s="274" t="s">
        <v>3657</v>
      </c>
      <c r="C619" s="255" t="s">
        <v>3182</v>
      </c>
      <c r="D619" s="255" t="s">
        <v>3181</v>
      </c>
      <c r="E619" s="255" t="s">
        <v>3403</v>
      </c>
      <c r="F619" s="255" t="s">
        <v>3385</v>
      </c>
      <c r="G619" s="255" t="s">
        <v>3386</v>
      </c>
      <c r="H619" s="255" t="s">
        <v>3387</v>
      </c>
    </row>
    <row r="620" spans="1:8" ht="15" customHeight="1" x14ac:dyDescent="0.2">
      <c r="A620" s="41" t="s">
        <v>4616</v>
      </c>
      <c r="B620" s="274" t="s">
        <v>3657</v>
      </c>
      <c r="C620" s="255" t="s">
        <v>3184</v>
      </c>
      <c r="D620" s="255" t="s">
        <v>3183</v>
      </c>
      <c r="E620" s="255" t="s">
        <v>3403</v>
      </c>
      <c r="F620" s="255" t="s">
        <v>3385</v>
      </c>
      <c r="G620" s="255" t="s">
        <v>3386</v>
      </c>
      <c r="H620" s="255" t="s">
        <v>3387</v>
      </c>
    </row>
    <row r="621" spans="1:8" ht="15" customHeight="1" x14ac:dyDescent="0.2">
      <c r="A621" s="41" t="s">
        <v>4623</v>
      </c>
      <c r="B621" s="274" t="s">
        <v>3657</v>
      </c>
      <c r="C621" s="255" t="s">
        <v>2634</v>
      </c>
      <c r="D621" s="255" t="s">
        <v>3748</v>
      </c>
      <c r="E621" s="255" t="s">
        <v>3403</v>
      </c>
      <c r="F621" s="255" t="s">
        <v>3385</v>
      </c>
      <c r="G621" s="255" t="s">
        <v>3386</v>
      </c>
      <c r="H621" s="255" t="s">
        <v>3387</v>
      </c>
    </row>
    <row r="622" spans="1:8" ht="15" customHeight="1" x14ac:dyDescent="0.2">
      <c r="A622" s="41" t="s">
        <v>4612</v>
      </c>
      <c r="B622" s="274" t="s">
        <v>3657</v>
      </c>
      <c r="C622" s="255" t="s">
        <v>2633</v>
      </c>
      <c r="D622" s="255" t="s">
        <v>3743</v>
      </c>
      <c r="E622" s="255" t="s">
        <v>3403</v>
      </c>
      <c r="F622" s="255" t="s">
        <v>3385</v>
      </c>
      <c r="G622" s="255" t="s">
        <v>3386</v>
      </c>
      <c r="H622" s="255" t="s">
        <v>3387</v>
      </c>
    </row>
    <row r="623" spans="1:8" ht="15" customHeight="1" x14ac:dyDescent="0.2">
      <c r="A623" s="41" t="s">
        <v>4611</v>
      </c>
      <c r="B623" s="274" t="s">
        <v>3657</v>
      </c>
      <c r="C623" s="255" t="s">
        <v>2821</v>
      </c>
      <c r="D623" s="255" t="s">
        <v>3742</v>
      </c>
      <c r="E623" s="255" t="s">
        <v>3403</v>
      </c>
      <c r="F623" s="255" t="s">
        <v>3385</v>
      </c>
      <c r="G623" s="255" t="s">
        <v>3386</v>
      </c>
      <c r="H623" s="255" t="s">
        <v>3387</v>
      </c>
    </row>
    <row r="624" spans="1:8" ht="15" customHeight="1" x14ac:dyDescent="0.2">
      <c r="A624" s="41" t="s">
        <v>4698</v>
      </c>
      <c r="B624" s="274" t="s">
        <v>3657</v>
      </c>
      <c r="C624" s="255" t="s">
        <v>3244</v>
      </c>
      <c r="D624" s="255" t="s">
        <v>3243</v>
      </c>
      <c r="E624" s="255" t="s">
        <v>3403</v>
      </c>
      <c r="F624" s="255" t="s">
        <v>3385</v>
      </c>
      <c r="G624" s="255" t="s">
        <v>3386</v>
      </c>
      <c r="H624" s="255" t="s">
        <v>3387</v>
      </c>
    </row>
    <row r="625" spans="1:8" ht="15" customHeight="1" x14ac:dyDescent="0.2">
      <c r="A625" s="41" t="s">
        <v>4699</v>
      </c>
      <c r="B625" s="274" t="s">
        <v>3657</v>
      </c>
      <c r="C625" s="255" t="s">
        <v>3245</v>
      </c>
      <c r="D625" s="255" t="s">
        <v>3802</v>
      </c>
      <c r="E625" s="255" t="s">
        <v>3403</v>
      </c>
      <c r="F625" s="255" t="s">
        <v>3385</v>
      </c>
      <c r="G625" s="255" t="s">
        <v>3386</v>
      </c>
      <c r="H625" s="255" t="s">
        <v>3387</v>
      </c>
    </row>
    <row r="626" spans="1:8" ht="15" customHeight="1" x14ac:dyDescent="0.2">
      <c r="A626" s="41" t="s">
        <v>4652</v>
      </c>
      <c r="B626" s="274" t="s">
        <v>3657</v>
      </c>
      <c r="C626" s="255" t="s">
        <v>2830</v>
      </c>
      <c r="D626" s="255" t="s">
        <v>3771</v>
      </c>
      <c r="E626" s="255" t="s">
        <v>3403</v>
      </c>
      <c r="F626" s="255" t="s">
        <v>3385</v>
      </c>
      <c r="G626" s="255" t="s">
        <v>3386</v>
      </c>
      <c r="H626" s="255" t="s">
        <v>3387</v>
      </c>
    </row>
    <row r="627" spans="1:8" ht="15" customHeight="1" x14ac:dyDescent="0.2">
      <c r="A627" s="41" t="s">
        <v>4626</v>
      </c>
      <c r="B627" s="274" t="s">
        <v>3657</v>
      </c>
      <c r="C627" s="255" t="s">
        <v>3193</v>
      </c>
      <c r="D627" s="255" t="s">
        <v>3751</v>
      </c>
      <c r="E627" s="255" t="s">
        <v>3403</v>
      </c>
      <c r="F627" s="255" t="s">
        <v>3385</v>
      </c>
      <c r="G627" s="255" t="s">
        <v>3386</v>
      </c>
      <c r="H627" s="255" t="s">
        <v>3387</v>
      </c>
    </row>
    <row r="628" spans="1:8" ht="15" customHeight="1" x14ac:dyDescent="0.2">
      <c r="A628" s="41" t="s">
        <v>4621</v>
      </c>
      <c r="B628" s="274" t="s">
        <v>3657</v>
      </c>
      <c r="C628" s="255" t="s">
        <v>3192</v>
      </c>
      <c r="D628" s="255" t="s">
        <v>3191</v>
      </c>
      <c r="E628" s="255" t="s">
        <v>3403</v>
      </c>
      <c r="F628" s="255" t="s">
        <v>3385</v>
      </c>
      <c r="G628" s="255" t="s">
        <v>3386</v>
      </c>
      <c r="H628" s="255" t="s">
        <v>3387</v>
      </c>
    </row>
    <row r="629" spans="1:8" ht="15" customHeight="1" x14ac:dyDescent="0.2">
      <c r="A629" s="41" t="s">
        <v>4718</v>
      </c>
      <c r="B629" s="274" t="s">
        <v>3657</v>
      </c>
      <c r="C629" s="255" t="s">
        <v>2848</v>
      </c>
      <c r="D629" s="255" t="s">
        <v>3806</v>
      </c>
      <c r="E629" s="255" t="s">
        <v>3403</v>
      </c>
      <c r="F629" s="255" t="s">
        <v>3385</v>
      </c>
      <c r="G629" s="255" t="s">
        <v>3386</v>
      </c>
      <c r="H629" s="255" t="s">
        <v>3387</v>
      </c>
    </row>
    <row r="630" spans="1:8" ht="15" customHeight="1" x14ac:dyDescent="0.2">
      <c r="A630" s="41" t="s">
        <v>4613</v>
      </c>
      <c r="B630" s="274" t="s">
        <v>3657</v>
      </c>
      <c r="C630" s="255" t="s">
        <v>2977</v>
      </c>
      <c r="D630" s="255" t="s">
        <v>3744</v>
      </c>
      <c r="E630" s="255" t="s">
        <v>3403</v>
      </c>
      <c r="F630" s="255" t="s">
        <v>3385</v>
      </c>
      <c r="G630" s="255" t="s">
        <v>3386</v>
      </c>
      <c r="H630" s="255" t="s">
        <v>3387</v>
      </c>
    </row>
    <row r="631" spans="1:8" ht="15" customHeight="1" x14ac:dyDescent="0.2">
      <c r="A631" s="41" t="s">
        <v>4688</v>
      </c>
      <c r="B631" s="274" t="s">
        <v>3657</v>
      </c>
      <c r="C631" s="255" t="s">
        <v>2842</v>
      </c>
      <c r="D631" s="255" t="s">
        <v>3794</v>
      </c>
      <c r="E631" s="255" t="s">
        <v>3403</v>
      </c>
      <c r="F631" s="255" t="s">
        <v>3385</v>
      </c>
      <c r="G631" s="255" t="s">
        <v>3386</v>
      </c>
      <c r="H631" s="255" t="s">
        <v>3387</v>
      </c>
    </row>
    <row r="632" spans="1:8" ht="15" customHeight="1" x14ac:dyDescent="0.2">
      <c r="A632" s="41" t="s">
        <v>4693</v>
      </c>
      <c r="B632" s="274" t="s">
        <v>3657</v>
      </c>
      <c r="C632" s="255" t="s">
        <v>2844</v>
      </c>
      <c r="D632" s="255" t="s">
        <v>3798</v>
      </c>
      <c r="E632" s="255" t="s">
        <v>3403</v>
      </c>
      <c r="F632" s="255" t="s">
        <v>3385</v>
      </c>
      <c r="G632" s="255" t="s">
        <v>3386</v>
      </c>
      <c r="H632" s="255" t="s">
        <v>3387</v>
      </c>
    </row>
    <row r="633" spans="1:8" ht="15" customHeight="1" x14ac:dyDescent="0.2">
      <c r="A633" s="41" t="s">
        <v>4692</v>
      </c>
      <c r="B633" s="274" t="s">
        <v>3657</v>
      </c>
      <c r="C633" s="255" t="s">
        <v>3240</v>
      </c>
      <c r="D633" s="255" t="s">
        <v>3797</v>
      </c>
      <c r="E633" s="255" t="s">
        <v>3403</v>
      </c>
      <c r="F633" s="255" t="s">
        <v>3385</v>
      </c>
      <c r="G633" s="255" t="s">
        <v>3386</v>
      </c>
      <c r="H633" s="255" t="s">
        <v>3387</v>
      </c>
    </row>
    <row r="634" spans="1:8" ht="15" customHeight="1" x14ac:dyDescent="0.2">
      <c r="A634" s="41" t="s">
        <v>4636</v>
      </c>
      <c r="B634" s="274" t="s">
        <v>3657</v>
      </c>
      <c r="C634" s="255" t="s">
        <v>3195</v>
      </c>
      <c r="D634" s="255" t="s">
        <v>3194</v>
      </c>
      <c r="E634" s="255" t="s">
        <v>3403</v>
      </c>
      <c r="F634" s="255" t="s">
        <v>3385</v>
      </c>
      <c r="G634" s="255" t="s">
        <v>3386</v>
      </c>
      <c r="H634" s="255" t="s">
        <v>3387</v>
      </c>
    </row>
    <row r="635" spans="1:8" ht="15" customHeight="1" x14ac:dyDescent="0.2">
      <c r="A635" s="41" t="s">
        <v>4731</v>
      </c>
      <c r="B635" s="274" t="s">
        <v>3657</v>
      </c>
      <c r="C635" s="255" t="s">
        <v>3294</v>
      </c>
      <c r="D635" s="255" t="s">
        <v>3293</v>
      </c>
      <c r="E635" s="255" t="s">
        <v>3403</v>
      </c>
      <c r="F635" s="255" t="s">
        <v>3385</v>
      </c>
      <c r="G635" s="255" t="s">
        <v>3386</v>
      </c>
      <c r="H635" s="255" t="s">
        <v>3387</v>
      </c>
    </row>
    <row r="636" spans="1:8" ht="15" customHeight="1" x14ac:dyDescent="0.2">
      <c r="A636" s="41" t="s">
        <v>4647</v>
      </c>
      <c r="B636" s="274" t="s">
        <v>3657</v>
      </c>
      <c r="C636" s="255" t="s">
        <v>3201</v>
      </c>
      <c r="D636" s="255" t="s">
        <v>3200</v>
      </c>
      <c r="E636" s="255" t="s">
        <v>3403</v>
      </c>
      <c r="F636" s="255" t="s">
        <v>3385</v>
      </c>
      <c r="G636" s="255" t="s">
        <v>3386</v>
      </c>
      <c r="H636" s="255" t="s">
        <v>3387</v>
      </c>
    </row>
    <row r="637" spans="1:8" ht="15" customHeight="1" x14ac:dyDescent="0.2">
      <c r="A637" s="41" t="s">
        <v>4627</v>
      </c>
      <c r="B637" s="274" t="s">
        <v>3657</v>
      </c>
      <c r="C637" s="255" t="s">
        <v>2822</v>
      </c>
      <c r="D637" s="255" t="s">
        <v>3752</v>
      </c>
      <c r="E637" s="255" t="s">
        <v>3403</v>
      </c>
      <c r="F637" s="255" t="s">
        <v>3385</v>
      </c>
      <c r="G637" s="255" t="s">
        <v>3386</v>
      </c>
      <c r="H637" s="255" t="s">
        <v>3387</v>
      </c>
    </row>
    <row r="638" spans="1:8" ht="15" customHeight="1" x14ac:dyDescent="0.2">
      <c r="A638" s="41" t="s">
        <v>4646</v>
      </c>
      <c r="B638" s="274" t="s">
        <v>3657</v>
      </c>
      <c r="C638" s="255" t="s">
        <v>3199</v>
      </c>
      <c r="D638" s="255" t="s">
        <v>3198</v>
      </c>
      <c r="E638" s="255" t="s">
        <v>3403</v>
      </c>
      <c r="F638" s="255" t="s">
        <v>3385</v>
      </c>
      <c r="G638" s="255" t="s">
        <v>3386</v>
      </c>
      <c r="H638" s="255" t="s">
        <v>3387</v>
      </c>
    </row>
    <row r="639" spans="1:8" ht="15" customHeight="1" x14ac:dyDescent="0.2">
      <c r="A639" s="41" t="s">
        <v>4645</v>
      </c>
      <c r="B639" s="274" t="s">
        <v>3657</v>
      </c>
      <c r="C639" s="255" t="s">
        <v>3197</v>
      </c>
      <c r="D639" s="255" t="s">
        <v>3196</v>
      </c>
      <c r="E639" s="255" t="s">
        <v>3403</v>
      </c>
      <c r="F639" s="255" t="s">
        <v>3385</v>
      </c>
      <c r="G639" s="255" t="s">
        <v>3386</v>
      </c>
      <c r="H639" s="255" t="s">
        <v>3387</v>
      </c>
    </row>
    <row r="640" spans="1:8" ht="15" customHeight="1" x14ac:dyDescent="0.2">
      <c r="A640" s="41" t="s">
        <v>4643</v>
      </c>
      <c r="B640" s="274" t="s">
        <v>3657</v>
      </c>
      <c r="C640" s="255" t="s">
        <v>2828</v>
      </c>
      <c r="D640" s="255" t="s">
        <v>3767</v>
      </c>
      <c r="E640" s="255" t="s">
        <v>3403</v>
      </c>
      <c r="F640" s="255" t="s">
        <v>3385</v>
      </c>
      <c r="G640" s="255" t="s">
        <v>3386</v>
      </c>
      <c r="H640" s="255" t="s">
        <v>3387</v>
      </c>
    </row>
    <row r="641" spans="1:8" ht="15" customHeight="1" x14ac:dyDescent="0.2">
      <c r="A641" s="41" t="s">
        <v>4624</v>
      </c>
      <c r="B641" s="274" t="s">
        <v>3657</v>
      </c>
      <c r="C641" s="255" t="s">
        <v>2980</v>
      </c>
      <c r="D641" s="255" t="s">
        <v>3749</v>
      </c>
      <c r="E641" s="255" t="s">
        <v>3403</v>
      </c>
      <c r="F641" s="255" t="s">
        <v>3385</v>
      </c>
      <c r="G641" s="255" t="s">
        <v>3386</v>
      </c>
      <c r="H641" s="255" t="s">
        <v>3387</v>
      </c>
    </row>
    <row r="642" spans="1:8" ht="15" customHeight="1" x14ac:dyDescent="0.2">
      <c r="A642" s="41" t="s">
        <v>4639</v>
      </c>
      <c r="B642" s="274" t="s">
        <v>3657</v>
      </c>
      <c r="C642" s="255" t="s">
        <v>2637</v>
      </c>
      <c r="D642" s="255" t="s">
        <v>3763</v>
      </c>
      <c r="E642" s="255" t="s">
        <v>3403</v>
      </c>
      <c r="F642" s="255" t="s">
        <v>3385</v>
      </c>
      <c r="G642" s="255" t="s">
        <v>3386</v>
      </c>
      <c r="H642" s="255" t="s">
        <v>3387</v>
      </c>
    </row>
    <row r="643" spans="1:8" ht="15" customHeight="1" x14ac:dyDescent="0.2">
      <c r="A643" s="41" t="s">
        <v>4682</v>
      </c>
      <c r="B643" s="274" t="s">
        <v>3657</v>
      </c>
      <c r="C643" s="255" t="s">
        <v>2537</v>
      </c>
      <c r="D643" s="255" t="s">
        <v>2536</v>
      </c>
      <c r="E643" s="255" t="s">
        <v>3403</v>
      </c>
      <c r="F643" s="255" t="s">
        <v>3385</v>
      </c>
      <c r="G643" s="255" t="s">
        <v>3386</v>
      </c>
      <c r="H643" s="255" t="s">
        <v>3387</v>
      </c>
    </row>
    <row r="644" spans="1:8" ht="15" customHeight="1" x14ac:dyDescent="0.2">
      <c r="A644" s="41" t="s">
        <v>4675</v>
      </c>
      <c r="B644" s="274" t="s">
        <v>3657</v>
      </c>
      <c r="C644" s="255" t="s">
        <v>3223</v>
      </c>
      <c r="D644" s="255" t="s">
        <v>3788</v>
      </c>
      <c r="E644" s="255" t="s">
        <v>3403</v>
      </c>
      <c r="F644" s="255" t="s">
        <v>3385</v>
      </c>
      <c r="G644" s="255" t="s">
        <v>3386</v>
      </c>
      <c r="H644" s="255" t="s">
        <v>3387</v>
      </c>
    </row>
    <row r="645" spans="1:8" ht="15" customHeight="1" x14ac:dyDescent="0.2">
      <c r="A645" s="41" t="s">
        <v>4676</v>
      </c>
      <c r="B645" s="274" t="s">
        <v>3657</v>
      </c>
      <c r="C645" s="255" t="s">
        <v>3225</v>
      </c>
      <c r="D645" s="255" t="s">
        <v>3224</v>
      </c>
      <c r="E645" s="255" t="s">
        <v>3403</v>
      </c>
      <c r="F645" s="255" t="s">
        <v>3385</v>
      </c>
      <c r="G645" s="255" t="s">
        <v>3386</v>
      </c>
      <c r="H645" s="255" t="s">
        <v>3387</v>
      </c>
    </row>
    <row r="646" spans="1:8" ht="15" customHeight="1" x14ac:dyDescent="0.2">
      <c r="A646" s="41" t="s">
        <v>4703</v>
      </c>
      <c r="B646" s="274" t="s">
        <v>3657</v>
      </c>
      <c r="C646" s="255" t="s">
        <v>3253</v>
      </c>
      <c r="D646" s="255" t="s">
        <v>3252</v>
      </c>
      <c r="E646" s="255" t="s">
        <v>3403</v>
      </c>
      <c r="F646" s="255" t="s">
        <v>3385</v>
      </c>
      <c r="G646" s="255" t="s">
        <v>3386</v>
      </c>
      <c r="H646" s="255" t="s">
        <v>3387</v>
      </c>
    </row>
    <row r="647" spans="1:8" ht="15" customHeight="1" x14ac:dyDescent="0.2">
      <c r="A647" s="41" t="s">
        <v>4702</v>
      </c>
      <c r="B647" s="274" t="s">
        <v>3657</v>
      </c>
      <c r="C647" s="255" t="s">
        <v>3251</v>
      </c>
      <c r="D647" s="255" t="s">
        <v>3250</v>
      </c>
      <c r="E647" s="255" t="s">
        <v>3403</v>
      </c>
      <c r="F647" s="255" t="s">
        <v>3385</v>
      </c>
      <c r="G647" s="255" t="s">
        <v>3386</v>
      </c>
      <c r="H647" s="255" t="s">
        <v>3387</v>
      </c>
    </row>
    <row r="648" spans="1:8" ht="15" customHeight="1" x14ac:dyDescent="0.2">
      <c r="A648" s="41" t="s">
        <v>4659</v>
      </c>
      <c r="B648" s="274" t="s">
        <v>3657</v>
      </c>
      <c r="C648" s="255" t="s">
        <v>3210</v>
      </c>
      <c r="D648" s="255" t="s">
        <v>3777</v>
      </c>
      <c r="E648" s="255" t="s">
        <v>3403</v>
      </c>
      <c r="F648" s="255" t="s">
        <v>3385</v>
      </c>
      <c r="G648" s="255" t="s">
        <v>3386</v>
      </c>
      <c r="H648" s="255" t="s">
        <v>3387</v>
      </c>
    </row>
    <row r="649" spans="1:8" ht="15" customHeight="1" x14ac:dyDescent="0.2">
      <c r="A649" s="41" t="s">
        <v>4667</v>
      </c>
      <c r="B649" s="274" t="s">
        <v>3657</v>
      </c>
      <c r="C649" s="255" t="s">
        <v>2533</v>
      </c>
      <c r="D649" s="255" t="s">
        <v>3781</v>
      </c>
      <c r="E649" s="255" t="s">
        <v>3403</v>
      </c>
      <c r="F649" s="255" t="s">
        <v>3385</v>
      </c>
      <c r="G649" s="255" t="s">
        <v>3386</v>
      </c>
      <c r="H649" s="255" t="s">
        <v>3387</v>
      </c>
    </row>
    <row r="650" spans="1:8" ht="15" customHeight="1" x14ac:dyDescent="0.2">
      <c r="A650" s="41" t="s">
        <v>4684</v>
      </c>
      <c r="B650" s="274" t="s">
        <v>3657</v>
      </c>
      <c r="C650" s="255" t="s">
        <v>2840</v>
      </c>
      <c r="D650" s="255" t="s">
        <v>3792</v>
      </c>
      <c r="E650" s="255" t="s">
        <v>3403</v>
      </c>
      <c r="F650" s="255" t="s">
        <v>3385</v>
      </c>
      <c r="G650" s="255" t="s">
        <v>3386</v>
      </c>
      <c r="H650" s="255" t="s">
        <v>3387</v>
      </c>
    </row>
    <row r="651" spans="1:8" ht="15" customHeight="1" x14ac:dyDescent="0.2">
      <c r="A651" s="41" t="s">
        <v>4742</v>
      </c>
      <c r="B651" s="274" t="s">
        <v>3657</v>
      </c>
      <c r="C651" s="255" t="s">
        <v>3310</v>
      </c>
      <c r="D651" s="255" t="s">
        <v>3309</v>
      </c>
      <c r="E651" s="255" t="s">
        <v>3403</v>
      </c>
      <c r="F651" s="255" t="s">
        <v>3385</v>
      </c>
      <c r="G651" s="255" t="s">
        <v>3386</v>
      </c>
      <c r="H651" s="255" t="s">
        <v>3387</v>
      </c>
    </row>
    <row r="652" spans="1:8" ht="15" customHeight="1" x14ac:dyDescent="0.2">
      <c r="A652" s="41" t="s">
        <v>4622</v>
      </c>
      <c r="B652" s="274" t="s">
        <v>3657</v>
      </c>
      <c r="C652" s="255" t="s">
        <v>2979</v>
      </c>
      <c r="D652" s="255" t="s">
        <v>3747</v>
      </c>
      <c r="E652" s="255" t="s">
        <v>3403</v>
      </c>
      <c r="F652" s="255" t="s">
        <v>3385</v>
      </c>
      <c r="G652" s="255" t="s">
        <v>3386</v>
      </c>
      <c r="H652" s="255" t="s">
        <v>3387</v>
      </c>
    </row>
    <row r="653" spans="1:8" ht="15" customHeight="1" x14ac:dyDescent="0.2">
      <c r="A653" s="41" t="s">
        <v>4681</v>
      </c>
      <c r="B653" s="274" t="s">
        <v>3657</v>
      </c>
      <c r="C653" s="255" t="s">
        <v>3230</v>
      </c>
      <c r="D653" s="255" t="s">
        <v>3229</v>
      </c>
      <c r="E653" s="255" t="s">
        <v>3403</v>
      </c>
      <c r="F653" s="255" t="s">
        <v>3385</v>
      </c>
      <c r="G653" s="255" t="s">
        <v>3386</v>
      </c>
      <c r="H653" s="255" t="s">
        <v>3387</v>
      </c>
    </row>
    <row r="654" spans="1:8" ht="15" customHeight="1" x14ac:dyDescent="0.2">
      <c r="A654" s="41" t="s">
        <v>4455</v>
      </c>
      <c r="B654" s="274" t="s">
        <v>3521</v>
      </c>
      <c r="C654" s="255" t="s">
        <v>3226</v>
      </c>
      <c r="D654" s="255" t="s">
        <v>3622</v>
      </c>
      <c r="E654" s="255" t="s">
        <v>3403</v>
      </c>
      <c r="F654" s="255" t="s">
        <v>3385</v>
      </c>
      <c r="G654" s="255" t="s">
        <v>3386</v>
      </c>
      <c r="H654" s="255" t="s">
        <v>3387</v>
      </c>
    </row>
    <row r="655" spans="1:8" ht="15" customHeight="1" x14ac:dyDescent="0.2">
      <c r="A655" s="41" t="s">
        <v>4719</v>
      </c>
      <c r="B655" s="274" t="s">
        <v>3657</v>
      </c>
      <c r="C655" s="255" t="s">
        <v>3278</v>
      </c>
      <c r="D655" s="255" t="s">
        <v>3277</v>
      </c>
      <c r="E655" s="255" t="s">
        <v>3403</v>
      </c>
      <c r="F655" s="255" t="s">
        <v>3385</v>
      </c>
      <c r="G655" s="255" t="s">
        <v>3386</v>
      </c>
      <c r="H655" s="255" t="s">
        <v>3387</v>
      </c>
    </row>
    <row r="656" spans="1:8" ht="15" customHeight="1" x14ac:dyDescent="0.2">
      <c r="A656" s="41" t="s">
        <v>4706</v>
      </c>
      <c r="B656" s="274" t="s">
        <v>3657</v>
      </c>
      <c r="C656" s="255" t="s">
        <v>3258</v>
      </c>
      <c r="D656" s="255" t="s">
        <v>3257</v>
      </c>
      <c r="E656" s="255" t="s">
        <v>3403</v>
      </c>
      <c r="F656" s="255" t="s">
        <v>3385</v>
      </c>
      <c r="G656" s="255" t="s">
        <v>3386</v>
      </c>
      <c r="H656" s="255" t="s">
        <v>3387</v>
      </c>
    </row>
    <row r="657" spans="1:8" ht="15" customHeight="1" x14ac:dyDescent="0.2">
      <c r="A657" s="41" t="s">
        <v>4730</v>
      </c>
      <c r="B657" s="274" t="s">
        <v>3657</v>
      </c>
      <c r="C657" s="255" t="s">
        <v>3292</v>
      </c>
      <c r="D657" s="255" t="s">
        <v>3291</v>
      </c>
      <c r="E657" s="255" t="s">
        <v>3403</v>
      </c>
      <c r="F657" s="255" t="s">
        <v>3385</v>
      </c>
      <c r="G657" s="255" t="s">
        <v>3386</v>
      </c>
      <c r="H657" s="255" t="s">
        <v>3387</v>
      </c>
    </row>
    <row r="658" spans="1:8" ht="15" customHeight="1" x14ac:dyDescent="0.2">
      <c r="A658" s="41" t="s">
        <v>4299</v>
      </c>
      <c r="B658" s="274" t="s">
        <v>3521</v>
      </c>
      <c r="C658" s="255" t="s">
        <v>3044</v>
      </c>
      <c r="D658" s="255" t="s">
        <v>3043</v>
      </c>
      <c r="E658" s="255" t="s">
        <v>3403</v>
      </c>
      <c r="F658" s="255" t="s">
        <v>3385</v>
      </c>
      <c r="G658" s="255" t="s">
        <v>3386</v>
      </c>
      <c r="H658" s="255" t="s">
        <v>3387</v>
      </c>
    </row>
    <row r="659" spans="1:8" ht="15" customHeight="1" x14ac:dyDescent="0.2">
      <c r="A659" s="41" t="s">
        <v>4252</v>
      </c>
      <c r="B659" s="274" t="s">
        <v>3521</v>
      </c>
      <c r="C659" s="255" t="s">
        <v>2416</v>
      </c>
      <c r="D659" s="255" t="s">
        <v>2415</v>
      </c>
      <c r="E659" s="255" t="s">
        <v>3403</v>
      </c>
      <c r="F659" s="255" t="s">
        <v>3385</v>
      </c>
      <c r="G659" s="255" t="s">
        <v>3386</v>
      </c>
      <c r="H659" s="255" t="s">
        <v>3387</v>
      </c>
    </row>
    <row r="660" spans="1:8" ht="15" customHeight="1" x14ac:dyDescent="0.2">
      <c r="A660" s="41" t="s">
        <v>4743</v>
      </c>
      <c r="B660" s="274" t="s">
        <v>3657</v>
      </c>
      <c r="C660" s="255" t="s">
        <v>3312</v>
      </c>
      <c r="D660" s="255" t="s">
        <v>3311</v>
      </c>
      <c r="E660" s="255" t="s">
        <v>3403</v>
      </c>
      <c r="F660" s="255" t="s">
        <v>3385</v>
      </c>
      <c r="G660" s="255" t="s">
        <v>3386</v>
      </c>
      <c r="H660" s="255" t="s">
        <v>3387</v>
      </c>
    </row>
    <row r="661" spans="1:8" ht="15" customHeight="1" x14ac:dyDescent="0.2">
      <c r="A661" s="41" t="s">
        <v>4185</v>
      </c>
      <c r="B661" s="274" t="s">
        <v>3521</v>
      </c>
      <c r="C661" s="255" t="s">
        <v>2142</v>
      </c>
      <c r="D661" s="255" t="s">
        <v>3525</v>
      </c>
      <c r="E661" s="255" t="s">
        <v>3403</v>
      </c>
      <c r="F661" s="255" t="s">
        <v>3389</v>
      </c>
      <c r="G661" s="255" t="s">
        <v>3526</v>
      </c>
      <c r="H661" s="255" t="s">
        <v>3392</v>
      </c>
    </row>
    <row r="662" spans="1:8" ht="15" customHeight="1" x14ac:dyDescent="0.2">
      <c r="A662" s="41" t="s">
        <v>4411</v>
      </c>
      <c r="B662" s="274" t="s">
        <v>3521</v>
      </c>
      <c r="C662" s="255" t="s">
        <v>3109</v>
      </c>
      <c r="D662" s="255" t="s">
        <v>3108</v>
      </c>
      <c r="E662" s="255" t="s">
        <v>3403</v>
      </c>
      <c r="F662" s="255" t="s">
        <v>3385</v>
      </c>
      <c r="G662" s="255" t="s">
        <v>3386</v>
      </c>
      <c r="H662" s="255" t="s">
        <v>3387</v>
      </c>
    </row>
    <row r="663" spans="1:8" ht="15" customHeight="1" x14ac:dyDescent="0.2">
      <c r="A663" s="41" t="s">
        <v>4342</v>
      </c>
      <c r="B663" s="274" t="s">
        <v>3521</v>
      </c>
      <c r="C663" s="255" t="s">
        <v>3075</v>
      </c>
      <c r="D663" s="255" t="s">
        <v>3074</v>
      </c>
      <c r="E663" s="255" t="s">
        <v>3403</v>
      </c>
      <c r="F663" s="255" t="s">
        <v>3385</v>
      </c>
      <c r="G663" s="255" t="s">
        <v>3386</v>
      </c>
      <c r="H663" s="255" t="s">
        <v>3387</v>
      </c>
    </row>
    <row r="664" spans="1:8" ht="15" customHeight="1" x14ac:dyDescent="0.2">
      <c r="A664" s="41" t="s">
        <v>4359</v>
      </c>
      <c r="B664" s="274" t="s">
        <v>3521</v>
      </c>
      <c r="C664" s="255" t="s">
        <v>3087</v>
      </c>
      <c r="D664" s="255" t="s">
        <v>3086</v>
      </c>
      <c r="E664" s="255" t="s">
        <v>3403</v>
      </c>
      <c r="F664" s="255" t="s">
        <v>3385</v>
      </c>
      <c r="G664" s="255" t="s">
        <v>3386</v>
      </c>
      <c r="H664" s="255" t="s">
        <v>3387</v>
      </c>
    </row>
    <row r="665" spans="1:8" ht="15" customHeight="1" x14ac:dyDescent="0.2">
      <c r="A665" s="41" t="s">
        <v>4211</v>
      </c>
      <c r="B665" s="274" t="s">
        <v>3521</v>
      </c>
      <c r="C665" s="255" t="s">
        <v>2496</v>
      </c>
      <c r="D665" s="255" t="s">
        <v>2495</v>
      </c>
      <c r="E665" s="255" t="s">
        <v>3403</v>
      </c>
      <c r="F665" s="255" t="s">
        <v>3385</v>
      </c>
      <c r="G665" s="255" t="s">
        <v>3386</v>
      </c>
      <c r="H665" s="255" t="s">
        <v>3387</v>
      </c>
    </row>
    <row r="666" spans="1:8" ht="15" customHeight="1" x14ac:dyDescent="0.2">
      <c r="A666" s="41" t="s">
        <v>4287</v>
      </c>
      <c r="B666" s="274" t="s">
        <v>3521</v>
      </c>
      <c r="C666" s="255" t="s">
        <v>2126</v>
      </c>
      <c r="D666" s="255" t="s">
        <v>2125</v>
      </c>
      <c r="E666" s="255" t="s">
        <v>3403</v>
      </c>
      <c r="F666" s="255" t="s">
        <v>3385</v>
      </c>
      <c r="G666" s="255" t="s">
        <v>3386</v>
      </c>
      <c r="H666" s="255" t="s">
        <v>3387</v>
      </c>
    </row>
    <row r="667" spans="1:8" ht="15" customHeight="1" x14ac:dyDescent="0.2">
      <c r="A667" s="41" t="s">
        <v>4271</v>
      </c>
      <c r="B667" s="274" t="s">
        <v>3521</v>
      </c>
      <c r="C667" s="255" t="s">
        <v>2122</v>
      </c>
      <c r="D667" s="255" t="s">
        <v>2121</v>
      </c>
      <c r="E667" s="255" t="s">
        <v>3403</v>
      </c>
      <c r="F667" s="255" t="s">
        <v>3385</v>
      </c>
      <c r="G667" s="255" t="s">
        <v>3386</v>
      </c>
      <c r="H667" s="255" t="s">
        <v>3387</v>
      </c>
    </row>
    <row r="668" spans="1:8" ht="15" customHeight="1" x14ac:dyDescent="0.2">
      <c r="A668" s="41" t="s">
        <v>4272</v>
      </c>
      <c r="B668" s="274" t="s">
        <v>3521</v>
      </c>
      <c r="C668" s="255" t="s">
        <v>2124</v>
      </c>
      <c r="D668" s="255" t="s">
        <v>2123</v>
      </c>
      <c r="E668" s="255" t="s">
        <v>3403</v>
      </c>
      <c r="F668" s="255" t="s">
        <v>3385</v>
      </c>
      <c r="G668" s="255" t="s">
        <v>3386</v>
      </c>
      <c r="H668" s="255" t="s">
        <v>3387</v>
      </c>
    </row>
    <row r="669" spans="1:8" ht="15" customHeight="1" x14ac:dyDescent="0.2">
      <c r="A669" s="41" t="s">
        <v>4273</v>
      </c>
      <c r="B669" s="274" t="s">
        <v>3521</v>
      </c>
      <c r="C669" s="255" t="s">
        <v>2418</v>
      </c>
      <c r="D669" s="255" t="s">
        <v>2417</v>
      </c>
      <c r="E669" s="255" t="s">
        <v>3403</v>
      </c>
      <c r="F669" s="255" t="s">
        <v>3385</v>
      </c>
      <c r="G669" s="255" t="s">
        <v>3386</v>
      </c>
      <c r="H669" s="255" t="s">
        <v>3387</v>
      </c>
    </row>
    <row r="670" spans="1:8" ht="15" customHeight="1" x14ac:dyDescent="0.2">
      <c r="A670" s="41" t="s">
        <v>4303</v>
      </c>
      <c r="B670" s="274" t="s">
        <v>3521</v>
      </c>
      <c r="C670" s="255" t="s">
        <v>3048</v>
      </c>
      <c r="D670" s="255" t="s">
        <v>3047</v>
      </c>
      <c r="E670" s="255" t="s">
        <v>3403</v>
      </c>
      <c r="F670" s="255" t="s">
        <v>3385</v>
      </c>
      <c r="G670" s="255" t="s">
        <v>3386</v>
      </c>
      <c r="H670" s="255" t="s">
        <v>3387</v>
      </c>
    </row>
    <row r="671" spans="1:8" ht="15" customHeight="1" x14ac:dyDescent="0.2">
      <c r="A671" s="41" t="s">
        <v>4274</v>
      </c>
      <c r="B671" s="274" t="s">
        <v>3521</v>
      </c>
      <c r="C671" s="255" t="s">
        <v>2420</v>
      </c>
      <c r="D671" s="255" t="s">
        <v>2419</v>
      </c>
      <c r="E671" s="255" t="s">
        <v>3403</v>
      </c>
      <c r="F671" s="255" t="s">
        <v>3385</v>
      </c>
      <c r="G671" s="255" t="s">
        <v>3386</v>
      </c>
      <c r="H671" s="255" t="s">
        <v>3387</v>
      </c>
    </row>
    <row r="672" spans="1:8" ht="15" customHeight="1" x14ac:dyDescent="0.2">
      <c r="A672" s="41" t="s">
        <v>4318</v>
      </c>
      <c r="B672" s="274" t="s">
        <v>3521</v>
      </c>
      <c r="C672" s="255" t="s">
        <v>2947</v>
      </c>
      <c r="D672" s="255" t="s">
        <v>3548</v>
      </c>
      <c r="E672" s="255" t="s">
        <v>3403</v>
      </c>
      <c r="F672" s="255" t="s">
        <v>3385</v>
      </c>
      <c r="G672" s="255" t="s">
        <v>3386</v>
      </c>
      <c r="H672" s="255" t="s">
        <v>3387</v>
      </c>
    </row>
    <row r="673" spans="1:8" ht="15" customHeight="1" x14ac:dyDescent="0.2">
      <c r="A673" s="41" t="s">
        <v>4284</v>
      </c>
      <c r="B673" s="274" t="s">
        <v>3521</v>
      </c>
      <c r="C673" s="255" t="s">
        <v>2422</v>
      </c>
      <c r="D673" s="255" t="s">
        <v>2421</v>
      </c>
      <c r="E673" s="255" t="s">
        <v>3403</v>
      </c>
      <c r="F673" s="255" t="s">
        <v>3385</v>
      </c>
      <c r="G673" s="255" t="s">
        <v>3386</v>
      </c>
      <c r="H673" s="255" t="s">
        <v>3387</v>
      </c>
    </row>
    <row r="674" spans="1:8" ht="15" customHeight="1" x14ac:dyDescent="0.2">
      <c r="A674" s="41" t="s">
        <v>4443</v>
      </c>
      <c r="B674" s="274" t="s">
        <v>3521</v>
      </c>
      <c r="C674" s="255" t="s">
        <v>3137</v>
      </c>
      <c r="D674" s="255" t="s">
        <v>3136</v>
      </c>
      <c r="E674" s="255" t="s">
        <v>3403</v>
      </c>
      <c r="F674" s="255" t="s">
        <v>3385</v>
      </c>
      <c r="G674" s="255" t="s">
        <v>3386</v>
      </c>
      <c r="H674" s="255" t="s">
        <v>3387</v>
      </c>
    </row>
    <row r="675" spans="1:8" ht="15" customHeight="1" x14ac:dyDescent="0.2">
      <c r="A675" s="41" t="s">
        <v>4361</v>
      </c>
      <c r="B675" s="274" t="s">
        <v>3521</v>
      </c>
      <c r="C675" s="255" t="s">
        <v>3091</v>
      </c>
      <c r="D675" s="255" t="s">
        <v>3090</v>
      </c>
      <c r="E675" s="255" t="s">
        <v>3403</v>
      </c>
      <c r="F675" s="255" t="s">
        <v>3385</v>
      </c>
      <c r="G675" s="255" t="s">
        <v>3386</v>
      </c>
      <c r="H675" s="255" t="s">
        <v>3387</v>
      </c>
    </row>
    <row r="676" spans="1:8" ht="15" customHeight="1" x14ac:dyDescent="0.2">
      <c r="A676" s="41" t="s">
        <v>4188</v>
      </c>
      <c r="B676" s="274" t="s">
        <v>3521</v>
      </c>
      <c r="C676" s="255" t="s">
        <v>2229</v>
      </c>
      <c r="D676" s="255" t="s">
        <v>2228</v>
      </c>
      <c r="E676" s="255" t="s">
        <v>3403</v>
      </c>
      <c r="F676" s="255" t="s">
        <v>3385</v>
      </c>
      <c r="G676" s="255" t="s">
        <v>3386</v>
      </c>
      <c r="H676" s="255" t="s">
        <v>3387</v>
      </c>
    </row>
    <row r="677" spans="1:8" ht="15" customHeight="1" x14ac:dyDescent="0.2">
      <c r="A677" s="41" t="s">
        <v>4183</v>
      </c>
      <c r="B677" s="274" t="s">
        <v>3521</v>
      </c>
      <c r="C677" s="255" t="s">
        <v>2713</v>
      </c>
      <c r="D677" s="255" t="s">
        <v>2712</v>
      </c>
      <c r="E677" s="255" t="s">
        <v>3403</v>
      </c>
      <c r="F677" s="255" t="s">
        <v>3385</v>
      </c>
      <c r="G677" s="255" t="s">
        <v>3386</v>
      </c>
      <c r="H677" s="255" t="s">
        <v>3387</v>
      </c>
    </row>
    <row r="678" spans="1:8" ht="15" customHeight="1" x14ac:dyDescent="0.2">
      <c r="A678" s="41" t="s">
        <v>4337</v>
      </c>
      <c r="B678" s="274" t="s">
        <v>3521</v>
      </c>
      <c r="C678" s="255" t="s">
        <v>3069</v>
      </c>
      <c r="D678" s="255" t="s">
        <v>3068</v>
      </c>
      <c r="E678" s="255" t="s">
        <v>3403</v>
      </c>
      <c r="F678" s="255" t="s">
        <v>3385</v>
      </c>
      <c r="G678" s="255" t="s">
        <v>3386</v>
      </c>
      <c r="H678" s="255" t="s">
        <v>3387</v>
      </c>
    </row>
    <row r="679" spans="1:8" ht="15" customHeight="1" x14ac:dyDescent="0.2">
      <c r="A679" s="41" t="s">
        <v>4440</v>
      </c>
      <c r="B679" s="274" t="s">
        <v>3521</v>
      </c>
      <c r="C679" s="255" t="s">
        <v>3133</v>
      </c>
      <c r="D679" s="255" t="s">
        <v>3132</v>
      </c>
      <c r="E679" s="255" t="s">
        <v>3403</v>
      </c>
      <c r="F679" s="255" t="s">
        <v>3385</v>
      </c>
      <c r="G679" s="255" t="s">
        <v>3386</v>
      </c>
      <c r="H679" s="255" t="s">
        <v>3387</v>
      </c>
    </row>
    <row r="680" spans="1:8" ht="15" customHeight="1" x14ac:dyDescent="0.2">
      <c r="A680" s="41" t="s">
        <v>4399</v>
      </c>
      <c r="B680" s="274" t="s">
        <v>3521</v>
      </c>
      <c r="C680" s="255" t="s">
        <v>3105</v>
      </c>
      <c r="D680" s="255" t="s">
        <v>3104</v>
      </c>
      <c r="E680" s="255" t="s">
        <v>3403</v>
      </c>
      <c r="F680" s="255" t="s">
        <v>3385</v>
      </c>
      <c r="G680" s="255" t="s">
        <v>3386</v>
      </c>
      <c r="H680" s="255" t="s">
        <v>3387</v>
      </c>
    </row>
    <row r="681" spans="1:8" ht="15" customHeight="1" x14ac:dyDescent="0.2">
      <c r="A681" s="41" t="s">
        <v>4278</v>
      </c>
      <c r="B681" s="274" t="s">
        <v>3521</v>
      </c>
      <c r="C681" s="255" t="s">
        <v>2331</v>
      </c>
      <c r="D681" s="255" t="s">
        <v>2330</v>
      </c>
      <c r="E681" s="255" t="s">
        <v>3403</v>
      </c>
      <c r="F681" s="255" t="s">
        <v>3385</v>
      </c>
      <c r="G681" s="255" t="s">
        <v>3386</v>
      </c>
      <c r="H681" s="255" t="s">
        <v>3387</v>
      </c>
    </row>
    <row r="682" spans="1:8" ht="15" customHeight="1" x14ac:dyDescent="0.2">
      <c r="A682" s="41" t="s">
        <v>4336</v>
      </c>
      <c r="B682" s="274" t="s">
        <v>3521</v>
      </c>
      <c r="C682" s="255" t="s">
        <v>3067</v>
      </c>
      <c r="D682" s="255" t="s">
        <v>3066</v>
      </c>
      <c r="E682" s="255" t="s">
        <v>3403</v>
      </c>
      <c r="F682" s="255" t="s">
        <v>3385</v>
      </c>
      <c r="G682" s="255" t="s">
        <v>3386</v>
      </c>
      <c r="H682" s="255" t="s">
        <v>3387</v>
      </c>
    </row>
    <row r="683" spans="1:8" ht="15" customHeight="1" x14ac:dyDescent="0.2">
      <c r="A683" s="41" t="s">
        <v>4182</v>
      </c>
      <c r="B683" s="274" t="s">
        <v>3521</v>
      </c>
      <c r="C683" s="255" t="s">
        <v>2572</v>
      </c>
      <c r="D683" s="255" t="s">
        <v>2571</v>
      </c>
      <c r="E683" s="255" t="s">
        <v>3403</v>
      </c>
      <c r="F683" s="255" t="s">
        <v>3385</v>
      </c>
      <c r="G683" s="255" t="s">
        <v>3386</v>
      </c>
      <c r="H683" s="255" t="s">
        <v>3387</v>
      </c>
    </row>
    <row r="684" spans="1:8" ht="15" customHeight="1" x14ac:dyDescent="0.2">
      <c r="A684" s="41" t="s">
        <v>4180</v>
      </c>
      <c r="B684" s="274" t="s">
        <v>3521</v>
      </c>
      <c r="C684" s="255" t="s">
        <v>2711</v>
      </c>
      <c r="D684" s="255" t="s">
        <v>2710</v>
      </c>
      <c r="E684" s="255" t="s">
        <v>3403</v>
      </c>
      <c r="F684" s="255" t="s">
        <v>3385</v>
      </c>
      <c r="G684" s="255" t="s">
        <v>3386</v>
      </c>
      <c r="H684" s="255" t="s">
        <v>3387</v>
      </c>
    </row>
    <row r="685" spans="1:8" ht="15" customHeight="1" x14ac:dyDescent="0.2">
      <c r="A685" s="41" t="s">
        <v>4275</v>
      </c>
      <c r="B685" s="274" t="s">
        <v>3521</v>
      </c>
      <c r="C685" s="255" t="s">
        <v>2199</v>
      </c>
      <c r="D685" s="255" t="s">
        <v>2198</v>
      </c>
      <c r="E685" s="255" t="s">
        <v>3403</v>
      </c>
      <c r="F685" s="255" t="s">
        <v>3385</v>
      </c>
      <c r="G685" s="255" t="s">
        <v>3386</v>
      </c>
      <c r="H685" s="255" t="s">
        <v>3387</v>
      </c>
    </row>
    <row r="686" spans="1:8" ht="15" customHeight="1" x14ac:dyDescent="0.2">
      <c r="A686" s="41" t="s">
        <v>4186</v>
      </c>
      <c r="B686" s="274" t="s">
        <v>3521</v>
      </c>
      <c r="C686" s="255" t="s">
        <v>2317</v>
      </c>
      <c r="D686" s="255" t="s">
        <v>2316</v>
      </c>
      <c r="E686" s="255" t="s">
        <v>3403</v>
      </c>
      <c r="F686" s="255" t="s">
        <v>3385</v>
      </c>
      <c r="G686" s="255" t="s">
        <v>3386</v>
      </c>
      <c r="H686" s="255" t="s">
        <v>3387</v>
      </c>
    </row>
    <row r="687" spans="1:8" ht="15" customHeight="1" x14ac:dyDescent="0.2">
      <c r="A687" s="41" t="s">
        <v>4276</v>
      </c>
      <c r="B687" s="274" t="s">
        <v>3521</v>
      </c>
      <c r="C687" s="255" t="s">
        <v>2144</v>
      </c>
      <c r="D687" s="255" t="s">
        <v>2143</v>
      </c>
      <c r="E687" s="255" t="s">
        <v>3403</v>
      </c>
      <c r="F687" s="255" t="s">
        <v>3385</v>
      </c>
      <c r="G687" s="255" t="s">
        <v>3386</v>
      </c>
      <c r="H687" s="255" t="s">
        <v>3387</v>
      </c>
    </row>
    <row r="688" spans="1:8" ht="15" customHeight="1" x14ac:dyDescent="0.2">
      <c r="A688" s="41" t="s">
        <v>4236</v>
      </c>
      <c r="B688" s="274" t="s">
        <v>3521</v>
      </c>
      <c r="C688" s="255" t="s">
        <v>2184</v>
      </c>
      <c r="D688" s="255" t="s">
        <v>2183</v>
      </c>
      <c r="E688" s="255" t="s">
        <v>3403</v>
      </c>
      <c r="F688" s="255" t="s">
        <v>3385</v>
      </c>
      <c r="G688" s="255" t="s">
        <v>3386</v>
      </c>
      <c r="H688" s="255" t="s">
        <v>3387</v>
      </c>
    </row>
    <row r="689" spans="1:8" ht="15" customHeight="1" x14ac:dyDescent="0.2">
      <c r="A689" s="41" t="s">
        <v>4277</v>
      </c>
      <c r="B689" s="274" t="s">
        <v>3521</v>
      </c>
      <c r="C689" s="255" t="s">
        <v>2237</v>
      </c>
      <c r="D689" s="255" t="s">
        <v>2236</v>
      </c>
      <c r="E689" s="255" t="s">
        <v>3403</v>
      </c>
      <c r="F689" s="255" t="s">
        <v>3385</v>
      </c>
      <c r="G689" s="255" t="s">
        <v>3386</v>
      </c>
      <c r="H689" s="255" t="s">
        <v>3387</v>
      </c>
    </row>
    <row r="690" spans="1:8" ht="15" customHeight="1" x14ac:dyDescent="0.2">
      <c r="A690" s="41" t="s">
        <v>4315</v>
      </c>
      <c r="B690" s="274" t="s">
        <v>3521</v>
      </c>
      <c r="C690" s="255" t="s">
        <v>2730</v>
      </c>
      <c r="D690" s="255" t="s">
        <v>3545</v>
      </c>
      <c r="E690" s="255" t="s">
        <v>3403</v>
      </c>
      <c r="F690" s="255" t="s">
        <v>3385</v>
      </c>
      <c r="G690" s="255" t="s">
        <v>3386</v>
      </c>
      <c r="H690" s="255" t="s">
        <v>3387</v>
      </c>
    </row>
    <row r="691" spans="1:8" ht="15" customHeight="1" x14ac:dyDescent="0.2">
      <c r="A691" s="41" t="s">
        <v>4418</v>
      </c>
      <c r="B691" s="274" t="s">
        <v>3521</v>
      </c>
      <c r="C691" s="255" t="s">
        <v>3115</v>
      </c>
      <c r="D691" s="255" t="s">
        <v>3114</v>
      </c>
      <c r="E691" s="255" t="s">
        <v>3403</v>
      </c>
      <c r="F691" s="255" t="s">
        <v>3385</v>
      </c>
      <c r="G691" s="255" t="s">
        <v>3386</v>
      </c>
      <c r="H691" s="255" t="s">
        <v>3387</v>
      </c>
    </row>
    <row r="692" spans="1:8" ht="15" customHeight="1" x14ac:dyDescent="0.2">
      <c r="A692" s="41" t="s">
        <v>4239</v>
      </c>
      <c r="B692" s="274" t="s">
        <v>3521</v>
      </c>
      <c r="C692" s="255" t="s">
        <v>2929</v>
      </c>
      <c r="D692" s="255" t="s">
        <v>2928</v>
      </c>
      <c r="E692" s="255" t="s">
        <v>3403</v>
      </c>
      <c r="F692" s="255" t="s">
        <v>3385</v>
      </c>
      <c r="G692" s="255" t="s">
        <v>3386</v>
      </c>
      <c r="H692" s="255" t="s">
        <v>3387</v>
      </c>
    </row>
    <row r="693" spans="1:8" ht="15" customHeight="1" x14ac:dyDescent="0.2">
      <c r="A693" s="41" t="s">
        <v>4353</v>
      </c>
      <c r="B693" s="274" t="s">
        <v>3521</v>
      </c>
      <c r="C693" s="255" t="s">
        <v>2602</v>
      </c>
      <c r="D693" s="255" t="s">
        <v>2601</v>
      </c>
      <c r="E693" s="255" t="s">
        <v>3403</v>
      </c>
      <c r="F693" s="255" t="s">
        <v>3385</v>
      </c>
      <c r="G693" s="255" t="s">
        <v>3386</v>
      </c>
      <c r="H693" s="255" t="s">
        <v>3387</v>
      </c>
    </row>
    <row r="694" spans="1:8" ht="15" customHeight="1" x14ac:dyDescent="0.2">
      <c r="A694" s="41" t="s">
        <v>4256</v>
      </c>
      <c r="B694" s="274" t="s">
        <v>3521</v>
      </c>
      <c r="C694" s="255" t="s">
        <v>2940</v>
      </c>
      <c r="D694" s="255" t="s">
        <v>2939</v>
      </c>
      <c r="E694" s="255" t="s">
        <v>3403</v>
      </c>
      <c r="F694" s="255" t="s">
        <v>3385</v>
      </c>
      <c r="G694" s="255" t="s">
        <v>3386</v>
      </c>
      <c r="H694" s="255" t="s">
        <v>3387</v>
      </c>
    </row>
    <row r="695" spans="1:8" ht="15" customHeight="1" x14ac:dyDescent="0.2">
      <c r="A695" s="41" t="s">
        <v>4325</v>
      </c>
      <c r="B695" s="274" t="s">
        <v>3521</v>
      </c>
      <c r="C695" s="255" t="s">
        <v>3059</v>
      </c>
      <c r="D695" s="255" t="s">
        <v>3554</v>
      </c>
      <c r="E695" s="255" t="s">
        <v>3403</v>
      </c>
      <c r="F695" s="255" t="s">
        <v>3385</v>
      </c>
      <c r="G695" s="255" t="s">
        <v>3386</v>
      </c>
      <c r="H695" s="255" t="s">
        <v>3387</v>
      </c>
    </row>
    <row r="696" spans="1:8" ht="15" customHeight="1" x14ac:dyDescent="0.2">
      <c r="A696" s="41" t="s">
        <v>4307</v>
      </c>
      <c r="B696" s="274" t="s">
        <v>3521</v>
      </c>
      <c r="C696" s="255" t="s">
        <v>2254</v>
      </c>
      <c r="D696" s="255" t="s">
        <v>2253</v>
      </c>
      <c r="E696" s="255" t="s">
        <v>3403</v>
      </c>
      <c r="F696" s="255" t="s">
        <v>3385</v>
      </c>
      <c r="G696" s="255" t="s">
        <v>3386</v>
      </c>
      <c r="H696" s="255" t="s">
        <v>3387</v>
      </c>
    </row>
    <row r="697" spans="1:8" ht="15" customHeight="1" x14ac:dyDescent="0.2">
      <c r="A697" s="41" t="s">
        <v>4210</v>
      </c>
      <c r="B697" s="274" t="s">
        <v>3521</v>
      </c>
      <c r="C697" s="255" t="s">
        <v>2494</v>
      </c>
      <c r="D697" s="255" t="s">
        <v>2493</v>
      </c>
      <c r="E697" s="255" t="s">
        <v>3403</v>
      </c>
      <c r="F697" s="255" t="s">
        <v>3385</v>
      </c>
      <c r="G697" s="255" t="s">
        <v>3386</v>
      </c>
      <c r="H697" s="255" t="s">
        <v>3387</v>
      </c>
    </row>
    <row r="698" spans="1:8" ht="15" customHeight="1" x14ac:dyDescent="0.2">
      <c r="A698" s="41" t="s">
        <v>4428</v>
      </c>
      <c r="B698" s="274" t="s">
        <v>3521</v>
      </c>
      <c r="C698" s="255" t="s">
        <v>2775</v>
      </c>
      <c r="D698" s="255" t="s">
        <v>3615</v>
      </c>
      <c r="E698" s="255" t="s">
        <v>3403</v>
      </c>
      <c r="F698" s="255" t="s">
        <v>3385</v>
      </c>
      <c r="G698" s="255" t="s">
        <v>3386</v>
      </c>
      <c r="H698" s="255" t="s">
        <v>3387</v>
      </c>
    </row>
    <row r="699" spans="1:8" ht="15" customHeight="1" x14ac:dyDescent="0.2">
      <c r="A699" s="41" t="s">
        <v>4187</v>
      </c>
      <c r="B699" s="274" t="s">
        <v>3521</v>
      </c>
      <c r="C699" s="255" t="s">
        <v>2319</v>
      </c>
      <c r="D699" s="255" t="s">
        <v>2318</v>
      </c>
      <c r="E699" s="255" t="s">
        <v>3403</v>
      </c>
      <c r="F699" s="255" t="s">
        <v>3385</v>
      </c>
      <c r="G699" s="255" t="s">
        <v>3386</v>
      </c>
      <c r="H699" s="255" t="s">
        <v>3387</v>
      </c>
    </row>
    <row r="700" spans="1:8" ht="15" customHeight="1" x14ac:dyDescent="0.2">
      <c r="A700" s="41" t="s">
        <v>4228</v>
      </c>
      <c r="B700" s="274" t="s">
        <v>3521</v>
      </c>
      <c r="C700" s="255" t="s">
        <v>2923</v>
      </c>
      <c r="D700" s="255" t="s">
        <v>2922</v>
      </c>
      <c r="E700" s="255" t="s">
        <v>3403</v>
      </c>
      <c r="F700" s="255" t="s">
        <v>3385</v>
      </c>
      <c r="G700" s="255" t="s">
        <v>3386</v>
      </c>
      <c r="H700" s="255" t="s">
        <v>3387</v>
      </c>
    </row>
    <row r="701" spans="1:8" ht="15" customHeight="1" x14ac:dyDescent="0.2">
      <c r="A701" s="41" t="s">
        <v>4215</v>
      </c>
      <c r="B701" s="274" t="s">
        <v>3521</v>
      </c>
      <c r="C701" s="255" t="s">
        <v>2583</v>
      </c>
      <c r="D701" s="255" t="s">
        <v>2582</v>
      </c>
      <c r="E701" s="255" t="s">
        <v>3403</v>
      </c>
      <c r="F701" s="255" t="s">
        <v>3385</v>
      </c>
      <c r="G701" s="255" t="s">
        <v>3386</v>
      </c>
      <c r="H701" s="255" t="s">
        <v>3387</v>
      </c>
    </row>
    <row r="702" spans="1:8" ht="15" customHeight="1" x14ac:dyDescent="0.2">
      <c r="A702" s="41" t="s">
        <v>4190</v>
      </c>
      <c r="B702" s="274" t="s">
        <v>3521</v>
      </c>
      <c r="C702" s="255" t="s">
        <v>2369</v>
      </c>
      <c r="D702" s="255" t="s">
        <v>2368</v>
      </c>
      <c r="E702" s="255" t="s">
        <v>3403</v>
      </c>
      <c r="F702" s="255" t="s">
        <v>3385</v>
      </c>
      <c r="G702" s="255" t="s">
        <v>3386</v>
      </c>
      <c r="H702" s="255" t="s">
        <v>3387</v>
      </c>
    </row>
    <row r="703" spans="1:8" ht="15" customHeight="1" x14ac:dyDescent="0.2">
      <c r="A703" s="41" t="s">
        <v>4194</v>
      </c>
      <c r="B703" s="274" t="s">
        <v>3521</v>
      </c>
      <c r="C703" s="255" t="s">
        <v>2282</v>
      </c>
      <c r="D703" s="255" t="s">
        <v>2281</v>
      </c>
      <c r="E703" s="255" t="s">
        <v>3403</v>
      </c>
      <c r="F703" s="255" t="s">
        <v>3385</v>
      </c>
      <c r="G703" s="255" t="s">
        <v>3386</v>
      </c>
      <c r="H703" s="255" t="s">
        <v>3387</v>
      </c>
    </row>
    <row r="704" spans="1:8" ht="15" customHeight="1" x14ac:dyDescent="0.2">
      <c r="A704" s="41" t="s">
        <v>4202</v>
      </c>
      <c r="B704" s="274" t="s">
        <v>3521</v>
      </c>
      <c r="C704" s="255" t="s">
        <v>2409</v>
      </c>
      <c r="D704" s="255" t="s">
        <v>2408</v>
      </c>
      <c r="E704" s="255" t="s">
        <v>3403</v>
      </c>
      <c r="F704" s="255" t="s">
        <v>3385</v>
      </c>
      <c r="G704" s="255" t="s">
        <v>3386</v>
      </c>
      <c r="H704" s="255" t="s">
        <v>3387</v>
      </c>
    </row>
    <row r="705" spans="1:8" ht="15" customHeight="1" x14ac:dyDescent="0.2">
      <c r="A705" s="41" t="s">
        <v>4208</v>
      </c>
      <c r="B705" s="274" t="s">
        <v>3521</v>
      </c>
      <c r="C705" s="255" t="s">
        <v>2235</v>
      </c>
      <c r="D705" s="255" t="s">
        <v>2234</v>
      </c>
      <c r="E705" s="255" t="s">
        <v>3403</v>
      </c>
      <c r="F705" s="255" t="s">
        <v>3385</v>
      </c>
      <c r="G705" s="255" t="s">
        <v>3386</v>
      </c>
      <c r="H705" s="255" t="s">
        <v>3387</v>
      </c>
    </row>
    <row r="706" spans="1:8" ht="15" customHeight="1" x14ac:dyDescent="0.2">
      <c r="A706" s="41" t="s">
        <v>4191</v>
      </c>
      <c r="B706" s="274" t="s">
        <v>3521</v>
      </c>
      <c r="C706" s="255" t="s">
        <v>2321</v>
      </c>
      <c r="D706" s="255" t="s">
        <v>2320</v>
      </c>
      <c r="E706" s="255" t="s">
        <v>3403</v>
      </c>
      <c r="F706" s="255" t="s">
        <v>3385</v>
      </c>
      <c r="G706" s="255" t="s">
        <v>3386</v>
      </c>
      <c r="H706" s="255" t="s">
        <v>3387</v>
      </c>
    </row>
    <row r="707" spans="1:8" ht="15" customHeight="1" x14ac:dyDescent="0.2">
      <c r="A707" s="41" t="s">
        <v>4237</v>
      </c>
      <c r="B707" s="274" t="s">
        <v>3521</v>
      </c>
      <c r="C707" s="255" t="s">
        <v>2506</v>
      </c>
      <c r="D707" s="255" t="s">
        <v>2505</v>
      </c>
      <c r="E707" s="255" t="s">
        <v>3403</v>
      </c>
      <c r="F707" s="255" t="s">
        <v>3385</v>
      </c>
      <c r="G707" s="255" t="s">
        <v>3386</v>
      </c>
      <c r="H707" s="255" t="s">
        <v>3387</v>
      </c>
    </row>
    <row r="708" spans="1:8" ht="15" customHeight="1" x14ac:dyDescent="0.2">
      <c r="A708" s="41" t="s">
        <v>4235</v>
      </c>
      <c r="B708" s="274" t="s">
        <v>3521</v>
      </c>
      <c r="C708" s="255" t="s">
        <v>2925</v>
      </c>
      <c r="D708" s="255" t="s">
        <v>2924</v>
      </c>
      <c r="E708" s="255" t="s">
        <v>3403</v>
      </c>
      <c r="F708" s="255" t="s">
        <v>3385</v>
      </c>
      <c r="G708" s="255" t="s">
        <v>3386</v>
      </c>
      <c r="H708" s="255" t="s">
        <v>3387</v>
      </c>
    </row>
    <row r="709" spans="1:8" ht="15" customHeight="1" x14ac:dyDescent="0.2">
      <c r="A709" s="41" t="s">
        <v>4261</v>
      </c>
      <c r="B709" s="274" t="s">
        <v>3521</v>
      </c>
      <c r="C709" s="255" t="s">
        <v>2725</v>
      </c>
      <c r="D709" s="255" t="s">
        <v>2724</v>
      </c>
      <c r="E709" s="255" t="s">
        <v>3403</v>
      </c>
      <c r="F709" s="255" t="s">
        <v>3385</v>
      </c>
      <c r="G709" s="255" t="s">
        <v>3386</v>
      </c>
      <c r="H709" s="255" t="s">
        <v>3387</v>
      </c>
    </row>
    <row r="710" spans="1:8" ht="15" customHeight="1" x14ac:dyDescent="0.2">
      <c r="A710" s="41" t="s">
        <v>4345</v>
      </c>
      <c r="B710" s="274" t="s">
        <v>3521</v>
      </c>
      <c r="C710" s="255" t="s">
        <v>3079</v>
      </c>
      <c r="D710" s="255" t="s">
        <v>3078</v>
      </c>
      <c r="E710" s="255" t="s">
        <v>3403</v>
      </c>
      <c r="F710" s="255" t="s">
        <v>3385</v>
      </c>
      <c r="G710" s="255" t="s">
        <v>3386</v>
      </c>
      <c r="H710" s="255" t="s">
        <v>3387</v>
      </c>
    </row>
    <row r="711" spans="1:8" ht="15" customHeight="1" x14ac:dyDescent="0.2">
      <c r="A711" s="41" t="s">
        <v>4362</v>
      </c>
      <c r="B711" s="274" t="s">
        <v>3521</v>
      </c>
      <c r="C711" s="255" t="s">
        <v>2433</v>
      </c>
      <c r="D711" s="255" t="s">
        <v>2432</v>
      </c>
      <c r="E711" s="255" t="s">
        <v>3403</v>
      </c>
      <c r="F711" s="255" t="s">
        <v>3385</v>
      </c>
      <c r="G711" s="255" t="s">
        <v>3386</v>
      </c>
      <c r="H711" s="255" t="s">
        <v>3387</v>
      </c>
    </row>
    <row r="712" spans="1:8" ht="15" customHeight="1" x14ac:dyDescent="0.2">
      <c r="A712" s="41" t="s">
        <v>4335</v>
      </c>
      <c r="B712" s="274" t="s">
        <v>3521</v>
      </c>
      <c r="C712" s="255" t="s">
        <v>3065</v>
      </c>
      <c r="D712" s="255" t="s">
        <v>3064</v>
      </c>
      <c r="E712" s="255" t="s">
        <v>3403</v>
      </c>
      <c r="F712" s="255" t="s">
        <v>3385</v>
      </c>
      <c r="G712" s="255" t="s">
        <v>3386</v>
      </c>
      <c r="H712" s="255" t="s">
        <v>3387</v>
      </c>
    </row>
    <row r="713" spans="1:8" ht="15" customHeight="1" x14ac:dyDescent="0.2">
      <c r="A713" s="41" t="s">
        <v>4290</v>
      </c>
      <c r="B713" s="274" t="s">
        <v>3521</v>
      </c>
      <c r="C713" s="255" t="s">
        <v>2727</v>
      </c>
      <c r="D713" s="255" t="s">
        <v>2726</v>
      </c>
      <c r="E713" s="255" t="s">
        <v>3403</v>
      </c>
      <c r="F713" s="255" t="s">
        <v>3385</v>
      </c>
      <c r="G713" s="255" t="s">
        <v>3386</v>
      </c>
      <c r="H713" s="255" t="s">
        <v>3387</v>
      </c>
    </row>
    <row r="714" spans="1:8" ht="15" customHeight="1" x14ac:dyDescent="0.2">
      <c r="A714" s="41" t="s">
        <v>4308</v>
      </c>
      <c r="B714" s="274" t="s">
        <v>3521</v>
      </c>
      <c r="C714" s="255" t="s">
        <v>2381</v>
      </c>
      <c r="D714" s="255" t="s">
        <v>2380</v>
      </c>
      <c r="E714" s="255" t="s">
        <v>3403</v>
      </c>
      <c r="F714" s="255" t="s">
        <v>3385</v>
      </c>
      <c r="G714" s="255" t="s">
        <v>3386</v>
      </c>
      <c r="H714" s="255" t="s">
        <v>3387</v>
      </c>
    </row>
    <row r="715" spans="1:8" ht="15" customHeight="1" x14ac:dyDescent="0.2">
      <c r="A715" s="41" t="s">
        <v>4251</v>
      </c>
      <c r="B715" s="274" t="s">
        <v>3521</v>
      </c>
      <c r="C715" s="255" t="s">
        <v>2723</v>
      </c>
      <c r="D715" s="255" t="s">
        <v>2722</v>
      </c>
      <c r="E715" s="255" t="s">
        <v>3403</v>
      </c>
      <c r="F715" s="255" t="s">
        <v>3385</v>
      </c>
      <c r="G715" s="255" t="s">
        <v>3386</v>
      </c>
      <c r="H715" s="255" t="s">
        <v>3387</v>
      </c>
    </row>
    <row r="716" spans="1:8" ht="15" customHeight="1" x14ac:dyDescent="0.2">
      <c r="A716" s="41" t="s">
        <v>4350</v>
      </c>
      <c r="B716" s="274" t="s">
        <v>3521</v>
      </c>
      <c r="C716" s="255" t="s">
        <v>3082</v>
      </c>
      <c r="D716" s="255" t="s">
        <v>3081</v>
      </c>
      <c r="E716" s="255" t="s">
        <v>3403</v>
      </c>
      <c r="F716" s="255" t="s">
        <v>3385</v>
      </c>
      <c r="G716" s="255" t="s">
        <v>3386</v>
      </c>
      <c r="H716" s="255" t="s">
        <v>3387</v>
      </c>
    </row>
    <row r="717" spans="1:8" ht="15" customHeight="1" x14ac:dyDescent="0.2">
      <c r="A717" s="41" t="s">
        <v>4200</v>
      </c>
      <c r="B717" s="274" t="s">
        <v>3521</v>
      </c>
      <c r="C717" s="255" t="s">
        <v>2492</v>
      </c>
      <c r="D717" s="255" t="s">
        <v>2491</v>
      </c>
      <c r="E717" s="255" t="s">
        <v>3403</v>
      </c>
      <c r="F717" s="255" t="s">
        <v>3385</v>
      </c>
      <c r="G717" s="255" t="s">
        <v>3386</v>
      </c>
      <c r="H717" s="255" t="s">
        <v>3387</v>
      </c>
    </row>
    <row r="718" spans="1:8" ht="15" customHeight="1" x14ac:dyDescent="0.2">
      <c r="A718" s="41" t="s">
        <v>4204</v>
      </c>
      <c r="B718" s="274" t="s">
        <v>3521</v>
      </c>
      <c r="C718" s="255" t="s">
        <v>2411</v>
      </c>
      <c r="D718" s="255" t="s">
        <v>2410</v>
      </c>
      <c r="E718" s="255" t="s">
        <v>3403</v>
      </c>
      <c r="F718" s="255" t="s">
        <v>3385</v>
      </c>
      <c r="G718" s="255" t="s">
        <v>3386</v>
      </c>
      <c r="H718" s="255" t="s">
        <v>3387</v>
      </c>
    </row>
    <row r="719" spans="1:8" ht="15" customHeight="1" x14ac:dyDescent="0.2">
      <c r="A719" s="41" t="s">
        <v>4213</v>
      </c>
      <c r="B719" s="274" t="s">
        <v>3521</v>
      </c>
      <c r="C719" s="255" t="s">
        <v>2413</v>
      </c>
      <c r="D719" s="255" t="s">
        <v>2412</v>
      </c>
      <c r="E719" s="255" t="s">
        <v>3403</v>
      </c>
      <c r="F719" s="255" t="s">
        <v>3385</v>
      </c>
      <c r="G719" s="255" t="s">
        <v>3386</v>
      </c>
      <c r="H719" s="255" t="s">
        <v>3387</v>
      </c>
    </row>
    <row r="720" spans="1:8" ht="15" customHeight="1" x14ac:dyDescent="0.2">
      <c r="A720" s="41" t="s">
        <v>4199</v>
      </c>
      <c r="B720" s="274" t="s">
        <v>3521</v>
      </c>
      <c r="C720" s="255" t="s">
        <v>2325</v>
      </c>
      <c r="D720" s="255" t="s">
        <v>2324</v>
      </c>
      <c r="E720" s="255" t="s">
        <v>3403</v>
      </c>
      <c r="F720" s="255" t="s">
        <v>3385</v>
      </c>
      <c r="G720" s="255" t="s">
        <v>3386</v>
      </c>
      <c r="H720" s="255" t="s">
        <v>3387</v>
      </c>
    </row>
    <row r="721" spans="1:8" ht="15" customHeight="1" x14ac:dyDescent="0.2">
      <c r="A721" s="41" t="s">
        <v>4196</v>
      </c>
      <c r="B721" s="274" t="s">
        <v>3521</v>
      </c>
      <c r="C721" s="255" t="s">
        <v>2371</v>
      </c>
      <c r="D721" s="255" t="s">
        <v>2370</v>
      </c>
      <c r="E721" s="255" t="s">
        <v>3403</v>
      </c>
      <c r="F721" s="255" t="s">
        <v>3385</v>
      </c>
      <c r="G721" s="255" t="s">
        <v>3386</v>
      </c>
      <c r="H721" s="255" t="s">
        <v>3387</v>
      </c>
    </row>
    <row r="722" spans="1:8" ht="15" customHeight="1" x14ac:dyDescent="0.2">
      <c r="A722" s="41" t="s">
        <v>4289</v>
      </c>
      <c r="B722" s="274" t="s">
        <v>3521</v>
      </c>
      <c r="C722" s="255" t="s">
        <v>2424</v>
      </c>
      <c r="D722" s="255" t="s">
        <v>2423</v>
      </c>
      <c r="E722" s="255" t="s">
        <v>3403</v>
      </c>
      <c r="F722" s="255" t="s">
        <v>3385</v>
      </c>
      <c r="G722" s="255" t="s">
        <v>3386</v>
      </c>
      <c r="H722" s="255" t="s">
        <v>3387</v>
      </c>
    </row>
    <row r="723" spans="1:8" ht="15" customHeight="1" x14ac:dyDescent="0.2">
      <c r="A723" s="41" t="s">
        <v>4421</v>
      </c>
      <c r="B723" s="274" t="s">
        <v>3521</v>
      </c>
      <c r="C723" s="255" t="s">
        <v>3118</v>
      </c>
      <c r="D723" s="255" t="s">
        <v>3609</v>
      </c>
      <c r="E723" s="255" t="s">
        <v>3403</v>
      </c>
      <c r="F723" s="255" t="s">
        <v>3385</v>
      </c>
      <c r="G723" s="255" t="s">
        <v>3386</v>
      </c>
      <c r="H723" s="255" t="s">
        <v>3387</v>
      </c>
    </row>
    <row r="724" spans="1:8" ht="15" customHeight="1" x14ac:dyDescent="0.2">
      <c r="A724" s="41" t="s">
        <v>4242</v>
      </c>
      <c r="B724" s="274" t="s">
        <v>3521</v>
      </c>
      <c r="C724" s="255" t="s">
        <v>2931</v>
      </c>
      <c r="D724" s="255" t="s">
        <v>2930</v>
      </c>
      <c r="E724" s="255" t="s">
        <v>3403</v>
      </c>
      <c r="F724" s="255" t="s">
        <v>3385</v>
      </c>
      <c r="G724" s="255" t="s">
        <v>3386</v>
      </c>
      <c r="H724" s="255" t="s">
        <v>3387</v>
      </c>
    </row>
    <row r="725" spans="1:8" ht="15" customHeight="1" x14ac:dyDescent="0.2">
      <c r="A725" s="41" t="s">
        <v>4232</v>
      </c>
      <c r="B725" s="274" t="s">
        <v>3521</v>
      </c>
      <c r="C725" s="255" t="s">
        <v>2504</v>
      </c>
      <c r="D725" s="255" t="s">
        <v>2503</v>
      </c>
      <c r="E725" s="255" t="s">
        <v>3403</v>
      </c>
      <c r="F725" s="255" t="s">
        <v>3385</v>
      </c>
      <c r="G725" s="255" t="s">
        <v>3386</v>
      </c>
      <c r="H725" s="255" t="s">
        <v>3387</v>
      </c>
    </row>
    <row r="726" spans="1:8" ht="15" customHeight="1" x14ac:dyDescent="0.2">
      <c r="A726" s="41" t="s">
        <v>4241</v>
      </c>
      <c r="B726" s="274" t="s">
        <v>3521</v>
      </c>
      <c r="C726" s="255" t="s">
        <v>2589</v>
      </c>
      <c r="D726" s="255" t="s">
        <v>2588</v>
      </c>
      <c r="E726" s="255" t="s">
        <v>3403</v>
      </c>
      <c r="F726" s="255" t="s">
        <v>3385</v>
      </c>
      <c r="G726" s="255" t="s">
        <v>3386</v>
      </c>
      <c r="H726" s="255" t="s">
        <v>3387</v>
      </c>
    </row>
    <row r="727" spans="1:8" ht="15" customHeight="1" x14ac:dyDescent="0.2">
      <c r="A727" s="41" t="s">
        <v>4246</v>
      </c>
      <c r="B727" s="274" t="s">
        <v>3521</v>
      </c>
      <c r="C727" s="255" t="s">
        <v>3030</v>
      </c>
      <c r="D727" s="255" t="s">
        <v>3029</v>
      </c>
      <c r="E727" s="255" t="s">
        <v>3403</v>
      </c>
      <c r="F727" s="255" t="s">
        <v>3385</v>
      </c>
      <c r="G727" s="255" t="s">
        <v>3386</v>
      </c>
      <c r="H727" s="255" t="s">
        <v>3387</v>
      </c>
    </row>
    <row r="728" spans="1:8" ht="15" customHeight="1" x14ac:dyDescent="0.2">
      <c r="A728" s="41" t="s">
        <v>4220</v>
      </c>
      <c r="B728" s="274" t="s">
        <v>3521</v>
      </c>
      <c r="C728" s="255" t="s">
        <v>2585</v>
      </c>
      <c r="D728" s="255" t="s">
        <v>2584</v>
      </c>
      <c r="E728" s="255" t="s">
        <v>3403</v>
      </c>
      <c r="F728" s="255" t="s">
        <v>3385</v>
      </c>
      <c r="G728" s="255" t="s">
        <v>3386</v>
      </c>
      <c r="H728" s="255" t="s">
        <v>3387</v>
      </c>
    </row>
    <row r="729" spans="1:8" ht="15" customHeight="1" x14ac:dyDescent="0.2">
      <c r="A729" s="41" t="s">
        <v>4327</v>
      </c>
      <c r="B729" s="274" t="s">
        <v>3521</v>
      </c>
      <c r="C729" s="255" t="s">
        <v>3061</v>
      </c>
      <c r="D729" s="255" t="s">
        <v>3060</v>
      </c>
      <c r="E729" s="255" t="s">
        <v>3403</v>
      </c>
      <c r="F729" s="255" t="s">
        <v>3385</v>
      </c>
      <c r="G729" s="255" t="s">
        <v>3386</v>
      </c>
      <c r="H729" s="255" t="s">
        <v>3387</v>
      </c>
    </row>
    <row r="730" spans="1:8" ht="15" customHeight="1" x14ac:dyDescent="0.2">
      <c r="A730" s="41" t="s">
        <v>4189</v>
      </c>
      <c r="B730" s="274" t="s">
        <v>3521</v>
      </c>
      <c r="C730" s="255" t="s">
        <v>2574</v>
      </c>
      <c r="D730" s="255" t="s">
        <v>2573</v>
      </c>
      <c r="E730" s="255" t="s">
        <v>3403</v>
      </c>
      <c r="F730" s="255" t="s">
        <v>3385</v>
      </c>
      <c r="G730" s="255" t="s">
        <v>3386</v>
      </c>
      <c r="H730" s="255" t="s">
        <v>3387</v>
      </c>
    </row>
    <row r="731" spans="1:8" ht="15" customHeight="1" x14ac:dyDescent="0.2">
      <c r="A731" s="41" t="s">
        <v>4243</v>
      </c>
      <c r="B731" s="274" t="s">
        <v>3521</v>
      </c>
      <c r="C731" s="255" t="s">
        <v>2721</v>
      </c>
      <c r="D731" s="255" t="s">
        <v>2720</v>
      </c>
      <c r="E731" s="255" t="s">
        <v>3403</v>
      </c>
      <c r="F731" s="255" t="s">
        <v>3385</v>
      </c>
      <c r="G731" s="255" t="s">
        <v>3386</v>
      </c>
      <c r="H731" s="255" t="s">
        <v>3387</v>
      </c>
    </row>
    <row r="732" spans="1:8" ht="15" customHeight="1" x14ac:dyDescent="0.2">
      <c r="A732" s="41" t="s">
        <v>4197</v>
      </c>
      <c r="B732" s="274" t="s">
        <v>3521</v>
      </c>
      <c r="C732" s="255" t="s">
        <v>2323</v>
      </c>
      <c r="D732" s="255" t="s">
        <v>2322</v>
      </c>
      <c r="E732" s="255" t="s">
        <v>3403</v>
      </c>
      <c r="F732" s="255" t="s">
        <v>3385</v>
      </c>
      <c r="G732" s="255" t="s">
        <v>3386</v>
      </c>
      <c r="H732" s="255" t="s">
        <v>3387</v>
      </c>
    </row>
    <row r="733" spans="1:8" ht="15" customHeight="1" x14ac:dyDescent="0.2">
      <c r="A733" s="41" t="s">
        <v>4205</v>
      </c>
      <c r="B733" s="274" t="s">
        <v>3521</v>
      </c>
      <c r="C733" s="255" t="s">
        <v>2327</v>
      </c>
      <c r="D733" s="255" t="s">
        <v>2326</v>
      </c>
      <c r="E733" s="255" t="s">
        <v>3403</v>
      </c>
      <c r="F733" s="255" t="s">
        <v>3385</v>
      </c>
      <c r="G733" s="255" t="s">
        <v>3386</v>
      </c>
      <c r="H733" s="255" t="s">
        <v>3387</v>
      </c>
    </row>
    <row r="734" spans="1:8" ht="15" customHeight="1" x14ac:dyDescent="0.2">
      <c r="A734" s="41" t="s">
        <v>4229</v>
      </c>
      <c r="B734" s="274" t="s">
        <v>3521</v>
      </c>
      <c r="C734" s="255" t="s">
        <v>2718</v>
      </c>
      <c r="D734" s="255" t="s">
        <v>2717</v>
      </c>
      <c r="E734" s="255" t="s">
        <v>3403</v>
      </c>
      <c r="F734" s="255" t="s">
        <v>3385</v>
      </c>
      <c r="G734" s="255" t="s">
        <v>3386</v>
      </c>
      <c r="H734" s="255" t="s">
        <v>3387</v>
      </c>
    </row>
    <row r="735" spans="1:8" ht="15" customHeight="1" x14ac:dyDescent="0.2">
      <c r="A735" s="41" t="s">
        <v>4214</v>
      </c>
      <c r="B735" s="274" t="s">
        <v>3521</v>
      </c>
      <c r="C735" s="255" t="s">
        <v>2249</v>
      </c>
      <c r="D735" s="255" t="s">
        <v>2248</v>
      </c>
      <c r="E735" s="255" t="s">
        <v>3403</v>
      </c>
      <c r="F735" s="255" t="s">
        <v>3385</v>
      </c>
      <c r="G735" s="255" t="s">
        <v>3386</v>
      </c>
      <c r="H735" s="255" t="s">
        <v>3387</v>
      </c>
    </row>
    <row r="736" spans="1:8" ht="15" customHeight="1" x14ac:dyDescent="0.2">
      <c r="A736" s="41" t="s">
        <v>4238</v>
      </c>
      <c r="B736" s="274" t="s">
        <v>3521</v>
      </c>
      <c r="C736" s="255" t="s">
        <v>2927</v>
      </c>
      <c r="D736" s="255" t="s">
        <v>2926</v>
      </c>
      <c r="E736" s="255" t="s">
        <v>3403</v>
      </c>
      <c r="F736" s="255" t="s">
        <v>3385</v>
      </c>
      <c r="G736" s="255" t="s">
        <v>3386</v>
      </c>
      <c r="H736" s="255" t="s">
        <v>3387</v>
      </c>
    </row>
    <row r="737" spans="1:8" ht="15" customHeight="1" x14ac:dyDescent="0.2">
      <c r="A737" s="41" t="s">
        <v>4363</v>
      </c>
      <c r="B737" s="274" t="s">
        <v>3521</v>
      </c>
      <c r="C737" s="255" t="s">
        <v>2740</v>
      </c>
      <c r="D737" s="255" t="s">
        <v>2739</v>
      </c>
      <c r="E737" s="255" t="s">
        <v>3403</v>
      </c>
      <c r="F737" s="255" t="s">
        <v>3385</v>
      </c>
      <c r="G737" s="255" t="s">
        <v>3386</v>
      </c>
      <c r="H737" s="255" t="s">
        <v>3387</v>
      </c>
    </row>
    <row r="738" spans="1:8" ht="15" customHeight="1" x14ac:dyDescent="0.2">
      <c r="A738" s="41" t="s">
        <v>4244</v>
      </c>
      <c r="B738" s="274" t="s">
        <v>3521</v>
      </c>
      <c r="C738" s="255" t="s">
        <v>2933</v>
      </c>
      <c r="D738" s="255" t="s">
        <v>2932</v>
      </c>
      <c r="E738" s="255" t="s">
        <v>3403</v>
      </c>
      <c r="F738" s="255" t="s">
        <v>3385</v>
      </c>
      <c r="G738" s="255" t="s">
        <v>3386</v>
      </c>
      <c r="H738" s="255" t="s">
        <v>3387</v>
      </c>
    </row>
    <row r="739" spans="1:8" ht="15" customHeight="1" x14ac:dyDescent="0.2">
      <c r="A739" s="41" t="s">
        <v>4310</v>
      </c>
      <c r="B739" s="274" t="s">
        <v>3521</v>
      </c>
      <c r="C739" s="255" t="s">
        <v>3050</v>
      </c>
      <c r="D739" s="255" t="s">
        <v>3049</v>
      </c>
      <c r="E739" s="255" t="s">
        <v>3403</v>
      </c>
      <c r="F739" s="255" t="s">
        <v>3385</v>
      </c>
      <c r="G739" s="255" t="s">
        <v>3386</v>
      </c>
      <c r="H739" s="255" t="s">
        <v>3387</v>
      </c>
    </row>
    <row r="740" spans="1:8" ht="15" customHeight="1" x14ac:dyDescent="0.2">
      <c r="A740" s="41" t="s">
        <v>4301</v>
      </c>
      <c r="B740" s="274" t="s">
        <v>3521</v>
      </c>
      <c r="C740" s="255" t="s">
        <v>3046</v>
      </c>
      <c r="D740" s="255" t="s">
        <v>3045</v>
      </c>
      <c r="E740" s="255" t="s">
        <v>3403</v>
      </c>
      <c r="F740" s="255" t="s">
        <v>3385</v>
      </c>
      <c r="G740" s="255" t="s">
        <v>3386</v>
      </c>
      <c r="H740" s="255" t="s">
        <v>3387</v>
      </c>
    </row>
    <row r="741" spans="1:8" ht="15" customHeight="1" x14ac:dyDescent="0.2">
      <c r="A741" s="41" t="s">
        <v>4381</v>
      </c>
      <c r="B741" s="274" t="s">
        <v>3521</v>
      </c>
      <c r="C741" s="255" t="s">
        <v>3099</v>
      </c>
      <c r="D741" s="255" t="s">
        <v>3098</v>
      </c>
      <c r="E741" s="255" t="s">
        <v>3403</v>
      </c>
      <c r="F741" s="255" t="s">
        <v>3385</v>
      </c>
      <c r="G741" s="255" t="s">
        <v>3386</v>
      </c>
      <c r="H741" s="255" t="s">
        <v>3387</v>
      </c>
    </row>
    <row r="742" spans="1:8" ht="15" customHeight="1" x14ac:dyDescent="0.2">
      <c r="A742" s="41" t="s">
        <v>4258</v>
      </c>
      <c r="B742" s="274" t="s">
        <v>3521</v>
      </c>
      <c r="C742" s="255" t="s">
        <v>2593</v>
      </c>
      <c r="D742" s="255" t="s">
        <v>2592</v>
      </c>
      <c r="E742" s="255" t="s">
        <v>3403</v>
      </c>
      <c r="F742" s="255" t="s">
        <v>3385</v>
      </c>
      <c r="G742" s="255" t="s">
        <v>3386</v>
      </c>
      <c r="H742" s="255" t="s">
        <v>3387</v>
      </c>
    </row>
    <row r="743" spans="1:8" ht="15" customHeight="1" x14ac:dyDescent="0.2">
      <c r="A743" s="41" t="s">
        <v>4371</v>
      </c>
      <c r="B743" s="274" t="s">
        <v>3521</v>
      </c>
      <c r="C743" s="255" t="s">
        <v>2744</v>
      </c>
      <c r="D743" s="255" t="s">
        <v>2743</v>
      </c>
      <c r="E743" s="255" t="s">
        <v>3403</v>
      </c>
      <c r="F743" s="255" t="s">
        <v>3385</v>
      </c>
      <c r="G743" s="255" t="s">
        <v>3386</v>
      </c>
      <c r="H743" s="255" t="s">
        <v>3387</v>
      </c>
    </row>
    <row r="744" spans="1:8" ht="15" customHeight="1" x14ac:dyDescent="0.2">
      <c r="A744" s="41" t="s">
        <v>4207</v>
      </c>
      <c r="B744" s="274" t="s">
        <v>3521</v>
      </c>
      <c r="C744" s="255" t="s">
        <v>2579</v>
      </c>
      <c r="D744" s="255" t="s">
        <v>2578</v>
      </c>
      <c r="E744" s="255" t="s">
        <v>3403</v>
      </c>
      <c r="F744" s="255" t="s">
        <v>3385</v>
      </c>
      <c r="G744" s="255" t="s">
        <v>3386</v>
      </c>
      <c r="H744" s="255" t="s">
        <v>3387</v>
      </c>
    </row>
    <row r="745" spans="1:8" ht="15" customHeight="1" x14ac:dyDescent="0.2">
      <c r="A745" s="41" t="s">
        <v>4444</v>
      </c>
      <c r="B745" s="274" t="s">
        <v>3521</v>
      </c>
      <c r="C745" s="255" t="s">
        <v>3139</v>
      </c>
      <c r="D745" s="255" t="s">
        <v>3138</v>
      </c>
      <c r="E745" s="255" t="s">
        <v>3403</v>
      </c>
      <c r="F745" s="255" t="s">
        <v>3385</v>
      </c>
      <c r="G745" s="255" t="s">
        <v>3386</v>
      </c>
      <c r="H745" s="255" t="s">
        <v>3387</v>
      </c>
    </row>
    <row r="746" spans="1:8" ht="15" customHeight="1" x14ac:dyDescent="0.2">
      <c r="A746" s="41" t="s">
        <v>4423</v>
      </c>
      <c r="B746" s="274" t="s">
        <v>3521</v>
      </c>
      <c r="C746" s="255" t="s">
        <v>2770</v>
      </c>
      <c r="D746" s="255" t="s">
        <v>3610</v>
      </c>
      <c r="E746" s="255" t="s">
        <v>3403</v>
      </c>
      <c r="F746" s="255" t="s">
        <v>3385</v>
      </c>
      <c r="G746" s="255" t="s">
        <v>3386</v>
      </c>
      <c r="H746" s="255" t="s">
        <v>3387</v>
      </c>
    </row>
    <row r="747" spans="1:8" ht="15" customHeight="1" x14ac:dyDescent="0.2">
      <c r="A747" s="41" t="s">
        <v>4250</v>
      </c>
      <c r="B747" s="274" t="s">
        <v>3521</v>
      </c>
      <c r="C747" s="255" t="s">
        <v>2508</v>
      </c>
      <c r="D747" s="255" t="s">
        <v>2507</v>
      </c>
      <c r="E747" s="255" t="s">
        <v>3403</v>
      </c>
      <c r="F747" s="255" t="s">
        <v>3385</v>
      </c>
      <c r="G747" s="255" t="s">
        <v>3386</v>
      </c>
      <c r="H747" s="255" t="s">
        <v>3387</v>
      </c>
    </row>
    <row r="748" spans="1:8" ht="15" customHeight="1" x14ac:dyDescent="0.2">
      <c r="A748" s="41" t="s">
        <v>4311</v>
      </c>
      <c r="B748" s="274" t="s">
        <v>3521</v>
      </c>
      <c r="C748" s="255" t="s">
        <v>3052</v>
      </c>
      <c r="D748" s="255" t="s">
        <v>3051</v>
      </c>
      <c r="E748" s="255" t="s">
        <v>3403</v>
      </c>
      <c r="F748" s="255" t="s">
        <v>3385</v>
      </c>
      <c r="G748" s="255" t="s">
        <v>3386</v>
      </c>
      <c r="H748" s="255" t="s">
        <v>3387</v>
      </c>
    </row>
    <row r="749" spans="1:8" ht="15" customHeight="1" x14ac:dyDescent="0.2">
      <c r="A749" s="41" t="s">
        <v>4195</v>
      </c>
      <c r="B749" s="274" t="s">
        <v>3521</v>
      </c>
      <c r="C749" s="255" t="s">
        <v>2490</v>
      </c>
      <c r="D749" s="255" t="s">
        <v>2489</v>
      </c>
      <c r="E749" s="255" t="s">
        <v>3403</v>
      </c>
      <c r="F749" s="255" t="s">
        <v>3385</v>
      </c>
      <c r="G749" s="255" t="s">
        <v>3386</v>
      </c>
      <c r="H749" s="255" t="s">
        <v>3387</v>
      </c>
    </row>
    <row r="750" spans="1:8" ht="15" customHeight="1" x14ac:dyDescent="0.2">
      <c r="A750" s="41" t="s">
        <v>4393</v>
      </c>
      <c r="B750" s="274" t="s">
        <v>3521</v>
      </c>
      <c r="C750" s="255" t="s">
        <v>3102</v>
      </c>
      <c r="D750" s="255" t="s">
        <v>3593</v>
      </c>
      <c r="E750" s="255" t="s">
        <v>3403</v>
      </c>
      <c r="F750" s="255" t="s">
        <v>3385</v>
      </c>
      <c r="G750" s="255" t="s">
        <v>3386</v>
      </c>
      <c r="H750" s="255" t="s">
        <v>3387</v>
      </c>
    </row>
    <row r="751" spans="1:8" ht="15" customHeight="1" x14ac:dyDescent="0.2">
      <c r="A751" s="41" t="s">
        <v>4339</v>
      </c>
      <c r="B751" s="274" t="s">
        <v>3521</v>
      </c>
      <c r="C751" s="255" t="s">
        <v>3071</v>
      </c>
      <c r="D751" s="255" t="s">
        <v>3070</v>
      </c>
      <c r="E751" s="255" t="s">
        <v>3403</v>
      </c>
      <c r="F751" s="255" t="s">
        <v>3385</v>
      </c>
      <c r="G751" s="255" t="s">
        <v>3386</v>
      </c>
      <c r="H751" s="255" t="s">
        <v>3387</v>
      </c>
    </row>
    <row r="752" spans="1:8" ht="15" customHeight="1" x14ac:dyDescent="0.2">
      <c r="A752" s="41" t="s">
        <v>4209</v>
      </c>
      <c r="B752" s="274" t="s">
        <v>3521</v>
      </c>
      <c r="C752" s="255" t="s">
        <v>2581</v>
      </c>
      <c r="D752" s="255" t="s">
        <v>2580</v>
      </c>
      <c r="E752" s="255" t="s">
        <v>3403</v>
      </c>
      <c r="F752" s="255" t="s">
        <v>3385</v>
      </c>
      <c r="G752" s="255" t="s">
        <v>3386</v>
      </c>
      <c r="H752" s="255" t="s">
        <v>3387</v>
      </c>
    </row>
    <row r="753" spans="1:8" ht="15" customHeight="1" x14ac:dyDescent="0.2">
      <c r="A753" s="41" t="s">
        <v>4175</v>
      </c>
      <c r="B753" s="274" t="s">
        <v>3521</v>
      </c>
      <c r="C753" s="255" t="s">
        <v>2367</v>
      </c>
      <c r="D753" s="255" t="s">
        <v>2366</v>
      </c>
      <c r="E753" s="255" t="s">
        <v>3403</v>
      </c>
      <c r="F753" s="255" t="s">
        <v>3385</v>
      </c>
      <c r="G753" s="255" t="s">
        <v>3386</v>
      </c>
      <c r="H753" s="255" t="s">
        <v>3387</v>
      </c>
    </row>
    <row r="754" spans="1:8" ht="15" customHeight="1" x14ac:dyDescent="0.2">
      <c r="A754" s="41" t="s">
        <v>4222</v>
      </c>
      <c r="B754" s="274" t="s">
        <v>3521</v>
      </c>
      <c r="C754" s="255" t="s">
        <v>2498</v>
      </c>
      <c r="D754" s="255" t="s">
        <v>2497</v>
      </c>
      <c r="E754" s="255" t="s">
        <v>3403</v>
      </c>
      <c r="F754" s="255" t="s">
        <v>3385</v>
      </c>
      <c r="G754" s="255" t="s">
        <v>3386</v>
      </c>
      <c r="H754" s="255" t="s">
        <v>3387</v>
      </c>
    </row>
    <row r="755" spans="1:8" ht="15" customHeight="1" x14ac:dyDescent="0.2">
      <c r="A755" s="41" t="s">
        <v>4439</v>
      </c>
      <c r="B755" s="274" t="s">
        <v>3521</v>
      </c>
      <c r="C755" s="255" t="s">
        <v>3131</v>
      </c>
      <c r="D755" s="255" t="s">
        <v>3130</v>
      </c>
      <c r="E755" s="255" t="s">
        <v>3403</v>
      </c>
      <c r="F755" s="255" t="s">
        <v>3385</v>
      </c>
      <c r="G755" s="255" t="s">
        <v>3386</v>
      </c>
      <c r="H755" s="255" t="s">
        <v>3387</v>
      </c>
    </row>
    <row r="756" spans="1:8" ht="15" customHeight="1" x14ac:dyDescent="0.2">
      <c r="A756" s="41" t="s">
        <v>4245</v>
      </c>
      <c r="B756" s="274" t="s">
        <v>3521</v>
      </c>
      <c r="C756" s="255" t="s">
        <v>3028</v>
      </c>
      <c r="D756" s="255" t="s">
        <v>3027</v>
      </c>
      <c r="E756" s="255" t="s">
        <v>3403</v>
      </c>
      <c r="F756" s="255" t="s">
        <v>3385</v>
      </c>
      <c r="G756" s="255" t="s">
        <v>3386</v>
      </c>
      <c r="H756" s="255" t="s">
        <v>3387</v>
      </c>
    </row>
    <row r="757" spans="1:8" ht="15" customHeight="1" x14ac:dyDescent="0.2">
      <c r="A757" s="41" t="s">
        <v>4451</v>
      </c>
      <c r="B757" s="274" t="s">
        <v>3521</v>
      </c>
      <c r="C757" s="255" t="s">
        <v>3152</v>
      </c>
      <c r="D757" s="255" t="s">
        <v>3151</v>
      </c>
      <c r="E757" s="255" t="s">
        <v>3403</v>
      </c>
      <c r="F757" s="255" t="s">
        <v>3385</v>
      </c>
      <c r="G757" s="255" t="s">
        <v>3386</v>
      </c>
      <c r="H757" s="255" t="s">
        <v>3387</v>
      </c>
    </row>
    <row r="758" spans="1:8" ht="15" customHeight="1" x14ac:dyDescent="0.2">
      <c r="A758" s="41" t="s">
        <v>4343</v>
      </c>
      <c r="B758" s="274" t="s">
        <v>3521</v>
      </c>
      <c r="C758" s="255" t="s">
        <v>3077</v>
      </c>
      <c r="D758" s="255" t="s">
        <v>3076</v>
      </c>
      <c r="E758" s="255" t="s">
        <v>3403</v>
      </c>
      <c r="F758" s="255" t="s">
        <v>3385</v>
      </c>
      <c r="G758" s="255" t="s">
        <v>3386</v>
      </c>
      <c r="H758" s="255" t="s">
        <v>3387</v>
      </c>
    </row>
    <row r="759" spans="1:8" ht="15" customHeight="1" x14ac:dyDescent="0.2">
      <c r="A759" s="41" t="s">
        <v>4334</v>
      </c>
      <c r="B759" s="274" t="s">
        <v>3521</v>
      </c>
      <c r="C759" s="255" t="s">
        <v>3063</v>
      </c>
      <c r="D759" s="255" t="s">
        <v>3062</v>
      </c>
      <c r="E759" s="255" t="s">
        <v>3403</v>
      </c>
      <c r="F759" s="255" t="s">
        <v>3385</v>
      </c>
      <c r="G759" s="255" t="s">
        <v>3386</v>
      </c>
      <c r="H759" s="255" t="s">
        <v>3387</v>
      </c>
    </row>
    <row r="760" spans="1:8" ht="15" customHeight="1" x14ac:dyDescent="0.2">
      <c r="A760" s="41" t="s">
        <v>4218</v>
      </c>
      <c r="B760" s="274" t="s">
        <v>3521</v>
      </c>
      <c r="C760" s="255" t="s">
        <v>2917</v>
      </c>
      <c r="D760" s="255" t="s">
        <v>3529</v>
      </c>
      <c r="E760" s="255" t="s">
        <v>3403</v>
      </c>
      <c r="F760" s="255" t="s">
        <v>3385</v>
      </c>
      <c r="G760" s="255" t="s">
        <v>3386</v>
      </c>
      <c r="H760" s="255" t="s">
        <v>3387</v>
      </c>
    </row>
    <row r="761" spans="1:8" ht="15" customHeight="1" x14ac:dyDescent="0.2">
      <c r="A761" s="41" t="s">
        <v>4285</v>
      </c>
      <c r="B761" s="274" t="s">
        <v>3521</v>
      </c>
      <c r="C761" s="255" t="s">
        <v>2186</v>
      </c>
      <c r="D761" s="255" t="s">
        <v>2185</v>
      </c>
      <c r="E761" s="255" t="s">
        <v>3403</v>
      </c>
      <c r="F761" s="255" t="s">
        <v>3385</v>
      </c>
      <c r="G761" s="255" t="s">
        <v>3386</v>
      </c>
      <c r="H761" s="255" t="s">
        <v>3387</v>
      </c>
    </row>
    <row r="762" spans="1:8" ht="15" customHeight="1" x14ac:dyDescent="0.2">
      <c r="A762" s="41" t="s">
        <v>4283</v>
      </c>
      <c r="B762" s="274" t="s">
        <v>3521</v>
      </c>
      <c r="C762" s="255" t="s">
        <v>2251</v>
      </c>
      <c r="D762" s="255" t="s">
        <v>2250</v>
      </c>
      <c r="E762" s="255" t="s">
        <v>3403</v>
      </c>
      <c r="F762" s="255" t="s">
        <v>3385</v>
      </c>
      <c r="G762" s="255" t="s">
        <v>3386</v>
      </c>
      <c r="H762" s="255" t="s">
        <v>3387</v>
      </c>
    </row>
    <row r="763" spans="1:8" ht="15" customHeight="1" x14ac:dyDescent="0.2">
      <c r="A763" s="41" t="s">
        <v>4216</v>
      </c>
      <c r="B763" s="274" t="s">
        <v>3521</v>
      </c>
      <c r="C763" s="255" t="s">
        <v>2915</v>
      </c>
      <c r="D763" s="255" t="s">
        <v>2914</v>
      </c>
      <c r="E763" s="255" t="s">
        <v>3403</v>
      </c>
      <c r="F763" s="255" t="s">
        <v>3385</v>
      </c>
      <c r="G763" s="255" t="s">
        <v>3386</v>
      </c>
      <c r="H763" s="255" t="s">
        <v>3387</v>
      </c>
    </row>
    <row r="764" spans="1:8" ht="15" customHeight="1" x14ac:dyDescent="0.2">
      <c r="A764" s="41" t="s">
        <v>4282</v>
      </c>
      <c r="B764" s="274" t="s">
        <v>3521</v>
      </c>
      <c r="C764" s="255" t="s">
        <v>2115</v>
      </c>
      <c r="D764" s="255" t="s">
        <v>2114</v>
      </c>
      <c r="E764" s="255" t="s">
        <v>3403</v>
      </c>
      <c r="F764" s="255" t="s">
        <v>3385</v>
      </c>
      <c r="G764" s="255" t="s">
        <v>3386</v>
      </c>
      <c r="H764" s="255" t="s">
        <v>3387</v>
      </c>
    </row>
    <row r="765" spans="1:8" ht="15" customHeight="1" x14ac:dyDescent="0.2">
      <c r="A765" s="41" t="s">
        <v>4240</v>
      </c>
      <c r="B765" s="274" t="s">
        <v>3521</v>
      </c>
      <c r="C765" s="255" t="s">
        <v>2719</v>
      </c>
      <c r="D765" s="255" t="s">
        <v>3534</v>
      </c>
      <c r="E765" s="255" t="s">
        <v>3403</v>
      </c>
      <c r="F765" s="255" t="s">
        <v>3385</v>
      </c>
      <c r="G765" s="255" t="s">
        <v>3386</v>
      </c>
      <c r="H765" s="255" t="s">
        <v>3387</v>
      </c>
    </row>
    <row r="766" spans="1:8" ht="15" customHeight="1" x14ac:dyDescent="0.2">
      <c r="A766" s="41" t="s">
        <v>4281</v>
      </c>
      <c r="B766" s="274" t="s">
        <v>3521</v>
      </c>
      <c r="C766" s="255" t="s">
        <v>2167</v>
      </c>
      <c r="D766" s="255" t="s">
        <v>2166</v>
      </c>
      <c r="E766" s="255" t="s">
        <v>3403</v>
      </c>
      <c r="F766" s="255" t="s">
        <v>3385</v>
      </c>
      <c r="G766" s="255" t="s">
        <v>3386</v>
      </c>
      <c r="H766" s="255" t="s">
        <v>3387</v>
      </c>
    </row>
    <row r="767" spans="1:8" ht="15" customHeight="1" x14ac:dyDescent="0.2">
      <c r="A767" s="41" t="s">
        <v>4217</v>
      </c>
      <c r="B767" s="274" t="s">
        <v>3521</v>
      </c>
      <c r="C767" s="255" t="s">
        <v>2916</v>
      </c>
      <c r="D767" s="255" t="s">
        <v>3528</v>
      </c>
      <c r="E767" s="255" t="s">
        <v>3403</v>
      </c>
      <c r="F767" s="255" t="s">
        <v>3385</v>
      </c>
      <c r="G767" s="255" t="s">
        <v>3386</v>
      </c>
      <c r="H767" s="255" t="s">
        <v>3387</v>
      </c>
    </row>
    <row r="768" spans="1:8" ht="15" customHeight="1" x14ac:dyDescent="0.2">
      <c r="A768" s="41" t="s">
        <v>4294</v>
      </c>
      <c r="B768" s="274" t="s">
        <v>3521</v>
      </c>
      <c r="C768" s="255" t="s">
        <v>2333</v>
      </c>
      <c r="D768" s="255" t="s">
        <v>2332</v>
      </c>
      <c r="E768" s="255" t="s">
        <v>3403</v>
      </c>
      <c r="F768" s="255" t="s">
        <v>3385</v>
      </c>
      <c r="G768" s="255" t="s">
        <v>3386</v>
      </c>
      <c r="H768" s="255" t="s">
        <v>3387</v>
      </c>
    </row>
    <row r="769" spans="1:8" ht="15" customHeight="1" x14ac:dyDescent="0.2">
      <c r="A769" s="41" t="s">
        <v>4449</v>
      </c>
      <c r="B769" s="274" t="s">
        <v>3521</v>
      </c>
      <c r="C769" s="255" t="s">
        <v>3148</v>
      </c>
      <c r="D769" s="255" t="s">
        <v>3147</v>
      </c>
      <c r="E769" s="255" t="s">
        <v>3403</v>
      </c>
      <c r="F769" s="255" t="s">
        <v>3385</v>
      </c>
      <c r="G769" s="255" t="s">
        <v>3386</v>
      </c>
      <c r="H769" s="255" t="s">
        <v>3387</v>
      </c>
    </row>
    <row r="770" spans="1:8" ht="15" customHeight="1" x14ac:dyDescent="0.2">
      <c r="A770" s="41" t="s">
        <v>4198</v>
      </c>
      <c r="B770" s="274" t="s">
        <v>3521</v>
      </c>
      <c r="C770" s="255" t="s">
        <v>2233</v>
      </c>
      <c r="D770" s="255" t="s">
        <v>2232</v>
      </c>
      <c r="E770" s="255" t="s">
        <v>3403</v>
      </c>
      <c r="F770" s="255" t="s">
        <v>3385</v>
      </c>
      <c r="G770" s="255" t="s">
        <v>3386</v>
      </c>
      <c r="H770" s="255" t="s">
        <v>3387</v>
      </c>
    </row>
    <row r="771" spans="1:8" ht="15" customHeight="1" x14ac:dyDescent="0.2">
      <c r="A771" s="41" t="s">
        <v>4221</v>
      </c>
      <c r="B771" s="274" t="s">
        <v>3521</v>
      </c>
      <c r="C771" s="255" t="s">
        <v>2714</v>
      </c>
      <c r="D771" s="255" t="s">
        <v>3531</v>
      </c>
      <c r="E771" s="255" t="s">
        <v>3403</v>
      </c>
      <c r="F771" s="255" t="s">
        <v>3385</v>
      </c>
      <c r="G771" s="255" t="s">
        <v>3386</v>
      </c>
      <c r="H771" s="255" t="s">
        <v>3387</v>
      </c>
    </row>
    <row r="772" spans="1:8" ht="15" customHeight="1" x14ac:dyDescent="0.2">
      <c r="A772" s="41" t="s">
        <v>4286</v>
      </c>
      <c r="B772" s="274" t="s">
        <v>3521</v>
      </c>
      <c r="C772" s="255" t="s">
        <v>2103</v>
      </c>
      <c r="D772" s="255" t="s">
        <v>2102</v>
      </c>
      <c r="E772" s="255" t="s">
        <v>3403</v>
      </c>
      <c r="F772" s="255" t="s">
        <v>3385</v>
      </c>
      <c r="G772" s="255" t="s">
        <v>3386</v>
      </c>
      <c r="H772" s="255" t="s">
        <v>3387</v>
      </c>
    </row>
    <row r="773" spans="1:8" ht="15" customHeight="1" x14ac:dyDescent="0.2">
      <c r="A773" s="41" t="s">
        <v>4280</v>
      </c>
      <c r="B773" s="274" t="s">
        <v>3521</v>
      </c>
      <c r="C773" s="255" t="s">
        <v>2165</v>
      </c>
      <c r="D773" s="255" t="s">
        <v>2164</v>
      </c>
      <c r="E773" s="255" t="s">
        <v>3403</v>
      </c>
      <c r="F773" s="255" t="s">
        <v>3385</v>
      </c>
      <c r="G773" s="255" t="s">
        <v>3386</v>
      </c>
      <c r="H773" s="255" t="s">
        <v>3387</v>
      </c>
    </row>
    <row r="774" spans="1:8" ht="15" customHeight="1" x14ac:dyDescent="0.2">
      <c r="A774" s="41" t="s">
        <v>4279</v>
      </c>
      <c r="B774" s="274" t="s">
        <v>3521</v>
      </c>
      <c r="C774" s="255" t="s">
        <v>2379</v>
      </c>
      <c r="D774" s="255" t="s">
        <v>2378</v>
      </c>
      <c r="E774" s="255" t="s">
        <v>3403</v>
      </c>
      <c r="F774" s="255" t="s">
        <v>3385</v>
      </c>
      <c r="G774" s="255" t="s">
        <v>3386</v>
      </c>
      <c r="H774" s="255" t="s">
        <v>3387</v>
      </c>
    </row>
    <row r="775" spans="1:8" ht="15" customHeight="1" x14ac:dyDescent="0.2">
      <c r="A775" s="41" t="s">
        <v>4224</v>
      </c>
      <c r="B775" s="274" t="s">
        <v>3521</v>
      </c>
      <c r="C775" s="255" t="s">
        <v>2716</v>
      </c>
      <c r="D775" s="255" t="s">
        <v>2715</v>
      </c>
      <c r="E775" s="255" t="s">
        <v>3403</v>
      </c>
      <c r="F775" s="255" t="s">
        <v>3385</v>
      </c>
      <c r="G775" s="255" t="s">
        <v>3386</v>
      </c>
      <c r="H775" s="255" t="s">
        <v>3387</v>
      </c>
    </row>
    <row r="776" spans="1:8" ht="15" customHeight="1" x14ac:dyDescent="0.2">
      <c r="A776" s="41" t="s">
        <v>4262</v>
      </c>
      <c r="B776" s="274" t="s">
        <v>3521</v>
      </c>
      <c r="C776" s="255" t="s">
        <v>2067</v>
      </c>
      <c r="D776" s="255" t="s">
        <v>2066</v>
      </c>
      <c r="E776" s="255" t="s">
        <v>3403</v>
      </c>
      <c r="F776" s="255" t="s">
        <v>3385</v>
      </c>
      <c r="G776" s="255" t="s">
        <v>3386</v>
      </c>
      <c r="H776" s="255" t="s">
        <v>3387</v>
      </c>
    </row>
    <row r="777" spans="1:8" ht="15" customHeight="1" x14ac:dyDescent="0.2">
      <c r="A777" s="41" t="s">
        <v>4442</v>
      </c>
      <c r="B777" s="274" t="s">
        <v>3521</v>
      </c>
      <c r="C777" s="255" t="s">
        <v>3135</v>
      </c>
      <c r="D777" s="255" t="s">
        <v>3620</v>
      </c>
      <c r="E777" s="255" t="s">
        <v>3403</v>
      </c>
      <c r="F777" s="255" t="s">
        <v>3385</v>
      </c>
      <c r="G777" s="255" t="s">
        <v>3386</v>
      </c>
      <c r="H777" s="255" t="s">
        <v>3387</v>
      </c>
    </row>
    <row r="778" spans="1:8" ht="15" customHeight="1" x14ac:dyDescent="0.2">
      <c r="A778" s="41" t="s">
        <v>4263</v>
      </c>
      <c r="B778" s="274" t="s">
        <v>3521</v>
      </c>
      <c r="C778" s="255" t="s">
        <v>2089</v>
      </c>
      <c r="D778" s="255" t="s">
        <v>2088</v>
      </c>
      <c r="E778" s="255" t="s">
        <v>3403</v>
      </c>
      <c r="F778" s="255" t="s">
        <v>3385</v>
      </c>
      <c r="G778" s="255" t="s">
        <v>3386</v>
      </c>
      <c r="H778" s="255" t="s">
        <v>3387</v>
      </c>
    </row>
    <row r="779" spans="1:8" ht="15" customHeight="1" x14ac:dyDescent="0.2">
      <c r="A779" s="41" t="s">
        <v>4264</v>
      </c>
      <c r="B779" s="274" t="s">
        <v>3521</v>
      </c>
      <c r="C779" s="255" t="s">
        <v>2284</v>
      </c>
      <c r="D779" s="255" t="s">
        <v>2283</v>
      </c>
      <c r="E779" s="255" t="s">
        <v>3403</v>
      </c>
      <c r="F779" s="255" t="s">
        <v>3385</v>
      </c>
      <c r="G779" s="255" t="s">
        <v>3386</v>
      </c>
      <c r="H779" s="255" t="s">
        <v>3387</v>
      </c>
    </row>
    <row r="780" spans="1:8" ht="15" customHeight="1" x14ac:dyDescent="0.2">
      <c r="A780" s="41" t="s">
        <v>4265</v>
      </c>
      <c r="B780" s="274" t="s">
        <v>3521</v>
      </c>
      <c r="C780" s="255" t="s">
        <v>2213</v>
      </c>
      <c r="D780" s="255" t="s">
        <v>2212</v>
      </c>
      <c r="E780" s="255" t="s">
        <v>3403</v>
      </c>
      <c r="F780" s="255" t="s">
        <v>3385</v>
      </c>
      <c r="G780" s="255" t="s">
        <v>3386</v>
      </c>
      <c r="H780" s="255" t="s">
        <v>3387</v>
      </c>
    </row>
    <row r="781" spans="1:8" ht="15" customHeight="1" x14ac:dyDescent="0.2">
      <c r="A781" s="41" t="s">
        <v>4201</v>
      </c>
      <c r="B781" s="274" t="s">
        <v>3521</v>
      </c>
      <c r="C781" s="255" t="s">
        <v>2913</v>
      </c>
      <c r="D781" s="255" t="s">
        <v>2912</v>
      </c>
      <c r="E781" s="255" t="s">
        <v>3403</v>
      </c>
      <c r="F781" s="255" t="s">
        <v>3385</v>
      </c>
      <c r="G781" s="255" t="s">
        <v>3386</v>
      </c>
      <c r="H781" s="255" t="s">
        <v>3387</v>
      </c>
    </row>
    <row r="782" spans="1:8" ht="15" customHeight="1" x14ac:dyDescent="0.2">
      <c r="A782" s="41" t="s">
        <v>4254</v>
      </c>
      <c r="B782" s="274" t="s">
        <v>3521</v>
      </c>
      <c r="C782" s="255" t="s">
        <v>2937</v>
      </c>
      <c r="D782" s="255" t="s">
        <v>2936</v>
      </c>
      <c r="E782" s="255" t="s">
        <v>3403</v>
      </c>
      <c r="F782" s="255" t="s">
        <v>3385</v>
      </c>
      <c r="G782" s="255" t="s">
        <v>3386</v>
      </c>
      <c r="H782" s="255" t="s">
        <v>3387</v>
      </c>
    </row>
    <row r="783" spans="1:8" ht="15" customHeight="1" x14ac:dyDescent="0.2">
      <c r="A783" s="41" t="s">
        <v>4372</v>
      </c>
      <c r="B783" s="274" t="s">
        <v>3521</v>
      </c>
      <c r="C783" s="255" t="s">
        <v>3096</v>
      </c>
      <c r="D783" s="255" t="s">
        <v>3578</v>
      </c>
      <c r="E783" s="255" t="s">
        <v>3403</v>
      </c>
      <c r="F783" s="255" t="s">
        <v>3385</v>
      </c>
      <c r="G783" s="255" t="s">
        <v>3386</v>
      </c>
      <c r="H783" s="255" t="s">
        <v>3387</v>
      </c>
    </row>
    <row r="784" spans="1:8" ht="15" customHeight="1" x14ac:dyDescent="0.2">
      <c r="A784" s="41" t="s">
        <v>4184</v>
      </c>
      <c r="B784" s="274" t="s">
        <v>3521</v>
      </c>
      <c r="C784" s="255" t="s">
        <v>2197</v>
      </c>
      <c r="D784" s="255" t="s">
        <v>2196</v>
      </c>
      <c r="E784" s="255" t="s">
        <v>3403</v>
      </c>
      <c r="F784" s="255" t="s">
        <v>3385</v>
      </c>
      <c r="G784" s="255" t="s">
        <v>3386</v>
      </c>
      <c r="H784" s="255" t="s">
        <v>3387</v>
      </c>
    </row>
    <row r="785" spans="1:8" ht="15" customHeight="1" x14ac:dyDescent="0.2">
      <c r="A785" s="41" t="s">
        <v>4437</v>
      </c>
      <c r="B785" s="274" t="s">
        <v>3521</v>
      </c>
      <c r="C785" s="255" t="s">
        <v>3128</v>
      </c>
      <c r="D785" s="255" t="s">
        <v>3127</v>
      </c>
      <c r="E785" s="255" t="s">
        <v>3403</v>
      </c>
      <c r="F785" s="255" t="s">
        <v>3385</v>
      </c>
      <c r="G785" s="255" t="s">
        <v>3386</v>
      </c>
      <c r="H785" s="255" t="s">
        <v>3387</v>
      </c>
    </row>
    <row r="786" spans="1:8" ht="15" customHeight="1" x14ac:dyDescent="0.2">
      <c r="A786" s="41" t="s">
        <v>4288</v>
      </c>
      <c r="B786" s="274" t="s">
        <v>3521</v>
      </c>
      <c r="C786" s="255" t="s">
        <v>2091</v>
      </c>
      <c r="D786" s="255" t="s">
        <v>2090</v>
      </c>
      <c r="E786" s="255" t="s">
        <v>3403</v>
      </c>
      <c r="F786" s="255" t="s">
        <v>3385</v>
      </c>
      <c r="G786" s="255" t="s">
        <v>3386</v>
      </c>
      <c r="H786" s="255" t="s">
        <v>3387</v>
      </c>
    </row>
    <row r="787" spans="1:8" ht="15" customHeight="1" x14ac:dyDescent="0.2">
      <c r="A787" s="41" t="s">
        <v>4293</v>
      </c>
      <c r="B787" s="274" t="s">
        <v>3521</v>
      </c>
      <c r="C787" s="255" t="s">
        <v>2239</v>
      </c>
      <c r="D787" s="255" t="s">
        <v>2238</v>
      </c>
      <c r="E787" s="255" t="s">
        <v>3403</v>
      </c>
      <c r="F787" s="255" t="s">
        <v>3385</v>
      </c>
      <c r="G787" s="255" t="s">
        <v>3386</v>
      </c>
      <c r="H787" s="255" t="s">
        <v>3387</v>
      </c>
    </row>
    <row r="788" spans="1:8" ht="15" customHeight="1" x14ac:dyDescent="0.2">
      <c r="A788" s="41" t="s">
        <v>4291</v>
      </c>
      <c r="B788" s="274" t="s">
        <v>3521</v>
      </c>
      <c r="C788" s="255" t="s">
        <v>2426</v>
      </c>
      <c r="D788" s="255" t="s">
        <v>2425</v>
      </c>
      <c r="E788" s="255" t="s">
        <v>3403</v>
      </c>
      <c r="F788" s="255" t="s">
        <v>3385</v>
      </c>
      <c r="G788" s="255" t="s">
        <v>3386</v>
      </c>
      <c r="H788" s="255" t="s">
        <v>3387</v>
      </c>
    </row>
    <row r="789" spans="1:8" ht="15" customHeight="1" x14ac:dyDescent="0.2">
      <c r="A789" s="41" t="s">
        <v>4257</v>
      </c>
      <c r="B789" s="274" t="s">
        <v>3521</v>
      </c>
      <c r="C789" s="255" t="s">
        <v>2591</v>
      </c>
      <c r="D789" s="255" t="s">
        <v>2590</v>
      </c>
      <c r="E789" s="255" t="s">
        <v>3403</v>
      </c>
      <c r="F789" s="255" t="s">
        <v>3385</v>
      </c>
      <c r="G789" s="255" t="s">
        <v>3386</v>
      </c>
      <c r="H789" s="255" t="s">
        <v>3387</v>
      </c>
    </row>
    <row r="790" spans="1:8" ht="15" customHeight="1" x14ac:dyDescent="0.2">
      <c r="A790" s="41" t="s">
        <v>4253</v>
      </c>
      <c r="B790" s="274" t="s">
        <v>3521</v>
      </c>
      <c r="C790" s="255" t="s">
        <v>2935</v>
      </c>
      <c r="D790" s="255" t="s">
        <v>2934</v>
      </c>
      <c r="E790" s="255" t="s">
        <v>3403</v>
      </c>
      <c r="F790" s="255" t="s">
        <v>3385</v>
      </c>
      <c r="G790" s="255" t="s">
        <v>3386</v>
      </c>
      <c r="H790" s="255" t="s">
        <v>3387</v>
      </c>
    </row>
    <row r="791" spans="1:8" ht="15" customHeight="1" x14ac:dyDescent="0.2">
      <c r="A791" s="41" t="s">
        <v>4206</v>
      </c>
      <c r="B791" s="274" t="s">
        <v>3521</v>
      </c>
      <c r="C791" s="255" t="s">
        <v>2577</v>
      </c>
      <c r="D791" s="255" t="s">
        <v>2576</v>
      </c>
      <c r="E791" s="255" t="s">
        <v>3403</v>
      </c>
      <c r="F791" s="255" t="s">
        <v>3385</v>
      </c>
      <c r="G791" s="255" t="s">
        <v>3386</v>
      </c>
      <c r="H791" s="255" t="s">
        <v>3387</v>
      </c>
    </row>
    <row r="792" spans="1:8" ht="15" customHeight="1" x14ac:dyDescent="0.2">
      <c r="A792" s="41" t="s">
        <v>4193</v>
      </c>
      <c r="B792" s="274" t="s">
        <v>3521</v>
      </c>
      <c r="C792" s="255" t="s">
        <v>2082</v>
      </c>
      <c r="D792" s="255" t="s">
        <v>2081</v>
      </c>
      <c r="E792" s="255" t="s">
        <v>3403</v>
      </c>
      <c r="F792" s="255" t="s">
        <v>3385</v>
      </c>
      <c r="G792" s="255" t="s">
        <v>3386</v>
      </c>
      <c r="H792" s="255" t="s">
        <v>3387</v>
      </c>
    </row>
    <row r="793" spans="1:8" ht="15" customHeight="1" x14ac:dyDescent="0.2">
      <c r="A793" s="41" t="s">
        <v>4364</v>
      </c>
      <c r="B793" s="274" t="s">
        <v>3521</v>
      </c>
      <c r="C793" s="255" t="s">
        <v>3092</v>
      </c>
      <c r="D793" s="255" t="s">
        <v>3573</v>
      </c>
      <c r="E793" s="255" t="s">
        <v>3403</v>
      </c>
      <c r="F793" s="255" t="s">
        <v>3385</v>
      </c>
      <c r="G793" s="255" t="s">
        <v>3386</v>
      </c>
      <c r="H793" s="255" t="s">
        <v>3387</v>
      </c>
    </row>
    <row r="794" spans="1:8" ht="15" customHeight="1" x14ac:dyDescent="0.2">
      <c r="A794" s="41" t="s">
        <v>4266</v>
      </c>
      <c r="B794" s="274" t="s">
        <v>3521</v>
      </c>
      <c r="C794" s="255" t="s">
        <v>2053</v>
      </c>
      <c r="D794" s="255" t="s">
        <v>2052</v>
      </c>
      <c r="E794" s="255" t="s">
        <v>3403</v>
      </c>
      <c r="F794" s="255" t="s">
        <v>3385</v>
      </c>
      <c r="G794" s="255" t="s">
        <v>3386</v>
      </c>
      <c r="H794" s="255" t="s">
        <v>3387</v>
      </c>
    </row>
    <row r="795" spans="1:8" ht="15" customHeight="1" x14ac:dyDescent="0.2">
      <c r="A795" s="41" t="s">
        <v>4297</v>
      </c>
      <c r="B795" s="274" t="s">
        <v>3521</v>
      </c>
      <c r="C795" s="255" t="s">
        <v>3042</v>
      </c>
      <c r="D795" s="255" t="s">
        <v>3041</v>
      </c>
      <c r="E795" s="255" t="s">
        <v>3403</v>
      </c>
      <c r="F795" s="255" t="s">
        <v>3385</v>
      </c>
      <c r="G795" s="255" t="s">
        <v>3386</v>
      </c>
      <c r="H795" s="255" t="s">
        <v>3387</v>
      </c>
    </row>
    <row r="796" spans="1:8" ht="15" customHeight="1" x14ac:dyDescent="0.2">
      <c r="A796" s="41" t="s">
        <v>4267</v>
      </c>
      <c r="B796" s="274" t="s">
        <v>3521</v>
      </c>
      <c r="C796" s="255" t="s">
        <v>2163</v>
      </c>
      <c r="D796" s="255" t="s">
        <v>2162</v>
      </c>
      <c r="E796" s="255" t="s">
        <v>3403</v>
      </c>
      <c r="F796" s="255" t="s">
        <v>3385</v>
      </c>
      <c r="G796" s="255" t="s">
        <v>3386</v>
      </c>
      <c r="H796" s="255" t="s">
        <v>3387</v>
      </c>
    </row>
    <row r="797" spans="1:8" ht="15" customHeight="1" x14ac:dyDescent="0.2">
      <c r="A797" s="41" t="s">
        <v>4268</v>
      </c>
      <c r="B797" s="274" t="s">
        <v>3521</v>
      </c>
      <c r="C797" s="255" t="s">
        <v>2087</v>
      </c>
      <c r="D797" s="255" t="s">
        <v>2086</v>
      </c>
      <c r="E797" s="255" t="s">
        <v>3403</v>
      </c>
      <c r="F797" s="255" t="s">
        <v>3385</v>
      </c>
      <c r="G797" s="255" t="s">
        <v>3386</v>
      </c>
      <c r="H797" s="255" t="s">
        <v>3387</v>
      </c>
    </row>
    <row r="798" spans="1:8" ht="15" customHeight="1" x14ac:dyDescent="0.2">
      <c r="A798" s="41" t="s">
        <v>4269</v>
      </c>
      <c r="B798" s="274" t="s">
        <v>3521</v>
      </c>
      <c r="C798" s="255" t="s">
        <v>2942</v>
      </c>
      <c r="D798" s="255" t="s">
        <v>2941</v>
      </c>
      <c r="E798" s="255" t="s">
        <v>3403</v>
      </c>
      <c r="F798" s="255" t="s">
        <v>3385</v>
      </c>
      <c r="G798" s="255" t="s">
        <v>3386</v>
      </c>
      <c r="H798" s="255" t="s">
        <v>3387</v>
      </c>
    </row>
    <row r="799" spans="1:8" ht="15" customHeight="1" x14ac:dyDescent="0.2">
      <c r="A799" s="41" t="s">
        <v>4360</v>
      </c>
      <c r="B799" s="274" t="s">
        <v>3521</v>
      </c>
      <c r="C799" s="255" t="s">
        <v>3089</v>
      </c>
      <c r="D799" s="255" t="s">
        <v>3088</v>
      </c>
      <c r="E799" s="255" t="s">
        <v>3403</v>
      </c>
      <c r="F799" s="255" t="s">
        <v>3385</v>
      </c>
      <c r="G799" s="255" t="s">
        <v>3386</v>
      </c>
      <c r="H799" s="255" t="s">
        <v>3387</v>
      </c>
    </row>
    <row r="800" spans="1:8" ht="15" customHeight="1" x14ac:dyDescent="0.2">
      <c r="A800" s="41" t="s">
        <v>4270</v>
      </c>
      <c r="B800" s="274" t="s">
        <v>3521</v>
      </c>
      <c r="C800" s="255" t="s">
        <v>2377</v>
      </c>
      <c r="D800" s="255" t="s">
        <v>2376</v>
      </c>
      <c r="E800" s="255" t="s">
        <v>3403</v>
      </c>
      <c r="F800" s="255" t="s">
        <v>3385</v>
      </c>
      <c r="G800" s="255" t="s">
        <v>3386</v>
      </c>
      <c r="H800" s="255" t="s">
        <v>3387</v>
      </c>
    </row>
    <row r="801" spans="1:8" ht="15" customHeight="1" x14ac:dyDescent="0.2">
      <c r="A801" s="41" t="s">
        <v>4249</v>
      </c>
      <c r="B801" s="274" t="s">
        <v>3521</v>
      </c>
      <c r="C801" s="255" t="s">
        <v>3036</v>
      </c>
      <c r="D801" s="255" t="s">
        <v>3035</v>
      </c>
      <c r="E801" s="255" t="s">
        <v>3403</v>
      </c>
      <c r="F801" s="255" t="s">
        <v>3385</v>
      </c>
      <c r="G801" s="255" t="s">
        <v>3386</v>
      </c>
      <c r="H801" s="255" t="s">
        <v>3387</v>
      </c>
    </row>
    <row r="802" spans="1:8" ht="15" customHeight="1" x14ac:dyDescent="0.2">
      <c r="A802" s="41" t="s">
        <v>4358</v>
      </c>
      <c r="B802" s="274" t="s">
        <v>3521</v>
      </c>
      <c r="C802" s="255" t="s">
        <v>2738</v>
      </c>
      <c r="D802" s="255" t="s">
        <v>2737</v>
      </c>
      <c r="E802" s="255" t="s">
        <v>3403</v>
      </c>
      <c r="F802" s="255" t="s">
        <v>3385</v>
      </c>
      <c r="G802" s="255" t="s">
        <v>3386</v>
      </c>
      <c r="H802" s="255" t="s">
        <v>3387</v>
      </c>
    </row>
    <row r="803" spans="1:8" ht="15" customHeight="1" x14ac:dyDescent="0.2">
      <c r="A803" s="41" t="s">
        <v>4374</v>
      </c>
      <c r="B803" s="274" t="s">
        <v>3521</v>
      </c>
      <c r="C803" s="255" t="s">
        <v>3097</v>
      </c>
      <c r="D803" s="255" t="s">
        <v>3580</v>
      </c>
      <c r="E803" s="255" t="s">
        <v>3403</v>
      </c>
      <c r="F803" s="255" t="s">
        <v>3385</v>
      </c>
      <c r="G803" s="255" t="s">
        <v>3386</v>
      </c>
      <c r="H803" s="255" t="s">
        <v>3387</v>
      </c>
    </row>
    <row r="804" spans="1:8" ht="15" customHeight="1" x14ac:dyDescent="0.2">
      <c r="A804" s="41" t="s">
        <v>4212</v>
      </c>
      <c r="B804" s="274" t="s">
        <v>3521</v>
      </c>
      <c r="C804" s="255" t="s">
        <v>2373</v>
      </c>
      <c r="D804" s="255" t="s">
        <v>2372</v>
      </c>
      <c r="E804" s="255" t="s">
        <v>3403</v>
      </c>
      <c r="F804" s="255" t="s">
        <v>3385</v>
      </c>
      <c r="G804" s="255" t="s">
        <v>3386</v>
      </c>
      <c r="H804" s="255" t="s">
        <v>3387</v>
      </c>
    </row>
    <row r="805" spans="1:8" ht="15" customHeight="1" x14ac:dyDescent="0.2">
      <c r="A805" s="41" t="s">
        <v>4192</v>
      </c>
      <c r="B805" s="274" t="s">
        <v>3521</v>
      </c>
      <c r="C805" s="255" t="s">
        <v>2231</v>
      </c>
      <c r="D805" s="255" t="s">
        <v>2230</v>
      </c>
      <c r="E805" s="255" t="s">
        <v>3403</v>
      </c>
      <c r="F805" s="255" t="s">
        <v>3385</v>
      </c>
      <c r="G805" s="255" t="s">
        <v>3386</v>
      </c>
      <c r="H805" s="255" t="s">
        <v>3387</v>
      </c>
    </row>
    <row r="806" spans="1:8" ht="15" customHeight="1" x14ac:dyDescent="0.2">
      <c r="A806" s="41" t="s">
        <v>4292</v>
      </c>
      <c r="B806" s="274" t="s">
        <v>3521</v>
      </c>
      <c r="C806" s="255" t="s">
        <v>2201</v>
      </c>
      <c r="D806" s="255" t="s">
        <v>2200</v>
      </c>
      <c r="E806" s="255" t="s">
        <v>3403</v>
      </c>
      <c r="F806" s="255" t="s">
        <v>3385</v>
      </c>
      <c r="G806" s="255" t="s">
        <v>3386</v>
      </c>
      <c r="H806" s="255" t="s">
        <v>3387</v>
      </c>
    </row>
    <row r="807" spans="1:8" ht="15" customHeight="1" x14ac:dyDescent="0.2">
      <c r="A807" s="41" t="s">
        <v>4179</v>
      </c>
      <c r="B807" s="274" t="s">
        <v>3521</v>
      </c>
      <c r="C807" s="255" t="s">
        <v>2227</v>
      </c>
      <c r="D807" s="255" t="s">
        <v>2226</v>
      </c>
      <c r="E807" s="255" t="s">
        <v>3403</v>
      </c>
      <c r="F807" s="255" t="s">
        <v>3385</v>
      </c>
      <c r="G807" s="255" t="s">
        <v>3386</v>
      </c>
      <c r="H807" s="255" t="s">
        <v>3387</v>
      </c>
    </row>
    <row r="808" spans="1:8" ht="15" customHeight="1" x14ac:dyDescent="0.2">
      <c r="A808" s="41" t="s">
        <v>4454</v>
      </c>
      <c r="B808" s="274" t="s">
        <v>3521</v>
      </c>
      <c r="C808" s="255" t="s">
        <v>3156</v>
      </c>
      <c r="D808" s="255" t="s">
        <v>3155</v>
      </c>
      <c r="E808" s="255" t="s">
        <v>3403</v>
      </c>
      <c r="F808" s="255" t="s">
        <v>3385</v>
      </c>
      <c r="G808" s="255" t="s">
        <v>3386</v>
      </c>
      <c r="H808" s="255" t="s">
        <v>3387</v>
      </c>
    </row>
    <row r="809" spans="1:8" ht="15" customHeight="1" x14ac:dyDescent="0.2">
      <c r="A809" s="41" t="s">
        <v>4181</v>
      </c>
      <c r="B809" s="274" t="s">
        <v>3521</v>
      </c>
      <c r="C809" s="255" t="s">
        <v>2407</v>
      </c>
      <c r="D809" s="255" t="s">
        <v>2406</v>
      </c>
      <c r="E809" s="255" t="s">
        <v>3403</v>
      </c>
      <c r="F809" s="255" t="s">
        <v>3385</v>
      </c>
      <c r="G809" s="255" t="s">
        <v>3386</v>
      </c>
      <c r="H809" s="255" t="s">
        <v>3387</v>
      </c>
    </row>
    <row r="810" spans="1:8" ht="15" customHeight="1" x14ac:dyDescent="0.2">
      <c r="A810" s="41" t="s">
        <v>4356</v>
      </c>
      <c r="B810" s="274" t="s">
        <v>3521</v>
      </c>
      <c r="C810" s="255" t="s">
        <v>3084</v>
      </c>
      <c r="D810" s="255" t="s">
        <v>3083</v>
      </c>
      <c r="E810" s="255" t="s">
        <v>3403</v>
      </c>
      <c r="F810" s="255" t="s">
        <v>3385</v>
      </c>
      <c r="G810" s="255" t="s">
        <v>3386</v>
      </c>
      <c r="H810" s="255" t="s">
        <v>3387</v>
      </c>
    </row>
    <row r="811" spans="1:8" ht="15" customHeight="1" x14ac:dyDescent="0.2">
      <c r="A811" s="41" t="s">
        <v>4531</v>
      </c>
      <c r="B811" s="274" t="s">
        <v>3657</v>
      </c>
      <c r="C811" s="255" t="s">
        <v>2046</v>
      </c>
      <c r="D811" s="255" t="s">
        <v>3664</v>
      </c>
      <c r="E811" s="255" t="s">
        <v>3403</v>
      </c>
      <c r="F811" s="255" t="s">
        <v>3389</v>
      </c>
      <c r="G811" s="255" t="s">
        <v>3386</v>
      </c>
      <c r="H811" s="255" t="s">
        <v>3392</v>
      </c>
    </row>
    <row r="812" spans="1:8" ht="15" customHeight="1" x14ac:dyDescent="0.2">
      <c r="A812" s="41" t="s">
        <v>4725</v>
      </c>
      <c r="B812" s="274" t="s">
        <v>3657</v>
      </c>
      <c r="C812" s="255" t="s">
        <v>3287</v>
      </c>
      <c r="D812" s="255" t="s">
        <v>3286</v>
      </c>
      <c r="E812" s="255" t="s">
        <v>3403</v>
      </c>
      <c r="F812" s="255" t="s">
        <v>3385</v>
      </c>
      <c r="G812" s="255" t="s">
        <v>3386</v>
      </c>
      <c r="H812" s="255" t="s">
        <v>3387</v>
      </c>
    </row>
    <row r="813" spans="1:8" ht="15" customHeight="1" x14ac:dyDescent="0.2">
      <c r="A813" s="41" t="s">
        <v>4708</v>
      </c>
      <c r="B813" s="274" t="s">
        <v>3657</v>
      </c>
      <c r="C813" s="255" t="s">
        <v>3262</v>
      </c>
      <c r="D813" s="255" t="s">
        <v>3261</v>
      </c>
      <c r="E813" s="255" t="s">
        <v>3403</v>
      </c>
      <c r="F813" s="255" t="s">
        <v>3385</v>
      </c>
      <c r="G813" s="255" t="s">
        <v>3386</v>
      </c>
      <c r="H813" s="255" t="s">
        <v>3387</v>
      </c>
    </row>
    <row r="814" spans="1:8" ht="15" customHeight="1" x14ac:dyDescent="0.2">
      <c r="A814" s="41" t="s">
        <v>4570</v>
      </c>
      <c r="B814" s="274" t="s">
        <v>3657</v>
      </c>
      <c r="C814" s="255" t="s">
        <v>3158</v>
      </c>
      <c r="D814" s="255" t="s">
        <v>3703</v>
      </c>
      <c r="E814" s="255" t="s">
        <v>3403</v>
      </c>
      <c r="F814" s="255" t="s">
        <v>3385</v>
      </c>
      <c r="G814" s="255" t="s">
        <v>3386</v>
      </c>
      <c r="H814" s="255" t="s">
        <v>3387</v>
      </c>
    </row>
    <row r="815" spans="1:8" ht="15" customHeight="1" x14ac:dyDescent="0.2">
      <c r="A815" s="41" t="s">
        <v>4579</v>
      </c>
      <c r="B815" s="274" t="s">
        <v>3657</v>
      </c>
      <c r="C815" s="255" t="s">
        <v>2631</v>
      </c>
      <c r="D815" s="255" t="s">
        <v>3712</v>
      </c>
      <c r="E815" s="255" t="s">
        <v>3403</v>
      </c>
      <c r="F815" s="255" t="s">
        <v>3385</v>
      </c>
      <c r="G815" s="255" t="s">
        <v>3386</v>
      </c>
      <c r="H815" s="255" t="s">
        <v>3387</v>
      </c>
    </row>
    <row r="816" spans="1:8" ht="15" customHeight="1" x14ac:dyDescent="0.2">
      <c r="A816" s="41" t="s">
        <v>4660</v>
      </c>
      <c r="B816" s="274" t="s">
        <v>3657</v>
      </c>
      <c r="C816" s="255" t="s">
        <v>3212</v>
      </c>
      <c r="D816" s="255" t="s">
        <v>3211</v>
      </c>
      <c r="E816" s="255" t="s">
        <v>3403</v>
      </c>
      <c r="F816" s="255" t="s">
        <v>3385</v>
      </c>
      <c r="G816" s="255" t="s">
        <v>3386</v>
      </c>
      <c r="H816" s="255" t="s">
        <v>3387</v>
      </c>
    </row>
    <row r="817" spans="1:8" ht="15" customHeight="1" x14ac:dyDescent="0.2">
      <c r="A817" s="41" t="s">
        <v>4701</v>
      </c>
      <c r="B817" s="274" t="s">
        <v>3657</v>
      </c>
      <c r="C817" s="255" t="s">
        <v>3249</v>
      </c>
      <c r="D817" s="255" t="s">
        <v>3248</v>
      </c>
      <c r="E817" s="255" t="s">
        <v>3403</v>
      </c>
      <c r="F817" s="255" t="s">
        <v>3385</v>
      </c>
      <c r="G817" s="255" t="s">
        <v>3386</v>
      </c>
      <c r="H817" s="255" t="s">
        <v>3387</v>
      </c>
    </row>
    <row r="818" spans="1:8" ht="15" customHeight="1" x14ac:dyDescent="0.2">
      <c r="A818" s="41" t="s">
        <v>4581</v>
      </c>
      <c r="B818" s="274" t="s">
        <v>3657</v>
      </c>
      <c r="C818" s="255" t="s">
        <v>2529</v>
      </c>
      <c r="D818" s="255" t="s">
        <v>3714</v>
      </c>
      <c r="E818" s="255" t="s">
        <v>3403</v>
      </c>
      <c r="F818" s="255" t="s">
        <v>3385</v>
      </c>
      <c r="G818" s="255" t="s">
        <v>3386</v>
      </c>
      <c r="H818" s="255" t="s">
        <v>3387</v>
      </c>
    </row>
    <row r="819" spans="1:8" ht="15" customHeight="1" x14ac:dyDescent="0.2">
      <c r="A819" s="41" t="s">
        <v>4559</v>
      </c>
      <c r="B819" s="274" t="s">
        <v>3657</v>
      </c>
      <c r="C819" s="255" t="s">
        <v>2808</v>
      </c>
      <c r="D819" s="255" t="s">
        <v>3692</v>
      </c>
      <c r="E819" s="255" t="s">
        <v>3403</v>
      </c>
      <c r="F819" s="255" t="s">
        <v>3385</v>
      </c>
      <c r="G819" s="255" t="s">
        <v>3386</v>
      </c>
      <c r="H819" s="255" t="s">
        <v>3387</v>
      </c>
    </row>
    <row r="820" spans="1:8" ht="15" customHeight="1" x14ac:dyDescent="0.2">
      <c r="A820" s="41" t="s">
        <v>4607</v>
      </c>
      <c r="B820" s="274" t="s">
        <v>3657</v>
      </c>
      <c r="C820" s="255" t="s">
        <v>3178</v>
      </c>
      <c r="D820" s="255" t="s">
        <v>3740</v>
      </c>
      <c r="E820" s="255" t="s">
        <v>3403</v>
      </c>
      <c r="F820" s="255" t="s">
        <v>3385</v>
      </c>
      <c r="G820" s="255" t="s">
        <v>3386</v>
      </c>
      <c r="H820" s="255" t="s">
        <v>3387</v>
      </c>
    </row>
    <row r="821" spans="1:8" ht="15" customHeight="1" x14ac:dyDescent="0.2">
      <c r="A821" s="41" t="s">
        <v>4558</v>
      </c>
      <c r="B821" s="274" t="s">
        <v>3657</v>
      </c>
      <c r="C821" s="255" t="s">
        <v>2964</v>
      </c>
      <c r="D821" s="255" t="s">
        <v>3691</v>
      </c>
      <c r="E821" s="255" t="s">
        <v>3403</v>
      </c>
      <c r="F821" s="255" t="s">
        <v>3385</v>
      </c>
      <c r="G821" s="255" t="s">
        <v>3386</v>
      </c>
      <c r="H821" s="255" t="s">
        <v>3387</v>
      </c>
    </row>
    <row r="822" spans="1:8" ht="15" customHeight="1" x14ac:dyDescent="0.2">
      <c r="A822" s="41" t="s">
        <v>4625</v>
      </c>
      <c r="B822" s="274" t="s">
        <v>3657</v>
      </c>
      <c r="C822" s="255" t="s">
        <v>2981</v>
      </c>
      <c r="D822" s="255" t="s">
        <v>3750</v>
      </c>
      <c r="E822" s="255" t="s">
        <v>3403</v>
      </c>
      <c r="F822" s="255" t="s">
        <v>3385</v>
      </c>
      <c r="G822" s="255" t="s">
        <v>3386</v>
      </c>
      <c r="H822" s="255" t="s">
        <v>3387</v>
      </c>
    </row>
    <row r="823" spans="1:8" ht="15" customHeight="1" x14ac:dyDescent="0.2">
      <c r="A823" s="41" t="s">
        <v>4568</v>
      </c>
      <c r="B823" s="274" t="s">
        <v>3657</v>
      </c>
      <c r="C823" s="255" t="s">
        <v>2969</v>
      </c>
      <c r="D823" s="255" t="s">
        <v>3701</v>
      </c>
      <c r="E823" s="255" t="s">
        <v>3403</v>
      </c>
      <c r="F823" s="255" t="s">
        <v>3385</v>
      </c>
      <c r="G823" s="255" t="s">
        <v>3386</v>
      </c>
      <c r="H823" s="255" t="s">
        <v>3387</v>
      </c>
    </row>
    <row r="824" spans="1:8" ht="15" customHeight="1" x14ac:dyDescent="0.2">
      <c r="A824" s="41" t="s">
        <v>4663</v>
      </c>
      <c r="B824" s="274" t="s">
        <v>3657</v>
      </c>
      <c r="C824" s="255" t="s">
        <v>2834</v>
      </c>
      <c r="D824" s="255" t="s">
        <v>3779</v>
      </c>
      <c r="E824" s="255" t="s">
        <v>3403</v>
      </c>
      <c r="F824" s="255" t="s">
        <v>3385</v>
      </c>
      <c r="G824" s="255" t="s">
        <v>3386</v>
      </c>
      <c r="H824" s="255" t="s">
        <v>3387</v>
      </c>
    </row>
    <row r="825" spans="1:8" ht="15" customHeight="1" x14ac:dyDescent="0.2">
      <c r="A825" s="41" t="s">
        <v>4658</v>
      </c>
      <c r="B825" s="274" t="s">
        <v>3657</v>
      </c>
      <c r="C825" s="255" t="s">
        <v>2832</v>
      </c>
      <c r="D825" s="255" t="s">
        <v>3776</v>
      </c>
      <c r="E825" s="255" t="s">
        <v>3403</v>
      </c>
      <c r="F825" s="255" t="s">
        <v>3385</v>
      </c>
      <c r="G825" s="255" t="s">
        <v>3386</v>
      </c>
      <c r="H825" s="255" t="s">
        <v>3387</v>
      </c>
    </row>
    <row r="826" spans="1:8" ht="15" customHeight="1" x14ac:dyDescent="0.2">
      <c r="A826" s="41" t="s">
        <v>4566</v>
      </c>
      <c r="B826" s="274" t="s">
        <v>3657</v>
      </c>
      <c r="C826" s="255" t="s">
        <v>2811</v>
      </c>
      <c r="D826" s="255" t="s">
        <v>3699</v>
      </c>
      <c r="E826" s="255" t="s">
        <v>3403</v>
      </c>
      <c r="F826" s="255" t="s">
        <v>3385</v>
      </c>
      <c r="G826" s="255" t="s">
        <v>3386</v>
      </c>
      <c r="H826" s="255" t="s">
        <v>3387</v>
      </c>
    </row>
    <row r="827" spans="1:8" ht="15" customHeight="1" x14ac:dyDescent="0.2">
      <c r="A827" s="41" t="s">
        <v>4644</v>
      </c>
      <c r="B827" s="274" t="s">
        <v>3657</v>
      </c>
      <c r="C827" s="255" t="s">
        <v>2829</v>
      </c>
      <c r="D827" s="255" t="s">
        <v>3768</v>
      </c>
      <c r="E827" s="255" t="s">
        <v>3403</v>
      </c>
      <c r="F827" s="255" t="s">
        <v>3385</v>
      </c>
      <c r="G827" s="255" t="s">
        <v>3386</v>
      </c>
      <c r="H827" s="255" t="s">
        <v>3387</v>
      </c>
    </row>
    <row r="828" spans="1:8" ht="15" customHeight="1" x14ac:dyDescent="0.2">
      <c r="A828" s="41" t="s">
        <v>4563</v>
      </c>
      <c r="B828" s="274" t="s">
        <v>3657</v>
      </c>
      <c r="C828" s="255" t="s">
        <v>2810</v>
      </c>
      <c r="D828" s="255" t="s">
        <v>3696</v>
      </c>
      <c r="E828" s="255" t="s">
        <v>3403</v>
      </c>
      <c r="F828" s="255" t="s">
        <v>3385</v>
      </c>
      <c r="G828" s="255" t="s">
        <v>3386</v>
      </c>
      <c r="H828" s="255" t="s">
        <v>3387</v>
      </c>
    </row>
    <row r="829" spans="1:8" ht="15" customHeight="1" x14ac:dyDescent="0.2">
      <c r="A829" s="41" t="s">
        <v>4633</v>
      </c>
      <c r="B829" s="274" t="s">
        <v>3657</v>
      </c>
      <c r="C829" s="255" t="s">
        <v>2823</v>
      </c>
      <c r="D829" s="255" t="s">
        <v>3758</v>
      </c>
      <c r="E829" s="255" t="s">
        <v>3403</v>
      </c>
      <c r="F829" s="255" t="s">
        <v>3385</v>
      </c>
      <c r="G829" s="255" t="s">
        <v>3386</v>
      </c>
      <c r="H829" s="255" t="s">
        <v>3387</v>
      </c>
    </row>
    <row r="830" spans="1:8" ht="15" customHeight="1" x14ac:dyDescent="0.2">
      <c r="A830" s="41" t="s">
        <v>4580</v>
      </c>
      <c r="B830" s="274" t="s">
        <v>3657</v>
      </c>
      <c r="C830" s="255" t="s">
        <v>2632</v>
      </c>
      <c r="D830" s="255" t="s">
        <v>3713</v>
      </c>
      <c r="E830" s="255" t="s">
        <v>3403</v>
      </c>
      <c r="F830" s="255" t="s">
        <v>3385</v>
      </c>
      <c r="G830" s="255" t="s">
        <v>3386</v>
      </c>
      <c r="H830" s="255" t="s">
        <v>3387</v>
      </c>
    </row>
    <row r="831" spans="1:8" ht="15" customHeight="1" x14ac:dyDescent="0.2">
      <c r="A831" s="41" t="s">
        <v>4634</v>
      </c>
      <c r="B831" s="274" t="s">
        <v>3657</v>
      </c>
      <c r="C831" s="255" t="s">
        <v>2824</v>
      </c>
      <c r="D831" s="255" t="s">
        <v>3759</v>
      </c>
      <c r="E831" s="255" t="s">
        <v>3403</v>
      </c>
      <c r="F831" s="255" t="s">
        <v>3385</v>
      </c>
      <c r="G831" s="255" t="s">
        <v>3386</v>
      </c>
      <c r="H831" s="255" t="s">
        <v>3387</v>
      </c>
    </row>
    <row r="832" spans="1:8" ht="15" customHeight="1" x14ac:dyDescent="0.2">
      <c r="A832" s="41" t="s">
        <v>4744</v>
      </c>
      <c r="B832" s="274" t="s">
        <v>3657</v>
      </c>
      <c r="C832" s="255" t="s">
        <v>2853</v>
      </c>
      <c r="D832" s="255" t="s">
        <v>3819</v>
      </c>
      <c r="E832" s="255" t="s">
        <v>3403</v>
      </c>
      <c r="F832" s="255" t="s">
        <v>3385</v>
      </c>
      <c r="G832" s="255" t="s">
        <v>3386</v>
      </c>
      <c r="H832" s="255" t="s">
        <v>3387</v>
      </c>
    </row>
    <row r="833" spans="1:8" ht="15" customHeight="1" x14ac:dyDescent="0.2">
      <c r="A833" s="41" t="s">
        <v>4651</v>
      </c>
      <c r="B833" s="274" t="s">
        <v>3657</v>
      </c>
      <c r="C833" s="255" t="s">
        <v>2987</v>
      </c>
      <c r="D833" s="255" t="s">
        <v>3770</v>
      </c>
      <c r="E833" s="255" t="s">
        <v>3403</v>
      </c>
      <c r="F833" s="255" t="s">
        <v>3385</v>
      </c>
      <c r="G833" s="255" t="s">
        <v>3386</v>
      </c>
      <c r="H833" s="255" t="s">
        <v>3387</v>
      </c>
    </row>
    <row r="834" spans="1:8" ht="15" customHeight="1" x14ac:dyDescent="0.2">
      <c r="A834" s="41" t="s">
        <v>4689</v>
      </c>
      <c r="B834" s="274" t="s">
        <v>3657</v>
      </c>
      <c r="C834" s="255" t="s">
        <v>3237</v>
      </c>
      <c r="D834" s="255" t="s">
        <v>3795</v>
      </c>
      <c r="E834" s="255" t="s">
        <v>3403</v>
      </c>
      <c r="F834" s="255" t="s">
        <v>3385</v>
      </c>
      <c r="G834" s="255" t="s">
        <v>3386</v>
      </c>
      <c r="H834" s="255" t="s">
        <v>3387</v>
      </c>
    </row>
    <row r="835" spans="1:8" ht="15" customHeight="1" x14ac:dyDescent="0.2">
      <c r="A835" s="41" t="s">
        <v>4668</v>
      </c>
      <c r="B835" s="274" t="s">
        <v>3657</v>
      </c>
      <c r="C835" s="255" t="s">
        <v>2835</v>
      </c>
      <c r="D835" s="255" t="s">
        <v>3782</v>
      </c>
      <c r="E835" s="255" t="s">
        <v>3403</v>
      </c>
      <c r="F835" s="255" t="s">
        <v>3385</v>
      </c>
      <c r="G835" s="255" t="s">
        <v>3386</v>
      </c>
      <c r="H835" s="255" t="s">
        <v>3387</v>
      </c>
    </row>
    <row r="836" spans="1:8" ht="15" customHeight="1" x14ac:dyDescent="0.2">
      <c r="A836" s="41" t="s">
        <v>4543</v>
      </c>
      <c r="B836" s="274" t="s">
        <v>3657</v>
      </c>
      <c r="C836" s="255" t="s">
        <v>2525</v>
      </c>
      <c r="D836" s="255" t="s">
        <v>3676</v>
      </c>
      <c r="E836" s="255" t="s">
        <v>3403</v>
      </c>
      <c r="F836" s="255" t="s">
        <v>3385</v>
      </c>
      <c r="G836" s="255" t="s">
        <v>3386</v>
      </c>
      <c r="H836" s="255" t="s">
        <v>3387</v>
      </c>
    </row>
    <row r="837" spans="1:8" ht="15" customHeight="1" x14ac:dyDescent="0.2">
      <c r="A837" s="41" t="s">
        <v>4685</v>
      </c>
      <c r="B837" s="274" t="s">
        <v>3657</v>
      </c>
      <c r="C837" s="255" t="s">
        <v>2841</v>
      </c>
      <c r="D837" s="255" t="s">
        <v>3793</v>
      </c>
      <c r="E837" s="255" t="s">
        <v>3403</v>
      </c>
      <c r="F837" s="255" t="s">
        <v>3385</v>
      </c>
      <c r="G837" s="255" t="s">
        <v>3386</v>
      </c>
      <c r="H837" s="255" t="s">
        <v>3387</v>
      </c>
    </row>
    <row r="838" spans="1:8" ht="15" customHeight="1" x14ac:dyDescent="0.2">
      <c r="A838" s="41" t="s">
        <v>4737</v>
      </c>
      <c r="B838" s="274" t="s">
        <v>3657</v>
      </c>
      <c r="C838" s="255" t="s">
        <v>3301</v>
      </c>
      <c r="D838" s="255" t="s">
        <v>3300</v>
      </c>
      <c r="E838" s="255" t="s">
        <v>3403</v>
      </c>
      <c r="F838" s="255" t="s">
        <v>3385</v>
      </c>
      <c r="G838" s="255" t="s">
        <v>3386</v>
      </c>
      <c r="H838" s="255" t="s">
        <v>3387</v>
      </c>
    </row>
    <row r="839" spans="1:8" ht="15" customHeight="1" x14ac:dyDescent="0.2">
      <c r="A839" s="41" t="s">
        <v>4640</v>
      </c>
      <c r="B839" s="274" t="s">
        <v>3657</v>
      </c>
      <c r="C839" s="255" t="s">
        <v>2638</v>
      </c>
      <c r="D839" s="255" t="s">
        <v>3764</v>
      </c>
      <c r="E839" s="255" t="s">
        <v>3403</v>
      </c>
      <c r="F839" s="255" t="s">
        <v>3385</v>
      </c>
      <c r="G839" s="255" t="s">
        <v>3386</v>
      </c>
      <c r="H839" s="255" t="s">
        <v>3387</v>
      </c>
    </row>
    <row r="840" spans="1:8" ht="15" customHeight="1" x14ac:dyDescent="0.2">
      <c r="A840" s="41" t="s">
        <v>4548</v>
      </c>
      <c r="B840" s="274" t="s">
        <v>3657</v>
      </c>
      <c r="C840" s="255" t="s">
        <v>2805</v>
      </c>
      <c r="D840" s="255" t="s">
        <v>3681</v>
      </c>
      <c r="E840" s="255" t="s">
        <v>3403</v>
      </c>
      <c r="F840" s="255" t="s">
        <v>3385</v>
      </c>
      <c r="G840" s="255" t="s">
        <v>3386</v>
      </c>
      <c r="H840" s="255" t="s">
        <v>3387</v>
      </c>
    </row>
    <row r="841" spans="1:8" ht="15" customHeight="1" x14ac:dyDescent="0.2">
      <c r="A841" s="41" t="s">
        <v>4577</v>
      </c>
      <c r="B841" s="274" t="s">
        <v>3657</v>
      </c>
      <c r="C841" s="255" t="s">
        <v>3165</v>
      </c>
      <c r="D841" s="255" t="s">
        <v>3710</v>
      </c>
      <c r="E841" s="255" t="s">
        <v>3403</v>
      </c>
      <c r="F841" s="255" t="s">
        <v>3385</v>
      </c>
      <c r="G841" s="255" t="s">
        <v>3386</v>
      </c>
      <c r="H841" s="255" t="s">
        <v>3387</v>
      </c>
    </row>
    <row r="842" spans="1:8" ht="15" customHeight="1" x14ac:dyDescent="0.2">
      <c r="A842" s="41" t="s">
        <v>4678</v>
      </c>
      <c r="B842" s="274" t="s">
        <v>3657</v>
      </c>
      <c r="C842" s="255" t="s">
        <v>3228</v>
      </c>
      <c r="D842" s="255" t="s">
        <v>3227</v>
      </c>
      <c r="E842" s="255" t="s">
        <v>3403</v>
      </c>
      <c r="F842" s="255" t="s">
        <v>3385</v>
      </c>
      <c r="G842" s="255" t="s">
        <v>3386</v>
      </c>
      <c r="H842" s="255" t="s">
        <v>3387</v>
      </c>
    </row>
    <row r="843" spans="1:8" ht="15" customHeight="1" x14ac:dyDescent="0.2">
      <c r="A843" s="41" t="s">
        <v>4714</v>
      </c>
      <c r="B843" s="274" t="s">
        <v>3657</v>
      </c>
      <c r="C843" s="255" t="s">
        <v>3272</v>
      </c>
      <c r="D843" s="255" t="s">
        <v>3271</v>
      </c>
      <c r="E843" s="255" t="s">
        <v>3403</v>
      </c>
      <c r="F843" s="255" t="s">
        <v>3385</v>
      </c>
      <c r="G843" s="255" t="s">
        <v>3386</v>
      </c>
      <c r="H843" s="255" t="s">
        <v>3387</v>
      </c>
    </row>
    <row r="844" spans="1:8" ht="15" customHeight="1" x14ac:dyDescent="0.2">
      <c r="A844" s="41" t="s">
        <v>4716</v>
      </c>
      <c r="B844" s="274" t="s">
        <v>3657</v>
      </c>
      <c r="C844" s="255" t="s">
        <v>3276</v>
      </c>
      <c r="D844" s="255" t="s">
        <v>3275</v>
      </c>
      <c r="E844" s="255" t="s">
        <v>3403</v>
      </c>
      <c r="F844" s="255" t="s">
        <v>3385</v>
      </c>
      <c r="G844" s="255" t="s">
        <v>3386</v>
      </c>
      <c r="H844" s="255" t="s">
        <v>3387</v>
      </c>
    </row>
    <row r="845" spans="1:8" ht="15" customHeight="1" x14ac:dyDescent="0.2">
      <c r="A845" s="41" t="s">
        <v>4584</v>
      </c>
      <c r="B845" s="274" t="s">
        <v>3657</v>
      </c>
      <c r="C845" s="255" t="s">
        <v>3168</v>
      </c>
      <c r="D845" s="255" t="s">
        <v>3717</v>
      </c>
      <c r="E845" s="255" t="s">
        <v>3403</v>
      </c>
      <c r="F845" s="255" t="s">
        <v>3385</v>
      </c>
      <c r="G845" s="255" t="s">
        <v>3386</v>
      </c>
      <c r="H845" s="255" t="s">
        <v>3387</v>
      </c>
    </row>
    <row r="846" spans="1:8" ht="15" customHeight="1" x14ac:dyDescent="0.2">
      <c r="A846" s="41" t="s">
        <v>4538</v>
      </c>
      <c r="B846" s="274" t="s">
        <v>3657</v>
      </c>
      <c r="C846" s="255" t="s">
        <v>2957</v>
      </c>
      <c r="D846" s="255" t="s">
        <v>3671</v>
      </c>
      <c r="E846" s="255" t="s">
        <v>3403</v>
      </c>
      <c r="F846" s="255" t="s">
        <v>3385</v>
      </c>
      <c r="G846" s="255" t="s">
        <v>3386</v>
      </c>
      <c r="H846" s="255" t="s">
        <v>3387</v>
      </c>
    </row>
    <row r="847" spans="1:8" ht="15" customHeight="1" x14ac:dyDescent="0.2">
      <c r="A847" s="41" t="s">
        <v>4638</v>
      </c>
      <c r="B847" s="274" t="s">
        <v>3657</v>
      </c>
      <c r="C847" s="255" t="s">
        <v>2826</v>
      </c>
      <c r="D847" s="255" t="s">
        <v>3762</v>
      </c>
      <c r="E847" s="255" t="s">
        <v>3403</v>
      </c>
      <c r="F847" s="255" t="s">
        <v>3385</v>
      </c>
      <c r="G847" s="255" t="s">
        <v>3386</v>
      </c>
      <c r="H847" s="255" t="s">
        <v>3387</v>
      </c>
    </row>
    <row r="848" spans="1:8" ht="15" customHeight="1" x14ac:dyDescent="0.2">
      <c r="A848" s="41" t="s">
        <v>4550</v>
      </c>
      <c r="B848" s="274" t="s">
        <v>3657</v>
      </c>
      <c r="C848" s="255" t="s">
        <v>2446</v>
      </c>
      <c r="D848" s="255" t="s">
        <v>3683</v>
      </c>
      <c r="E848" s="255" t="s">
        <v>3403</v>
      </c>
      <c r="F848" s="255" t="s">
        <v>3385</v>
      </c>
      <c r="G848" s="255" t="s">
        <v>3386</v>
      </c>
      <c r="H848" s="255" t="s">
        <v>3387</v>
      </c>
    </row>
    <row r="849" spans="1:8" ht="15" customHeight="1" x14ac:dyDescent="0.2">
      <c r="A849" s="41" t="s">
        <v>4542</v>
      </c>
      <c r="B849" s="274" t="s">
        <v>3657</v>
      </c>
      <c r="C849" s="255" t="s">
        <v>2958</v>
      </c>
      <c r="D849" s="255" t="s">
        <v>3675</v>
      </c>
      <c r="E849" s="255" t="s">
        <v>3403</v>
      </c>
      <c r="F849" s="255" t="s">
        <v>3385</v>
      </c>
      <c r="G849" s="255" t="s">
        <v>3386</v>
      </c>
      <c r="H849" s="255" t="s">
        <v>3387</v>
      </c>
    </row>
    <row r="850" spans="1:8" ht="15" customHeight="1" x14ac:dyDescent="0.2">
      <c r="A850" s="41" t="s">
        <v>4601</v>
      </c>
      <c r="B850" s="274" t="s">
        <v>3657</v>
      </c>
      <c r="C850" s="255" t="s">
        <v>3175</v>
      </c>
      <c r="D850" s="255" t="s">
        <v>3734</v>
      </c>
      <c r="E850" s="255" t="s">
        <v>3403</v>
      </c>
      <c r="F850" s="255" t="s">
        <v>3385</v>
      </c>
      <c r="G850" s="255" t="s">
        <v>3386</v>
      </c>
      <c r="H850" s="255" t="s">
        <v>3387</v>
      </c>
    </row>
    <row r="851" spans="1:8" ht="15" customHeight="1" x14ac:dyDescent="0.2">
      <c r="A851" s="41" t="s">
        <v>4587</v>
      </c>
      <c r="B851" s="274" t="s">
        <v>3657</v>
      </c>
      <c r="C851" s="255" t="s">
        <v>2813</v>
      </c>
      <c r="D851" s="255" t="s">
        <v>3720</v>
      </c>
      <c r="E851" s="255" t="s">
        <v>3403</v>
      </c>
      <c r="F851" s="255" t="s">
        <v>3385</v>
      </c>
      <c r="G851" s="255" t="s">
        <v>3386</v>
      </c>
      <c r="H851" s="255" t="s">
        <v>3387</v>
      </c>
    </row>
    <row r="852" spans="1:8" ht="15" customHeight="1" x14ac:dyDescent="0.2">
      <c r="A852" s="41" t="s">
        <v>4669</v>
      </c>
      <c r="B852" s="274" t="s">
        <v>3657</v>
      </c>
      <c r="C852" s="255" t="s">
        <v>2534</v>
      </c>
      <c r="D852" s="255" t="s">
        <v>3783</v>
      </c>
      <c r="E852" s="255" t="s">
        <v>3403</v>
      </c>
      <c r="F852" s="255" t="s">
        <v>3385</v>
      </c>
      <c r="G852" s="255" t="s">
        <v>3386</v>
      </c>
      <c r="H852" s="255" t="s">
        <v>3387</v>
      </c>
    </row>
    <row r="853" spans="1:8" ht="15" customHeight="1" x14ac:dyDescent="0.2">
      <c r="A853" s="41" t="s">
        <v>4604</v>
      </c>
      <c r="B853" s="274" t="s">
        <v>3657</v>
      </c>
      <c r="C853" s="255" t="s">
        <v>3177</v>
      </c>
      <c r="D853" s="255" t="s">
        <v>3737</v>
      </c>
      <c r="E853" s="255" t="s">
        <v>3403</v>
      </c>
      <c r="F853" s="255" t="s">
        <v>3385</v>
      </c>
      <c r="G853" s="255" t="s">
        <v>3386</v>
      </c>
      <c r="H853" s="255" t="s">
        <v>3387</v>
      </c>
    </row>
    <row r="854" spans="1:8" ht="15" customHeight="1" x14ac:dyDescent="0.2">
      <c r="A854" s="41" t="s">
        <v>4632</v>
      </c>
      <c r="B854" s="274" t="s">
        <v>3657</v>
      </c>
      <c r="C854" s="255" t="s">
        <v>2985</v>
      </c>
      <c r="D854" s="255" t="s">
        <v>3757</v>
      </c>
      <c r="E854" s="255" t="s">
        <v>3403</v>
      </c>
      <c r="F854" s="255" t="s">
        <v>3385</v>
      </c>
      <c r="G854" s="255" t="s">
        <v>3386</v>
      </c>
      <c r="H854" s="255" t="s">
        <v>3387</v>
      </c>
    </row>
    <row r="855" spans="1:8" ht="15" customHeight="1" x14ac:dyDescent="0.2">
      <c r="A855" s="41" t="s">
        <v>4552</v>
      </c>
      <c r="B855" s="274" t="s">
        <v>3657</v>
      </c>
      <c r="C855" s="255" t="s">
        <v>2526</v>
      </c>
      <c r="D855" s="255" t="s">
        <v>3685</v>
      </c>
      <c r="E855" s="255" t="s">
        <v>3403</v>
      </c>
      <c r="F855" s="255" t="s">
        <v>3385</v>
      </c>
      <c r="G855" s="255" t="s">
        <v>3386</v>
      </c>
      <c r="H855" s="255" t="s">
        <v>3387</v>
      </c>
    </row>
    <row r="856" spans="1:8" ht="15" customHeight="1" x14ac:dyDescent="0.2">
      <c r="A856" s="41" t="s">
        <v>4532</v>
      </c>
      <c r="B856" s="274" t="s">
        <v>3657</v>
      </c>
      <c r="C856" s="255" t="s">
        <v>2801</v>
      </c>
      <c r="D856" s="255" t="s">
        <v>3665</v>
      </c>
      <c r="E856" s="255" t="s">
        <v>3403</v>
      </c>
      <c r="F856" s="255" t="s">
        <v>3385</v>
      </c>
      <c r="G856" s="255" t="s">
        <v>3386</v>
      </c>
      <c r="H856" s="255" t="s">
        <v>3387</v>
      </c>
    </row>
    <row r="857" spans="1:8" ht="15" customHeight="1" x14ac:dyDescent="0.2">
      <c r="A857" s="41" t="s">
        <v>4544</v>
      </c>
      <c r="B857" s="274" t="s">
        <v>3657</v>
      </c>
      <c r="C857" s="255" t="s">
        <v>2804</v>
      </c>
      <c r="D857" s="255" t="s">
        <v>3677</v>
      </c>
      <c r="E857" s="255" t="s">
        <v>3403</v>
      </c>
      <c r="F857" s="255" t="s">
        <v>3385</v>
      </c>
      <c r="G857" s="255" t="s">
        <v>3386</v>
      </c>
      <c r="H857" s="255" t="s">
        <v>3387</v>
      </c>
    </row>
    <row r="858" spans="1:8" ht="15" customHeight="1" x14ac:dyDescent="0.2">
      <c r="A858" s="41" t="s">
        <v>4596</v>
      </c>
      <c r="B858" s="274" t="s">
        <v>3657</v>
      </c>
      <c r="C858" s="255" t="s">
        <v>2975</v>
      </c>
      <c r="D858" s="255" t="s">
        <v>3729</v>
      </c>
      <c r="E858" s="255" t="s">
        <v>3403</v>
      </c>
      <c r="F858" s="255" t="s">
        <v>3385</v>
      </c>
      <c r="G858" s="255" t="s">
        <v>3386</v>
      </c>
      <c r="H858" s="255" t="s">
        <v>3387</v>
      </c>
    </row>
    <row r="859" spans="1:8" ht="15" customHeight="1" x14ac:dyDescent="0.2">
      <c r="A859" s="41" t="s">
        <v>4528</v>
      </c>
      <c r="B859" s="274" t="s">
        <v>3657</v>
      </c>
      <c r="C859" s="255" t="s">
        <v>2445</v>
      </c>
      <c r="D859" s="255" t="s">
        <v>3661</v>
      </c>
      <c r="E859" s="255" t="s">
        <v>3403</v>
      </c>
      <c r="F859" s="255" t="s">
        <v>3385</v>
      </c>
      <c r="G859" s="255" t="s">
        <v>3386</v>
      </c>
      <c r="H859" s="255" t="s">
        <v>3387</v>
      </c>
    </row>
    <row r="860" spans="1:8" ht="15" customHeight="1" x14ac:dyDescent="0.2">
      <c r="A860" s="41" t="s">
        <v>4534</v>
      </c>
      <c r="B860" s="274" t="s">
        <v>3657</v>
      </c>
      <c r="C860" s="255" t="s">
        <v>2954</v>
      </c>
      <c r="D860" s="255" t="s">
        <v>3667</v>
      </c>
      <c r="E860" s="255" t="s">
        <v>3403</v>
      </c>
      <c r="F860" s="255" t="s">
        <v>3385</v>
      </c>
      <c r="G860" s="255" t="s">
        <v>3386</v>
      </c>
      <c r="H860" s="255" t="s">
        <v>3387</v>
      </c>
    </row>
    <row r="861" spans="1:8" ht="15" customHeight="1" x14ac:dyDescent="0.2">
      <c r="A861" s="41" t="s">
        <v>4547</v>
      </c>
      <c r="B861" s="274" t="s">
        <v>3657</v>
      </c>
      <c r="C861" s="255" t="s">
        <v>2961</v>
      </c>
      <c r="D861" s="255" t="s">
        <v>3680</v>
      </c>
      <c r="E861" s="255" t="s">
        <v>3403</v>
      </c>
      <c r="F861" s="255" t="s">
        <v>3385</v>
      </c>
      <c r="G861" s="255" t="s">
        <v>3386</v>
      </c>
      <c r="H861" s="255" t="s">
        <v>3387</v>
      </c>
    </row>
    <row r="862" spans="1:8" ht="15" customHeight="1" x14ac:dyDescent="0.2">
      <c r="A862" s="41" t="s">
        <v>4710</v>
      </c>
      <c r="B862" s="274" t="s">
        <v>3657</v>
      </c>
      <c r="C862" s="255" t="s">
        <v>3266</v>
      </c>
      <c r="D862" s="255" t="s">
        <v>3265</v>
      </c>
      <c r="E862" s="255" t="s">
        <v>3403</v>
      </c>
      <c r="F862" s="255" t="s">
        <v>3385</v>
      </c>
      <c r="G862" s="255" t="s">
        <v>3386</v>
      </c>
      <c r="H862" s="255" t="s">
        <v>3387</v>
      </c>
    </row>
    <row r="863" spans="1:8" ht="15" customHeight="1" x14ac:dyDescent="0.2">
      <c r="A863" s="41" t="s">
        <v>4711</v>
      </c>
      <c r="B863" s="274" t="s">
        <v>3657</v>
      </c>
      <c r="C863" s="255" t="s">
        <v>3268</v>
      </c>
      <c r="D863" s="255" t="s">
        <v>3267</v>
      </c>
      <c r="E863" s="255" t="s">
        <v>3403</v>
      </c>
      <c r="F863" s="255" t="s">
        <v>3385</v>
      </c>
      <c r="G863" s="255" t="s">
        <v>3386</v>
      </c>
      <c r="H863" s="255" t="s">
        <v>3387</v>
      </c>
    </row>
    <row r="864" spans="1:8" ht="15" customHeight="1" x14ac:dyDescent="0.2">
      <c r="A864" s="41" t="s">
        <v>4655</v>
      </c>
      <c r="B864" s="274" t="s">
        <v>3657</v>
      </c>
      <c r="C864" s="255" t="s">
        <v>2532</v>
      </c>
      <c r="D864" s="255" t="s">
        <v>3774</v>
      </c>
      <c r="E864" s="255" t="s">
        <v>3403</v>
      </c>
      <c r="F864" s="255" t="s">
        <v>3385</v>
      </c>
      <c r="G864" s="255" t="s">
        <v>3386</v>
      </c>
      <c r="H864" s="255" t="s">
        <v>3387</v>
      </c>
    </row>
    <row r="865" spans="1:8" ht="15" customHeight="1" x14ac:dyDescent="0.2">
      <c r="A865" s="41" t="s">
        <v>4599</v>
      </c>
      <c r="B865" s="274" t="s">
        <v>3657</v>
      </c>
      <c r="C865" s="255" t="s">
        <v>3173</v>
      </c>
      <c r="D865" s="255" t="s">
        <v>3732</v>
      </c>
      <c r="E865" s="255" t="s">
        <v>3403</v>
      </c>
      <c r="F865" s="255" t="s">
        <v>3385</v>
      </c>
      <c r="G865" s="255" t="s">
        <v>3386</v>
      </c>
      <c r="H865" s="255" t="s">
        <v>3387</v>
      </c>
    </row>
    <row r="866" spans="1:8" ht="15" customHeight="1" x14ac:dyDescent="0.2">
      <c r="A866" s="41" t="s">
        <v>4560</v>
      </c>
      <c r="B866" s="274" t="s">
        <v>3657</v>
      </c>
      <c r="C866" s="255" t="s">
        <v>2809</v>
      </c>
      <c r="D866" s="255" t="s">
        <v>3693</v>
      </c>
      <c r="E866" s="255" t="s">
        <v>3403</v>
      </c>
      <c r="F866" s="255" t="s">
        <v>3385</v>
      </c>
      <c r="G866" s="255" t="s">
        <v>3386</v>
      </c>
      <c r="H866" s="255" t="s">
        <v>3387</v>
      </c>
    </row>
    <row r="867" spans="1:8" ht="15" customHeight="1" x14ac:dyDescent="0.2">
      <c r="A867" s="41" t="s">
        <v>4603</v>
      </c>
      <c r="B867" s="274" t="s">
        <v>3657</v>
      </c>
      <c r="C867" s="255" t="s">
        <v>2530</v>
      </c>
      <c r="D867" s="255" t="s">
        <v>3736</v>
      </c>
      <c r="E867" s="255" t="s">
        <v>3403</v>
      </c>
      <c r="F867" s="255" t="s">
        <v>3385</v>
      </c>
      <c r="G867" s="255" t="s">
        <v>3386</v>
      </c>
      <c r="H867" s="255" t="s">
        <v>3387</v>
      </c>
    </row>
    <row r="868" spans="1:8" ht="15" customHeight="1" x14ac:dyDescent="0.2">
      <c r="A868" s="41" t="s">
        <v>4525</v>
      </c>
      <c r="B868" s="274" t="s">
        <v>3657</v>
      </c>
      <c r="C868" s="255" t="s">
        <v>2799</v>
      </c>
      <c r="D868" s="255" t="s">
        <v>3658</v>
      </c>
      <c r="E868" s="255" t="s">
        <v>3403</v>
      </c>
      <c r="F868" s="255" t="s">
        <v>3385</v>
      </c>
      <c r="G868" s="255" t="s">
        <v>3386</v>
      </c>
      <c r="H868" s="255" t="s">
        <v>3387</v>
      </c>
    </row>
    <row r="869" spans="1:8" ht="15" customHeight="1" x14ac:dyDescent="0.2">
      <c r="A869" s="41" t="s">
        <v>4666</v>
      </c>
      <c r="B869" s="274" t="s">
        <v>3657</v>
      </c>
      <c r="C869" s="255" t="s">
        <v>3219</v>
      </c>
      <c r="D869" s="255" t="s">
        <v>3218</v>
      </c>
      <c r="E869" s="255" t="s">
        <v>3403</v>
      </c>
      <c r="F869" s="255" t="s">
        <v>3385</v>
      </c>
      <c r="G869" s="255" t="s">
        <v>3386</v>
      </c>
      <c r="H869" s="255" t="s">
        <v>3387</v>
      </c>
    </row>
    <row r="870" spans="1:8" ht="15" customHeight="1" x14ac:dyDescent="0.2">
      <c r="A870" s="41" t="s">
        <v>4562</v>
      </c>
      <c r="B870" s="274" t="s">
        <v>3657</v>
      </c>
      <c r="C870" s="255" t="s">
        <v>2965</v>
      </c>
      <c r="D870" s="255" t="s">
        <v>3695</v>
      </c>
      <c r="E870" s="255" t="s">
        <v>3403</v>
      </c>
      <c r="F870" s="255" t="s">
        <v>3385</v>
      </c>
      <c r="G870" s="255" t="s">
        <v>3386</v>
      </c>
      <c r="H870" s="255" t="s">
        <v>3387</v>
      </c>
    </row>
    <row r="871" spans="1:8" ht="15" customHeight="1" x14ac:dyDescent="0.2">
      <c r="A871" s="41" t="s">
        <v>4539</v>
      </c>
      <c r="B871" s="274" t="s">
        <v>3657</v>
      </c>
      <c r="C871" s="255" t="s">
        <v>2385</v>
      </c>
      <c r="D871" s="255" t="s">
        <v>3672</v>
      </c>
      <c r="E871" s="255" t="s">
        <v>3403</v>
      </c>
      <c r="F871" s="255" t="s">
        <v>3385</v>
      </c>
      <c r="G871" s="255" t="s">
        <v>3386</v>
      </c>
      <c r="H871" s="255" t="s">
        <v>3387</v>
      </c>
    </row>
    <row r="872" spans="1:8" ht="15" customHeight="1" x14ac:dyDescent="0.2">
      <c r="A872" s="41" t="s">
        <v>4546</v>
      </c>
      <c r="B872" s="274" t="s">
        <v>3657</v>
      </c>
      <c r="C872" s="255" t="s">
        <v>2960</v>
      </c>
      <c r="D872" s="255" t="s">
        <v>3679</v>
      </c>
      <c r="E872" s="255" t="s">
        <v>3403</v>
      </c>
      <c r="F872" s="255" t="s">
        <v>3385</v>
      </c>
      <c r="G872" s="255" t="s">
        <v>3386</v>
      </c>
      <c r="H872" s="255" t="s">
        <v>3387</v>
      </c>
    </row>
    <row r="873" spans="1:8" ht="15" customHeight="1" x14ac:dyDescent="0.2">
      <c r="A873" s="41" t="s">
        <v>4713</v>
      </c>
      <c r="B873" s="274" t="s">
        <v>3657</v>
      </c>
      <c r="C873" s="255" t="s">
        <v>2846</v>
      </c>
      <c r="D873" s="255" t="s">
        <v>3804</v>
      </c>
      <c r="E873" s="255" t="s">
        <v>3403</v>
      </c>
      <c r="F873" s="255" t="s">
        <v>3385</v>
      </c>
      <c r="G873" s="255" t="s">
        <v>3386</v>
      </c>
      <c r="H873" s="255" t="s">
        <v>3387</v>
      </c>
    </row>
    <row r="874" spans="1:8" ht="15" customHeight="1" x14ac:dyDescent="0.2">
      <c r="A874" s="41" t="s">
        <v>4555</v>
      </c>
      <c r="B874" s="274" t="s">
        <v>3657</v>
      </c>
      <c r="C874" s="255" t="s">
        <v>2527</v>
      </c>
      <c r="D874" s="255" t="s">
        <v>3688</v>
      </c>
      <c r="E874" s="255" t="s">
        <v>3403</v>
      </c>
      <c r="F874" s="255" t="s">
        <v>3385</v>
      </c>
      <c r="G874" s="255" t="s">
        <v>3386</v>
      </c>
      <c r="H874" s="255" t="s">
        <v>3387</v>
      </c>
    </row>
    <row r="875" spans="1:8" ht="15" customHeight="1" x14ac:dyDescent="0.2">
      <c r="A875" s="41" t="s">
        <v>4635</v>
      </c>
      <c r="B875" s="274" t="s">
        <v>3657</v>
      </c>
      <c r="C875" s="255" t="s">
        <v>2825</v>
      </c>
      <c r="D875" s="255" t="s">
        <v>3760</v>
      </c>
      <c r="E875" s="255" t="s">
        <v>3403</v>
      </c>
      <c r="F875" s="255" t="s">
        <v>3385</v>
      </c>
      <c r="G875" s="255" t="s">
        <v>3386</v>
      </c>
      <c r="H875" s="255" t="s">
        <v>3387</v>
      </c>
    </row>
    <row r="876" spans="1:8" ht="15" customHeight="1" x14ac:dyDescent="0.2">
      <c r="A876" s="41" t="s">
        <v>4526</v>
      </c>
      <c r="B876" s="274" t="s">
        <v>3657</v>
      </c>
      <c r="C876" s="255" t="s">
        <v>2628</v>
      </c>
      <c r="D876" s="255" t="s">
        <v>3659</v>
      </c>
      <c r="E876" s="255" t="s">
        <v>3403</v>
      </c>
      <c r="F876" s="255" t="s">
        <v>3385</v>
      </c>
      <c r="G876" s="255" t="s">
        <v>3386</v>
      </c>
      <c r="H876" s="255" t="s">
        <v>3387</v>
      </c>
    </row>
    <row r="877" spans="1:8" ht="15" customHeight="1" x14ac:dyDescent="0.2">
      <c r="A877" s="41" t="s">
        <v>4561</v>
      </c>
      <c r="B877" s="274" t="s">
        <v>3657</v>
      </c>
      <c r="C877" s="255" t="s">
        <v>2243</v>
      </c>
      <c r="D877" s="255" t="s">
        <v>3694</v>
      </c>
      <c r="E877" s="255" t="s">
        <v>3403</v>
      </c>
      <c r="F877" s="255" t="s">
        <v>3385</v>
      </c>
      <c r="G877" s="255" t="s">
        <v>3386</v>
      </c>
      <c r="H877" s="255" t="s">
        <v>3387</v>
      </c>
    </row>
    <row r="878" spans="1:8" ht="15" customHeight="1" x14ac:dyDescent="0.2">
      <c r="A878" s="41" t="s">
        <v>4720</v>
      </c>
      <c r="B878" s="274" t="s">
        <v>3657</v>
      </c>
      <c r="C878" s="255" t="s">
        <v>2849</v>
      </c>
      <c r="D878" s="255" t="s">
        <v>3807</v>
      </c>
      <c r="E878" s="255" t="s">
        <v>3403</v>
      </c>
      <c r="F878" s="255" t="s">
        <v>3385</v>
      </c>
      <c r="G878" s="255" t="s">
        <v>3386</v>
      </c>
      <c r="H878" s="255" t="s">
        <v>3387</v>
      </c>
    </row>
    <row r="879" spans="1:8" ht="15" customHeight="1" x14ac:dyDescent="0.2">
      <c r="A879" s="41" t="s">
        <v>4605</v>
      </c>
      <c r="B879" s="274" t="s">
        <v>3657</v>
      </c>
      <c r="C879" s="255" t="s">
        <v>2817</v>
      </c>
      <c r="D879" s="255" t="s">
        <v>3738</v>
      </c>
      <c r="E879" s="255" t="s">
        <v>3403</v>
      </c>
      <c r="F879" s="255" t="s">
        <v>3385</v>
      </c>
      <c r="G879" s="255" t="s">
        <v>3386</v>
      </c>
      <c r="H879" s="255" t="s">
        <v>3387</v>
      </c>
    </row>
    <row r="880" spans="1:8" ht="15" customHeight="1" x14ac:dyDescent="0.2">
      <c r="A880" s="41" t="s">
        <v>4717</v>
      </c>
      <c r="B880" s="274" t="s">
        <v>3657</v>
      </c>
      <c r="C880" s="255" t="s">
        <v>2847</v>
      </c>
      <c r="D880" s="255" t="s">
        <v>3805</v>
      </c>
      <c r="E880" s="255" t="s">
        <v>3403</v>
      </c>
      <c r="F880" s="255" t="s">
        <v>3385</v>
      </c>
      <c r="G880" s="255" t="s">
        <v>3386</v>
      </c>
      <c r="H880" s="255" t="s">
        <v>3387</v>
      </c>
    </row>
    <row r="881" spans="1:8" ht="15" customHeight="1" x14ac:dyDescent="0.2">
      <c r="A881" s="41" t="s">
        <v>4631</v>
      </c>
      <c r="B881" s="274" t="s">
        <v>3657</v>
      </c>
      <c r="C881" s="255" t="s">
        <v>2984</v>
      </c>
      <c r="D881" s="255" t="s">
        <v>3756</v>
      </c>
      <c r="E881" s="255" t="s">
        <v>3403</v>
      </c>
      <c r="F881" s="255" t="s">
        <v>3385</v>
      </c>
      <c r="G881" s="255" t="s">
        <v>3386</v>
      </c>
      <c r="H881" s="255" t="s">
        <v>3387</v>
      </c>
    </row>
    <row r="882" spans="1:8" ht="15" customHeight="1" x14ac:dyDescent="0.2">
      <c r="A882" s="41" t="s">
        <v>4540</v>
      </c>
      <c r="B882" s="274" t="s">
        <v>3657</v>
      </c>
      <c r="C882" s="255" t="s">
        <v>3157</v>
      </c>
      <c r="D882" s="255" t="s">
        <v>3673</v>
      </c>
      <c r="E882" s="255" t="s">
        <v>3403</v>
      </c>
      <c r="F882" s="255" t="s">
        <v>3385</v>
      </c>
      <c r="G882" s="255" t="s">
        <v>3386</v>
      </c>
      <c r="H882" s="255" t="s">
        <v>3387</v>
      </c>
    </row>
    <row r="883" spans="1:8" ht="15" customHeight="1" x14ac:dyDescent="0.2">
      <c r="A883" s="41" t="s">
        <v>4537</v>
      </c>
      <c r="B883" s="274" t="s">
        <v>3657</v>
      </c>
      <c r="C883" s="255" t="s">
        <v>2802</v>
      </c>
      <c r="D883" s="255" t="s">
        <v>3670</v>
      </c>
      <c r="E883" s="255" t="s">
        <v>3403</v>
      </c>
      <c r="F883" s="255" t="s">
        <v>3385</v>
      </c>
      <c r="G883" s="255" t="s">
        <v>3386</v>
      </c>
      <c r="H883" s="255" t="s">
        <v>3387</v>
      </c>
    </row>
    <row r="884" spans="1:8" ht="15" customHeight="1" x14ac:dyDescent="0.2">
      <c r="A884" s="41" t="s">
        <v>4609</v>
      </c>
      <c r="B884" s="274" t="s">
        <v>3657</v>
      </c>
      <c r="C884" s="255" t="s">
        <v>2976</v>
      </c>
      <c r="D884" s="255" t="s">
        <v>3741</v>
      </c>
      <c r="E884" s="255" t="s">
        <v>3403</v>
      </c>
      <c r="F884" s="255" t="s">
        <v>3385</v>
      </c>
      <c r="G884" s="255" t="s">
        <v>3386</v>
      </c>
      <c r="H884" s="255" t="s">
        <v>3387</v>
      </c>
    </row>
    <row r="885" spans="1:8" ht="15" customHeight="1" x14ac:dyDescent="0.2">
      <c r="A885" s="41" t="s">
        <v>4738</v>
      </c>
      <c r="B885" s="274" t="s">
        <v>3657</v>
      </c>
      <c r="C885" s="255" t="s">
        <v>3303</v>
      </c>
      <c r="D885" s="255" t="s">
        <v>3302</v>
      </c>
      <c r="E885" s="255" t="s">
        <v>3403</v>
      </c>
      <c r="F885" s="255" t="s">
        <v>3385</v>
      </c>
      <c r="G885" s="255" t="s">
        <v>3386</v>
      </c>
      <c r="H885" s="255" t="s">
        <v>3387</v>
      </c>
    </row>
    <row r="886" spans="1:8" ht="15" customHeight="1" x14ac:dyDescent="0.2">
      <c r="A886" s="41" t="s">
        <v>4554</v>
      </c>
      <c r="B886" s="274" t="s">
        <v>3657</v>
      </c>
      <c r="C886" s="255" t="s">
        <v>2963</v>
      </c>
      <c r="D886" s="255" t="s">
        <v>3687</v>
      </c>
      <c r="E886" s="255" t="s">
        <v>3403</v>
      </c>
      <c r="F886" s="255" t="s">
        <v>3385</v>
      </c>
      <c r="G886" s="255" t="s">
        <v>3386</v>
      </c>
      <c r="H886" s="255" t="s">
        <v>3387</v>
      </c>
    </row>
    <row r="887" spans="1:8" ht="15" customHeight="1" x14ac:dyDescent="0.2">
      <c r="A887" s="41" t="s">
        <v>4630</v>
      </c>
      <c r="B887" s="274" t="s">
        <v>3657</v>
      </c>
      <c r="C887" s="255" t="s">
        <v>2635</v>
      </c>
      <c r="D887" s="255" t="s">
        <v>3755</v>
      </c>
      <c r="E887" s="255" t="s">
        <v>3403</v>
      </c>
      <c r="F887" s="255" t="s">
        <v>3385</v>
      </c>
      <c r="G887" s="255" t="s">
        <v>3386</v>
      </c>
      <c r="H887" s="255" t="s">
        <v>3387</v>
      </c>
    </row>
    <row r="888" spans="1:8" ht="15" customHeight="1" x14ac:dyDescent="0.2">
      <c r="A888" s="41" t="s">
        <v>4590</v>
      </c>
      <c r="B888" s="274" t="s">
        <v>3657</v>
      </c>
      <c r="C888" s="255" t="s">
        <v>2970</v>
      </c>
      <c r="D888" s="255" t="s">
        <v>3723</v>
      </c>
      <c r="E888" s="255" t="s">
        <v>3403</v>
      </c>
      <c r="F888" s="255" t="s">
        <v>3385</v>
      </c>
      <c r="G888" s="255" t="s">
        <v>3386</v>
      </c>
      <c r="H888" s="255" t="s">
        <v>3387</v>
      </c>
    </row>
    <row r="889" spans="1:8" ht="15" customHeight="1" x14ac:dyDescent="0.2">
      <c r="A889" s="41" t="s">
        <v>4567</v>
      </c>
      <c r="B889" s="274" t="s">
        <v>3657</v>
      </c>
      <c r="C889" s="255" t="s">
        <v>2968</v>
      </c>
      <c r="D889" s="255" t="s">
        <v>3700</v>
      </c>
      <c r="E889" s="255" t="s">
        <v>3403</v>
      </c>
      <c r="F889" s="255" t="s">
        <v>3385</v>
      </c>
      <c r="G889" s="255" t="s">
        <v>3386</v>
      </c>
      <c r="H889" s="255" t="s">
        <v>3387</v>
      </c>
    </row>
    <row r="890" spans="1:8" ht="15" customHeight="1" x14ac:dyDescent="0.2">
      <c r="A890" s="41" t="s">
        <v>4598</v>
      </c>
      <c r="B890" s="274" t="s">
        <v>3657</v>
      </c>
      <c r="C890" s="255" t="s">
        <v>3172</v>
      </c>
      <c r="D890" s="255" t="s">
        <v>3731</v>
      </c>
      <c r="E890" s="255" t="s">
        <v>3403</v>
      </c>
      <c r="F890" s="255" t="s">
        <v>3385</v>
      </c>
      <c r="G890" s="255" t="s">
        <v>3386</v>
      </c>
      <c r="H890" s="255" t="s">
        <v>3387</v>
      </c>
    </row>
    <row r="891" spans="1:8" ht="15" customHeight="1" x14ac:dyDescent="0.2">
      <c r="A891" s="41" t="s">
        <v>4600</v>
      </c>
      <c r="B891" s="274" t="s">
        <v>3657</v>
      </c>
      <c r="C891" s="255" t="s">
        <v>3174</v>
      </c>
      <c r="D891" s="255" t="s">
        <v>3733</v>
      </c>
      <c r="E891" s="255" t="s">
        <v>3403</v>
      </c>
      <c r="F891" s="255" t="s">
        <v>3385</v>
      </c>
      <c r="G891" s="255" t="s">
        <v>3386</v>
      </c>
      <c r="H891" s="255" t="s">
        <v>3387</v>
      </c>
    </row>
    <row r="892" spans="1:8" ht="15" customHeight="1" x14ac:dyDescent="0.2">
      <c r="A892" s="41" t="s">
        <v>4629</v>
      </c>
      <c r="B892" s="274" t="s">
        <v>3657</v>
      </c>
      <c r="C892" s="255" t="s">
        <v>2983</v>
      </c>
      <c r="D892" s="255" t="s">
        <v>3754</v>
      </c>
      <c r="E892" s="255" t="s">
        <v>3403</v>
      </c>
      <c r="F892" s="255" t="s">
        <v>3385</v>
      </c>
      <c r="G892" s="255" t="s">
        <v>3386</v>
      </c>
      <c r="H892" s="255" t="s">
        <v>3387</v>
      </c>
    </row>
    <row r="893" spans="1:8" ht="15" customHeight="1" x14ac:dyDescent="0.2">
      <c r="A893" s="41" t="s">
        <v>4722</v>
      </c>
      <c r="B893" s="274" t="s">
        <v>3657</v>
      </c>
      <c r="C893" s="255" t="s">
        <v>3281</v>
      </c>
      <c r="D893" s="255" t="s">
        <v>3280</v>
      </c>
      <c r="E893" s="255" t="s">
        <v>3403</v>
      </c>
      <c r="F893" s="255" t="s">
        <v>3385</v>
      </c>
      <c r="G893" s="255" t="s">
        <v>3386</v>
      </c>
      <c r="H893" s="255" t="s">
        <v>3387</v>
      </c>
    </row>
    <row r="894" spans="1:8" ht="15" customHeight="1" x14ac:dyDescent="0.2">
      <c r="A894" s="41" t="s">
        <v>4723</v>
      </c>
      <c r="B894" s="274" t="s">
        <v>3657</v>
      </c>
      <c r="C894" s="255" t="s">
        <v>3285</v>
      </c>
      <c r="D894" s="255" t="s">
        <v>3284</v>
      </c>
      <c r="E894" s="255" t="s">
        <v>3403</v>
      </c>
      <c r="F894" s="255" t="s">
        <v>3385</v>
      </c>
      <c r="G894" s="255" t="s">
        <v>3386</v>
      </c>
      <c r="H894" s="255" t="s">
        <v>3387</v>
      </c>
    </row>
    <row r="895" spans="1:8" ht="15" customHeight="1" x14ac:dyDescent="0.2">
      <c r="A895" s="41" t="s">
        <v>4727</v>
      </c>
      <c r="B895" s="274" t="s">
        <v>3657</v>
      </c>
      <c r="C895" s="255" t="s">
        <v>3288</v>
      </c>
      <c r="D895" s="255" t="s">
        <v>3810</v>
      </c>
      <c r="E895" s="255" t="s">
        <v>3403</v>
      </c>
      <c r="F895" s="255" t="s">
        <v>3385</v>
      </c>
      <c r="G895" s="255" t="s">
        <v>3386</v>
      </c>
      <c r="H895" s="255" t="s">
        <v>3387</v>
      </c>
    </row>
    <row r="896" spans="1:8" ht="15" customHeight="1" x14ac:dyDescent="0.2">
      <c r="A896" s="41" t="s">
        <v>4557</v>
      </c>
      <c r="B896" s="274" t="s">
        <v>3657</v>
      </c>
      <c r="C896" s="255" t="s">
        <v>2528</v>
      </c>
      <c r="D896" s="255" t="s">
        <v>3690</v>
      </c>
      <c r="E896" s="255" t="s">
        <v>3403</v>
      </c>
      <c r="F896" s="255" t="s">
        <v>3385</v>
      </c>
      <c r="G896" s="255" t="s">
        <v>3386</v>
      </c>
      <c r="H896" s="255" t="s">
        <v>3387</v>
      </c>
    </row>
    <row r="897" spans="1:8" ht="15" customHeight="1" x14ac:dyDescent="0.2">
      <c r="A897" s="41" t="s">
        <v>4529</v>
      </c>
      <c r="B897" s="274" t="s">
        <v>3657</v>
      </c>
      <c r="C897" s="255" t="s">
        <v>2384</v>
      </c>
      <c r="D897" s="255" t="s">
        <v>3662</v>
      </c>
      <c r="E897" s="255" t="s">
        <v>3403</v>
      </c>
      <c r="F897" s="255" t="s">
        <v>3385</v>
      </c>
      <c r="G897" s="255" t="s">
        <v>3386</v>
      </c>
      <c r="H897" s="255" t="s">
        <v>3387</v>
      </c>
    </row>
    <row r="898" spans="1:8" ht="15" customHeight="1" x14ac:dyDescent="0.2">
      <c r="A898" s="41" t="s">
        <v>4556</v>
      </c>
      <c r="B898" s="274" t="s">
        <v>3657</v>
      </c>
      <c r="C898" s="255" t="s">
        <v>2629</v>
      </c>
      <c r="D898" s="255" t="s">
        <v>3689</v>
      </c>
      <c r="E898" s="255" t="s">
        <v>3403</v>
      </c>
      <c r="F898" s="255" t="s">
        <v>3385</v>
      </c>
      <c r="G898" s="255" t="s">
        <v>3386</v>
      </c>
      <c r="H898" s="255" t="s">
        <v>3387</v>
      </c>
    </row>
    <row r="899" spans="1:8" ht="15" customHeight="1" x14ac:dyDescent="0.2">
      <c r="A899" s="41" t="s">
        <v>4551</v>
      </c>
      <c r="B899" s="274" t="s">
        <v>3657</v>
      </c>
      <c r="C899" s="255" t="s">
        <v>2807</v>
      </c>
      <c r="D899" s="255" t="s">
        <v>3684</v>
      </c>
      <c r="E899" s="255" t="s">
        <v>3403</v>
      </c>
      <c r="F899" s="255" t="s">
        <v>3385</v>
      </c>
      <c r="G899" s="255" t="s">
        <v>3386</v>
      </c>
      <c r="H899" s="255" t="s">
        <v>3387</v>
      </c>
    </row>
    <row r="900" spans="1:8" ht="15" customHeight="1" x14ac:dyDescent="0.2">
      <c r="A900" s="41" t="s">
        <v>4686</v>
      </c>
      <c r="B900" s="274" t="s">
        <v>3657</v>
      </c>
      <c r="C900" s="255" t="s">
        <v>3234</v>
      </c>
      <c r="D900" s="255" t="s">
        <v>3233</v>
      </c>
      <c r="E900" s="255" t="s">
        <v>3403</v>
      </c>
      <c r="F900" s="255" t="s">
        <v>3385</v>
      </c>
      <c r="G900" s="255" t="s">
        <v>3386</v>
      </c>
      <c r="H900" s="255" t="s">
        <v>3387</v>
      </c>
    </row>
    <row r="901" spans="1:8" ht="15" customHeight="1" x14ac:dyDescent="0.2">
      <c r="A901" s="41" t="s">
        <v>4589</v>
      </c>
      <c r="B901" s="274" t="s">
        <v>3657</v>
      </c>
      <c r="C901" s="255" t="s">
        <v>2815</v>
      </c>
      <c r="D901" s="255" t="s">
        <v>3722</v>
      </c>
      <c r="E901" s="255" t="s">
        <v>3403</v>
      </c>
      <c r="F901" s="255" t="s">
        <v>3385</v>
      </c>
      <c r="G901" s="255" t="s">
        <v>3386</v>
      </c>
      <c r="H901" s="255" t="s">
        <v>3387</v>
      </c>
    </row>
    <row r="902" spans="1:8" ht="15" customHeight="1" x14ac:dyDescent="0.2">
      <c r="A902" s="41" t="s">
        <v>4735</v>
      </c>
      <c r="B902" s="274" t="s">
        <v>3657</v>
      </c>
      <c r="C902" s="255" t="s">
        <v>3298</v>
      </c>
      <c r="D902" s="255" t="s">
        <v>3816</v>
      </c>
      <c r="E902" s="255" t="s">
        <v>3403</v>
      </c>
      <c r="F902" s="255" t="s">
        <v>3385</v>
      </c>
      <c r="G902" s="255" t="s">
        <v>3386</v>
      </c>
      <c r="H902" s="255" t="s">
        <v>3387</v>
      </c>
    </row>
    <row r="903" spans="1:8" ht="15" customHeight="1" x14ac:dyDescent="0.2">
      <c r="A903" s="41" t="s">
        <v>4641</v>
      </c>
      <c r="B903" s="274" t="s">
        <v>3657</v>
      </c>
      <c r="C903" s="255" t="s">
        <v>2986</v>
      </c>
      <c r="D903" s="255" t="s">
        <v>3765</v>
      </c>
      <c r="E903" s="255" t="s">
        <v>3403</v>
      </c>
      <c r="F903" s="255" t="s">
        <v>3385</v>
      </c>
      <c r="G903" s="255" t="s">
        <v>3386</v>
      </c>
      <c r="H903" s="255" t="s">
        <v>3387</v>
      </c>
    </row>
    <row r="904" spans="1:8" ht="15" customHeight="1" x14ac:dyDescent="0.2">
      <c r="A904" s="41" t="s">
        <v>4553</v>
      </c>
      <c r="B904" s="274" t="s">
        <v>3657</v>
      </c>
      <c r="C904" s="255" t="s">
        <v>2962</v>
      </c>
      <c r="D904" s="255" t="s">
        <v>3686</v>
      </c>
      <c r="E904" s="255" t="s">
        <v>3403</v>
      </c>
      <c r="F904" s="255" t="s">
        <v>3385</v>
      </c>
      <c r="G904" s="255" t="s">
        <v>3386</v>
      </c>
      <c r="H904" s="255" t="s">
        <v>3387</v>
      </c>
    </row>
    <row r="905" spans="1:8" ht="15" customHeight="1" x14ac:dyDescent="0.2">
      <c r="A905" s="41" t="s">
        <v>4565</v>
      </c>
      <c r="B905" s="274" t="s">
        <v>3657</v>
      </c>
      <c r="C905" s="255" t="s">
        <v>2967</v>
      </c>
      <c r="D905" s="255" t="s">
        <v>3698</v>
      </c>
      <c r="E905" s="255" t="s">
        <v>3403</v>
      </c>
      <c r="F905" s="255" t="s">
        <v>3385</v>
      </c>
      <c r="G905" s="255" t="s">
        <v>3386</v>
      </c>
      <c r="H905" s="255" t="s">
        <v>3387</v>
      </c>
    </row>
    <row r="906" spans="1:8" ht="15" customHeight="1" x14ac:dyDescent="0.2">
      <c r="A906" s="41" t="s">
        <v>4535</v>
      </c>
      <c r="B906" s="274" t="s">
        <v>3657</v>
      </c>
      <c r="C906" s="255" t="s">
        <v>2955</v>
      </c>
      <c r="D906" s="255" t="s">
        <v>3668</v>
      </c>
      <c r="E906" s="255" t="s">
        <v>3403</v>
      </c>
      <c r="F906" s="255" t="s">
        <v>3385</v>
      </c>
      <c r="G906" s="255" t="s">
        <v>3386</v>
      </c>
      <c r="H906" s="255" t="s">
        <v>3387</v>
      </c>
    </row>
    <row r="907" spans="1:8" ht="15" customHeight="1" x14ac:dyDescent="0.2">
      <c r="A907" s="41" t="s">
        <v>4715</v>
      </c>
      <c r="B907" s="274" t="s">
        <v>3657</v>
      </c>
      <c r="C907" s="255" t="s">
        <v>3274</v>
      </c>
      <c r="D907" s="255" t="s">
        <v>3273</v>
      </c>
      <c r="E907" s="255" t="s">
        <v>3403</v>
      </c>
      <c r="F907" s="255" t="s">
        <v>3385</v>
      </c>
      <c r="G907" s="255" t="s">
        <v>3386</v>
      </c>
      <c r="H907" s="255" t="s">
        <v>3387</v>
      </c>
    </row>
    <row r="908" spans="1:8" ht="15" customHeight="1" x14ac:dyDescent="0.2">
      <c r="A908" s="41" t="s">
        <v>4597</v>
      </c>
      <c r="B908" s="274" t="s">
        <v>3657</v>
      </c>
      <c r="C908" s="255" t="s">
        <v>3171</v>
      </c>
      <c r="D908" s="255" t="s">
        <v>3730</v>
      </c>
      <c r="E908" s="255" t="s">
        <v>3403</v>
      </c>
      <c r="F908" s="255" t="s">
        <v>3385</v>
      </c>
      <c r="G908" s="255" t="s">
        <v>3386</v>
      </c>
      <c r="H908" s="255" t="s">
        <v>3387</v>
      </c>
    </row>
    <row r="909" spans="1:8" ht="15" customHeight="1" x14ac:dyDescent="0.2">
      <c r="A909" s="41" t="s">
        <v>4571</v>
      </c>
      <c r="B909" s="274" t="s">
        <v>3657</v>
      </c>
      <c r="C909" s="255" t="s">
        <v>3159</v>
      </c>
      <c r="D909" s="255" t="s">
        <v>3704</v>
      </c>
      <c r="E909" s="255" t="s">
        <v>3403</v>
      </c>
      <c r="F909" s="255" t="s">
        <v>3385</v>
      </c>
      <c r="G909" s="255" t="s">
        <v>3386</v>
      </c>
      <c r="H909" s="255" t="s">
        <v>3387</v>
      </c>
    </row>
    <row r="910" spans="1:8" ht="15" customHeight="1" x14ac:dyDescent="0.2">
      <c r="A910" s="41" t="s">
        <v>4575</v>
      </c>
      <c r="B910" s="274" t="s">
        <v>3657</v>
      </c>
      <c r="C910" s="255" t="s">
        <v>3163</v>
      </c>
      <c r="D910" s="255" t="s">
        <v>3708</v>
      </c>
      <c r="E910" s="255" t="s">
        <v>3403</v>
      </c>
      <c r="F910" s="255" t="s">
        <v>3385</v>
      </c>
      <c r="G910" s="255" t="s">
        <v>3386</v>
      </c>
      <c r="H910" s="255" t="s">
        <v>3387</v>
      </c>
    </row>
    <row r="911" spans="1:8" ht="15" customHeight="1" x14ac:dyDescent="0.2">
      <c r="A911" s="41" t="s">
        <v>4583</v>
      </c>
      <c r="B911" s="274" t="s">
        <v>3657</v>
      </c>
      <c r="C911" s="255" t="s">
        <v>3167</v>
      </c>
      <c r="D911" s="255" t="s">
        <v>3716</v>
      </c>
      <c r="E911" s="255" t="s">
        <v>3403</v>
      </c>
      <c r="F911" s="255" t="s">
        <v>3385</v>
      </c>
      <c r="G911" s="255" t="s">
        <v>3386</v>
      </c>
      <c r="H911" s="255" t="s">
        <v>3387</v>
      </c>
    </row>
    <row r="912" spans="1:8" ht="15" customHeight="1" x14ac:dyDescent="0.2">
      <c r="A912" s="41" t="s">
        <v>4574</v>
      </c>
      <c r="B912" s="274" t="s">
        <v>3657</v>
      </c>
      <c r="C912" s="255" t="s">
        <v>3162</v>
      </c>
      <c r="D912" s="255" t="s">
        <v>3707</v>
      </c>
      <c r="E912" s="255" t="s">
        <v>3403</v>
      </c>
      <c r="F912" s="255" t="s">
        <v>3385</v>
      </c>
      <c r="G912" s="255" t="s">
        <v>3386</v>
      </c>
      <c r="H912" s="255" t="s">
        <v>3387</v>
      </c>
    </row>
    <row r="913" spans="1:8" ht="15" customHeight="1" x14ac:dyDescent="0.2">
      <c r="A913" s="41" t="s">
        <v>4591</v>
      </c>
      <c r="B913" s="274" t="s">
        <v>3657</v>
      </c>
      <c r="C913" s="255" t="s">
        <v>2971</v>
      </c>
      <c r="D913" s="255" t="s">
        <v>3724</v>
      </c>
      <c r="E913" s="255" t="s">
        <v>3403</v>
      </c>
      <c r="F913" s="255" t="s">
        <v>3385</v>
      </c>
      <c r="G913" s="255" t="s">
        <v>3386</v>
      </c>
      <c r="H913" s="255" t="s">
        <v>3387</v>
      </c>
    </row>
    <row r="914" spans="1:8" ht="15" customHeight="1" x14ac:dyDescent="0.2">
      <c r="A914" s="41" t="s">
        <v>4628</v>
      </c>
      <c r="B914" s="274" t="s">
        <v>3657</v>
      </c>
      <c r="C914" s="255" t="s">
        <v>2982</v>
      </c>
      <c r="D914" s="255" t="s">
        <v>3753</v>
      </c>
      <c r="E914" s="255" t="s">
        <v>3403</v>
      </c>
      <c r="F914" s="255" t="s">
        <v>3385</v>
      </c>
      <c r="G914" s="255" t="s">
        <v>3386</v>
      </c>
      <c r="H914" s="255" t="s">
        <v>3387</v>
      </c>
    </row>
    <row r="915" spans="1:8" ht="15" customHeight="1" x14ac:dyDescent="0.2">
      <c r="A915" s="41" t="s">
        <v>4661</v>
      </c>
      <c r="B915" s="274" t="s">
        <v>3657</v>
      </c>
      <c r="C915" s="255" t="s">
        <v>3214</v>
      </c>
      <c r="D915" s="255" t="s">
        <v>3213</v>
      </c>
      <c r="E915" s="255" t="s">
        <v>3403</v>
      </c>
      <c r="F915" s="255" t="s">
        <v>3385</v>
      </c>
      <c r="G915" s="255" t="s">
        <v>3386</v>
      </c>
      <c r="H915" s="255" t="s">
        <v>3387</v>
      </c>
    </row>
    <row r="916" spans="1:8" ht="15" customHeight="1" x14ac:dyDescent="0.2">
      <c r="A916" s="41" t="s">
        <v>4614</v>
      </c>
      <c r="B916" s="274" t="s">
        <v>3657</v>
      </c>
      <c r="C916" s="255" t="s">
        <v>2386</v>
      </c>
      <c r="D916" s="255" t="s">
        <v>3745</v>
      </c>
      <c r="E916" s="255" t="s">
        <v>3403</v>
      </c>
      <c r="F916" s="255" t="s">
        <v>3385</v>
      </c>
      <c r="G916" s="255" t="s">
        <v>3386</v>
      </c>
      <c r="H916" s="255" t="s">
        <v>3387</v>
      </c>
    </row>
    <row r="917" spans="1:8" ht="15" customHeight="1" x14ac:dyDescent="0.2">
      <c r="A917" s="41" t="s">
        <v>4541</v>
      </c>
      <c r="B917" s="274" t="s">
        <v>3657</v>
      </c>
      <c r="C917" s="255" t="s">
        <v>2803</v>
      </c>
      <c r="D917" s="255" t="s">
        <v>3674</v>
      </c>
      <c r="E917" s="255" t="s">
        <v>3403</v>
      </c>
      <c r="F917" s="255" t="s">
        <v>3385</v>
      </c>
      <c r="G917" s="255" t="s">
        <v>3386</v>
      </c>
      <c r="H917" s="255" t="s">
        <v>3387</v>
      </c>
    </row>
    <row r="918" spans="1:8" ht="15" customHeight="1" x14ac:dyDescent="0.2">
      <c r="A918" s="41" t="s">
        <v>4530</v>
      </c>
      <c r="B918" s="274" t="s">
        <v>3657</v>
      </c>
      <c r="C918" s="255" t="s">
        <v>2952</v>
      </c>
      <c r="D918" s="255" t="s">
        <v>3663</v>
      </c>
      <c r="E918" s="255" t="s">
        <v>3403</v>
      </c>
      <c r="F918" s="255" t="s">
        <v>3385</v>
      </c>
      <c r="G918" s="255" t="s">
        <v>3386</v>
      </c>
      <c r="H918" s="255" t="s">
        <v>3387</v>
      </c>
    </row>
    <row r="919" spans="1:8" ht="15" customHeight="1" x14ac:dyDescent="0.2">
      <c r="A919" s="41" t="s">
        <v>4588</v>
      </c>
      <c r="B919" s="274" t="s">
        <v>3657</v>
      </c>
      <c r="C919" s="255" t="s">
        <v>2814</v>
      </c>
      <c r="D919" s="255" t="s">
        <v>3721</v>
      </c>
      <c r="E919" s="255" t="s">
        <v>3403</v>
      </c>
      <c r="F919" s="255" t="s">
        <v>3385</v>
      </c>
      <c r="G919" s="255" t="s">
        <v>3386</v>
      </c>
      <c r="H919" s="255" t="s">
        <v>3387</v>
      </c>
    </row>
    <row r="920" spans="1:8" ht="15" customHeight="1" x14ac:dyDescent="0.2">
      <c r="A920" s="41" t="s">
        <v>4671</v>
      </c>
      <c r="B920" s="274" t="s">
        <v>3657</v>
      </c>
      <c r="C920" s="255" t="s">
        <v>3221</v>
      </c>
      <c r="D920" s="255" t="s">
        <v>3220</v>
      </c>
      <c r="E920" s="255" t="s">
        <v>3403</v>
      </c>
      <c r="F920" s="255" t="s">
        <v>3385</v>
      </c>
      <c r="G920" s="255" t="s">
        <v>3386</v>
      </c>
      <c r="H920" s="255" t="s">
        <v>3387</v>
      </c>
    </row>
    <row r="921" spans="1:8" ht="15" customHeight="1" x14ac:dyDescent="0.2">
      <c r="A921" s="41" t="s">
        <v>4602</v>
      </c>
      <c r="B921" s="274" t="s">
        <v>3657</v>
      </c>
      <c r="C921" s="255" t="s">
        <v>3176</v>
      </c>
      <c r="D921" s="255" t="s">
        <v>3735</v>
      </c>
      <c r="E921" s="255" t="s">
        <v>3403</v>
      </c>
      <c r="F921" s="255" t="s">
        <v>3385</v>
      </c>
      <c r="G921" s="255" t="s">
        <v>3386</v>
      </c>
      <c r="H921" s="255" t="s">
        <v>3387</v>
      </c>
    </row>
    <row r="922" spans="1:8" ht="15" customHeight="1" x14ac:dyDescent="0.2">
      <c r="A922" s="41" t="s">
        <v>4545</v>
      </c>
      <c r="B922" s="274" t="s">
        <v>3657</v>
      </c>
      <c r="C922" s="255" t="s">
        <v>2959</v>
      </c>
      <c r="D922" s="255" t="s">
        <v>3678</v>
      </c>
      <c r="E922" s="255" t="s">
        <v>3403</v>
      </c>
      <c r="F922" s="255" t="s">
        <v>3385</v>
      </c>
      <c r="G922" s="255" t="s">
        <v>3386</v>
      </c>
      <c r="H922" s="255" t="s">
        <v>3387</v>
      </c>
    </row>
    <row r="923" spans="1:8" ht="15" customHeight="1" x14ac:dyDescent="0.2">
      <c r="A923" s="41" t="s">
        <v>4592</v>
      </c>
      <c r="B923" s="274" t="s">
        <v>3657</v>
      </c>
      <c r="C923" s="255" t="s">
        <v>2816</v>
      </c>
      <c r="D923" s="255" t="s">
        <v>3725</v>
      </c>
      <c r="E923" s="255" t="s">
        <v>3403</v>
      </c>
      <c r="F923" s="255" t="s">
        <v>3385</v>
      </c>
      <c r="G923" s="255" t="s">
        <v>3386</v>
      </c>
      <c r="H923" s="255" t="s">
        <v>3387</v>
      </c>
    </row>
    <row r="924" spans="1:8" ht="15" customHeight="1" x14ac:dyDescent="0.2">
      <c r="A924" s="41" t="s">
        <v>4610</v>
      </c>
      <c r="B924" s="274" t="s">
        <v>3657</v>
      </c>
      <c r="C924" s="255" t="s">
        <v>3180</v>
      </c>
      <c r="D924" s="255" t="s">
        <v>3179</v>
      </c>
      <c r="E924" s="255" t="s">
        <v>3403</v>
      </c>
      <c r="F924" s="255" t="s">
        <v>3385</v>
      </c>
      <c r="G924" s="255" t="s">
        <v>3386</v>
      </c>
      <c r="H924" s="255" t="s">
        <v>3387</v>
      </c>
    </row>
    <row r="925" spans="1:8" ht="15" customHeight="1" x14ac:dyDescent="0.2">
      <c r="A925" s="41" t="s">
        <v>4734</v>
      </c>
      <c r="B925" s="274" t="s">
        <v>3657</v>
      </c>
      <c r="C925" s="255" t="s">
        <v>3297</v>
      </c>
      <c r="D925" s="255" t="s">
        <v>3815</v>
      </c>
      <c r="E925" s="255" t="s">
        <v>3403</v>
      </c>
      <c r="F925" s="255" t="s">
        <v>3385</v>
      </c>
      <c r="G925" s="255" t="s">
        <v>3386</v>
      </c>
      <c r="H925" s="255" t="s">
        <v>3387</v>
      </c>
    </row>
    <row r="926" spans="1:8" ht="15" customHeight="1" x14ac:dyDescent="0.2">
      <c r="A926" s="41" t="s">
        <v>4649</v>
      </c>
      <c r="B926" s="274" t="s">
        <v>3657</v>
      </c>
      <c r="C926" s="255" t="s">
        <v>3204</v>
      </c>
      <c r="D926" s="255" t="s">
        <v>3203</v>
      </c>
      <c r="E926" s="255" t="s">
        <v>3403</v>
      </c>
      <c r="F926" s="255" t="s">
        <v>3385</v>
      </c>
      <c r="G926" s="255" t="s">
        <v>3386</v>
      </c>
      <c r="H926" s="255" t="s">
        <v>3387</v>
      </c>
    </row>
    <row r="927" spans="1:8" ht="15" customHeight="1" x14ac:dyDescent="0.2">
      <c r="A927" s="41" t="s">
        <v>4576</v>
      </c>
      <c r="B927" s="274" t="s">
        <v>3657</v>
      </c>
      <c r="C927" s="255" t="s">
        <v>3164</v>
      </c>
      <c r="D927" s="255" t="s">
        <v>3709</v>
      </c>
      <c r="E927" s="255" t="s">
        <v>3403</v>
      </c>
      <c r="F927" s="255" t="s">
        <v>3385</v>
      </c>
      <c r="G927" s="255" t="s">
        <v>3386</v>
      </c>
      <c r="H927" s="255" t="s">
        <v>3387</v>
      </c>
    </row>
    <row r="928" spans="1:8" ht="15" customHeight="1" x14ac:dyDescent="0.2">
      <c r="A928" s="41" t="s">
        <v>4572</v>
      </c>
      <c r="B928" s="274" t="s">
        <v>3657</v>
      </c>
      <c r="C928" s="255" t="s">
        <v>3160</v>
      </c>
      <c r="D928" s="255" t="s">
        <v>3705</v>
      </c>
      <c r="E928" s="255" t="s">
        <v>3403</v>
      </c>
      <c r="F928" s="255" t="s">
        <v>3385</v>
      </c>
      <c r="G928" s="255" t="s">
        <v>3386</v>
      </c>
      <c r="H928" s="255" t="s">
        <v>3387</v>
      </c>
    </row>
    <row r="929" spans="1:8" ht="15" customHeight="1" x14ac:dyDescent="0.2">
      <c r="A929" s="41" t="s">
        <v>4595</v>
      </c>
      <c r="B929" s="274" t="s">
        <v>3657</v>
      </c>
      <c r="C929" s="255" t="s">
        <v>2974</v>
      </c>
      <c r="D929" s="255" t="s">
        <v>3728</v>
      </c>
      <c r="E929" s="255" t="s">
        <v>3403</v>
      </c>
      <c r="F929" s="255" t="s">
        <v>3385</v>
      </c>
      <c r="G929" s="255" t="s">
        <v>3386</v>
      </c>
      <c r="H929" s="255" t="s">
        <v>3387</v>
      </c>
    </row>
    <row r="930" spans="1:8" ht="15" customHeight="1" x14ac:dyDescent="0.2">
      <c r="A930" s="41" t="s">
        <v>4536</v>
      </c>
      <c r="B930" s="274" t="s">
        <v>3657</v>
      </c>
      <c r="C930" s="255" t="s">
        <v>2956</v>
      </c>
      <c r="D930" s="255" t="s">
        <v>3669</v>
      </c>
      <c r="E930" s="255" t="s">
        <v>3403</v>
      </c>
      <c r="F930" s="255" t="s">
        <v>3385</v>
      </c>
      <c r="G930" s="255" t="s">
        <v>3386</v>
      </c>
      <c r="H930" s="255" t="s">
        <v>3387</v>
      </c>
    </row>
    <row r="931" spans="1:8" ht="15" customHeight="1" x14ac:dyDescent="0.2">
      <c r="A931" s="41" t="s">
        <v>4585</v>
      </c>
      <c r="B931" s="274" t="s">
        <v>3657</v>
      </c>
      <c r="C931" s="255" t="s">
        <v>3169</v>
      </c>
      <c r="D931" s="255" t="s">
        <v>3718</v>
      </c>
      <c r="E931" s="255" t="s">
        <v>3403</v>
      </c>
      <c r="F931" s="255" t="s">
        <v>3385</v>
      </c>
      <c r="G931" s="255" t="s">
        <v>3386</v>
      </c>
      <c r="H931" s="255" t="s">
        <v>3387</v>
      </c>
    </row>
    <row r="932" spans="1:8" ht="15" customHeight="1" x14ac:dyDescent="0.2">
      <c r="A932" s="41" t="s">
        <v>4549</v>
      </c>
      <c r="B932" s="274" t="s">
        <v>3657</v>
      </c>
      <c r="C932" s="255" t="s">
        <v>2806</v>
      </c>
      <c r="D932" s="255" t="s">
        <v>3682</v>
      </c>
      <c r="E932" s="255" t="s">
        <v>3403</v>
      </c>
      <c r="F932" s="255" t="s">
        <v>3385</v>
      </c>
      <c r="G932" s="255" t="s">
        <v>3386</v>
      </c>
      <c r="H932" s="255" t="s">
        <v>3387</v>
      </c>
    </row>
    <row r="933" spans="1:8" ht="15" customHeight="1" x14ac:dyDescent="0.2">
      <c r="A933" s="41" t="s">
        <v>4527</v>
      </c>
      <c r="B933" s="274" t="s">
        <v>3657</v>
      </c>
      <c r="C933" s="255" t="s">
        <v>2800</v>
      </c>
      <c r="D933" s="255" t="s">
        <v>3660</v>
      </c>
      <c r="E933" s="255" t="s">
        <v>3403</v>
      </c>
      <c r="F933" s="255" t="s">
        <v>3385</v>
      </c>
      <c r="G933" s="255" t="s">
        <v>3386</v>
      </c>
      <c r="H933" s="255" t="s">
        <v>3387</v>
      </c>
    </row>
    <row r="934" spans="1:8" ht="15" customHeight="1" x14ac:dyDescent="0.2">
      <c r="A934" s="41" t="s">
        <v>4569</v>
      </c>
      <c r="B934" s="274" t="s">
        <v>3657</v>
      </c>
      <c r="C934" s="255" t="s">
        <v>2630</v>
      </c>
      <c r="D934" s="255" t="s">
        <v>3702</v>
      </c>
      <c r="E934" s="255" t="s">
        <v>3403</v>
      </c>
      <c r="F934" s="255" t="s">
        <v>3385</v>
      </c>
      <c r="G934" s="255" t="s">
        <v>3386</v>
      </c>
      <c r="H934" s="255" t="s">
        <v>3387</v>
      </c>
    </row>
    <row r="935" spans="1:8" ht="15" customHeight="1" x14ac:dyDescent="0.2">
      <c r="A935" s="41" t="s">
        <v>4683</v>
      </c>
      <c r="B935" s="274" t="s">
        <v>3657</v>
      </c>
      <c r="C935" s="255" t="s">
        <v>3232</v>
      </c>
      <c r="D935" s="255" t="s">
        <v>3231</v>
      </c>
      <c r="E935" s="255" t="s">
        <v>3403</v>
      </c>
      <c r="F935" s="255" t="s">
        <v>3385</v>
      </c>
      <c r="G935" s="255" t="s">
        <v>3386</v>
      </c>
      <c r="H935" s="255" t="s">
        <v>3387</v>
      </c>
    </row>
    <row r="936" spans="1:8" ht="15" customHeight="1" x14ac:dyDescent="0.2">
      <c r="A936" s="41" t="s">
        <v>4586</v>
      </c>
      <c r="B936" s="274" t="s">
        <v>3657</v>
      </c>
      <c r="C936" s="255" t="s">
        <v>3170</v>
      </c>
      <c r="D936" s="255" t="s">
        <v>3719</v>
      </c>
      <c r="E936" s="255" t="s">
        <v>3403</v>
      </c>
      <c r="F936" s="255" t="s">
        <v>3385</v>
      </c>
      <c r="G936" s="255" t="s">
        <v>3386</v>
      </c>
      <c r="H936" s="255" t="s">
        <v>3387</v>
      </c>
    </row>
    <row r="937" spans="1:8" ht="15" customHeight="1" x14ac:dyDescent="0.2">
      <c r="A937" s="41" t="s">
        <v>4606</v>
      </c>
      <c r="B937" s="274" t="s">
        <v>3657</v>
      </c>
      <c r="C937" s="255" t="s">
        <v>2818</v>
      </c>
      <c r="D937" s="255" t="s">
        <v>3739</v>
      </c>
      <c r="E937" s="255" t="s">
        <v>3403</v>
      </c>
      <c r="F937" s="255" t="s">
        <v>3385</v>
      </c>
      <c r="G937" s="255" t="s">
        <v>3386</v>
      </c>
      <c r="H937" s="255" t="s">
        <v>3387</v>
      </c>
    </row>
    <row r="938" spans="1:8" ht="15" customHeight="1" x14ac:dyDescent="0.2">
      <c r="A938" s="41" t="s">
        <v>4593</v>
      </c>
      <c r="B938" s="274" t="s">
        <v>3657</v>
      </c>
      <c r="C938" s="255" t="s">
        <v>2972</v>
      </c>
      <c r="D938" s="255" t="s">
        <v>3726</v>
      </c>
      <c r="E938" s="255" t="s">
        <v>3403</v>
      </c>
      <c r="F938" s="255" t="s">
        <v>3385</v>
      </c>
      <c r="G938" s="255" t="s">
        <v>3386</v>
      </c>
      <c r="H938" s="255" t="s">
        <v>3387</v>
      </c>
    </row>
    <row r="939" spans="1:8" ht="15" customHeight="1" x14ac:dyDescent="0.2">
      <c r="A939" s="41" t="s">
        <v>4594</v>
      </c>
      <c r="B939" s="274" t="s">
        <v>3657</v>
      </c>
      <c r="C939" s="255" t="s">
        <v>2973</v>
      </c>
      <c r="D939" s="255" t="s">
        <v>3727</v>
      </c>
      <c r="E939" s="255" t="s">
        <v>3403</v>
      </c>
      <c r="F939" s="255" t="s">
        <v>3385</v>
      </c>
      <c r="G939" s="255" t="s">
        <v>3386</v>
      </c>
      <c r="H939" s="255" t="s">
        <v>3387</v>
      </c>
    </row>
    <row r="940" spans="1:8" ht="15" customHeight="1" x14ac:dyDescent="0.2">
      <c r="A940" s="41" t="s">
        <v>4740</v>
      </c>
      <c r="B940" s="274" t="s">
        <v>3657</v>
      </c>
      <c r="C940" s="255" t="s">
        <v>3306</v>
      </c>
      <c r="D940" s="255" t="s">
        <v>3305</v>
      </c>
      <c r="E940" s="255" t="s">
        <v>3403</v>
      </c>
      <c r="F940" s="255" t="s">
        <v>3385</v>
      </c>
      <c r="G940" s="255" t="s">
        <v>3386</v>
      </c>
      <c r="H940" s="255" t="s">
        <v>3387</v>
      </c>
    </row>
    <row r="941" spans="1:8" ht="15" customHeight="1" x14ac:dyDescent="0.2">
      <c r="A941" s="41" t="s">
        <v>4564</v>
      </c>
      <c r="B941" s="274" t="s">
        <v>3657</v>
      </c>
      <c r="C941" s="255" t="s">
        <v>2966</v>
      </c>
      <c r="D941" s="255" t="s">
        <v>3697</v>
      </c>
      <c r="E941" s="255" t="s">
        <v>3403</v>
      </c>
      <c r="F941" s="255" t="s">
        <v>3385</v>
      </c>
      <c r="G941" s="255" t="s">
        <v>3386</v>
      </c>
      <c r="H941" s="255" t="s">
        <v>3387</v>
      </c>
    </row>
    <row r="942" spans="1:8" ht="15" customHeight="1" x14ac:dyDescent="0.2">
      <c r="A942" s="41" t="s">
        <v>4724</v>
      </c>
      <c r="B942" s="274" t="s">
        <v>3657</v>
      </c>
      <c r="C942" s="255" t="s">
        <v>2850</v>
      </c>
      <c r="D942" s="255" t="s">
        <v>3809</v>
      </c>
      <c r="E942" s="255" t="s">
        <v>3403</v>
      </c>
      <c r="F942" s="255" t="s">
        <v>3385</v>
      </c>
      <c r="G942" s="255" t="s">
        <v>3386</v>
      </c>
      <c r="H942" s="255" t="s">
        <v>3387</v>
      </c>
    </row>
    <row r="943" spans="1:8" ht="15" customHeight="1" x14ac:dyDescent="0.2">
      <c r="A943" s="41" t="s">
        <v>4741</v>
      </c>
      <c r="B943" s="274" t="s">
        <v>3657</v>
      </c>
      <c r="C943" s="255" t="s">
        <v>3308</v>
      </c>
      <c r="D943" s="255" t="s">
        <v>3307</v>
      </c>
      <c r="E943" s="255" t="s">
        <v>3403</v>
      </c>
      <c r="F943" s="255" t="s">
        <v>3385</v>
      </c>
      <c r="G943" s="255" t="s">
        <v>3386</v>
      </c>
      <c r="H943" s="255" t="s">
        <v>3387</v>
      </c>
    </row>
    <row r="944" spans="1:8" ht="15" customHeight="1" x14ac:dyDescent="0.2">
      <c r="A944" s="41" t="s">
        <v>4696</v>
      </c>
      <c r="B944" s="274" t="s">
        <v>3657</v>
      </c>
      <c r="C944" s="255" t="s">
        <v>2641</v>
      </c>
      <c r="D944" s="255" t="s">
        <v>3801</v>
      </c>
      <c r="E944" s="255" t="s">
        <v>3403</v>
      </c>
      <c r="F944" s="255" t="s">
        <v>3385</v>
      </c>
      <c r="G944" s="255" t="s">
        <v>3386</v>
      </c>
      <c r="H944" s="255" t="s">
        <v>3387</v>
      </c>
    </row>
    <row r="945" spans="1:8" ht="15" customHeight="1" x14ac:dyDescent="0.2">
      <c r="A945" s="41" t="s">
        <v>4695</v>
      </c>
      <c r="B945" s="274" t="s">
        <v>3657</v>
      </c>
      <c r="C945" s="255" t="s">
        <v>2640</v>
      </c>
      <c r="D945" s="255" t="s">
        <v>3800</v>
      </c>
      <c r="E945" s="255" t="s">
        <v>3403</v>
      </c>
      <c r="F945" s="255" t="s">
        <v>3385</v>
      </c>
      <c r="G945" s="255" t="s">
        <v>3386</v>
      </c>
      <c r="H945" s="255" t="s">
        <v>3387</v>
      </c>
    </row>
    <row r="946" spans="1:8" ht="15" customHeight="1" x14ac:dyDescent="0.2">
      <c r="A946" s="41" t="s">
        <v>4582</v>
      </c>
      <c r="B946" s="274" t="s">
        <v>3657</v>
      </c>
      <c r="C946" s="255" t="s">
        <v>3166</v>
      </c>
      <c r="D946" s="255" t="s">
        <v>3715</v>
      </c>
      <c r="E946" s="255" t="s">
        <v>3403</v>
      </c>
      <c r="F946" s="255" t="s">
        <v>3385</v>
      </c>
      <c r="G946" s="255" t="s">
        <v>3386</v>
      </c>
      <c r="H946" s="255" t="s">
        <v>3387</v>
      </c>
    </row>
    <row r="947" spans="1:8" ht="15" customHeight="1" x14ac:dyDescent="0.2">
      <c r="A947" s="41" t="s">
        <v>4733</v>
      </c>
      <c r="B947" s="274" t="s">
        <v>3657</v>
      </c>
      <c r="C947" s="255" t="s">
        <v>3296</v>
      </c>
      <c r="D947" s="255" t="s">
        <v>3814</v>
      </c>
      <c r="E947" s="255" t="s">
        <v>3403</v>
      </c>
      <c r="F947" s="255" t="s">
        <v>3385</v>
      </c>
      <c r="G947" s="255" t="s">
        <v>3386</v>
      </c>
      <c r="H947" s="255" t="s">
        <v>3387</v>
      </c>
    </row>
    <row r="948" spans="1:8" ht="15" customHeight="1" x14ac:dyDescent="0.2">
      <c r="A948" s="41" t="s">
        <v>4665</v>
      </c>
      <c r="B948" s="274" t="s">
        <v>3657</v>
      </c>
      <c r="C948" s="255" t="s">
        <v>3217</v>
      </c>
      <c r="D948" s="255" t="s">
        <v>3216</v>
      </c>
      <c r="E948" s="255" t="s">
        <v>3403</v>
      </c>
      <c r="F948" s="255" t="s">
        <v>3385</v>
      </c>
      <c r="G948" s="255" t="s">
        <v>3386</v>
      </c>
      <c r="H948" s="255" t="s">
        <v>3387</v>
      </c>
    </row>
    <row r="949" spans="1:8" ht="15" customHeight="1" x14ac:dyDescent="0.2">
      <c r="A949" s="41" t="s">
        <v>4608</v>
      </c>
      <c r="B949" s="274" t="s">
        <v>3657</v>
      </c>
      <c r="C949" s="255" t="s">
        <v>2820</v>
      </c>
      <c r="D949" s="255" t="s">
        <v>2819</v>
      </c>
      <c r="E949" s="255" t="s">
        <v>3403</v>
      </c>
      <c r="F949" s="255" t="s">
        <v>3385</v>
      </c>
      <c r="G949" s="255" t="s">
        <v>3386</v>
      </c>
      <c r="H949" s="255" t="s">
        <v>3387</v>
      </c>
    </row>
    <row r="950" spans="1:8" ht="15" customHeight="1" x14ac:dyDescent="0.2">
      <c r="A950" s="41" t="s">
        <v>4732</v>
      </c>
      <c r="B950" s="274" t="s">
        <v>3657</v>
      </c>
      <c r="C950" s="255" t="s">
        <v>3295</v>
      </c>
      <c r="D950" s="255" t="s">
        <v>3813</v>
      </c>
      <c r="E950" s="255" t="s">
        <v>3403</v>
      </c>
      <c r="F950" s="255" t="s">
        <v>3385</v>
      </c>
      <c r="G950" s="255" t="s">
        <v>3386</v>
      </c>
      <c r="H950" s="255" t="s">
        <v>3387</v>
      </c>
    </row>
    <row r="951" spans="1:8" ht="15" customHeight="1" x14ac:dyDescent="0.2">
      <c r="A951" s="41" t="s">
        <v>4664</v>
      </c>
      <c r="B951" s="274" t="s">
        <v>3657</v>
      </c>
      <c r="C951" s="255" t="s">
        <v>3215</v>
      </c>
      <c r="D951" s="255" t="s">
        <v>3780</v>
      </c>
      <c r="E951" s="255" t="s">
        <v>3403</v>
      </c>
      <c r="F951" s="255" t="s">
        <v>3385</v>
      </c>
      <c r="G951" s="255" t="s">
        <v>3386</v>
      </c>
      <c r="H951" s="255" t="s">
        <v>3387</v>
      </c>
    </row>
    <row r="952" spans="1:8" ht="15" customHeight="1" x14ac:dyDescent="0.2">
      <c r="A952" s="41" t="s">
        <v>4729</v>
      </c>
      <c r="B952" s="274" t="s">
        <v>3657</v>
      </c>
      <c r="C952" s="255" t="s">
        <v>3290</v>
      </c>
      <c r="D952" s="255" t="s">
        <v>3812</v>
      </c>
      <c r="E952" s="255" t="s">
        <v>3403</v>
      </c>
      <c r="F952" s="255" t="s">
        <v>3385</v>
      </c>
      <c r="G952" s="255" t="s">
        <v>3386</v>
      </c>
      <c r="H952" s="255" t="s">
        <v>3387</v>
      </c>
    </row>
    <row r="953" spans="1:8" ht="15" customHeight="1" x14ac:dyDescent="0.2">
      <c r="A953" s="41" t="s">
        <v>4456</v>
      </c>
      <c r="B953" s="274" t="s">
        <v>3521</v>
      </c>
      <c r="C953" s="255" t="s">
        <v>3283</v>
      </c>
      <c r="D953" s="255" t="s">
        <v>3282</v>
      </c>
      <c r="E953" s="255" t="s">
        <v>3403</v>
      </c>
      <c r="F953" s="255" t="s">
        <v>3385</v>
      </c>
      <c r="G953" s="255" t="s">
        <v>3386</v>
      </c>
      <c r="H953" s="255" t="s">
        <v>3387</v>
      </c>
    </row>
    <row r="954" spans="1:8" ht="15" customHeight="1" x14ac:dyDescent="0.2">
      <c r="A954" s="41" t="s">
        <v>4726</v>
      </c>
      <c r="B954" s="274" t="s">
        <v>3657</v>
      </c>
      <c r="C954" s="255" t="s">
        <v>2852</v>
      </c>
      <c r="D954" s="255" t="s">
        <v>2851</v>
      </c>
      <c r="E954" s="255" t="s">
        <v>3403</v>
      </c>
      <c r="F954" s="255" t="s">
        <v>3385</v>
      </c>
      <c r="G954" s="255" t="s">
        <v>3386</v>
      </c>
      <c r="H954" s="255" t="s">
        <v>3387</v>
      </c>
    </row>
    <row r="955" spans="1:8" ht="15" customHeight="1" x14ac:dyDescent="0.2">
      <c r="A955" s="41" t="s">
        <v>4728</v>
      </c>
      <c r="B955" s="274" t="s">
        <v>3657</v>
      </c>
      <c r="C955" s="255" t="s">
        <v>3289</v>
      </c>
      <c r="D955" s="255" t="s">
        <v>3811</v>
      </c>
      <c r="E955" s="255" t="s">
        <v>3403</v>
      </c>
      <c r="F955" s="255" t="s">
        <v>3385</v>
      </c>
      <c r="G955" s="255" t="s">
        <v>3386</v>
      </c>
      <c r="H955" s="255" t="s">
        <v>3387</v>
      </c>
    </row>
    <row r="956" spans="1:8" ht="15" customHeight="1" x14ac:dyDescent="0.2">
      <c r="A956" s="41" t="s">
        <v>4573</v>
      </c>
      <c r="B956" s="274" t="s">
        <v>3657</v>
      </c>
      <c r="C956" s="255" t="s">
        <v>3161</v>
      </c>
      <c r="D956" s="255" t="s">
        <v>3706</v>
      </c>
      <c r="E956" s="255" t="s">
        <v>3403</v>
      </c>
      <c r="F956" s="255" t="s">
        <v>3385</v>
      </c>
      <c r="G956" s="255" t="s">
        <v>3386</v>
      </c>
      <c r="H956" s="255" t="s">
        <v>3387</v>
      </c>
    </row>
    <row r="957" spans="1:8" ht="15" customHeight="1" x14ac:dyDescent="0.2">
      <c r="A957" s="41" t="s">
        <v>4533</v>
      </c>
      <c r="B957" s="274" t="s">
        <v>3657</v>
      </c>
      <c r="C957" s="255" t="s">
        <v>2953</v>
      </c>
      <c r="D957" s="255" t="s">
        <v>3666</v>
      </c>
      <c r="E957" s="255" t="s">
        <v>3403</v>
      </c>
      <c r="F957" s="255" t="s">
        <v>3385</v>
      </c>
      <c r="G957" s="255" t="s">
        <v>3386</v>
      </c>
      <c r="H957" s="255" t="s">
        <v>3387</v>
      </c>
    </row>
    <row r="958" spans="1:8" ht="15" customHeight="1" x14ac:dyDescent="0.2">
      <c r="A958" s="41" t="s">
        <v>4656</v>
      </c>
      <c r="B958" s="274" t="s">
        <v>3657</v>
      </c>
      <c r="C958" s="255" t="s">
        <v>3207</v>
      </c>
      <c r="D958" s="255" t="s">
        <v>3775</v>
      </c>
      <c r="E958" s="255" t="s">
        <v>3403</v>
      </c>
      <c r="F958" s="255" t="s">
        <v>3385</v>
      </c>
      <c r="G958" s="255" t="s">
        <v>3386</v>
      </c>
      <c r="H958" s="255" t="s">
        <v>3387</v>
      </c>
    </row>
    <row r="959" spans="1:8" ht="15" customHeight="1" x14ac:dyDescent="0.2">
      <c r="A959" s="41" t="s">
        <v>4700</v>
      </c>
      <c r="B959" s="274" t="s">
        <v>3657</v>
      </c>
      <c r="C959" s="255" t="s">
        <v>3247</v>
      </c>
      <c r="D959" s="255" t="s">
        <v>3246</v>
      </c>
      <c r="E959" s="255" t="s">
        <v>3403</v>
      </c>
      <c r="F959" s="255" t="s">
        <v>3385</v>
      </c>
      <c r="G959" s="255" t="s">
        <v>3386</v>
      </c>
      <c r="H959" s="255" t="s">
        <v>3387</v>
      </c>
    </row>
    <row r="960" spans="1:8" ht="15" customHeight="1" x14ac:dyDescent="0.2">
      <c r="A960" s="41" t="s">
        <v>4704</v>
      </c>
      <c r="B960" s="274" t="s">
        <v>3657</v>
      </c>
      <c r="C960" s="255" t="s">
        <v>3255</v>
      </c>
      <c r="D960" s="255" t="s">
        <v>3254</v>
      </c>
      <c r="E960" s="255" t="s">
        <v>3403</v>
      </c>
      <c r="F960" s="255" t="s">
        <v>3385</v>
      </c>
      <c r="G960" s="255" t="s">
        <v>3386</v>
      </c>
      <c r="H960" s="255" t="s">
        <v>3387</v>
      </c>
    </row>
    <row r="961" spans="1:8" ht="15" customHeight="1" x14ac:dyDescent="0.2">
      <c r="A961" s="41" t="s">
        <v>4662</v>
      </c>
      <c r="B961" s="274" t="s">
        <v>3657</v>
      </c>
      <c r="C961" s="255" t="s">
        <v>2833</v>
      </c>
      <c r="D961" s="255" t="s">
        <v>3778</v>
      </c>
      <c r="E961" s="255" t="s">
        <v>3403</v>
      </c>
      <c r="F961" s="255" t="s">
        <v>3385</v>
      </c>
      <c r="G961" s="255" t="s">
        <v>3386</v>
      </c>
      <c r="H961" s="255" t="s">
        <v>3387</v>
      </c>
    </row>
    <row r="962" spans="1:8" ht="15" customHeight="1" x14ac:dyDescent="0.2">
      <c r="A962" s="41" t="s">
        <v>4697</v>
      </c>
      <c r="B962" s="274" t="s">
        <v>3657</v>
      </c>
      <c r="C962" s="255" t="s">
        <v>3242</v>
      </c>
      <c r="D962" s="255" t="s">
        <v>3241</v>
      </c>
      <c r="E962" s="255" t="s">
        <v>3403</v>
      </c>
      <c r="F962" s="255" t="s">
        <v>3385</v>
      </c>
      <c r="G962" s="255" t="s">
        <v>3386</v>
      </c>
      <c r="H962" s="255" t="s">
        <v>3387</v>
      </c>
    </row>
    <row r="963" spans="1:8" ht="15" customHeight="1" x14ac:dyDescent="0.2">
      <c r="A963" s="41" t="s">
        <v>4578</v>
      </c>
      <c r="B963" s="274" t="s">
        <v>3657</v>
      </c>
      <c r="C963" s="255" t="s">
        <v>2812</v>
      </c>
      <c r="D963" s="255" t="s">
        <v>3711</v>
      </c>
      <c r="E963" s="255" t="s">
        <v>3403</v>
      </c>
      <c r="F963" s="255" t="s">
        <v>3385</v>
      </c>
      <c r="G963" s="255" t="s">
        <v>3386</v>
      </c>
      <c r="H963" s="255" t="s">
        <v>3387</v>
      </c>
    </row>
    <row r="964" spans="1:8" ht="15" customHeight="1" x14ac:dyDescent="0.2">
      <c r="A964" s="41" t="s">
        <v>4679</v>
      </c>
      <c r="B964" s="274" t="s">
        <v>3657</v>
      </c>
      <c r="C964" s="255" t="s">
        <v>2839</v>
      </c>
      <c r="D964" s="255" t="s">
        <v>3790</v>
      </c>
      <c r="E964" s="255" t="s">
        <v>3403</v>
      </c>
      <c r="F964" s="255" t="s">
        <v>3385</v>
      </c>
      <c r="G964" s="255" t="s">
        <v>3386</v>
      </c>
      <c r="H964" s="255" t="s">
        <v>3387</v>
      </c>
    </row>
    <row r="965" spans="1:8" ht="15" customHeight="1" x14ac:dyDescent="0.2">
      <c r="A965" s="41" t="s">
        <v>4690</v>
      </c>
      <c r="B965" s="274" t="s">
        <v>3657</v>
      </c>
      <c r="C965" s="255" t="s">
        <v>2843</v>
      </c>
      <c r="D965" s="255" t="s">
        <v>3796</v>
      </c>
      <c r="E965" s="255" t="s">
        <v>3403</v>
      </c>
      <c r="F965" s="255" t="s">
        <v>3385</v>
      </c>
      <c r="G965" s="255" t="s">
        <v>3386</v>
      </c>
      <c r="H965" s="255" t="s">
        <v>3387</v>
      </c>
    </row>
    <row r="966" spans="1:8" ht="15" customHeight="1" x14ac:dyDescent="0.2">
      <c r="A966" s="41" t="s">
        <v>3983</v>
      </c>
      <c r="B966" s="274" t="s">
        <v>3400</v>
      </c>
      <c r="C966" s="255" t="s">
        <v>2356</v>
      </c>
      <c r="D966" s="255" t="s">
        <v>2355</v>
      </c>
      <c r="E966" s="255" t="s">
        <v>3403</v>
      </c>
      <c r="F966" s="255" t="s">
        <v>3389</v>
      </c>
      <c r="G966" s="255" t="s">
        <v>3386</v>
      </c>
      <c r="H966" s="255" t="s">
        <v>3387</v>
      </c>
    </row>
    <row r="967" spans="1:8" ht="15" customHeight="1" x14ac:dyDescent="0.2">
      <c r="A967" s="41" t="s">
        <v>3977</v>
      </c>
      <c r="B967" s="274" t="s">
        <v>3400</v>
      </c>
      <c r="C967" s="255" t="s">
        <v>1892</v>
      </c>
      <c r="D967" s="255" t="s">
        <v>1891</v>
      </c>
      <c r="E967" s="255" t="s">
        <v>3403</v>
      </c>
      <c r="F967" s="255" t="s">
        <v>3385</v>
      </c>
      <c r="G967" s="255" t="s">
        <v>3386</v>
      </c>
      <c r="H967" s="255" t="s">
        <v>3387</v>
      </c>
    </row>
    <row r="968" spans="1:8" ht="15" customHeight="1" x14ac:dyDescent="0.2">
      <c r="A968" s="41" t="s">
        <v>3978</v>
      </c>
      <c r="B968" s="274" t="s">
        <v>3400</v>
      </c>
      <c r="C968" s="255" t="s">
        <v>1904</v>
      </c>
      <c r="D968" s="255" t="s">
        <v>1903</v>
      </c>
      <c r="E968" s="255" t="s">
        <v>3403</v>
      </c>
      <c r="F968" s="255" t="s">
        <v>3385</v>
      </c>
      <c r="G968" s="255" t="s">
        <v>3386</v>
      </c>
      <c r="H968" s="255" t="s">
        <v>3387</v>
      </c>
    </row>
    <row r="969" spans="1:8" ht="15" customHeight="1" x14ac:dyDescent="0.2">
      <c r="A969" s="41" t="s">
        <v>4817</v>
      </c>
      <c r="B969" s="274" t="s">
        <v>3854</v>
      </c>
      <c r="C969" s="255" t="s">
        <v>2058</v>
      </c>
      <c r="D969" s="255" t="s">
        <v>3868</v>
      </c>
      <c r="E969" s="255" t="s">
        <v>3420</v>
      </c>
      <c r="F969" s="255" t="s">
        <v>3385</v>
      </c>
      <c r="G969" s="255" t="s">
        <v>3858</v>
      </c>
      <c r="H969" s="255" t="s">
        <v>3392</v>
      </c>
    </row>
    <row r="970" spans="1:8" ht="15" customHeight="1" x14ac:dyDescent="0.2">
      <c r="A970" s="41" t="s">
        <v>4867</v>
      </c>
      <c r="B970" s="274" t="s">
        <v>3869</v>
      </c>
      <c r="C970" s="255" t="s">
        <v>2303</v>
      </c>
      <c r="D970" s="255" t="s">
        <v>3882</v>
      </c>
      <c r="E970" s="255" t="s">
        <v>3415</v>
      </c>
      <c r="F970" s="255" t="s">
        <v>3389</v>
      </c>
      <c r="G970" s="255" t="s">
        <v>3386</v>
      </c>
      <c r="H970" s="255" t="s">
        <v>3387</v>
      </c>
    </row>
    <row r="971" spans="1:8" ht="15" customHeight="1" x14ac:dyDescent="0.2">
      <c r="A971" s="41" t="s">
        <v>4779</v>
      </c>
      <c r="B971" s="274" t="s">
        <v>3844</v>
      </c>
      <c r="C971" s="255" t="s">
        <v>2294</v>
      </c>
      <c r="D971" s="255" t="s">
        <v>2293</v>
      </c>
      <c r="E971" s="255" t="s">
        <v>3415</v>
      </c>
      <c r="F971" s="255" t="s">
        <v>3385</v>
      </c>
      <c r="G971" s="255" t="s">
        <v>3386</v>
      </c>
      <c r="H971" s="255" t="s">
        <v>3387</v>
      </c>
    </row>
    <row r="972" spans="1:8" ht="15" customHeight="1" x14ac:dyDescent="0.2">
      <c r="A972" s="41" t="s">
        <v>4778</v>
      </c>
      <c r="B972" s="274" t="s">
        <v>3844</v>
      </c>
      <c r="C972" s="255" t="s">
        <v>2989</v>
      </c>
      <c r="D972" s="255" t="s">
        <v>2988</v>
      </c>
      <c r="E972" s="255" t="s">
        <v>3415</v>
      </c>
      <c r="F972" s="255" t="s">
        <v>3385</v>
      </c>
      <c r="G972" s="255" t="s">
        <v>3386</v>
      </c>
      <c r="H972" s="255" t="s">
        <v>3387</v>
      </c>
    </row>
    <row r="973" spans="1:8" ht="15" customHeight="1" x14ac:dyDescent="0.2">
      <c r="A973" s="41" t="s">
        <v>4516</v>
      </c>
      <c r="B973" s="274" t="s">
        <v>3645</v>
      </c>
      <c r="C973" s="255" t="s">
        <v>1986</v>
      </c>
      <c r="D973" s="255" t="s">
        <v>3649</v>
      </c>
      <c r="E973" s="255" t="s">
        <v>3403</v>
      </c>
      <c r="F973" s="255" t="s">
        <v>3385</v>
      </c>
      <c r="G973" s="255" t="s">
        <v>3386</v>
      </c>
      <c r="H973" s="255" t="s">
        <v>3387</v>
      </c>
    </row>
    <row r="974" spans="1:8" ht="15" customHeight="1" x14ac:dyDescent="0.2">
      <c r="A974" s="41" t="s">
        <v>4807</v>
      </c>
      <c r="B974" s="274" t="s">
        <v>3854</v>
      </c>
      <c r="C974" s="255" t="s">
        <v>2264</v>
      </c>
      <c r="D974" s="255" t="s">
        <v>2263</v>
      </c>
      <c r="E974" s="255" t="s">
        <v>3420</v>
      </c>
      <c r="F974" s="255" t="s">
        <v>3389</v>
      </c>
      <c r="G974" s="255" t="s">
        <v>3386</v>
      </c>
      <c r="H974" s="255" t="s">
        <v>3387</v>
      </c>
    </row>
    <row r="975" spans="1:8" ht="15" customHeight="1" x14ac:dyDescent="0.2">
      <c r="A975" s="41" t="s">
        <v>4083</v>
      </c>
      <c r="B975" s="274" t="s">
        <v>3457</v>
      </c>
      <c r="C975" s="255" t="s">
        <v>2006</v>
      </c>
      <c r="D975" s="255" t="s">
        <v>2005</v>
      </c>
      <c r="E975" s="255" t="s">
        <v>3403</v>
      </c>
      <c r="F975" s="255" t="s">
        <v>3389</v>
      </c>
      <c r="G975" s="255" t="s">
        <v>3386</v>
      </c>
      <c r="H975" s="255" t="s">
        <v>3392</v>
      </c>
    </row>
    <row r="976" spans="1:8" ht="15" customHeight="1" x14ac:dyDescent="0.2">
      <c r="A976" s="41" t="s">
        <v>4002</v>
      </c>
      <c r="B976" s="274" t="s">
        <v>3419</v>
      </c>
      <c r="C976" s="255" t="s">
        <v>2009</v>
      </c>
      <c r="D976" s="255" t="s">
        <v>2005</v>
      </c>
      <c r="E976" s="255" t="s">
        <v>3420</v>
      </c>
      <c r="F976" s="255" t="s">
        <v>3389</v>
      </c>
      <c r="G976" s="255" t="s">
        <v>3386</v>
      </c>
      <c r="H976" s="255" t="s">
        <v>3387</v>
      </c>
    </row>
    <row r="977" spans="1:8" ht="15" customHeight="1" x14ac:dyDescent="0.2">
      <c r="A977" s="41" t="s">
        <v>4783</v>
      </c>
      <c r="B977" s="274" t="s">
        <v>3844</v>
      </c>
      <c r="C977" s="255" t="s">
        <v>1944</v>
      </c>
      <c r="D977" s="255" t="s">
        <v>3846</v>
      </c>
      <c r="E977" s="255" t="s">
        <v>3415</v>
      </c>
      <c r="F977" s="255" t="s">
        <v>3385</v>
      </c>
      <c r="G977" s="255" t="s">
        <v>3386</v>
      </c>
      <c r="H977" s="255" t="s">
        <v>3387</v>
      </c>
    </row>
    <row r="978" spans="1:8" ht="15" customHeight="1" x14ac:dyDescent="0.2">
      <c r="A978" s="41" t="s">
        <v>4784</v>
      </c>
      <c r="B978" s="274" t="s">
        <v>3844</v>
      </c>
      <c r="C978" s="255" t="s">
        <v>1998</v>
      </c>
      <c r="D978" s="255" t="s">
        <v>3847</v>
      </c>
      <c r="E978" s="255" t="s">
        <v>3415</v>
      </c>
      <c r="F978" s="255" t="s">
        <v>3385</v>
      </c>
      <c r="G978" s="255" t="s">
        <v>3386</v>
      </c>
      <c r="H978" s="255" t="s">
        <v>3387</v>
      </c>
    </row>
    <row r="979" spans="1:8" ht="15" customHeight="1" x14ac:dyDescent="0.2">
      <c r="A979" s="41" t="s">
        <v>4785</v>
      </c>
      <c r="B979" s="274" t="s">
        <v>3844</v>
      </c>
      <c r="C979" s="255" t="s">
        <v>2038</v>
      </c>
      <c r="D979" s="255" t="s">
        <v>3848</v>
      </c>
      <c r="E979" s="255" t="s">
        <v>3415</v>
      </c>
      <c r="F979" s="255" t="s">
        <v>3385</v>
      </c>
      <c r="G979" s="255" t="s">
        <v>3386</v>
      </c>
      <c r="H979" s="255" t="s">
        <v>3387</v>
      </c>
    </row>
    <row r="980" spans="1:8" ht="15" customHeight="1" x14ac:dyDescent="0.2">
      <c r="A980" s="41" t="s">
        <v>3904</v>
      </c>
      <c r="B980" s="274" t="s">
        <v>3383</v>
      </c>
      <c r="C980" s="255" t="s">
        <v>2991</v>
      </c>
      <c r="D980" s="255" t="s">
        <v>2990</v>
      </c>
      <c r="E980" s="255" t="s">
        <v>3384</v>
      </c>
      <c r="F980" s="255" t="s">
        <v>3385</v>
      </c>
      <c r="G980" s="255" t="s">
        <v>3386</v>
      </c>
      <c r="H980" s="255" t="s">
        <v>3387</v>
      </c>
    </row>
    <row r="981" spans="1:8" ht="15" customHeight="1" x14ac:dyDescent="0.2">
      <c r="A981" s="41" t="s">
        <v>3905</v>
      </c>
      <c r="B981" s="274" t="s">
        <v>3383</v>
      </c>
      <c r="C981" s="255" t="s">
        <v>2993</v>
      </c>
      <c r="D981" s="255" t="s">
        <v>2992</v>
      </c>
      <c r="E981" s="255" t="s">
        <v>3384</v>
      </c>
      <c r="F981" s="255" t="s">
        <v>3385</v>
      </c>
      <c r="G981" s="255" t="s">
        <v>3386</v>
      </c>
      <c r="H981" s="255" t="s">
        <v>3387</v>
      </c>
    </row>
    <row r="982" spans="1:8" ht="15" customHeight="1" x14ac:dyDescent="0.2">
      <c r="A982" s="41" t="s">
        <v>3906</v>
      </c>
      <c r="B982" s="274" t="s">
        <v>3383</v>
      </c>
      <c r="C982" s="255" t="s">
        <v>2995</v>
      </c>
      <c r="D982" s="255" t="s">
        <v>2994</v>
      </c>
      <c r="E982" s="255" t="s">
        <v>3384</v>
      </c>
      <c r="F982" s="255" t="s">
        <v>3385</v>
      </c>
      <c r="G982" s="255" t="s">
        <v>3386</v>
      </c>
      <c r="H982" s="255" t="s">
        <v>3387</v>
      </c>
    </row>
    <row r="983" spans="1:8" ht="15" customHeight="1" x14ac:dyDescent="0.2">
      <c r="A983" s="41" t="s">
        <v>3907</v>
      </c>
      <c r="B983" s="274" t="s">
        <v>3383</v>
      </c>
      <c r="C983" s="255" t="s">
        <v>2997</v>
      </c>
      <c r="D983" s="255" t="s">
        <v>2996</v>
      </c>
      <c r="E983" s="255" t="s">
        <v>3384</v>
      </c>
      <c r="F983" s="255" t="s">
        <v>3385</v>
      </c>
      <c r="G983" s="255" t="s">
        <v>3386</v>
      </c>
      <c r="H983" s="255" t="s">
        <v>3387</v>
      </c>
    </row>
    <row r="984" spans="1:8" ht="15" customHeight="1" x14ac:dyDescent="0.2">
      <c r="A984" s="41" t="s">
        <v>3908</v>
      </c>
      <c r="B984" s="274" t="s">
        <v>3383</v>
      </c>
      <c r="C984" s="255" t="s">
        <v>2546</v>
      </c>
      <c r="D984" s="255" t="s">
        <v>2545</v>
      </c>
      <c r="E984" s="255" t="s">
        <v>3384</v>
      </c>
      <c r="F984" s="255" t="s">
        <v>3385</v>
      </c>
      <c r="G984" s="255" t="s">
        <v>3386</v>
      </c>
      <c r="H984" s="255" t="s">
        <v>3387</v>
      </c>
    </row>
    <row r="985" spans="1:8" ht="15" customHeight="1" x14ac:dyDescent="0.2">
      <c r="A985" s="41" t="s">
        <v>3917</v>
      </c>
      <c r="B985" s="274" t="s">
        <v>3383</v>
      </c>
      <c r="C985" s="255" t="s">
        <v>3001</v>
      </c>
      <c r="D985" s="255" t="s">
        <v>3000</v>
      </c>
      <c r="E985" s="255" t="s">
        <v>3384</v>
      </c>
      <c r="F985" s="255" t="s">
        <v>3385</v>
      </c>
      <c r="G985" s="255" t="s">
        <v>3386</v>
      </c>
      <c r="H985" s="255" t="s">
        <v>3387</v>
      </c>
    </row>
    <row r="986" spans="1:8" ht="15" customHeight="1" x14ac:dyDescent="0.2">
      <c r="A986" s="41" t="s">
        <v>3902</v>
      </c>
      <c r="B986" s="274" t="s">
        <v>3383</v>
      </c>
      <c r="C986" s="255" t="s">
        <v>2462</v>
      </c>
      <c r="D986" s="255" t="s">
        <v>2461</v>
      </c>
      <c r="E986" s="255" t="s">
        <v>3384</v>
      </c>
      <c r="F986" s="255" t="s">
        <v>3385</v>
      </c>
      <c r="G986" s="255" t="s">
        <v>3386</v>
      </c>
      <c r="H986" s="255" t="s">
        <v>3387</v>
      </c>
    </row>
    <row r="987" spans="1:8" ht="15" customHeight="1" x14ac:dyDescent="0.2">
      <c r="A987" s="41" t="s">
        <v>3903</v>
      </c>
      <c r="B987" s="274" t="s">
        <v>3383</v>
      </c>
      <c r="C987" s="255" t="s">
        <v>2666</v>
      </c>
      <c r="D987" s="255" t="s">
        <v>2665</v>
      </c>
      <c r="E987" s="255" t="s">
        <v>3384</v>
      </c>
      <c r="F987" s="255" t="s">
        <v>3385</v>
      </c>
      <c r="G987" s="255" t="s">
        <v>3386</v>
      </c>
      <c r="H987" s="255" t="s">
        <v>3387</v>
      </c>
    </row>
    <row r="988" spans="1:8" ht="15" customHeight="1" x14ac:dyDescent="0.2">
      <c r="A988" s="41" t="s">
        <v>4803</v>
      </c>
      <c r="B988" s="274" t="s">
        <v>3854</v>
      </c>
      <c r="C988" s="255" t="s">
        <v>2858</v>
      </c>
      <c r="D988" s="255" t="s">
        <v>2857</v>
      </c>
      <c r="E988" s="255" t="s">
        <v>3420</v>
      </c>
      <c r="F988" s="255" t="s">
        <v>3389</v>
      </c>
      <c r="G988" s="255" t="s">
        <v>3386</v>
      </c>
      <c r="H988" s="255" t="s">
        <v>3387</v>
      </c>
    </row>
    <row r="989" spans="1:8" ht="15" customHeight="1" x14ac:dyDescent="0.2">
      <c r="A989" s="41" t="s">
        <v>4805</v>
      </c>
      <c r="B989" s="274" t="s">
        <v>3854</v>
      </c>
      <c r="C989" s="255" t="s">
        <v>2453</v>
      </c>
      <c r="D989" s="255" t="s">
        <v>2452</v>
      </c>
      <c r="E989" s="255" t="s">
        <v>3420</v>
      </c>
      <c r="F989" s="255" t="s">
        <v>3389</v>
      </c>
      <c r="G989" s="255" t="s">
        <v>3386</v>
      </c>
      <c r="H989" s="255" t="s">
        <v>3387</v>
      </c>
    </row>
    <row r="990" spans="1:8" ht="15" customHeight="1" x14ac:dyDescent="0.2">
      <c r="A990" s="41" t="s">
        <v>4814</v>
      </c>
      <c r="B990" s="274" t="s">
        <v>3854</v>
      </c>
      <c r="C990" s="255" t="s">
        <v>2117</v>
      </c>
      <c r="D990" s="255" t="s">
        <v>2116</v>
      </c>
      <c r="E990" s="255" t="s">
        <v>3420</v>
      </c>
      <c r="F990" s="255" t="s">
        <v>3389</v>
      </c>
      <c r="G990" s="255" t="s">
        <v>3386</v>
      </c>
      <c r="H990" s="255" t="s">
        <v>3387</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28" zoomScale="130" zoomScaleNormal="130" workbookViewId="0">
      <selection activeCell="G2" sqref="G2:O2"/>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0" width="0.140625" style="119" hidden="1" customWidth="1"/>
    <col min="61" max="61" width="8.28515625" style="119" hidden="1" customWidth="1"/>
    <col min="62" max="62" width="1.7109375" style="119" hidden="1" customWidth="1"/>
    <col min="63" max="63" width="0.140625" style="119" customWidth="1"/>
    <col min="64" max="67" width="8.28515625" style="119" customWidth="1"/>
    <col min="68" max="103" width="9.140625" style="119"/>
  </cols>
  <sheetData>
    <row r="1" spans="1:103" ht="16.5" thickBot="1" x14ac:dyDescent="0.3">
      <c r="A1" s="543" t="s">
        <v>135</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5"/>
      <c r="AD1" s="9"/>
      <c r="AY1"/>
      <c r="AZ1"/>
      <c r="BA1"/>
      <c r="BB1"/>
      <c r="BC1"/>
      <c r="BD1"/>
      <c r="BE1"/>
      <c r="BF1"/>
      <c r="BG1"/>
      <c r="BH1"/>
      <c r="BI1"/>
      <c r="BJ1"/>
      <c r="BK1"/>
    </row>
    <row r="2" spans="1:103" ht="12.6" customHeight="1" thickBot="1" x14ac:dyDescent="0.25">
      <c r="A2" s="663" t="s">
        <v>136</v>
      </c>
      <c r="B2" s="526"/>
      <c r="C2" s="526"/>
      <c r="D2" s="526"/>
      <c r="E2" s="526"/>
      <c r="F2" s="526"/>
      <c r="G2" s="717"/>
      <c r="H2" s="717"/>
      <c r="I2" s="717"/>
      <c r="J2" s="717"/>
      <c r="K2" s="717"/>
      <c r="L2" s="717"/>
      <c r="M2" s="717"/>
      <c r="N2" s="717"/>
      <c r="O2" s="717"/>
      <c r="P2" s="711"/>
      <c r="Q2" s="711"/>
      <c r="R2" s="711"/>
      <c r="S2" s="711"/>
      <c r="T2" s="711"/>
      <c r="U2" s="711"/>
      <c r="V2" s="712"/>
      <c r="W2" s="713"/>
      <c r="X2" s="713"/>
      <c r="Y2" s="713"/>
      <c r="Z2" s="713"/>
      <c r="AA2" s="713"/>
      <c r="AB2" s="713"/>
      <c r="AC2" s="714"/>
      <c r="AG2" s="4"/>
      <c r="AY2"/>
      <c r="AZ2"/>
      <c r="BA2"/>
      <c r="BB2"/>
      <c r="BC2"/>
      <c r="BD2"/>
      <c r="BE2"/>
      <c r="BF2"/>
      <c r="BG2"/>
      <c r="BH2"/>
      <c r="BI2"/>
      <c r="BJ2"/>
      <c r="BK2"/>
    </row>
    <row r="3" spans="1:103" ht="12.6" customHeight="1" thickBot="1" x14ac:dyDescent="0.25">
      <c r="A3" s="719" t="s">
        <v>138</v>
      </c>
      <c r="B3" s="334"/>
      <c r="C3" s="334"/>
      <c r="D3" s="334"/>
      <c r="E3" s="334"/>
      <c r="F3" s="334"/>
      <c r="G3" s="718"/>
      <c r="H3" s="718"/>
      <c r="I3" s="718"/>
      <c r="J3" s="718"/>
      <c r="K3" s="718"/>
      <c r="L3" s="718"/>
      <c r="M3" s="718"/>
      <c r="N3" s="718"/>
      <c r="O3" s="718"/>
      <c r="P3" s="334" t="s">
        <v>142</v>
      </c>
      <c r="Q3" s="334"/>
      <c r="R3" s="334"/>
      <c r="S3" s="334"/>
      <c r="T3" s="334"/>
      <c r="U3" s="334"/>
      <c r="V3" s="412"/>
      <c r="W3" s="412"/>
      <c r="X3" s="412"/>
      <c r="Y3" s="412"/>
      <c r="Z3" s="412"/>
      <c r="AA3" s="412"/>
      <c r="AB3" s="412"/>
      <c r="AC3" s="413"/>
      <c r="AG3" s="4"/>
      <c r="AQ3" s="24" t="s">
        <v>140</v>
      </c>
      <c r="AR3" s="22" t="str">
        <f>G6&amp;L6</f>
        <v/>
      </c>
      <c r="AY3"/>
      <c r="AZ3"/>
      <c r="BA3"/>
      <c r="BB3"/>
      <c r="BC3"/>
      <c r="BD3"/>
      <c r="BE3"/>
      <c r="BF3"/>
      <c r="BG3"/>
      <c r="BH3"/>
      <c r="BI3"/>
      <c r="BJ3"/>
      <c r="BK3"/>
    </row>
    <row r="4" spans="1:103" ht="12.6" customHeight="1" thickBot="1" x14ac:dyDescent="0.25">
      <c r="A4" s="719" t="s">
        <v>141</v>
      </c>
      <c r="B4" s="334"/>
      <c r="C4" s="334"/>
      <c r="D4" s="334"/>
      <c r="E4" s="334"/>
      <c r="F4" s="334"/>
      <c r="G4" s="718"/>
      <c r="H4" s="718"/>
      <c r="I4" s="718"/>
      <c r="J4" s="718"/>
      <c r="K4" s="718"/>
      <c r="L4" s="718"/>
      <c r="M4" s="718"/>
      <c r="N4" s="718"/>
      <c r="O4" s="718"/>
      <c r="P4" s="723" t="s">
        <v>146</v>
      </c>
      <c r="Q4" s="723"/>
      <c r="R4" s="723"/>
      <c r="S4" s="723"/>
      <c r="T4" s="723"/>
      <c r="U4" s="723"/>
      <c r="V4" s="715" t="s">
        <v>1790</v>
      </c>
      <c r="W4" s="715"/>
      <c r="X4" s="715"/>
      <c r="Y4" s="715"/>
      <c r="Z4" s="715"/>
      <c r="AA4" s="715"/>
      <c r="AB4" s="715"/>
      <c r="AC4" s="716"/>
      <c r="AG4" s="4"/>
      <c r="AQ4" s="24" t="s">
        <v>144</v>
      </c>
      <c r="AR4" s="22">
        <f>V6</f>
        <v>0</v>
      </c>
      <c r="AY4"/>
      <c r="AZ4"/>
      <c r="BA4"/>
      <c r="BB4"/>
      <c r="BC4"/>
      <c r="BD4"/>
      <c r="BE4"/>
      <c r="BF4"/>
      <c r="BG4"/>
      <c r="BH4"/>
      <c r="BI4"/>
      <c r="BJ4"/>
      <c r="BK4"/>
    </row>
    <row r="5" spans="1:103" ht="12.6" customHeight="1" thickBot="1" x14ac:dyDescent="0.25">
      <c r="A5" s="719" t="s">
        <v>145</v>
      </c>
      <c r="B5" s="334"/>
      <c r="C5" s="334"/>
      <c r="D5" s="334"/>
      <c r="E5" s="334"/>
      <c r="F5" s="334"/>
      <c r="G5" s="718"/>
      <c r="H5" s="718"/>
      <c r="I5" s="718"/>
      <c r="J5" s="718"/>
      <c r="K5" s="718"/>
      <c r="L5" s="718"/>
      <c r="M5" s="718"/>
      <c r="N5" s="718"/>
      <c r="O5" s="718"/>
      <c r="P5" s="334" t="s">
        <v>148</v>
      </c>
      <c r="Q5" s="334"/>
      <c r="R5" s="334"/>
      <c r="S5" s="334"/>
      <c r="T5" s="334"/>
      <c r="U5" s="334"/>
      <c r="V5" s="457"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4"/>
      <c r="X5" s="334"/>
      <c r="Y5" s="334"/>
      <c r="Z5" s="334"/>
      <c r="AA5" s="688"/>
      <c r="AB5" s="688"/>
      <c r="AC5" s="689"/>
      <c r="AD5" s="4"/>
      <c r="AG5" s="4"/>
      <c r="AQ5" s="24" t="s">
        <v>136</v>
      </c>
      <c r="AR5" s="28">
        <f>G2</f>
        <v>0</v>
      </c>
      <c r="AY5"/>
      <c r="AZ5"/>
      <c r="BA5"/>
      <c r="BB5"/>
      <c r="BC5"/>
      <c r="BD5"/>
      <c r="BE5"/>
      <c r="BF5"/>
      <c r="BG5"/>
      <c r="BH5"/>
      <c r="BI5"/>
      <c r="BJ5"/>
      <c r="BK5"/>
    </row>
    <row r="6" spans="1:103" ht="15.75" customHeight="1" thickBot="1" x14ac:dyDescent="0.25">
      <c r="A6" s="546" t="s">
        <v>3364</v>
      </c>
      <c r="B6" s="547"/>
      <c r="C6" s="547"/>
      <c r="D6" s="547"/>
      <c r="E6" s="547"/>
      <c r="F6" s="547"/>
      <c r="G6" s="547"/>
      <c r="H6" s="547"/>
      <c r="I6" s="547"/>
      <c r="J6" s="547"/>
      <c r="K6" s="547"/>
      <c r="L6" s="547"/>
      <c r="M6" s="547"/>
      <c r="N6" s="547"/>
      <c r="O6" s="547"/>
      <c r="P6" s="547"/>
      <c r="Q6" s="547"/>
      <c r="R6" s="547"/>
      <c r="S6" s="547"/>
      <c r="T6" s="547"/>
      <c r="U6" s="548"/>
      <c r="V6" s="541"/>
      <c r="W6" s="541"/>
      <c r="X6" s="541"/>
      <c r="Y6" s="541"/>
      <c r="Z6" s="541"/>
      <c r="AA6" s="541"/>
      <c r="AB6" s="541"/>
      <c r="AC6" s="542"/>
      <c r="AG6" s="4"/>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c r="AQ7" s="25" t="s">
        <v>138</v>
      </c>
      <c r="AR7" s="28">
        <f>G3</f>
        <v>0</v>
      </c>
      <c r="AY7"/>
      <c r="AZ7"/>
      <c r="BA7"/>
      <c r="BB7"/>
      <c r="BC7"/>
      <c r="BD7"/>
      <c r="BE7"/>
      <c r="BF7"/>
      <c r="BG7"/>
      <c r="BH7"/>
      <c r="BI7"/>
      <c r="BJ7"/>
      <c r="BK7"/>
    </row>
    <row r="8" spans="1:103" ht="58.5" customHeight="1" thickBot="1" x14ac:dyDescent="0.25">
      <c r="A8" s="724"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673"/>
      <c r="AG8" s="4"/>
      <c r="AP8" s="34"/>
      <c r="AQ8" s="23" t="s">
        <v>164</v>
      </c>
      <c r="AR8" s="28">
        <f>V2</f>
        <v>0</v>
      </c>
      <c r="AY8"/>
      <c r="AZ8"/>
      <c r="BA8"/>
      <c r="BB8"/>
      <c r="BC8"/>
      <c r="BD8"/>
      <c r="BE8"/>
      <c r="BF8"/>
      <c r="BG8"/>
      <c r="BH8"/>
      <c r="BI8"/>
      <c r="BJ8"/>
      <c r="BK8"/>
    </row>
    <row r="9" spans="1:103" ht="12.6" customHeight="1" thickBot="1" x14ac:dyDescent="0.25">
      <c r="A9" s="570"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c r="AQ9" s="23" t="s">
        <v>166</v>
      </c>
      <c r="AR9" s="22">
        <f>V3</f>
        <v>0</v>
      </c>
      <c r="AU9" s="4"/>
      <c r="AY9"/>
      <c r="AZ9"/>
      <c r="BA9"/>
      <c r="BB9"/>
      <c r="BC9"/>
      <c r="BD9"/>
      <c r="BE9"/>
      <c r="BF9"/>
      <c r="BG9"/>
      <c r="BH9"/>
      <c r="BI9"/>
      <c r="BJ9"/>
      <c r="BK9"/>
    </row>
    <row r="10" spans="1:103" ht="12.6" customHeight="1" thickBot="1" x14ac:dyDescent="0.25">
      <c r="A10" s="570"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c r="AQ10" s="23" t="s">
        <v>142</v>
      </c>
      <c r="AR10" s="22" t="str">
        <f>V4</f>
        <v>CMDS</v>
      </c>
      <c r="AY10"/>
      <c r="AZ10"/>
      <c r="BA10"/>
      <c r="BB10"/>
      <c r="BC10"/>
      <c r="BD10"/>
      <c r="BE10"/>
      <c r="BF10"/>
      <c r="BG10"/>
      <c r="BH10"/>
      <c r="BI10"/>
      <c r="BJ10"/>
      <c r="BK10"/>
    </row>
    <row r="11" spans="1:103" ht="12.6" customHeight="1" thickBot="1" x14ac:dyDescent="0.25">
      <c r="A11" s="674" t="e">
        <f>VLOOKUP(D11,'AGG SOURCES'!A1:D292,2,FALSE)</f>
        <v>#N/A</v>
      </c>
      <c r="B11" s="675"/>
      <c r="C11" s="675"/>
      <c r="D11" s="595"/>
      <c r="E11" s="596"/>
      <c r="F11" s="596"/>
      <c r="G11" s="596"/>
      <c r="H11" s="596"/>
      <c r="I11" s="596"/>
      <c r="J11" s="596"/>
      <c r="K11" s="596"/>
      <c r="L11" s="596"/>
      <c r="M11" s="596"/>
      <c r="N11" s="596"/>
      <c r="O11" s="597"/>
      <c r="P11" s="634"/>
      <c r="Q11" s="635"/>
      <c r="R11" s="636"/>
      <c r="S11" s="704"/>
      <c r="T11" s="704"/>
      <c r="U11" s="705"/>
      <c r="V11" s="710"/>
      <c r="W11" s="710"/>
      <c r="X11" s="710"/>
      <c r="Y11" s="710"/>
      <c r="Z11" s="710"/>
      <c r="AA11" s="706"/>
      <c r="AB11" s="706"/>
      <c r="AC11" s="706"/>
      <c r="AG11" s="4"/>
      <c r="AQ11" s="26" t="s">
        <v>169</v>
      </c>
      <c r="AR11" s="125" t="e">
        <f>A9</f>
        <v>#N/A</v>
      </c>
      <c r="AY11"/>
      <c r="AZ11"/>
      <c r="BA11"/>
      <c r="BB11"/>
      <c r="BC11"/>
      <c r="BD11"/>
      <c r="BE11"/>
      <c r="BF11"/>
      <c r="BG11"/>
      <c r="BH11"/>
      <c r="BI11"/>
      <c r="BJ11"/>
      <c r="BK11"/>
    </row>
    <row r="12" spans="1:103" ht="12.6" customHeight="1" thickBo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171</v>
      </c>
      <c r="AR12" s="32">
        <f>D9</f>
        <v>0</v>
      </c>
      <c r="AY12"/>
      <c r="AZ12"/>
      <c r="BA12"/>
      <c r="BB12"/>
      <c r="BC12"/>
      <c r="BD12"/>
      <c r="BE12"/>
      <c r="BF12"/>
      <c r="BG12"/>
      <c r="BH12"/>
      <c r="BI12"/>
      <c r="BJ12"/>
      <c r="BK12"/>
    </row>
    <row r="13" spans="1:103" ht="18" customHeight="1" thickBot="1" x14ac:dyDescent="0.25">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4"/>
      <c r="AQ13" s="26" t="s">
        <v>175</v>
      </c>
      <c r="AR13" s="22">
        <f>S9</f>
        <v>0</v>
      </c>
      <c r="AY13"/>
      <c r="AZ13"/>
      <c r="BA13"/>
      <c r="BB13"/>
      <c r="BC13"/>
      <c r="BD13"/>
      <c r="BE13"/>
      <c r="BF13"/>
      <c r="BG13"/>
      <c r="BH13"/>
      <c r="BI13"/>
      <c r="BJ13"/>
      <c r="BK13"/>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c r="AQ14" s="27" t="s">
        <v>181</v>
      </c>
      <c r="AR14" s="22">
        <f>V9</f>
        <v>0</v>
      </c>
      <c r="AY14"/>
      <c r="AZ14"/>
      <c r="BA14"/>
      <c r="BB14"/>
      <c r="BC14"/>
      <c r="BD14"/>
      <c r="BE14"/>
      <c r="BF14"/>
      <c r="BG14"/>
      <c r="BH14"/>
      <c r="BI14"/>
      <c r="BJ14"/>
      <c r="BK14"/>
    </row>
    <row r="15" spans="1:103" s="34" customFormat="1" ht="12.6" customHeight="1" thickBot="1" x14ac:dyDescent="0.25">
      <c r="A15" s="572" t="e">
        <f>VLOOKUP(D15,'CEMENT &amp; POZZOLAN SOURCES'!A1:B81,2,FALSE)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683"/>
      <c r="AA15" s="690"/>
      <c r="AB15" s="691"/>
      <c r="AC15" s="692"/>
      <c r="AG15" s="4"/>
      <c r="AJ15"/>
      <c r="AK15"/>
      <c r="AL15"/>
      <c r="AM15"/>
      <c r="AN15"/>
      <c r="AO15"/>
      <c r="AP15"/>
      <c r="AQ15" s="35" t="s">
        <v>185</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572" t="e">
        <f>VLOOKUP(D16,'CEMENT &amp; POZZOLAN SOURCES'!A1:B81,2,FALSE)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683"/>
      <c r="AA16" s="612" t="s">
        <v>186</v>
      </c>
      <c r="AB16" s="613"/>
      <c r="AC16" s="614"/>
      <c r="AG16" s="4"/>
      <c r="AQ16" s="35" t="s">
        <v>187</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679" t="e">
        <f>VLOOKUP(D17,'CEMENT &amp; POZZOLAN SOURCES'!A1:B81,2,FALSE)</f>
        <v>#N/A</v>
      </c>
      <c r="B17" s="680"/>
      <c r="C17" s="681"/>
      <c r="D17" s="707"/>
      <c r="E17" s="708"/>
      <c r="F17" s="708"/>
      <c r="G17" s="708"/>
      <c r="H17" s="708"/>
      <c r="I17" s="708"/>
      <c r="J17" s="708"/>
      <c r="K17" s="708"/>
      <c r="L17" s="708"/>
      <c r="M17" s="708"/>
      <c r="N17" s="708"/>
      <c r="O17" s="708"/>
      <c r="P17" s="708"/>
      <c r="Q17" s="708"/>
      <c r="R17" s="708"/>
      <c r="S17" s="708"/>
      <c r="T17" s="709"/>
      <c r="U17" s="696"/>
      <c r="V17" s="696"/>
      <c r="W17" s="696"/>
      <c r="X17" s="696"/>
      <c r="Y17" s="697"/>
      <c r="Z17" s="251"/>
      <c r="AA17" s="693"/>
      <c r="AB17" s="694"/>
      <c r="AC17" s="695"/>
      <c r="AG17" s="4"/>
      <c r="AQ17" s="38" t="s">
        <v>189</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660" t="s">
        <v>190</v>
      </c>
      <c r="B18" s="661"/>
      <c r="C18" s="661"/>
      <c r="D18" s="661"/>
      <c r="E18" s="661"/>
      <c r="F18" s="661"/>
      <c r="G18" s="661"/>
      <c r="H18" s="661"/>
      <c r="I18" s="661"/>
      <c r="J18" s="661"/>
      <c r="K18" s="661"/>
      <c r="L18" s="661"/>
      <c r="M18" s="661"/>
      <c r="N18" s="661"/>
      <c r="O18" s="661"/>
      <c r="P18" s="661"/>
      <c r="Q18" s="661"/>
      <c r="R18" s="661"/>
      <c r="S18" s="661"/>
      <c r="T18" s="661"/>
      <c r="U18" s="661"/>
      <c r="V18" s="661"/>
      <c r="W18" s="661"/>
      <c r="X18" s="661"/>
      <c r="Y18" s="661"/>
      <c r="Z18" s="661"/>
      <c r="AA18" s="661"/>
      <c r="AB18" s="661"/>
      <c r="AC18" s="662"/>
      <c r="AG18" s="4"/>
      <c r="AI18" s="34"/>
      <c r="AJ18" s="34"/>
      <c r="AK18" s="34"/>
      <c r="AL18" s="34"/>
      <c r="AM18" s="34"/>
      <c r="AN18" s="34"/>
      <c r="AO18" s="34"/>
      <c r="AQ18" s="26" t="s">
        <v>191</v>
      </c>
      <c r="AR18" s="32">
        <f>D10</f>
        <v>0</v>
      </c>
      <c r="AY18"/>
      <c r="AZ18"/>
      <c r="BA18"/>
      <c r="BB18"/>
      <c r="BC18"/>
      <c r="BD18"/>
      <c r="BE18"/>
      <c r="BF18"/>
      <c r="BG18"/>
      <c r="BH18"/>
      <c r="BI18"/>
      <c r="BJ18"/>
      <c r="BK18"/>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4"/>
      <c r="AQ19" s="26" t="s">
        <v>196</v>
      </c>
      <c r="AR19" s="22">
        <f>S10</f>
        <v>0</v>
      </c>
      <c r="AY19"/>
      <c r="AZ19"/>
      <c r="BA19"/>
      <c r="BB19"/>
      <c r="BC19"/>
      <c r="BD19"/>
      <c r="BE19"/>
      <c r="BF19"/>
      <c r="BG19"/>
      <c r="BH19"/>
      <c r="BI19"/>
      <c r="BJ19"/>
      <c r="BK19"/>
    </row>
    <row r="20" spans="1:103" ht="13.5" customHeight="1" thickBot="1" x14ac:dyDescent="0.25">
      <c r="A20" s="643" t="e">
        <f>VLOOKUP(M20,ADMIXTURES!A1:F305,2,FALSE)</f>
        <v>#N/A</v>
      </c>
      <c r="B20" s="644"/>
      <c r="C20" s="644"/>
      <c r="D20" s="645" t="e">
        <f>VLOOKUP(M20,ADMIXTURES!A1:F305,4,FALSE)</f>
        <v>#N/A</v>
      </c>
      <c r="E20" s="646"/>
      <c r="F20" s="646"/>
      <c r="G20" s="646"/>
      <c r="H20" s="646"/>
      <c r="I20" s="646"/>
      <c r="J20" s="646"/>
      <c r="K20" s="646"/>
      <c r="L20" s="646"/>
      <c r="M20" s="640"/>
      <c r="N20" s="641"/>
      <c r="O20" s="641"/>
      <c r="P20" s="641"/>
      <c r="Q20" s="641"/>
      <c r="R20" s="641"/>
      <c r="S20" s="641"/>
      <c r="T20" s="642"/>
      <c r="U20" s="654" t="str">
        <f>IF(M20="","",VLOOKUP(M20,ADMIXTURES!$A1:$F305,5,FALSE))</f>
        <v/>
      </c>
      <c r="V20" s="571"/>
      <c r="W20" s="571"/>
      <c r="X20" s="337" t="e">
        <f>VLOOKUP(M20,ADMIXTURES!A1:F305,6,FALSE)</f>
        <v>#N/A</v>
      </c>
      <c r="Y20" s="571"/>
      <c r="Z20" s="571"/>
      <c r="AA20" s="571"/>
      <c r="AB20" s="571"/>
      <c r="AC20" s="669"/>
      <c r="AD20" s="51"/>
      <c r="AE20" s="65"/>
      <c r="AF20" s="65"/>
      <c r="AG20" s="4"/>
      <c r="AH20" s="65"/>
      <c r="AQ20" s="27" t="s">
        <v>199</v>
      </c>
      <c r="AR20" s="22">
        <f>V10</f>
        <v>0</v>
      </c>
      <c r="AY20"/>
      <c r="AZ20"/>
      <c r="BA20"/>
      <c r="BB20"/>
      <c r="BC20"/>
      <c r="BD20"/>
      <c r="BE20"/>
      <c r="BF20"/>
      <c r="BG20"/>
      <c r="BH20"/>
      <c r="BI20"/>
      <c r="BJ20"/>
      <c r="BK20"/>
    </row>
    <row r="21" spans="1:103" ht="12.6" customHeight="1" thickBot="1" x14ac:dyDescent="0.25">
      <c r="A21" s="643" t="e">
        <f>VLOOKUP(M21,ADMIXTURES!A1:F305,2,FALSE)</f>
        <v>#N/A</v>
      </c>
      <c r="B21" s="644"/>
      <c r="C21" s="644"/>
      <c r="D21" s="645" t="e">
        <f>VLOOKUP(M21,ADMIXTURES!A1:F305,4,FALSE)</f>
        <v>#N/A</v>
      </c>
      <c r="E21" s="646"/>
      <c r="F21" s="646"/>
      <c r="G21" s="646"/>
      <c r="H21" s="646"/>
      <c r="I21" s="646"/>
      <c r="J21" s="646"/>
      <c r="K21" s="646"/>
      <c r="L21" s="646"/>
      <c r="M21" s="640"/>
      <c r="N21" s="641"/>
      <c r="O21" s="641"/>
      <c r="P21" s="641"/>
      <c r="Q21" s="641"/>
      <c r="R21" s="641"/>
      <c r="S21" s="641"/>
      <c r="T21" s="642"/>
      <c r="U21" s="654" t="str">
        <f>IF(M21="","",VLOOKUP(M21,ADMIXTURES!$A2:$F306,5,FALSE))</f>
        <v/>
      </c>
      <c r="V21" s="571"/>
      <c r="W21" s="571"/>
      <c r="X21" s="337" t="e">
        <f>VLOOKUP(M21,ADMIXTURES!A1:F305,6,FALSE)</f>
        <v>#N/A</v>
      </c>
      <c r="Y21" s="571"/>
      <c r="Z21" s="571"/>
      <c r="AA21" s="571"/>
      <c r="AB21" s="571"/>
      <c r="AC21" s="669"/>
      <c r="AD21" s="51"/>
      <c r="AE21" s="65"/>
      <c r="AF21" s="65"/>
      <c r="AG21" s="4"/>
      <c r="AH21" s="65"/>
      <c r="AQ21" s="27" t="s">
        <v>201</v>
      </c>
      <c r="AR21" s="22">
        <f>Y10</f>
        <v>0</v>
      </c>
      <c r="AY21"/>
      <c r="AZ21"/>
      <c r="BA21"/>
      <c r="BB21"/>
      <c r="BC21"/>
      <c r="BD21"/>
      <c r="BE21"/>
      <c r="BF21"/>
      <c r="BG21"/>
      <c r="BH21"/>
      <c r="BI21"/>
      <c r="BJ21"/>
      <c r="BK21"/>
    </row>
    <row r="22" spans="1:103" ht="12.6" customHeight="1" thickBot="1" x14ac:dyDescent="0.25">
      <c r="A22" s="643" t="e">
        <f>VLOOKUP(M22,ADMIXTURES!A1:F305,2,FALSE)</f>
        <v>#N/A</v>
      </c>
      <c r="B22" s="644"/>
      <c r="C22" s="644"/>
      <c r="D22" s="645" t="e">
        <f>VLOOKUP(M22,ADMIXTURES!A1:F305,4,FALSE)</f>
        <v>#N/A</v>
      </c>
      <c r="E22" s="646"/>
      <c r="F22" s="646"/>
      <c r="G22" s="646"/>
      <c r="H22" s="646"/>
      <c r="I22" s="646"/>
      <c r="J22" s="646"/>
      <c r="K22" s="646"/>
      <c r="L22" s="646"/>
      <c r="M22" s="640"/>
      <c r="N22" s="641"/>
      <c r="O22" s="641"/>
      <c r="P22" s="641"/>
      <c r="Q22" s="641"/>
      <c r="R22" s="641"/>
      <c r="S22" s="641"/>
      <c r="T22" s="642"/>
      <c r="U22" s="654" t="str">
        <f>IF(M22="","",VLOOKUP(M22,ADMIXTURES!$A3:$F307,5,FALSE))</f>
        <v/>
      </c>
      <c r="V22" s="571"/>
      <c r="W22" s="571"/>
      <c r="X22" s="337" t="e">
        <f>VLOOKUP(M22,ADMIXTURES!A1:F305,6,FALSE)</f>
        <v>#N/A</v>
      </c>
      <c r="Y22" s="571"/>
      <c r="Z22" s="571"/>
      <c r="AA22" s="571"/>
      <c r="AB22" s="571"/>
      <c r="AC22" s="669"/>
      <c r="AD22" s="51"/>
      <c r="AE22" s="65"/>
      <c r="AF22" s="65"/>
      <c r="AG22" s="4"/>
      <c r="AH22" s="65"/>
      <c r="AQ22" s="27" t="s">
        <v>204</v>
      </c>
      <c r="AR22" s="28">
        <f>AA10</f>
        <v>0</v>
      </c>
      <c r="AY22"/>
      <c r="AZ22"/>
      <c r="BA22"/>
      <c r="BB22"/>
      <c r="BC22"/>
      <c r="BD22"/>
      <c r="BE22"/>
      <c r="BF22"/>
      <c r="BG22"/>
      <c r="BH22"/>
      <c r="BI22"/>
      <c r="BJ22"/>
      <c r="BK22"/>
    </row>
    <row r="23" spans="1:103" ht="12.6" customHeight="1" thickBot="1" x14ac:dyDescent="0.25">
      <c r="A23" s="643" t="e">
        <f>VLOOKUP(M23,ADMIXTURES!A1:F305,2,FALSE)</f>
        <v>#N/A</v>
      </c>
      <c r="B23" s="644"/>
      <c r="C23" s="644"/>
      <c r="D23" s="645" t="e">
        <f>VLOOKUP(M23,ADMIXTURES!A1:F305,4,FALSE)</f>
        <v>#N/A</v>
      </c>
      <c r="E23" s="646"/>
      <c r="F23" s="646"/>
      <c r="G23" s="646"/>
      <c r="H23" s="646"/>
      <c r="I23" s="646"/>
      <c r="J23" s="646"/>
      <c r="K23" s="646"/>
      <c r="L23" s="646"/>
      <c r="M23" s="640"/>
      <c r="N23" s="641"/>
      <c r="O23" s="641"/>
      <c r="P23" s="641"/>
      <c r="Q23" s="641"/>
      <c r="R23" s="641"/>
      <c r="S23" s="641"/>
      <c r="T23" s="642"/>
      <c r="U23" s="654" t="str">
        <f>IF(M23="","",VLOOKUP(M23,ADMIXTURES!$A4:$F308,5,FALSE))</f>
        <v/>
      </c>
      <c r="V23" s="571"/>
      <c r="W23" s="571"/>
      <c r="X23" s="337" t="e">
        <f>VLOOKUP(M23,ADMIXTURES!A1:F305,6,FALSE)</f>
        <v>#N/A</v>
      </c>
      <c r="Y23" s="571"/>
      <c r="Z23" s="571"/>
      <c r="AA23" s="571"/>
      <c r="AB23" s="571"/>
      <c r="AC23" s="669"/>
      <c r="AD23" s="51"/>
      <c r="AE23" s="65"/>
      <c r="AF23" s="65"/>
      <c r="AG23" s="34" t="s">
        <v>183</v>
      </c>
      <c r="AH23" s="65"/>
      <c r="AI23" s="65"/>
      <c r="AJ23" s="65"/>
      <c r="AK23" s="65"/>
      <c r="AL23" s="65"/>
      <c r="AM23" s="65"/>
      <c r="AQ23" s="27"/>
      <c r="AR23" s="28"/>
      <c r="AY23"/>
      <c r="AZ23"/>
      <c r="BA23"/>
      <c r="BB23"/>
      <c r="BC23"/>
      <c r="BD23"/>
      <c r="BE23"/>
      <c r="BF23"/>
      <c r="BG23"/>
      <c r="BH23"/>
      <c r="BI23"/>
      <c r="BJ23"/>
      <c r="BK23"/>
    </row>
    <row r="24" spans="1:103" ht="12.6" customHeight="1" thickBot="1" x14ac:dyDescent="0.25">
      <c r="A24" s="643" t="e">
        <f>VLOOKUP(M24,ADMIXTURES!A1:F305,2,FALSE)</f>
        <v>#N/A</v>
      </c>
      <c r="B24" s="644"/>
      <c r="C24" s="644"/>
      <c r="D24" s="645" t="e">
        <f>VLOOKUP(M24,ADMIXTURES!A1:F305,4,FALSE)</f>
        <v>#N/A</v>
      </c>
      <c r="E24" s="646"/>
      <c r="F24" s="646"/>
      <c r="G24" s="646"/>
      <c r="H24" s="646"/>
      <c r="I24" s="646"/>
      <c r="J24" s="646"/>
      <c r="K24" s="646"/>
      <c r="L24" s="646"/>
      <c r="M24" s="640"/>
      <c r="N24" s="641"/>
      <c r="O24" s="641"/>
      <c r="P24" s="641"/>
      <c r="Q24" s="641"/>
      <c r="R24" s="641"/>
      <c r="S24" s="641"/>
      <c r="T24" s="642"/>
      <c r="U24" s="654" t="str">
        <f>IF(M24="","",VLOOKUP(M24,ADMIXTURES!$A5:$F309,5,FALSE))</f>
        <v/>
      </c>
      <c r="V24" s="571"/>
      <c r="W24" s="571"/>
      <c r="X24" s="337" t="e">
        <f>VLOOKUP(M24,ADMIXTURES!A1:F305,6,FALSE)</f>
        <v>#N/A</v>
      </c>
      <c r="Y24" s="571"/>
      <c r="Z24" s="571"/>
      <c r="AA24" s="571"/>
      <c r="AB24" s="571"/>
      <c r="AC24" s="669"/>
      <c r="AD24" s="51"/>
      <c r="AE24" s="65"/>
      <c r="AF24" s="65"/>
      <c r="AG24" s="34" t="s">
        <v>198</v>
      </c>
      <c r="AH24" s="65"/>
      <c r="AI24" s="65"/>
      <c r="AJ24" s="65"/>
      <c r="AK24" s="65"/>
      <c r="AL24" s="65"/>
      <c r="AM24" s="65"/>
      <c r="AQ24" s="27"/>
      <c r="AR24" s="28"/>
      <c r="AY24"/>
      <c r="AZ24"/>
      <c r="BA24"/>
      <c r="BB24"/>
      <c r="BC24"/>
      <c r="BD24"/>
      <c r="BE24"/>
      <c r="BF24"/>
      <c r="BG24"/>
      <c r="BH24"/>
      <c r="BI24"/>
      <c r="BJ24"/>
      <c r="BK24"/>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34" t="s">
        <v>200</v>
      </c>
      <c r="AH25" s="65"/>
      <c r="AI25" s="65"/>
      <c r="AJ25" s="65"/>
      <c r="AK25" s="65"/>
      <c r="AL25" s="65"/>
      <c r="AM25" s="65"/>
      <c r="AQ25" s="26" t="s">
        <v>208</v>
      </c>
      <c r="AR25" s="22" t="e">
        <f>A11</f>
        <v>#N/A</v>
      </c>
      <c r="AY25"/>
      <c r="AZ25"/>
      <c r="BA25"/>
      <c r="BB25"/>
      <c r="BC25"/>
      <c r="BD25"/>
      <c r="BE25"/>
      <c r="BF25"/>
      <c r="BG25"/>
      <c r="BH25"/>
      <c r="BI25"/>
      <c r="BJ25"/>
      <c r="BK25"/>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34" t="s">
        <v>203</v>
      </c>
      <c r="AH26" s="65"/>
      <c r="AI26" s="65"/>
      <c r="AJ26" s="65"/>
      <c r="AK26" s="65"/>
      <c r="AL26" s="65"/>
      <c r="AM26" s="65"/>
      <c r="AQ26" s="26" t="s">
        <v>210</v>
      </c>
      <c r="AR26" s="32">
        <f>D11</f>
        <v>0</v>
      </c>
      <c r="AY26"/>
      <c r="AZ26"/>
      <c r="BA26"/>
      <c r="BB26"/>
      <c r="BC26"/>
      <c r="BD26"/>
      <c r="BE26"/>
      <c r="BF26"/>
      <c r="BG26"/>
      <c r="BH26"/>
      <c r="BI26"/>
      <c r="BJ26"/>
      <c r="BK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34" t="s">
        <v>206</v>
      </c>
      <c r="AI27" s="65"/>
      <c r="AJ27" s="65"/>
      <c r="AK27" s="65"/>
      <c r="AL27" s="65"/>
      <c r="AM27" s="65"/>
      <c r="AQ27" s="26" t="s">
        <v>214</v>
      </c>
      <c r="AR27" s="22">
        <f>S11</f>
        <v>0</v>
      </c>
      <c r="AY27"/>
      <c r="AZ27"/>
      <c r="BA27"/>
      <c r="BB27"/>
      <c r="BC27"/>
      <c r="BD27"/>
      <c r="BE27"/>
      <c r="BF27"/>
      <c r="BG27"/>
      <c r="BH27"/>
      <c r="BI27"/>
      <c r="BJ27"/>
      <c r="BK27"/>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317" t="s">
        <v>219</v>
      </c>
      <c r="O28" s="298"/>
      <c r="P28" s="339"/>
      <c r="S28" s="800" t="s">
        <v>220</v>
      </c>
      <c r="T28" s="801"/>
      <c r="U28" s="801"/>
      <c r="V28" s="801"/>
      <c r="W28" s="801"/>
      <c r="X28" s="801"/>
      <c r="Y28" s="801"/>
      <c r="Z28" s="802"/>
      <c r="AA28" s="806" t="str">
        <f>IF(Sheet2!J7=2,(SUM(E31:G33)/SUM(E30:G33)*100),"")</f>
        <v/>
      </c>
      <c r="AB28" s="806"/>
      <c r="AC28" s="807"/>
      <c r="AF28" s="4"/>
      <c r="AG28" s="248" t="s">
        <v>207</v>
      </c>
      <c r="AQ28" s="27" t="s">
        <v>222</v>
      </c>
      <c r="AR28" s="22">
        <f>V11</f>
        <v>0</v>
      </c>
      <c r="AY28"/>
      <c r="AZ28"/>
      <c r="BA28"/>
      <c r="BB28"/>
      <c r="BC28"/>
      <c r="BD28"/>
      <c r="BE28"/>
      <c r="BF28"/>
      <c r="BG28"/>
      <c r="BH28"/>
      <c r="BI28"/>
      <c r="BJ28"/>
      <c r="BK28"/>
    </row>
    <row r="29" spans="1:103" ht="14.25" customHeight="1" thickBot="1" x14ac:dyDescent="0.25">
      <c r="A29" s="627"/>
      <c r="B29" s="628"/>
      <c r="C29" s="628"/>
      <c r="D29" s="629"/>
      <c r="E29" s="303" t="s">
        <v>72</v>
      </c>
      <c r="F29" s="303"/>
      <c r="G29" s="304"/>
      <c r="H29" s="305" t="s">
        <v>223</v>
      </c>
      <c r="I29" s="303"/>
      <c r="J29" s="304"/>
      <c r="K29" s="305" t="s">
        <v>224</v>
      </c>
      <c r="L29" s="303"/>
      <c r="M29" s="304"/>
      <c r="N29" s="305" t="s">
        <v>225</v>
      </c>
      <c r="O29" s="303"/>
      <c r="P29" s="306"/>
      <c r="R29" s="3"/>
      <c r="S29" s="800" t="s">
        <v>226</v>
      </c>
      <c r="T29" s="801"/>
      <c r="U29" s="801"/>
      <c r="V29" s="801"/>
      <c r="W29" s="801"/>
      <c r="X29" s="801"/>
      <c r="Y29" s="801"/>
      <c r="Z29" s="802"/>
      <c r="AA29" s="806" t="str">
        <f>IF(Sheet2!J7=3,(SUM(E31:G33)/SUM(E30:G33)*100),"")</f>
        <v/>
      </c>
      <c r="AB29" s="806"/>
      <c r="AC29" s="807"/>
      <c r="AF29" s="4"/>
      <c r="AG29" s="248" t="s">
        <v>209</v>
      </c>
      <c r="AP29" s="124"/>
      <c r="AQ29" s="27" t="s">
        <v>228</v>
      </c>
      <c r="AR29" s="22">
        <f>Y11</f>
        <v>0</v>
      </c>
      <c r="AY29"/>
      <c r="AZ29"/>
      <c r="BA29"/>
      <c r="BB29"/>
      <c r="BC29"/>
      <c r="BD29"/>
      <c r="BE29"/>
      <c r="BF29"/>
      <c r="BG29"/>
      <c r="BH29"/>
      <c r="BI29"/>
      <c r="BJ29"/>
      <c r="BK29"/>
    </row>
    <row r="30" spans="1:103" ht="12.6" customHeight="1" thickBot="1" x14ac:dyDescent="0.25">
      <c r="A30" s="570" t="s">
        <v>75</v>
      </c>
      <c r="B30" s="571"/>
      <c r="C30" s="571"/>
      <c r="D30" s="571"/>
      <c r="E30" s="567"/>
      <c r="F30" s="568"/>
      <c r="G30" s="569"/>
      <c r="H30" s="610"/>
      <c r="I30" s="610"/>
      <c r="J30" s="611"/>
      <c r="K30" s="734"/>
      <c r="L30" s="734"/>
      <c r="M30" s="734"/>
      <c r="N30" s="592">
        <f>IF(E30=0,0,ROUND(E30/H30/62.4,2))</f>
        <v>0</v>
      </c>
      <c r="O30" s="592"/>
      <c r="P30" s="593"/>
      <c r="R30" s="3"/>
      <c r="S30" s="594" t="s">
        <v>229</v>
      </c>
      <c r="T30" s="336"/>
      <c r="U30" s="336"/>
      <c r="V30" s="336"/>
      <c r="W30" s="336"/>
      <c r="X30" s="336"/>
      <c r="Y30" s="336"/>
      <c r="Z30" s="337"/>
      <c r="AA30" s="803">
        <f>SUM(E30:G33)</f>
        <v>0</v>
      </c>
      <c r="AB30" s="804"/>
      <c r="AC30" s="805"/>
      <c r="AF30" s="4"/>
      <c r="AG30" s="248" t="s">
        <v>213</v>
      </c>
      <c r="AQ30" s="27" t="s">
        <v>231</v>
      </c>
      <c r="AR30" s="28">
        <f>AA11</f>
        <v>0</v>
      </c>
      <c r="AY30"/>
      <c r="AZ30"/>
      <c r="BA30"/>
      <c r="BB30"/>
      <c r="BC30"/>
      <c r="BD30"/>
      <c r="BE30"/>
      <c r="BF30"/>
      <c r="BG30"/>
      <c r="BH30"/>
      <c r="BI30"/>
      <c r="BJ30"/>
      <c r="BK30"/>
    </row>
    <row r="31" spans="1:103" ht="12.6" customHeight="1" thickBot="1" x14ac:dyDescent="0.25">
      <c r="A31" s="738" t="s">
        <v>77</v>
      </c>
      <c r="B31" s="571"/>
      <c r="C31" s="571"/>
      <c r="D31" s="571"/>
      <c r="E31" s="579"/>
      <c r="F31" s="580"/>
      <c r="G31" s="581"/>
      <c r="H31" s="782"/>
      <c r="I31" s="782"/>
      <c r="J31" s="783"/>
      <c r="K31" s="734"/>
      <c r="L31" s="734"/>
      <c r="M31" s="734"/>
      <c r="N31" s="592">
        <f>IF(OR(E31=0,H31=0),0,ROUND(E31/H31/62.4,2))</f>
        <v>0</v>
      </c>
      <c r="O31" s="592"/>
      <c r="P31" s="593"/>
      <c r="R31" s="3"/>
      <c r="S31" s="594" t="s">
        <v>232</v>
      </c>
      <c r="T31" s="336"/>
      <c r="U31" s="336"/>
      <c r="V31" s="336"/>
      <c r="W31" s="336"/>
      <c r="X31" s="336"/>
      <c r="Y31" s="336"/>
      <c r="Z31" s="337"/>
      <c r="AA31" s="742" t="str">
        <f>IF(Sheet2!G18=TRUE,Sheet2!G19,IF(Sheet2!G29=TRUE,Sheet2!G30,IF(Sheet2!G36=TRUE,Sheet2!G37,"")))</f>
        <v/>
      </c>
      <c r="AB31" s="743"/>
      <c r="AC31" s="66" t="str">
        <f>IF(AA31="","",":1")</f>
        <v/>
      </c>
      <c r="AG31" s="248" t="s">
        <v>221</v>
      </c>
      <c r="AQ31" s="27" t="s">
        <v>234</v>
      </c>
      <c r="AR31" s="22" t="e">
        <f>A15</f>
        <v>#N/A</v>
      </c>
      <c r="AY31"/>
      <c r="AZ31"/>
      <c r="BA31"/>
      <c r="BB31"/>
      <c r="BC31"/>
      <c r="BD31"/>
      <c r="BE31"/>
      <c r="BF31"/>
      <c r="BG31"/>
      <c r="BH31"/>
      <c r="BI31"/>
      <c r="BJ31"/>
      <c r="BK31"/>
    </row>
    <row r="32" spans="1:103" ht="12.6" customHeight="1" thickBot="1" x14ac:dyDescent="0.25">
      <c r="A32" s="738" t="s">
        <v>78</v>
      </c>
      <c r="B32" s="571"/>
      <c r="C32" s="571"/>
      <c r="D32" s="571"/>
      <c r="E32" s="621"/>
      <c r="F32" s="622"/>
      <c r="G32" s="623"/>
      <c r="H32" s="795"/>
      <c r="I32" s="795"/>
      <c r="J32" s="796"/>
      <c r="K32" s="734"/>
      <c r="L32" s="734"/>
      <c r="M32" s="734"/>
      <c r="N32" s="592">
        <f>IF(OR(E32=0,H32=0),0,ROUND(E32/H32/62.4,2))</f>
        <v>0</v>
      </c>
      <c r="O32" s="592"/>
      <c r="P32" s="593"/>
      <c r="R32" s="3"/>
      <c r="S32" s="594" t="s">
        <v>235</v>
      </c>
      <c r="T32" s="336"/>
      <c r="U32" s="336"/>
      <c r="V32" s="336"/>
      <c r="W32" s="336"/>
      <c r="X32" s="336"/>
      <c r="Y32" s="336"/>
      <c r="Z32" s="337"/>
      <c r="AA32" s="742" t="str">
        <f>IF(Sheet2!G20=TRUE,Sheet2!G21,IF(Sheet2!G31=TRUE,Sheet2!G32,IF(Sheet2!G38=TRUE,Sheet2!G39,"")))</f>
        <v/>
      </c>
      <c r="AB32" s="743"/>
      <c r="AC32" s="66" t="str">
        <f>IF(AA32="","",":1")</f>
        <v/>
      </c>
      <c r="AG32" s="248" t="s">
        <v>227</v>
      </c>
      <c r="AQ32" s="27" t="s">
        <v>237</v>
      </c>
      <c r="AR32" s="126">
        <f>D15</f>
        <v>0</v>
      </c>
      <c r="AY32"/>
      <c r="AZ32"/>
      <c r="BA32"/>
      <c r="BB32"/>
      <c r="BC32"/>
      <c r="BD32"/>
      <c r="BE32"/>
      <c r="BF32"/>
      <c r="BG32"/>
      <c r="BH32"/>
      <c r="BI32"/>
      <c r="BJ32"/>
      <c r="BK32"/>
    </row>
    <row r="33" spans="1:63" ht="12.6" customHeight="1" thickBot="1" x14ac:dyDescent="0.25">
      <c r="A33" s="570" t="s">
        <v>238</v>
      </c>
      <c r="B33" s="571"/>
      <c r="C33" s="571"/>
      <c r="D33" s="571"/>
      <c r="E33" s="579"/>
      <c r="F33" s="580"/>
      <c r="G33" s="581"/>
      <c r="H33" s="782"/>
      <c r="I33" s="782"/>
      <c r="J33" s="783"/>
      <c r="K33" s="734"/>
      <c r="L33" s="734"/>
      <c r="M33" s="734"/>
      <c r="N33" s="592">
        <f>IF(OR(E33=0,H33=0),0,ROUND(E33/H33/62.4,2))</f>
        <v>0</v>
      </c>
      <c r="O33" s="592"/>
      <c r="P33" s="593"/>
      <c r="R33" s="3"/>
      <c r="S33" s="594" t="s">
        <v>239</v>
      </c>
      <c r="T33" s="336"/>
      <c r="U33" s="336"/>
      <c r="V33" s="336"/>
      <c r="W33" s="336"/>
      <c r="X33" s="336"/>
      <c r="Y33" s="336"/>
      <c r="Z33" s="337"/>
      <c r="AA33" s="592" t="str">
        <f>IF(Sheet2!G16=TRUE,Sheet2!G17,IF(Sheet2!G27=TRUE,Sheet2!G28,IF(Sheet2!G34=TRUE,Sheet2!G35,"")))</f>
        <v/>
      </c>
      <c r="AB33" s="592"/>
      <c r="AC33" s="593"/>
      <c r="AG33" s="248" t="s">
        <v>230</v>
      </c>
      <c r="AQ33" s="27" t="s">
        <v>241</v>
      </c>
      <c r="AR33" s="22">
        <f>U15</f>
        <v>0</v>
      </c>
      <c r="AY33"/>
      <c r="AZ33"/>
      <c r="BA33"/>
      <c r="BB33"/>
      <c r="BC33"/>
      <c r="BD33"/>
      <c r="BE33"/>
      <c r="BF33"/>
      <c r="BG33"/>
      <c r="BH33"/>
      <c r="BI33"/>
      <c r="BJ33"/>
      <c r="BK33"/>
    </row>
    <row r="34" spans="1:63" ht="12.6" customHeight="1" thickBot="1" x14ac:dyDescent="0.25">
      <c r="A34" s="570" t="s">
        <v>242</v>
      </c>
      <c r="B34" s="571"/>
      <c r="C34" s="571"/>
      <c r="D34" s="571"/>
      <c r="E34" s="790"/>
      <c r="F34" s="791"/>
      <c r="G34" s="792"/>
      <c r="H34" s="782"/>
      <c r="I34" s="782"/>
      <c r="J34" s="783"/>
      <c r="K34" s="734"/>
      <c r="L34" s="734"/>
      <c r="M34" s="734"/>
      <c r="N34" s="592">
        <f>IF(OR(E34=0,H34=0),0,ROUND(E34/H34/62.4,2))</f>
        <v>0</v>
      </c>
      <c r="O34" s="592"/>
      <c r="P34" s="593"/>
      <c r="R34" s="3"/>
      <c r="S34" s="594" t="s">
        <v>243</v>
      </c>
      <c r="T34" s="336"/>
      <c r="U34" s="336"/>
      <c r="V34" s="336"/>
      <c r="W34" s="336"/>
      <c r="X34" s="336"/>
      <c r="Y34" s="336"/>
      <c r="Z34" s="337"/>
      <c r="AA34" s="732" t="str">
        <f>IFERROR((E31/E30)*100,"")</f>
        <v/>
      </c>
      <c r="AB34" s="732"/>
      <c r="AC34" s="733"/>
      <c r="AG34" s="248" t="s">
        <v>233</v>
      </c>
      <c r="AQ34" s="27" t="s">
        <v>245</v>
      </c>
      <c r="AR34" s="22" t="e">
        <f>A16</f>
        <v>#N/A</v>
      </c>
      <c r="AY34"/>
      <c r="AZ34"/>
      <c r="BA34"/>
      <c r="BB34"/>
      <c r="BC34"/>
      <c r="BD34"/>
      <c r="BE34"/>
      <c r="BF34"/>
      <c r="BG34"/>
      <c r="BH34"/>
      <c r="BI34"/>
      <c r="BJ34"/>
      <c r="BK34"/>
    </row>
    <row r="35" spans="1:63" ht="12.6" customHeight="1" thickBot="1" x14ac:dyDescent="0.25">
      <c r="A35" s="797" t="s">
        <v>81</v>
      </c>
      <c r="B35" s="554" t="s">
        <v>82</v>
      </c>
      <c r="C35" s="336"/>
      <c r="D35" s="337"/>
      <c r="E35" s="567"/>
      <c r="F35" s="568"/>
      <c r="G35" s="569"/>
      <c r="H35" s="610"/>
      <c r="I35" s="610"/>
      <c r="J35" s="611"/>
      <c r="K35" s="608"/>
      <c r="L35" s="608"/>
      <c r="M35" s="609"/>
      <c r="N35" s="592">
        <f>IF(OR(E35=0,H35=0,K35=0),0,ROUND(E35/H35/62.4,2))</f>
        <v>0</v>
      </c>
      <c r="O35" s="592"/>
      <c r="P35" s="593"/>
      <c r="R35" s="3"/>
      <c r="S35" s="738" t="s">
        <v>246</v>
      </c>
      <c r="T35" s="571"/>
      <c r="U35" s="571"/>
      <c r="V35" s="571"/>
      <c r="W35" s="571"/>
      <c r="X35" s="571"/>
      <c r="Y35" s="571"/>
      <c r="Z35" s="571"/>
      <c r="AA35" s="732" t="str">
        <f>IF(Sheet2!G44=TRUE,Sheet2!G45,IF(Sheet2!G23=TRUE,Sheet2!G25,""))</f>
        <v/>
      </c>
      <c r="AB35" s="732"/>
      <c r="AC35" s="733"/>
      <c r="AG35" s="248" t="s">
        <v>236</v>
      </c>
      <c r="AQ35" s="27" t="s">
        <v>247</v>
      </c>
      <c r="AR35" s="28">
        <f>D16</f>
        <v>0</v>
      </c>
      <c r="AY35"/>
      <c r="AZ35"/>
      <c r="BA35"/>
      <c r="BB35"/>
      <c r="BC35"/>
      <c r="BD35"/>
      <c r="BE35"/>
      <c r="BF35"/>
      <c r="BG35"/>
      <c r="BH35"/>
      <c r="BI35"/>
      <c r="BJ35"/>
      <c r="BK35"/>
    </row>
    <row r="36" spans="1:63" ht="12.6" customHeight="1" thickBot="1" x14ac:dyDescent="0.25">
      <c r="A36" s="798"/>
      <c r="B36" s="554" t="s">
        <v>248</v>
      </c>
      <c r="C36" s="336"/>
      <c r="D36" s="337"/>
      <c r="E36" s="567"/>
      <c r="F36" s="568"/>
      <c r="G36" s="569"/>
      <c r="H36" s="610"/>
      <c r="I36" s="610"/>
      <c r="J36" s="611"/>
      <c r="K36" s="608"/>
      <c r="L36" s="608"/>
      <c r="M36" s="609"/>
      <c r="N36" s="592">
        <f>IF(OR(E36=0,H36=0,K36=0),0,ROUND(E36/H36/62.4,2))</f>
        <v>0</v>
      </c>
      <c r="O36" s="592"/>
      <c r="P36" s="593"/>
      <c r="R36" s="3"/>
      <c r="S36" s="570" t="s">
        <v>249</v>
      </c>
      <c r="T36" s="571"/>
      <c r="U36" s="571"/>
      <c r="V36" s="571"/>
      <c r="W36" s="571"/>
      <c r="X36" s="571"/>
      <c r="Y36" s="571"/>
      <c r="Z36" s="571"/>
      <c r="AA36" s="728" t="str">
        <f>IFERROR(IF(AND(Gradation!R19=0,Gradation!AC43=0),"Yes","No"),"")</f>
        <v/>
      </c>
      <c r="AB36" s="728"/>
      <c r="AC36" s="729"/>
      <c r="AG36" s="248" t="s">
        <v>240</v>
      </c>
      <c r="AQ36" s="27" t="s">
        <v>250</v>
      </c>
      <c r="AR36" s="22">
        <f>U16</f>
        <v>0</v>
      </c>
      <c r="AY36"/>
      <c r="AZ36"/>
      <c r="BA36"/>
      <c r="BB36"/>
      <c r="BC36"/>
      <c r="BD36"/>
      <c r="BE36"/>
      <c r="BF36"/>
      <c r="BG36"/>
      <c r="BH36"/>
      <c r="BI36"/>
      <c r="BJ36"/>
      <c r="BK36"/>
    </row>
    <row r="37" spans="1:63" ht="12.6" customHeight="1" thickBot="1" x14ac:dyDescent="0.25">
      <c r="A37" s="798"/>
      <c r="B37" s="578"/>
      <c r="C37" s="431"/>
      <c r="D37" s="432"/>
      <c r="E37" s="582"/>
      <c r="F37" s="583"/>
      <c r="G37" s="584"/>
      <c r="H37" s="585"/>
      <c r="I37" s="586"/>
      <c r="J37" s="587"/>
      <c r="K37" s="537"/>
      <c r="L37" s="588"/>
      <c r="M37" s="538"/>
      <c r="N37" s="730"/>
      <c r="O37" s="431"/>
      <c r="P37" s="731"/>
      <c r="R37" s="3"/>
      <c r="S37" s="570" t="s">
        <v>251</v>
      </c>
      <c r="T37" s="571"/>
      <c r="U37" s="571"/>
      <c r="V37" s="571"/>
      <c r="W37" s="571"/>
      <c r="X37" s="571"/>
      <c r="Y37" s="571"/>
      <c r="Z37" s="571"/>
      <c r="AA37" s="618" t="str">
        <f>IFERROR(IF(AND(Gradation!R19=0,Gradation!AC44=0),"Yes","No"),"")</f>
        <v/>
      </c>
      <c r="AB37" s="619"/>
      <c r="AC37" s="620"/>
      <c r="AG37" s="248" t="s">
        <v>244</v>
      </c>
      <c r="AQ37" s="27"/>
      <c r="AR37" s="22"/>
      <c r="AY37"/>
      <c r="AZ37"/>
      <c r="BA37"/>
      <c r="BB37"/>
      <c r="BC37"/>
      <c r="BD37"/>
      <c r="BE37"/>
      <c r="BF37"/>
      <c r="BG37"/>
      <c r="BH37"/>
      <c r="BI37"/>
      <c r="BJ37"/>
      <c r="BK37"/>
    </row>
    <row r="38" spans="1:63" ht="12.6" customHeight="1" thickBot="1" x14ac:dyDescent="0.25">
      <c r="A38" s="799"/>
      <c r="B38" s="554" t="s">
        <v>252</v>
      </c>
      <c r="C38" s="336"/>
      <c r="D38" s="337"/>
      <c r="E38" s="582"/>
      <c r="F38" s="583"/>
      <c r="G38" s="584"/>
      <c r="H38" s="585"/>
      <c r="I38" s="586"/>
      <c r="J38" s="587"/>
      <c r="K38" s="537"/>
      <c r="L38" s="588"/>
      <c r="M38" s="538"/>
      <c r="N38" s="592">
        <f>IF(OR(E38=0,H38=0,K38=0),0,ROUND(E38/H38/62.4,2))</f>
        <v>0</v>
      </c>
      <c r="O38" s="592"/>
      <c r="P38" s="593"/>
      <c r="R38" s="3"/>
      <c r="S38" s="738" t="s">
        <v>253</v>
      </c>
      <c r="T38" s="571"/>
      <c r="U38" s="571"/>
      <c r="V38" s="571"/>
      <c r="W38" s="571"/>
      <c r="X38" s="571"/>
      <c r="Y38" s="571"/>
      <c r="Z38" s="571"/>
      <c r="AA38" s="552" t="str">
        <f>IFERROR((E39+E41)/(E30+E31+E32+E33),"")</f>
        <v/>
      </c>
      <c r="AB38" s="552"/>
      <c r="AC38" s="553"/>
      <c r="AG38" s="248" t="s">
        <v>79</v>
      </c>
      <c r="AQ38" s="27" t="s">
        <v>254</v>
      </c>
      <c r="AR38" s="22" t="e">
        <f>A17</f>
        <v>#N/A</v>
      </c>
      <c r="AY38"/>
      <c r="AZ38"/>
      <c r="BA38"/>
      <c r="BB38"/>
      <c r="BC38"/>
      <c r="BD38"/>
      <c r="BE38"/>
      <c r="BF38"/>
      <c r="BG38"/>
      <c r="BH38"/>
      <c r="BI38"/>
      <c r="BJ38"/>
      <c r="BK38"/>
    </row>
    <row r="39" spans="1:63" ht="12.6" customHeight="1" thickBot="1" x14ac:dyDescent="0.25">
      <c r="A39" s="600" t="s">
        <v>255</v>
      </c>
      <c r="B39" s="601"/>
      <c r="C39" s="601"/>
      <c r="D39" s="602"/>
      <c r="E39" s="555"/>
      <c r="F39" s="556"/>
      <c r="G39" s="557"/>
      <c r="H39" s="561">
        <v>1</v>
      </c>
      <c r="I39" s="562"/>
      <c r="J39" s="563"/>
      <c r="K39" s="784"/>
      <c r="L39" s="785"/>
      <c r="M39" s="786"/>
      <c r="N39" s="615">
        <f>IF(E39=0,0,ROUND(E39/H39/62.4,2))</f>
        <v>0</v>
      </c>
      <c r="O39" s="562"/>
      <c r="P39" s="616"/>
      <c r="R39" s="3"/>
      <c r="S39" s="594" t="s">
        <v>256</v>
      </c>
      <c r="T39" s="336"/>
      <c r="U39" s="336"/>
      <c r="V39" s="336"/>
      <c r="W39" s="336"/>
      <c r="X39" s="336"/>
      <c r="Y39" s="336"/>
      <c r="Z39" s="337"/>
      <c r="AA39" s="739" t="str">
        <f>IF(N44="ERROR!","ERROR!",E43/N43)</f>
        <v>ERROR!</v>
      </c>
      <c r="AB39" s="740"/>
      <c r="AC39" s="741"/>
      <c r="AQ39" s="27" t="s">
        <v>258</v>
      </c>
      <c r="AR39" s="126">
        <f>D17</f>
        <v>0</v>
      </c>
      <c r="AY39"/>
      <c r="AZ39"/>
      <c r="BA39"/>
      <c r="BB39"/>
      <c r="BC39"/>
      <c r="BD39"/>
      <c r="BE39"/>
      <c r="BF39"/>
      <c r="BG39"/>
      <c r="BH39"/>
      <c r="BI39"/>
      <c r="BJ39"/>
      <c r="BK39"/>
    </row>
    <row r="40" spans="1:63" ht="12.6" customHeight="1" thickBot="1" x14ac:dyDescent="0.25">
      <c r="A40" s="603"/>
      <c r="B40" s="604"/>
      <c r="C40" s="604"/>
      <c r="D40" s="605"/>
      <c r="E40" s="558"/>
      <c r="F40" s="559"/>
      <c r="G40" s="560"/>
      <c r="H40" s="564"/>
      <c r="I40" s="565"/>
      <c r="J40" s="566"/>
      <c r="K40" s="787"/>
      <c r="L40" s="788"/>
      <c r="M40" s="789"/>
      <c r="N40" s="564"/>
      <c r="O40" s="565"/>
      <c r="P40" s="617"/>
      <c r="R40" s="3"/>
      <c r="S40" s="735" t="s">
        <v>259</v>
      </c>
      <c r="T40" s="736"/>
      <c r="U40" s="736"/>
      <c r="V40" s="736"/>
      <c r="W40" s="736"/>
      <c r="X40" s="736"/>
      <c r="Y40" s="736"/>
      <c r="Z40" s="736"/>
      <c r="AA40" s="606" t="str">
        <f>IFERROR(E35/(E35+E36+E38)*100,"")</f>
        <v/>
      </c>
      <c r="AB40" s="606"/>
      <c r="AC40" s="607"/>
      <c r="AQ40" s="27" t="s">
        <v>260</v>
      </c>
      <c r="AR40" s="22">
        <f>U17</f>
        <v>0</v>
      </c>
      <c r="AY40"/>
      <c r="AZ40"/>
      <c r="BA40"/>
      <c r="BB40"/>
      <c r="BC40"/>
      <c r="BD40"/>
      <c r="BE40"/>
      <c r="BF40"/>
      <c r="BG40"/>
      <c r="BH40"/>
      <c r="BI40"/>
      <c r="BJ40"/>
      <c r="BK40"/>
    </row>
    <row r="41" spans="1:63" ht="12.6" customHeight="1" thickBot="1" x14ac:dyDescent="0.25">
      <c r="A41" s="738" t="s">
        <v>261</v>
      </c>
      <c r="B41" s="571"/>
      <c r="C41" s="571"/>
      <c r="D41" s="571"/>
      <c r="E41" s="579"/>
      <c r="F41" s="580"/>
      <c r="G41" s="756"/>
      <c r="H41" s="757">
        <v>1</v>
      </c>
      <c r="I41" s="757"/>
      <c r="J41" s="757"/>
      <c r="K41" s="734"/>
      <c r="L41" s="734"/>
      <c r="M41" s="734"/>
      <c r="N41" s="592">
        <f>IF(E41=0,0,ROUND(E41/H41/62.4,2))</f>
        <v>0</v>
      </c>
      <c r="O41" s="592"/>
      <c r="P41" s="593"/>
      <c r="R41" s="3"/>
      <c r="S41" s="738" t="s">
        <v>262</v>
      </c>
      <c r="T41" s="571"/>
      <c r="U41" s="571"/>
      <c r="V41" s="571"/>
      <c r="W41" s="571"/>
      <c r="X41" s="571"/>
      <c r="Y41" s="571"/>
      <c r="Z41" s="571"/>
      <c r="AA41" s="732" t="str">
        <f>IFERROR(N35*100/SUM(N35:N38),"")</f>
        <v/>
      </c>
      <c r="AB41" s="732"/>
      <c r="AC41" s="733"/>
      <c r="AG41" s="4" t="s">
        <v>257</v>
      </c>
      <c r="AQ41" s="27" t="s">
        <v>263</v>
      </c>
      <c r="AR41" s="22">
        <f>AA15</f>
        <v>0</v>
      </c>
      <c r="AY41"/>
      <c r="AZ41"/>
      <c r="BA41"/>
      <c r="BB41"/>
      <c r="BC41"/>
      <c r="BD41"/>
      <c r="BE41"/>
      <c r="BF41"/>
      <c r="BG41"/>
      <c r="BH41"/>
      <c r="BI41"/>
      <c r="BJ41"/>
      <c r="BK41"/>
    </row>
    <row r="42" spans="1:63" ht="12.6" customHeight="1" thickBot="1" x14ac:dyDescent="0.25">
      <c r="A42" s="793" t="s">
        <v>264</v>
      </c>
      <c r="B42" s="337"/>
      <c r="C42" s="794">
        <f>IF(COUNTIF(V6,"501*"),7,6.5)</f>
        <v>6.5</v>
      </c>
      <c r="D42" s="794"/>
      <c r="E42" s="753"/>
      <c r="F42" s="754"/>
      <c r="G42" s="755"/>
      <c r="H42" s="757">
        <v>0</v>
      </c>
      <c r="I42" s="757"/>
      <c r="J42" s="757"/>
      <c r="K42" s="734"/>
      <c r="L42" s="734"/>
      <c r="M42" s="734"/>
      <c r="N42" s="592">
        <f>(C42/100)*27</f>
        <v>1.7550000000000001</v>
      </c>
      <c r="O42" s="592"/>
      <c r="P42" s="593"/>
      <c r="R42" s="3"/>
      <c r="S42" s="594" t="s">
        <v>4884</v>
      </c>
      <c r="T42" s="336"/>
      <c r="U42" s="336"/>
      <c r="V42" s="336"/>
      <c r="W42" s="336"/>
      <c r="X42" s="336"/>
      <c r="Y42" s="336"/>
      <c r="Z42" s="337"/>
      <c r="AA42" s="618" t="str">
        <f>IFERROR(Gradation!$J$18,"")</f>
        <v/>
      </c>
      <c r="AB42" s="619"/>
      <c r="AC42" s="737"/>
      <c r="AG42" s="4"/>
      <c r="AQ42" s="27" t="s">
        <v>265</v>
      </c>
      <c r="AR42" s="22">
        <f>AA17</f>
        <v>0</v>
      </c>
      <c r="AY42"/>
      <c r="AZ42"/>
      <c r="BA42"/>
      <c r="BB42"/>
      <c r="BC42"/>
      <c r="BD42"/>
      <c r="BE42"/>
      <c r="BF42"/>
      <c r="BG42"/>
      <c r="BH42"/>
      <c r="BI42"/>
      <c r="BJ42"/>
      <c r="BK42"/>
    </row>
    <row r="43" spans="1:63" ht="12.6" customHeight="1" thickBot="1" x14ac:dyDescent="0.25">
      <c r="A43" s="738" t="s">
        <v>266</v>
      </c>
      <c r="B43" s="571"/>
      <c r="C43" s="571"/>
      <c r="D43" s="571"/>
      <c r="E43" s="744">
        <f>SUM(E30:E42)</f>
        <v>0</v>
      </c>
      <c r="F43" s="745"/>
      <c r="G43" s="746"/>
      <c r="H43" s="734"/>
      <c r="I43" s="734"/>
      <c r="J43" s="734"/>
      <c r="K43" s="734"/>
      <c r="L43" s="734"/>
      <c r="M43" s="734"/>
      <c r="N43" s="592">
        <f>ROUND(SUM(N30:N42),2)</f>
        <v>1.76</v>
      </c>
      <c r="O43" s="592"/>
      <c r="P43" s="593"/>
      <c r="R43" s="3"/>
      <c r="S43" s="747" t="s">
        <v>269</v>
      </c>
      <c r="T43" s="748"/>
      <c r="U43" s="748"/>
      <c r="V43" s="748"/>
      <c r="W43" s="748"/>
      <c r="X43" s="748"/>
      <c r="Y43" s="748"/>
      <c r="Z43" s="749"/>
      <c r="AA43" s="750">
        <f>(($N$30+$N$31+$N$32+$N$33+$N$39+$N$41+$N$42)/$N$43)*100</f>
        <v>99.715909090909093</v>
      </c>
      <c r="AB43" s="751"/>
      <c r="AC43" s="752"/>
      <c r="AG43" s="4" t="s">
        <v>37</v>
      </c>
      <c r="AQ43" s="27" t="s">
        <v>267</v>
      </c>
      <c r="AR43" s="128" t="e">
        <f>A20</f>
        <v>#N/A</v>
      </c>
      <c r="AY43"/>
      <c r="AZ43"/>
      <c r="BA43"/>
      <c r="BB43"/>
      <c r="BC43"/>
      <c r="BD43"/>
      <c r="BE43"/>
      <c r="BF43"/>
      <c r="BG43"/>
      <c r="BH43"/>
      <c r="BI43"/>
      <c r="BJ43"/>
      <c r="BK43"/>
    </row>
    <row r="44" spans="1:63" ht="18" customHeight="1" thickBot="1" x14ac:dyDescent="0.25">
      <c r="A44" s="761"/>
      <c r="B44" s="762"/>
      <c r="C44" s="762"/>
      <c r="D44" s="762"/>
      <c r="E44" s="762"/>
      <c r="F44" s="762"/>
      <c r="G44" s="762"/>
      <c r="H44" s="762"/>
      <c r="I44" s="762"/>
      <c r="J44" s="474" t="s">
        <v>268</v>
      </c>
      <c r="K44" s="474"/>
      <c r="L44" s="474"/>
      <c r="M44" s="763"/>
      <c r="N44" s="766" t="str">
        <f>IF(OR(N43&gt;27,N43&lt;27),"ERROR!","Correct")</f>
        <v>ERROR!</v>
      </c>
      <c r="O44" s="767"/>
      <c r="P44" s="768"/>
      <c r="S44" s="776" t="s">
        <v>271</v>
      </c>
      <c r="T44" s="777"/>
      <c r="U44" s="777"/>
      <c r="V44" s="777"/>
      <c r="W44" s="777"/>
      <c r="X44" s="777"/>
      <c r="Y44" s="777"/>
      <c r="Z44" s="766"/>
      <c r="AA44" s="725"/>
      <c r="AB44" s="726"/>
      <c r="AC44" s="727"/>
      <c r="AG44" s="4" t="s">
        <v>40</v>
      </c>
      <c r="AQ44" s="31" t="s">
        <v>270</v>
      </c>
      <c r="AR44" s="126" t="e">
        <f>D20</f>
        <v>#N/A</v>
      </c>
      <c r="AY44"/>
      <c r="AZ44"/>
      <c r="BA44"/>
      <c r="BB44"/>
      <c r="BC44"/>
      <c r="BD44"/>
      <c r="BE44"/>
      <c r="BF44"/>
      <c r="BG44"/>
      <c r="BH44"/>
      <c r="BI44"/>
      <c r="BJ44"/>
      <c r="BK44"/>
    </row>
    <row r="45" spans="1:63" ht="6.6" customHeight="1" thickBot="1" x14ac:dyDescent="0.25">
      <c r="A45" s="182"/>
      <c r="B45" s="182"/>
      <c r="C45" s="182"/>
      <c r="D45" s="182"/>
      <c r="E45" s="182"/>
      <c r="F45" s="182"/>
      <c r="G45" s="182"/>
      <c r="H45" s="182"/>
      <c r="I45" s="182"/>
      <c r="J45" s="67"/>
      <c r="K45" s="67"/>
      <c r="L45" s="67"/>
      <c r="M45" s="67"/>
      <c r="N45" s="180"/>
      <c r="O45" s="180"/>
      <c r="P45" s="180"/>
      <c r="S45" s="262"/>
      <c r="T45" s="262"/>
      <c r="U45" s="262"/>
      <c r="V45" s="262"/>
      <c r="W45" s="262"/>
      <c r="X45" s="262"/>
      <c r="Y45" s="262"/>
      <c r="Z45" s="262"/>
      <c r="AA45" s="265"/>
      <c r="AB45" s="265"/>
      <c r="AC45" s="181"/>
      <c r="AG45" s="4" t="s">
        <v>42</v>
      </c>
      <c r="AQ45" s="263"/>
      <c r="AR45" s="126"/>
      <c r="AY45"/>
      <c r="AZ45"/>
      <c r="BA45"/>
      <c r="BB45"/>
      <c r="BC45"/>
      <c r="BD45"/>
      <c r="BE45"/>
      <c r="BF45"/>
      <c r="BG45"/>
      <c r="BH45"/>
      <c r="BI45"/>
      <c r="BJ45"/>
      <c r="BK45"/>
    </row>
    <row r="46" spans="1:63" ht="16.5" customHeight="1" thickBot="1" x14ac:dyDescent="0.25">
      <c r="A46" s="771" t="s">
        <v>3374</v>
      </c>
      <c r="B46" s="772"/>
      <c r="C46" s="772"/>
      <c r="D46" s="772"/>
      <c r="E46" s="772"/>
      <c r="F46" s="772"/>
      <c r="G46" s="772"/>
      <c r="H46" s="772"/>
      <c r="I46" s="772"/>
      <c r="J46" s="772"/>
      <c r="K46" s="772"/>
      <c r="L46" s="773"/>
      <c r="M46" s="260" t="str">
        <f>IF(V6="501 QC/QA PCCP","***501 QC/QA PCCP MUST HAVE A POZZOLAN***"," ")</f>
        <v xml:space="preserve"> </v>
      </c>
      <c r="N46" s="261"/>
      <c r="O46" s="261"/>
      <c r="P46" s="261"/>
      <c r="Q46" s="261"/>
      <c r="R46" s="261"/>
      <c r="S46" s="261"/>
      <c r="T46" s="261"/>
      <c r="U46" s="261"/>
      <c r="V46" s="261"/>
      <c r="W46" s="261"/>
      <c r="X46" s="261"/>
      <c r="Y46" s="261"/>
      <c r="Z46" s="261"/>
      <c r="AA46" s="261"/>
      <c r="AB46" s="261"/>
      <c r="AC46" s="261"/>
      <c r="AG46" s="4" t="s">
        <v>45</v>
      </c>
      <c r="AQ46" s="31" t="s">
        <v>273</v>
      </c>
      <c r="AR46" s="32">
        <f>M20</f>
        <v>0</v>
      </c>
      <c r="AY46"/>
      <c r="AZ46"/>
      <c r="BA46"/>
      <c r="BB46"/>
      <c r="BC46"/>
      <c r="BD46"/>
      <c r="BE46"/>
      <c r="BF46"/>
      <c r="BG46"/>
      <c r="BH46"/>
      <c r="BI46"/>
      <c r="BJ46"/>
      <c r="BK46"/>
    </row>
    <row r="47" spans="1:63" ht="16.899999999999999" customHeight="1" thickBot="1" x14ac:dyDescent="0.25">
      <c r="A47" s="67"/>
      <c r="B47" s="67"/>
      <c r="C47" s="67"/>
      <c r="D47" s="67"/>
      <c r="E47" s="67"/>
      <c r="F47" s="67"/>
      <c r="G47" s="67"/>
      <c r="H47" s="67"/>
      <c r="I47" s="67"/>
      <c r="J47" s="67"/>
      <c r="K47" s="67"/>
      <c r="L47" s="67"/>
      <c r="M47" s="67"/>
      <c r="N47" s="180"/>
      <c r="O47" s="180"/>
      <c r="P47" s="180"/>
      <c r="S47" s="264"/>
      <c r="T47" s="264"/>
      <c r="U47" s="264"/>
      <c r="V47" s="264"/>
      <c r="W47" s="264"/>
      <c r="X47" s="264"/>
      <c r="Y47" s="264"/>
      <c r="Z47" s="264"/>
      <c r="AA47" s="265"/>
      <c r="AB47" s="265"/>
      <c r="AC47" s="181"/>
      <c r="AD47" s="5"/>
      <c r="AG47" s="4" t="s">
        <v>47</v>
      </c>
      <c r="AP47" s="3"/>
      <c r="AQ47" s="31" t="s">
        <v>181</v>
      </c>
      <c r="AR47" s="126" t="str">
        <f>U20</f>
        <v/>
      </c>
      <c r="AY47"/>
      <c r="AZ47"/>
      <c r="BA47"/>
      <c r="BB47"/>
      <c r="BC47"/>
      <c r="BD47"/>
      <c r="BE47"/>
      <c r="BF47"/>
      <c r="BG47"/>
      <c r="BH47"/>
      <c r="BI47"/>
      <c r="BJ47"/>
      <c r="BK47"/>
    </row>
    <row r="48" spans="1:63" ht="16.5" customHeight="1" thickBot="1" x14ac:dyDescent="0.25">
      <c r="A48" s="2"/>
      <c r="B48" s="2"/>
      <c r="E48" s="4" t="s">
        <v>274</v>
      </c>
      <c r="M48" s="780"/>
      <c r="N48" s="780"/>
      <c r="O48" s="780"/>
      <c r="P48" s="780"/>
      <c r="Q48" s="780"/>
      <c r="R48" s="780"/>
      <c r="S48" s="780"/>
      <c r="T48" s="780"/>
      <c r="U48" s="780"/>
      <c r="V48" s="780"/>
      <c r="W48" s="780"/>
      <c r="X48" s="298" t="s">
        <v>275</v>
      </c>
      <c r="Y48" s="298"/>
      <c r="Z48" s="781"/>
      <c r="AA48" s="780"/>
      <c r="AB48" s="780"/>
      <c r="AC48" s="780"/>
      <c r="AD48" s="33"/>
      <c r="AG48" s="4" t="s">
        <v>50</v>
      </c>
      <c r="AP48" s="3"/>
      <c r="AQ48" s="31" t="s">
        <v>278</v>
      </c>
      <c r="AR48" s="126" t="e">
        <f>X20</f>
        <v>#N/A</v>
      </c>
      <c r="AY48"/>
      <c r="AZ48"/>
      <c r="BA48"/>
      <c r="BB48"/>
      <c r="BC48"/>
      <c r="BD48"/>
      <c r="BE48"/>
      <c r="BF48"/>
      <c r="BG48"/>
      <c r="BH48"/>
      <c r="BI48"/>
      <c r="BJ48"/>
      <c r="BK48"/>
    </row>
    <row r="49" spans="1:63" ht="16.5" customHeight="1" thickBot="1" x14ac:dyDescent="0.25">
      <c r="A49" s="211"/>
      <c r="M49" s="40"/>
      <c r="N49" s="764" t="s">
        <v>277</v>
      </c>
      <c r="O49" s="764"/>
      <c r="P49" s="764"/>
      <c r="Q49" s="764"/>
      <c r="R49" s="764"/>
      <c r="S49" s="764"/>
      <c r="T49" s="764"/>
      <c r="U49" s="764"/>
      <c r="V49" s="764"/>
      <c r="W49" s="764"/>
      <c r="X49" s="764"/>
      <c r="Y49" s="764"/>
      <c r="Z49" s="442"/>
      <c r="AA49" s="442"/>
      <c r="AB49" s="442"/>
      <c r="AC49" s="442"/>
      <c r="AD49" s="33"/>
      <c r="AG49" s="4" t="s">
        <v>276</v>
      </c>
      <c r="AO49" s="122"/>
      <c r="AP49" s="123"/>
      <c r="AQ49" s="31" t="s">
        <v>281</v>
      </c>
      <c r="AR49" s="128" t="e">
        <f>A21</f>
        <v>#N/A</v>
      </c>
      <c r="AY49"/>
      <c r="AZ49"/>
      <c r="BA49"/>
      <c r="BB49"/>
      <c r="BC49"/>
      <c r="BD49"/>
      <c r="BE49"/>
      <c r="BF49"/>
      <c r="BG49"/>
      <c r="BH49"/>
      <c r="BI49"/>
      <c r="BJ49"/>
      <c r="BK49"/>
    </row>
    <row r="50" spans="1:63" ht="13.5" customHeight="1" thickBot="1" x14ac:dyDescent="0.25">
      <c r="A50" s="211"/>
      <c r="M50" s="40"/>
      <c r="N50" s="213"/>
      <c r="O50" s="213"/>
      <c r="P50" s="764" t="s">
        <v>279</v>
      </c>
      <c r="Q50" s="764"/>
      <c r="R50" s="764"/>
      <c r="S50" s="764"/>
      <c r="T50" s="764"/>
      <c r="U50" s="764"/>
      <c r="V50" s="764"/>
      <c r="W50" s="764"/>
      <c r="X50" s="764"/>
      <c r="Y50" s="764"/>
      <c r="Z50" s="765"/>
      <c r="AA50" s="765"/>
      <c r="AB50" s="765"/>
      <c r="AC50" s="765"/>
      <c r="AD50" s="33"/>
      <c r="AG50" s="4"/>
      <c r="AP50" s="3"/>
      <c r="AQ50" s="31" t="s">
        <v>283</v>
      </c>
      <c r="AR50" s="22" t="e">
        <f>D20</f>
        <v>#N/A</v>
      </c>
      <c r="AY50"/>
      <c r="AZ50"/>
      <c r="BA50"/>
      <c r="BB50"/>
      <c r="BC50"/>
      <c r="BD50"/>
      <c r="BE50"/>
      <c r="BF50"/>
      <c r="BG50"/>
      <c r="BH50"/>
      <c r="BI50"/>
      <c r="BJ50"/>
      <c r="BK50"/>
    </row>
    <row r="51" spans="1:63" ht="13.15" customHeight="1" thickBot="1" x14ac:dyDescent="0.25">
      <c r="A51" s="298" t="s">
        <v>282</v>
      </c>
      <c r="B51" s="298"/>
      <c r="C51" s="298"/>
      <c r="D51" s="298"/>
      <c r="E51" s="298"/>
      <c r="F51" s="298"/>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109"/>
      <c r="AG51" s="4" t="s">
        <v>3375</v>
      </c>
      <c r="AQ51" s="31" t="s">
        <v>284</v>
      </c>
      <c r="AR51" s="32">
        <f>M21</f>
        <v>0</v>
      </c>
      <c r="AY51"/>
      <c r="AZ51"/>
      <c r="BA51"/>
      <c r="BB51"/>
      <c r="BC51"/>
      <c r="BD51"/>
      <c r="BE51"/>
      <c r="BF51"/>
      <c r="BG51"/>
      <c r="BH51"/>
      <c r="BI51"/>
      <c r="BJ51"/>
      <c r="BK51"/>
    </row>
    <row r="52" spans="1:63" ht="13.15" customHeight="1" thickBot="1" x14ac:dyDescent="0.25">
      <c r="A52" s="540"/>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109"/>
      <c r="AQ52" s="31" t="s">
        <v>285</v>
      </c>
      <c r="AR52" s="22" t="str">
        <f>U21</f>
        <v/>
      </c>
      <c r="AY52"/>
      <c r="AZ52"/>
      <c r="BA52"/>
      <c r="BB52"/>
      <c r="BC52"/>
      <c r="BD52"/>
      <c r="BE52"/>
      <c r="BF52"/>
      <c r="BG52"/>
      <c r="BH52"/>
      <c r="BI52"/>
      <c r="BJ52"/>
      <c r="BK52"/>
    </row>
    <row r="53" spans="1:63" ht="13.15" customHeight="1" thickBot="1" x14ac:dyDescent="0.25">
      <c r="A53" s="540"/>
      <c r="B53" s="540"/>
      <c r="C53" s="540"/>
      <c r="D53" s="540"/>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109"/>
      <c r="AQ53" s="31" t="s">
        <v>287</v>
      </c>
      <c r="AR53" s="28" t="e">
        <f>X21</f>
        <v>#N/A</v>
      </c>
      <c r="AY53"/>
      <c r="AZ53"/>
      <c r="BA53"/>
      <c r="BB53"/>
      <c r="BC53"/>
      <c r="BD53"/>
      <c r="BE53"/>
      <c r="BF53"/>
      <c r="BG53"/>
      <c r="BH53"/>
      <c r="BI53"/>
      <c r="BJ53"/>
      <c r="BK53"/>
    </row>
    <row r="54" spans="1:63" ht="13.15" customHeight="1" thickBot="1" x14ac:dyDescent="0.25">
      <c r="A54" s="758"/>
      <c r="B54" s="758"/>
      <c r="C54" s="758"/>
      <c r="D54" s="758"/>
      <c r="E54" s="758"/>
      <c r="F54" s="758"/>
      <c r="G54" s="758"/>
      <c r="H54" s="758"/>
      <c r="I54" s="758"/>
      <c r="J54" s="758"/>
      <c r="K54" s="758"/>
      <c r="L54" s="758"/>
      <c r="M54" s="758"/>
      <c r="N54" s="758"/>
      <c r="O54" s="758"/>
      <c r="P54" s="758"/>
      <c r="Q54" s="758"/>
      <c r="R54" s="758"/>
      <c r="S54" s="758"/>
      <c r="T54" s="758"/>
      <c r="U54" s="758"/>
      <c r="V54" s="758"/>
      <c r="W54" s="758"/>
      <c r="X54" s="758"/>
      <c r="Y54" s="758"/>
      <c r="Z54" s="758"/>
      <c r="AA54" s="758"/>
      <c r="AB54" s="758"/>
      <c r="AC54" s="758"/>
      <c r="AD54" s="17"/>
      <c r="AQ54" s="31" t="s">
        <v>288</v>
      </c>
      <c r="AR54" s="128" t="e">
        <f>A22</f>
        <v>#N/A</v>
      </c>
      <c r="AY54"/>
      <c r="AZ54"/>
      <c r="BA54"/>
      <c r="BB54"/>
      <c r="BC54"/>
      <c r="BD54"/>
      <c r="BE54"/>
      <c r="BF54"/>
      <c r="BG54"/>
      <c r="BH54"/>
      <c r="BI54"/>
      <c r="BJ54"/>
      <c r="BK54"/>
    </row>
    <row r="55" spans="1:63" ht="13.15" customHeight="1" thickBot="1" x14ac:dyDescent="0.25">
      <c r="A55" s="298" t="s">
        <v>286</v>
      </c>
      <c r="B55" s="298"/>
      <c r="C55" s="298"/>
      <c r="D55" s="298"/>
      <c r="E55" s="758"/>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17"/>
      <c r="AQ55" s="31" t="s">
        <v>289</v>
      </c>
      <c r="AR55" s="22" t="e">
        <f>D22</f>
        <v>#N/A</v>
      </c>
      <c r="AY55"/>
      <c r="AZ55"/>
      <c r="BA55"/>
      <c r="BB55"/>
      <c r="BC55"/>
      <c r="BD55"/>
      <c r="BE55"/>
      <c r="BF55"/>
      <c r="BG55"/>
      <c r="BH55"/>
      <c r="BI55"/>
      <c r="BJ55"/>
      <c r="BK55"/>
    </row>
    <row r="56" spans="1:63" ht="13.15" customHeight="1" thickBot="1" x14ac:dyDescent="0.25">
      <c r="A56" s="769"/>
      <c r="B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17"/>
      <c r="AQ56" s="31" t="s">
        <v>290</v>
      </c>
      <c r="AR56" s="28">
        <f>M22</f>
        <v>0</v>
      </c>
      <c r="AY56"/>
      <c r="AZ56"/>
      <c r="BA56"/>
      <c r="BB56"/>
      <c r="BC56"/>
      <c r="BD56"/>
      <c r="BE56"/>
      <c r="BF56"/>
      <c r="BG56"/>
      <c r="BH56"/>
      <c r="BI56"/>
      <c r="BJ56"/>
      <c r="BK56"/>
    </row>
    <row r="57" spans="1:63" ht="13.15" customHeight="1" thickBot="1" x14ac:dyDescent="0.25">
      <c r="A57" s="769"/>
      <c r="B57" s="770"/>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250"/>
      <c r="AQ57" s="31" t="s">
        <v>291</v>
      </c>
      <c r="AR57" s="22" t="str">
        <f>U22</f>
        <v/>
      </c>
      <c r="AY57"/>
      <c r="AZ57"/>
      <c r="BA57"/>
      <c r="BB57"/>
      <c r="BC57"/>
      <c r="BD57"/>
      <c r="BE57"/>
      <c r="BF57"/>
      <c r="BG57"/>
      <c r="BH57"/>
      <c r="BI57"/>
      <c r="BJ57"/>
      <c r="BK57"/>
    </row>
    <row r="58" spans="1:63" s="119" customFormat="1" ht="13.15" customHeight="1" thickBot="1" x14ac:dyDescent="0.25">
      <c r="A58" s="774"/>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Q58" s="137" t="s">
        <v>292</v>
      </c>
      <c r="AR58" s="138" t="e">
        <f>X22</f>
        <v>#N/A</v>
      </c>
    </row>
    <row r="59" spans="1:63" s="119" customFormat="1" ht="13.15" customHeight="1" thickBot="1" x14ac:dyDescent="0.25">
      <c r="A59" s="774"/>
      <c r="B59" s="775"/>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Q59" s="139" t="s">
        <v>293</v>
      </c>
      <c r="AR59" s="140" t="e">
        <f>A24</f>
        <v>#N/A</v>
      </c>
    </row>
    <row r="60" spans="1:63" s="119" customFormat="1" ht="13.15" customHeight="1" thickBot="1" x14ac:dyDescent="0.25">
      <c r="A60" s="758"/>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60"/>
      <c r="AA60" s="549" t="s">
        <v>4960</v>
      </c>
      <c r="AB60" s="550"/>
      <c r="AC60" s="551"/>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str">
        <f>U24</f>
        <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1.7550000000000001</v>
      </c>
    </row>
    <row r="101" spans="43:44" s="119" customFormat="1" ht="13.5" thickBot="1" x14ac:dyDescent="0.25">
      <c r="AQ101" s="154" t="str">
        <f>A43</f>
        <v>∑</v>
      </c>
      <c r="AR101" s="147">
        <f>E43</f>
        <v>0</v>
      </c>
    </row>
    <row r="102" spans="43:44" s="119" customFormat="1" ht="13.5" thickBot="1" x14ac:dyDescent="0.25">
      <c r="AQ102" s="154" t="s">
        <v>333</v>
      </c>
      <c r="AR102" s="148">
        <f>N43</f>
        <v>1.76</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str">
        <f>AA31&amp;AC31</f>
        <v/>
      </c>
    </row>
    <row r="107" spans="43:44" s="119" customFormat="1" ht="13.5" thickBot="1" x14ac:dyDescent="0.25">
      <c r="AQ107" s="146" t="s">
        <v>338</v>
      </c>
      <c r="AR107" s="148" t="str">
        <f>AA32&amp;AC32</f>
        <v/>
      </c>
    </row>
    <row r="108" spans="43:44" s="119" customFormat="1" ht="13.5" thickBot="1" x14ac:dyDescent="0.25">
      <c r="AQ108" s="146" t="s">
        <v>339</v>
      </c>
      <c r="AR108" s="148" t="str">
        <f>AA33</f>
        <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str">
        <f t="shared" ref="AR112:AR117" si="1">AA38</f>
        <v/>
      </c>
    </row>
    <row r="113" spans="1:44" s="119" customFormat="1" ht="13.5" thickBot="1" x14ac:dyDescent="0.25">
      <c r="AQ113" s="146" t="s">
        <v>256</v>
      </c>
      <c r="AR113" s="156" t="str">
        <f t="shared" si="1"/>
        <v>ERROR!</v>
      </c>
    </row>
    <row r="114" spans="1:44" s="119" customFormat="1" ht="13.5" thickBot="1" x14ac:dyDescent="0.25">
      <c r="AQ114" s="146" t="s">
        <v>259</v>
      </c>
      <c r="AR114" s="147" t="str">
        <f t="shared" si="1"/>
        <v/>
      </c>
    </row>
    <row r="115" spans="1:44" ht="13.5" thickBo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0" t="s">
        <v>262</v>
      </c>
      <c r="AR115" s="29" t="str">
        <f t="shared" si="1"/>
        <v/>
      </c>
    </row>
    <row r="116" spans="1:44" ht="13.5" thickBo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0" t="str">
        <f>IF(OR(AS73=501,AS73="730*"),"*** % Passing 1 inch sieve","% Passing 1 inch sieve")</f>
        <v>% Passing 1 inch sieve</v>
      </c>
      <c r="AR116" s="29" t="str">
        <f t="shared" si="1"/>
        <v/>
      </c>
    </row>
    <row r="117" spans="1:44" ht="13.5" thickBo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0" t="str">
        <f>IF(OR(AS73=501,AS73="730*"), "** % Passing No. 200 sieve","% Passing No. 200 sieve")</f>
        <v>% Passing No. 200 sieve</v>
      </c>
      <c r="AR117" s="30">
        <f t="shared" si="1"/>
        <v>99.715909090909093</v>
      </c>
    </row>
    <row r="118" spans="1:44" x14ac:dyDescent="0.2">
      <c r="AG118" s="119"/>
    </row>
    <row r="119" spans="1:44" x14ac:dyDescent="0.2">
      <c r="AG119" s="119"/>
    </row>
  </sheetData>
  <sheetProtection algorithmName="SHA-512" hashValue="eN+JxPbMgOAjKg9/W4OwMZmMgsOQ0eUi/n/9Na79wcnBLSdtA6xP1RbPH1C+z3xZwZtqNSq0hNyjtdYDfO5Blg==" saltValue="SdXVUxjwgHPoIydwzm6UJQ==" spinCount="100000" sheet="1" selectLockedCells="1"/>
  <dataConsolidate/>
  <mergeCells count="247">
    <mergeCell ref="AA34:AC34"/>
    <mergeCell ref="S33:Z33"/>
    <mergeCell ref="S30:Z30"/>
    <mergeCell ref="S31:Z31"/>
    <mergeCell ref="S29:Z29"/>
    <mergeCell ref="AA31:AB31"/>
    <mergeCell ref="AA30:AC30"/>
    <mergeCell ref="AA29:AC29"/>
    <mergeCell ref="AA28:AC28"/>
    <mergeCell ref="S28:Z28"/>
    <mergeCell ref="S34:Z34"/>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N30:P30"/>
    <mergeCell ref="AB26:AC26"/>
    <mergeCell ref="L26:P26"/>
    <mergeCell ref="K28:M28"/>
    <mergeCell ref="N28:P28"/>
    <mergeCell ref="A27:P27"/>
    <mergeCell ref="S27:AC27"/>
    <mergeCell ref="S26:U26"/>
    <mergeCell ref="U24:W24"/>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SOURCES'!$A$1:$A$292</xm:f>
          </x14:formula1>
          <xm:sqref>D9:O11</xm:sqref>
        </x14:dataValidation>
        <x14:dataValidation type="list" allowBlank="1" showInputMessage="1" showErrorMessage="1" xr:uid="{00000000-0002-0000-0100-000017000000}">
          <x14:formula1>
            <xm:f>'CEMENT &amp; POZZOLAN SOURCES'!$A$1:$A$81</xm:f>
          </x14:formula1>
          <xm:sqref>D15:T17</xm:sqref>
        </x14:dataValidation>
        <x14:dataValidation type="list" allowBlank="1" showInputMessage="1" showErrorMessage="1" xr:uid="{00000000-0002-0000-0100-000016000000}">
          <x14:formula1>
            <xm:f>ADMIXTURES!$A$1:$A$305</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D1" workbookViewId="0">
      <selection activeCell="M47" sqref="M47:W47"/>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1" width="0.140625" style="119" customWidth="1"/>
    <col min="62" max="62" width="1.7109375" style="119" hidden="1" customWidth="1"/>
    <col min="63" max="63" width="0.140625" style="119" hidden="1" customWidth="1"/>
    <col min="64" max="67" width="8.28515625" style="119" customWidth="1"/>
    <col min="68" max="103" width="9.140625" style="119"/>
  </cols>
  <sheetData>
    <row r="1" spans="1:103" ht="15.75" x14ac:dyDescent="0.25">
      <c r="A1" s="921" t="s">
        <v>1809</v>
      </c>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Y1"/>
      <c r="AZ1"/>
      <c r="BA1"/>
      <c r="BB1"/>
      <c r="BC1"/>
      <c r="BD1"/>
      <c r="BE1"/>
      <c r="BF1"/>
      <c r="BG1"/>
      <c r="BH1"/>
      <c r="BI1"/>
      <c r="BJ1"/>
      <c r="BK1"/>
    </row>
    <row r="2" spans="1:103" ht="12.6" customHeight="1" thickBot="1" x14ac:dyDescent="0.25">
      <c r="A2" s="298" t="s">
        <v>136</v>
      </c>
      <c r="B2" s="298"/>
      <c r="C2" s="298"/>
      <c r="D2" s="298"/>
      <c r="E2" s="298"/>
      <c r="F2" s="298"/>
      <c r="G2" s="922"/>
      <c r="H2" s="922"/>
      <c r="I2" s="922"/>
      <c r="J2" s="922"/>
      <c r="K2" s="922"/>
      <c r="L2" s="922"/>
      <c r="M2" s="922"/>
      <c r="N2" s="922"/>
      <c r="O2" s="922"/>
      <c r="P2" s="298" t="s">
        <v>137</v>
      </c>
      <c r="Q2" s="298"/>
      <c r="R2" s="298"/>
      <c r="S2" s="298"/>
      <c r="T2" s="298"/>
      <c r="U2" s="298"/>
      <c r="V2" s="922"/>
      <c r="W2" s="922"/>
      <c r="X2" s="922"/>
      <c r="Y2" s="922"/>
      <c r="Z2" s="922"/>
      <c r="AA2" s="922"/>
      <c r="AB2" s="922"/>
      <c r="AC2" s="922"/>
      <c r="AY2"/>
      <c r="AZ2"/>
      <c r="BA2"/>
      <c r="BB2"/>
      <c r="BC2"/>
      <c r="BD2"/>
      <c r="BE2"/>
      <c r="BF2"/>
      <c r="BG2"/>
      <c r="BH2"/>
      <c r="BI2"/>
      <c r="BJ2"/>
      <c r="BK2"/>
    </row>
    <row r="3" spans="1:103" ht="12.6" customHeight="1" thickBot="1" x14ac:dyDescent="0.25">
      <c r="A3" s="298" t="s">
        <v>138</v>
      </c>
      <c r="B3" s="298"/>
      <c r="C3" s="298"/>
      <c r="D3" s="298"/>
      <c r="E3" s="298"/>
      <c r="F3" s="298"/>
      <c r="G3" s="922"/>
      <c r="H3" s="922"/>
      <c r="I3" s="922"/>
      <c r="J3" s="922"/>
      <c r="K3" s="922"/>
      <c r="L3" s="922"/>
      <c r="M3" s="922"/>
      <c r="N3" s="922"/>
      <c r="O3" s="922"/>
      <c r="P3" s="908" t="s">
        <v>139</v>
      </c>
      <c r="Q3" s="908"/>
      <c r="R3" s="908"/>
      <c r="S3" s="908"/>
      <c r="T3" s="908"/>
      <c r="U3" s="908"/>
      <c r="V3" s="923"/>
      <c r="W3" s="923"/>
      <c r="X3" s="923"/>
      <c r="Y3" s="923"/>
      <c r="Z3" s="923"/>
      <c r="AA3" s="923"/>
      <c r="AB3" s="923"/>
      <c r="AC3" s="923"/>
      <c r="AQ3" s="24" t="s">
        <v>140</v>
      </c>
      <c r="AR3" s="22" t="str">
        <f>G6&amp;L6</f>
        <v>Mix ID Not Required</v>
      </c>
      <c r="AY3"/>
      <c r="AZ3"/>
      <c r="BA3"/>
      <c r="BB3"/>
      <c r="BC3"/>
      <c r="BD3"/>
      <c r="BE3"/>
      <c r="BF3"/>
      <c r="BG3"/>
      <c r="BH3"/>
      <c r="BI3"/>
      <c r="BJ3"/>
      <c r="BK3"/>
    </row>
    <row r="4" spans="1:103" ht="12.6" customHeight="1" thickBot="1" x14ac:dyDescent="0.25">
      <c r="A4" s="298" t="s">
        <v>141</v>
      </c>
      <c r="B4" s="298"/>
      <c r="C4" s="298"/>
      <c r="D4" s="298"/>
      <c r="E4" s="298"/>
      <c r="F4" s="298"/>
      <c r="G4" s="918"/>
      <c r="H4" s="918"/>
      <c r="I4" s="918"/>
      <c r="J4" s="918"/>
      <c r="K4" s="918"/>
      <c r="L4" s="918"/>
      <c r="M4" s="918"/>
      <c r="N4" s="918"/>
      <c r="O4" s="918"/>
      <c r="P4" s="298" t="s">
        <v>142</v>
      </c>
      <c r="Q4" s="298"/>
      <c r="R4" s="298"/>
      <c r="S4" s="298"/>
      <c r="T4" s="298"/>
      <c r="U4" s="298"/>
      <c r="V4" s="808"/>
      <c r="W4" s="808"/>
      <c r="X4" s="808"/>
      <c r="Y4" s="808"/>
      <c r="Z4" s="808"/>
      <c r="AA4" s="808"/>
      <c r="AB4" s="808"/>
      <c r="AC4" s="919"/>
      <c r="AG4" s="4" t="s">
        <v>143</v>
      </c>
      <c r="AQ4" s="24" t="s">
        <v>144</v>
      </c>
      <c r="AR4" s="22" t="str">
        <f>V6</f>
        <v>213 Removable Type 4-1</v>
      </c>
      <c r="AY4"/>
      <c r="AZ4"/>
      <c r="BA4"/>
      <c r="BB4"/>
      <c r="BC4"/>
      <c r="BD4"/>
      <c r="BE4"/>
      <c r="BF4"/>
      <c r="BG4"/>
      <c r="BH4"/>
      <c r="BI4"/>
      <c r="BJ4"/>
      <c r="BK4"/>
    </row>
    <row r="5" spans="1:103" ht="12.6" customHeight="1" thickBot="1" x14ac:dyDescent="0.25">
      <c r="A5" s="298" t="s">
        <v>145</v>
      </c>
      <c r="B5" s="298"/>
      <c r="C5" s="298"/>
      <c r="D5" s="298"/>
      <c r="E5" s="298"/>
      <c r="F5" s="298"/>
      <c r="G5" s="918"/>
      <c r="H5" s="918"/>
      <c r="I5" s="918"/>
      <c r="J5" s="918"/>
      <c r="K5" s="918"/>
      <c r="L5" s="918"/>
      <c r="M5" s="918"/>
      <c r="N5" s="918"/>
      <c r="O5" s="918"/>
      <c r="P5" s="455" t="s">
        <v>146</v>
      </c>
      <c r="Q5" s="455"/>
      <c r="R5" s="455"/>
      <c r="S5" s="455"/>
      <c r="T5" s="455"/>
      <c r="U5" s="455"/>
      <c r="V5" s="920" t="s">
        <v>1790</v>
      </c>
      <c r="W5" s="920"/>
      <c r="X5" s="920"/>
      <c r="Y5" s="920"/>
      <c r="Z5" s="920"/>
      <c r="AA5" s="920"/>
      <c r="AB5" s="920"/>
      <c r="AC5" s="920"/>
      <c r="AD5" s="4"/>
      <c r="AG5" s="4" t="s">
        <v>147</v>
      </c>
      <c r="AQ5" s="24" t="s">
        <v>136</v>
      </c>
      <c r="AR5" s="28">
        <f>G2</f>
        <v>0</v>
      </c>
      <c r="AY5"/>
      <c r="AZ5"/>
      <c r="BA5"/>
      <c r="BB5"/>
      <c r="BC5"/>
      <c r="BD5"/>
      <c r="BE5"/>
      <c r="BF5"/>
      <c r="BG5"/>
      <c r="BH5"/>
      <c r="BI5"/>
      <c r="BJ5"/>
      <c r="BK5"/>
    </row>
    <row r="6" spans="1:103" ht="15.75" customHeight="1" thickBot="1" x14ac:dyDescent="0.25">
      <c r="A6" s="914" t="s">
        <v>148</v>
      </c>
      <c r="B6" s="665"/>
      <c r="C6" s="665"/>
      <c r="D6" s="665"/>
      <c r="E6" s="665"/>
      <c r="F6" s="665"/>
      <c r="G6" s="91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65"/>
      <c r="I6" s="665"/>
      <c r="J6" s="665"/>
      <c r="K6" s="665"/>
      <c r="L6" s="502"/>
      <c r="M6" s="502"/>
      <c r="N6" s="503"/>
      <c r="O6" s="914" t="s">
        <v>149</v>
      </c>
      <c r="P6" s="665"/>
      <c r="Q6" s="665"/>
      <c r="R6" s="665"/>
      <c r="S6" s="665"/>
      <c r="T6" s="665"/>
      <c r="U6" s="665"/>
      <c r="V6" s="916" t="s">
        <v>1805</v>
      </c>
      <c r="W6" s="916"/>
      <c r="X6" s="916"/>
      <c r="Y6" s="916"/>
      <c r="Z6" s="916"/>
      <c r="AA6" s="916"/>
      <c r="AB6" s="916"/>
      <c r="AC6" s="917"/>
      <c r="AG6" s="4" t="s">
        <v>151</v>
      </c>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t="s">
        <v>155</v>
      </c>
      <c r="AQ7" s="25" t="s">
        <v>138</v>
      </c>
      <c r="AR7" s="28">
        <f>G3</f>
        <v>0</v>
      </c>
      <c r="AY7"/>
      <c r="AZ7"/>
      <c r="BA7"/>
      <c r="BB7"/>
      <c r="BC7"/>
      <c r="BD7"/>
      <c r="BE7"/>
      <c r="BF7"/>
      <c r="BG7"/>
      <c r="BH7"/>
      <c r="BI7"/>
      <c r="BJ7"/>
      <c r="BK7"/>
    </row>
    <row r="8" spans="1:103" ht="58.5" customHeight="1" thickBot="1" x14ac:dyDescent="0.25">
      <c r="A8" s="458"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458"/>
      <c r="AG8" s="4" t="s">
        <v>163</v>
      </c>
      <c r="AP8" s="34"/>
      <c r="AQ8" s="23" t="s">
        <v>164</v>
      </c>
      <c r="AR8" s="28">
        <f>V2</f>
        <v>0</v>
      </c>
      <c r="AY8"/>
      <c r="AZ8"/>
      <c r="BA8"/>
      <c r="BB8"/>
      <c r="BC8"/>
      <c r="BD8"/>
      <c r="BE8"/>
      <c r="BF8"/>
      <c r="BG8"/>
      <c r="BH8"/>
      <c r="BI8"/>
      <c r="BJ8"/>
      <c r="BK8"/>
    </row>
    <row r="9" spans="1:103" ht="12.6" customHeight="1" thickBot="1" x14ac:dyDescent="0.25">
      <c r="A9" s="654"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t="s">
        <v>165</v>
      </c>
      <c r="AQ9" s="23" t="s">
        <v>166</v>
      </c>
      <c r="AR9" s="22">
        <f>V3</f>
        <v>0</v>
      </c>
      <c r="AY9"/>
      <c r="AZ9"/>
      <c r="BA9"/>
      <c r="BB9"/>
      <c r="BC9"/>
      <c r="BD9"/>
      <c r="BE9"/>
      <c r="BF9"/>
      <c r="BG9"/>
      <c r="BH9"/>
      <c r="BI9"/>
      <c r="BJ9"/>
      <c r="BK9"/>
    </row>
    <row r="10" spans="1:103" ht="12.6" customHeight="1" thickBot="1" x14ac:dyDescent="0.25">
      <c r="A10" s="654"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t="s">
        <v>167</v>
      </c>
      <c r="AQ10" s="23" t="s">
        <v>142</v>
      </c>
      <c r="AR10" s="22">
        <f>V4</f>
        <v>0</v>
      </c>
      <c r="AY10"/>
      <c r="AZ10"/>
      <c r="BA10"/>
      <c r="BB10"/>
      <c r="BC10"/>
      <c r="BD10"/>
      <c r="BE10"/>
      <c r="BF10"/>
      <c r="BG10"/>
      <c r="BH10"/>
      <c r="BI10"/>
      <c r="BJ10"/>
      <c r="BK10"/>
    </row>
    <row r="11" spans="1:103" ht="12.6" customHeight="1" thickBot="1" x14ac:dyDescent="0.25">
      <c r="A11" s="654" t="e">
        <f>VLOOKUP(D11,'AGG SOURCES'!A1:D292,2,FALSE)</f>
        <v>#N/A</v>
      </c>
      <c r="B11" s="571"/>
      <c r="C11" s="571"/>
      <c r="D11" s="676"/>
      <c r="E11" s="677"/>
      <c r="F11" s="677"/>
      <c r="G11" s="677"/>
      <c r="H11" s="677"/>
      <c r="I11" s="677"/>
      <c r="J11" s="677"/>
      <c r="K11" s="677"/>
      <c r="L11" s="677"/>
      <c r="M11" s="677"/>
      <c r="N11" s="677"/>
      <c r="O11" s="678"/>
      <c r="P11" s="911"/>
      <c r="Q11" s="912"/>
      <c r="R11" s="913"/>
      <c r="S11" s="852"/>
      <c r="T11" s="852"/>
      <c r="U11" s="879"/>
      <c r="V11" s="710"/>
      <c r="W11" s="710"/>
      <c r="X11" s="710"/>
      <c r="Y11" s="710"/>
      <c r="Z11" s="710"/>
      <c r="AA11" s="706"/>
      <c r="AB11" s="706"/>
      <c r="AC11" s="706"/>
      <c r="AG11" s="4" t="s">
        <v>168</v>
      </c>
      <c r="AQ11" s="26" t="s">
        <v>169</v>
      </c>
      <c r="AR11" s="125" t="e">
        <f>A9</f>
        <v>#N/A</v>
      </c>
      <c r="AY11"/>
      <c r="AZ11"/>
      <c r="BA11"/>
      <c r="BB11"/>
      <c r="BC11"/>
      <c r="BD11"/>
      <c r="BE11"/>
      <c r="BF11"/>
      <c r="BG11"/>
      <c r="BH11"/>
      <c r="BI11"/>
      <c r="BJ11"/>
      <c r="BK11"/>
    </row>
    <row r="12" spans="1:103" ht="12.6" customHeight="1" thickBot="1" x14ac:dyDescent="0.3">
      <c r="A12" s="908" t="str">
        <f>IF(AND(S42="*** % Passing 1 inch sieve",OR(S9="QA",S10="QA",S11="QA")), "*** % Passing 1 inch sieve for QA size CA"," ")</f>
        <v xml:space="preserve"> </v>
      </c>
      <c r="B12" s="908"/>
      <c r="C12" s="908"/>
      <c r="D12" s="908"/>
      <c r="E12" s="908"/>
      <c r="F12" s="908"/>
      <c r="G12" s="908"/>
      <c r="H12" s="908"/>
      <c r="I12" s="908"/>
      <c r="J12" s="908"/>
      <c r="K12" s="909"/>
      <c r="L12" s="909"/>
      <c r="M12" s="908" t="str">
        <f>IF(V6="501 QC/QA PCCP","*% passing No. 200 sieve"," ")</f>
        <v xml:space="preserve"> </v>
      </c>
      <c r="N12" s="908"/>
      <c r="O12" s="908"/>
      <c r="P12" s="908"/>
      <c r="Q12" s="908"/>
      <c r="R12" s="908"/>
      <c r="S12" s="908" t="str">
        <f>IF(OR(V6="501 QC/QA PCCP",V6="730*"),", CA contributes"," ")</f>
        <v xml:space="preserve"> </v>
      </c>
      <c r="T12" s="908"/>
      <c r="U12" s="908"/>
      <c r="V12" s="908"/>
      <c r="W12" s="18"/>
      <c r="X12" s="908" t="str">
        <f>IF(V6="501 QC/QA PCCP","  FA contributes"," ")</f>
        <v xml:space="preserve"> </v>
      </c>
      <c r="Y12" s="908"/>
      <c r="Z12" s="908"/>
      <c r="AA12" s="908"/>
      <c r="AB12" s="910"/>
      <c r="AC12" s="910"/>
      <c r="AG12" s="184" t="s">
        <v>170</v>
      </c>
      <c r="AQ12" s="26" t="s">
        <v>171</v>
      </c>
      <c r="AR12" s="32">
        <f>D9</f>
        <v>0</v>
      </c>
      <c r="AY12"/>
      <c r="AZ12"/>
      <c r="BA12"/>
      <c r="BB12"/>
      <c r="BC12"/>
      <c r="BD12"/>
      <c r="BE12"/>
      <c r="BF12"/>
      <c r="BG12"/>
      <c r="BH12"/>
      <c r="BI12"/>
      <c r="BJ12"/>
      <c r="BK12"/>
    </row>
    <row r="13" spans="1:103" ht="18" customHeight="1" thickBot="1" x14ac:dyDescent="0.3">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184" t="s">
        <v>174</v>
      </c>
      <c r="AQ13" s="26" t="s">
        <v>175</v>
      </c>
      <c r="AR13" s="22">
        <f>S9</f>
        <v>0</v>
      </c>
      <c r="AY13"/>
      <c r="AZ13"/>
      <c r="BA13"/>
      <c r="BB13"/>
      <c r="BC13"/>
      <c r="BD13"/>
      <c r="BE13"/>
      <c r="BF13"/>
      <c r="BG13"/>
      <c r="BH13"/>
      <c r="BI13"/>
      <c r="BJ13"/>
      <c r="BK13"/>
      <c r="BM13" s="226"/>
      <c r="BN13" s="226"/>
      <c r="BO13" s="226"/>
      <c r="BP13" s="226"/>
      <c r="BQ13" s="226"/>
      <c r="BR13" s="226"/>
      <c r="BS13" s="226"/>
      <c r="BT13" s="226"/>
      <c r="BU13" s="226"/>
      <c r="BV13" s="226"/>
      <c r="BW13" s="226"/>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t="s">
        <v>180</v>
      </c>
      <c r="AQ14" s="27" t="s">
        <v>181</v>
      </c>
      <c r="AR14" s="22">
        <f>V9</f>
        <v>0</v>
      </c>
      <c r="AY14"/>
      <c r="AZ14"/>
      <c r="BA14"/>
      <c r="BB14"/>
      <c r="BC14"/>
      <c r="BD14"/>
      <c r="BE14"/>
      <c r="BF14"/>
      <c r="BG14"/>
      <c r="BH14"/>
      <c r="BI14"/>
      <c r="BJ14"/>
      <c r="BK14"/>
      <c r="BM14" s="226"/>
      <c r="BN14" s="226"/>
      <c r="BO14" s="226"/>
      <c r="BP14" s="226"/>
      <c r="BQ14" s="226"/>
      <c r="BR14" s="226"/>
      <c r="BS14" s="226"/>
      <c r="BT14" s="226"/>
      <c r="BU14" s="226"/>
      <c r="BV14" s="226"/>
      <c r="BW14" s="226"/>
    </row>
    <row r="15" spans="1:103" s="34" customFormat="1" ht="12.6" customHeight="1" thickBot="1" x14ac:dyDescent="0.25">
      <c r="A15" s="907" t="e">
        <f>VLOOKUP(D15,'CEMENT &amp; POZZOLAN SOURCES'!A1:B81,2,FALSE)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901"/>
      <c r="AA15" s="690"/>
      <c r="AB15" s="691"/>
      <c r="AC15" s="692"/>
      <c r="AG15" s="4" t="s">
        <v>184</v>
      </c>
      <c r="AJ15"/>
      <c r="AK15"/>
      <c r="AL15"/>
      <c r="AM15"/>
      <c r="AN15"/>
      <c r="AO15"/>
      <c r="AP15"/>
      <c r="AQ15" s="35" t="s">
        <v>185</v>
      </c>
      <c r="AR15" s="36">
        <f>Y9</f>
        <v>0</v>
      </c>
      <c r="BL15" s="120"/>
      <c r="BM15" s="227"/>
      <c r="BN15" s="227"/>
      <c r="BO15" s="227"/>
      <c r="BP15" s="227"/>
      <c r="BQ15" s="227"/>
      <c r="BR15" s="227"/>
      <c r="BS15" s="227"/>
      <c r="BT15" s="227"/>
      <c r="BU15" s="227"/>
      <c r="BV15" s="227"/>
      <c r="BW15" s="227"/>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907" t="e">
        <f>VLOOKUP(D16,'CEMENT &amp; POZZOLAN SOURCES'!A1:B81,2,FALSE)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901"/>
      <c r="AA16" s="612" t="s">
        <v>186</v>
      </c>
      <c r="AB16" s="613"/>
      <c r="AC16" s="614"/>
      <c r="AG16" s="4" t="s">
        <v>150</v>
      </c>
      <c r="AQ16" s="35" t="s">
        <v>187</v>
      </c>
      <c r="AR16" s="37">
        <f>AA9</f>
        <v>0</v>
      </c>
      <c r="BL16" s="120"/>
      <c r="BM16" s="227"/>
      <c r="BN16" s="227"/>
      <c r="BO16" s="227"/>
      <c r="BP16" s="227"/>
      <c r="BQ16" s="227"/>
      <c r="BR16" s="227"/>
      <c r="BS16" s="227"/>
      <c r="BT16" s="227"/>
      <c r="BU16" s="227"/>
      <c r="BV16" s="227"/>
      <c r="BW16" s="227"/>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900" t="e">
        <f>VLOOKUP(D17,'CEMENT &amp; POZZOLAN SOURCES'!A1:B81,2,FALSE)</f>
        <v>#N/A</v>
      </c>
      <c r="B17" s="680"/>
      <c r="C17" s="681"/>
      <c r="D17" s="575"/>
      <c r="E17" s="576"/>
      <c r="F17" s="576"/>
      <c r="G17" s="576"/>
      <c r="H17" s="576"/>
      <c r="I17" s="576"/>
      <c r="J17" s="576"/>
      <c r="K17" s="576"/>
      <c r="L17" s="576"/>
      <c r="M17" s="576"/>
      <c r="N17" s="576"/>
      <c r="O17" s="576"/>
      <c r="P17" s="576"/>
      <c r="Q17" s="576"/>
      <c r="R17" s="576"/>
      <c r="S17" s="576"/>
      <c r="T17" s="577"/>
      <c r="U17" s="682"/>
      <c r="V17" s="682"/>
      <c r="W17" s="682"/>
      <c r="X17" s="682"/>
      <c r="Y17" s="901"/>
      <c r="Z17" s="121"/>
      <c r="AA17" s="902"/>
      <c r="AB17" s="903"/>
      <c r="AC17" s="904"/>
      <c r="AG17" s="4" t="s">
        <v>188</v>
      </c>
      <c r="AQ17" s="38" t="s">
        <v>189</v>
      </c>
      <c r="AR17" s="127" t="e">
        <f>A10</f>
        <v>#N/A</v>
      </c>
      <c r="BL17" s="120"/>
      <c r="BM17" s="227"/>
      <c r="BN17" s="227"/>
      <c r="BO17" s="227"/>
      <c r="BP17" s="227"/>
      <c r="BQ17" s="227"/>
      <c r="BR17" s="227"/>
      <c r="BS17" s="227"/>
      <c r="BT17" s="227"/>
      <c r="BU17" s="227"/>
      <c r="BV17" s="227"/>
      <c r="BW17" s="227"/>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905" t="s">
        <v>190</v>
      </c>
      <c r="B18" s="906"/>
      <c r="C18" s="906"/>
      <c r="D18" s="661"/>
      <c r="E18" s="661"/>
      <c r="F18" s="661"/>
      <c r="G18" s="661"/>
      <c r="H18" s="661"/>
      <c r="I18" s="661"/>
      <c r="J18" s="661"/>
      <c r="K18" s="661"/>
      <c r="L18" s="661"/>
      <c r="M18" s="661"/>
      <c r="N18" s="661"/>
      <c r="O18" s="661"/>
      <c r="P18" s="661"/>
      <c r="Q18" s="661"/>
      <c r="R18" s="661"/>
      <c r="S18" s="661"/>
      <c r="T18" s="661"/>
      <c r="U18" s="661"/>
      <c r="V18" s="661"/>
      <c r="W18" s="661"/>
      <c r="X18" s="661"/>
      <c r="Y18" s="661"/>
      <c r="Z18" s="906"/>
      <c r="AA18" s="661"/>
      <c r="AB18" s="661"/>
      <c r="AC18" s="662"/>
      <c r="AI18" s="34"/>
      <c r="AJ18" s="34"/>
      <c r="AK18" s="34"/>
      <c r="AL18" s="34"/>
      <c r="AM18" s="34"/>
      <c r="AN18" s="34"/>
      <c r="AO18" s="34"/>
      <c r="AQ18" s="26" t="s">
        <v>191</v>
      </c>
      <c r="AR18" s="32">
        <f>D10</f>
        <v>0</v>
      </c>
      <c r="AY18"/>
      <c r="AZ18"/>
      <c r="BA18"/>
      <c r="BB18"/>
      <c r="BC18"/>
      <c r="BD18"/>
      <c r="BE18"/>
      <c r="BF18"/>
      <c r="BG18"/>
      <c r="BH18"/>
      <c r="BI18"/>
      <c r="BJ18"/>
      <c r="BK18"/>
      <c r="BM18" s="226"/>
      <c r="BN18" s="226"/>
      <c r="BO18" s="226"/>
      <c r="BP18" s="226"/>
      <c r="BQ18" s="226"/>
      <c r="BR18" s="226"/>
      <c r="BS18" s="226"/>
      <c r="BT18" s="226"/>
      <c r="BU18" s="226"/>
      <c r="BV18" s="226"/>
      <c r="BW18" s="226"/>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34" t="s">
        <v>183</v>
      </c>
      <c r="AQ19" s="26" t="s">
        <v>196</v>
      </c>
      <c r="AR19" s="22">
        <f>S10</f>
        <v>0</v>
      </c>
      <c r="AY19"/>
      <c r="AZ19"/>
      <c r="BA19"/>
      <c r="BB19"/>
      <c r="BC19"/>
      <c r="BD19"/>
      <c r="BE19"/>
      <c r="BF19"/>
      <c r="BG19"/>
      <c r="BH19"/>
      <c r="BI19"/>
      <c r="BJ19"/>
      <c r="BK19"/>
      <c r="BM19" s="226"/>
      <c r="BN19" s="226"/>
      <c r="BO19" s="226"/>
      <c r="BP19" s="226"/>
      <c r="BQ19" s="226"/>
      <c r="BR19" s="226"/>
      <c r="BS19" s="226"/>
      <c r="BT19" s="226"/>
      <c r="BU19" s="226"/>
      <c r="BV19" s="226"/>
      <c r="BW19" s="226"/>
    </row>
    <row r="20" spans="1:103" ht="13.5" customHeight="1" thickBot="1" x14ac:dyDescent="0.25">
      <c r="A20" s="643" t="e">
        <f>VLOOKUP(M20,ADMIXTURES!A1:F305,2,FALSE)</f>
        <v>#N/A</v>
      </c>
      <c r="B20" s="644"/>
      <c r="C20" s="644"/>
      <c r="D20" s="645" t="e">
        <f>VLOOKUP(M20,ADMIXTURES!A1:F305,4,FALSE)</f>
        <v>#N/A</v>
      </c>
      <c r="E20" s="646"/>
      <c r="F20" s="646"/>
      <c r="G20" s="646"/>
      <c r="H20" s="646"/>
      <c r="I20" s="646"/>
      <c r="J20" s="646"/>
      <c r="K20" s="646"/>
      <c r="L20" s="646"/>
      <c r="M20" s="640"/>
      <c r="N20" s="641"/>
      <c r="O20" s="641"/>
      <c r="P20" s="641"/>
      <c r="Q20" s="641"/>
      <c r="R20" s="641"/>
      <c r="S20" s="641"/>
      <c r="T20" s="642"/>
      <c r="U20" s="654" t="e">
        <f>VLOOKUP(M20,ADMIXTURES!A1:F305,5,FALSE)</f>
        <v>#N/A</v>
      </c>
      <c r="V20" s="571"/>
      <c r="W20" s="571"/>
      <c r="X20" s="337" t="e">
        <f>VLOOKUP(M20,ADMIXTURES!A1:F305,6,FALSE)</f>
        <v>#N/A</v>
      </c>
      <c r="Y20" s="571"/>
      <c r="Z20" s="571"/>
      <c r="AA20" s="571"/>
      <c r="AB20" s="571"/>
      <c r="AC20" s="669"/>
      <c r="AD20" s="51"/>
      <c r="AE20" s="65"/>
      <c r="AF20" s="65"/>
      <c r="AG20" s="34" t="s">
        <v>198</v>
      </c>
      <c r="AH20" s="65"/>
      <c r="AQ20" s="27" t="s">
        <v>199</v>
      </c>
      <c r="AR20" s="22">
        <f>V10</f>
        <v>0</v>
      </c>
      <c r="AY20"/>
      <c r="AZ20"/>
      <c r="BA20"/>
      <c r="BB20"/>
      <c r="BC20"/>
      <c r="BD20"/>
      <c r="BE20"/>
      <c r="BF20"/>
      <c r="BG20"/>
      <c r="BH20"/>
      <c r="BI20"/>
      <c r="BJ20"/>
      <c r="BK20"/>
      <c r="BM20" s="226"/>
      <c r="BN20" s="226"/>
      <c r="BO20" s="226"/>
      <c r="BP20" s="226"/>
      <c r="BQ20" s="226"/>
      <c r="BR20" s="226"/>
      <c r="BS20" s="226"/>
      <c r="BT20" s="226"/>
      <c r="BU20" s="226"/>
      <c r="BV20" s="226"/>
      <c r="BW20" s="226"/>
    </row>
    <row r="21" spans="1:103" ht="12.6" customHeight="1" thickBot="1" x14ac:dyDescent="0.25">
      <c r="A21" s="643" t="e">
        <f>VLOOKUP(M21,ADMIXTURES!A1:F305,2,FALSE)</f>
        <v>#N/A</v>
      </c>
      <c r="B21" s="644"/>
      <c r="C21" s="644"/>
      <c r="D21" s="645" t="e">
        <f>VLOOKUP(M21,ADMIXTURES!A1:F305,4,FALSE)</f>
        <v>#N/A</v>
      </c>
      <c r="E21" s="646"/>
      <c r="F21" s="646"/>
      <c r="G21" s="646"/>
      <c r="H21" s="646"/>
      <c r="I21" s="646"/>
      <c r="J21" s="646"/>
      <c r="K21" s="646"/>
      <c r="L21" s="646"/>
      <c r="M21" s="640"/>
      <c r="N21" s="641"/>
      <c r="O21" s="641"/>
      <c r="P21" s="641"/>
      <c r="Q21" s="641"/>
      <c r="R21" s="641"/>
      <c r="S21" s="641"/>
      <c r="T21" s="642"/>
      <c r="U21" s="654" t="e">
        <f>VLOOKUP(M21,ADMIXTURES!A1:F305,5,FALSE)</f>
        <v>#N/A</v>
      </c>
      <c r="V21" s="571"/>
      <c r="W21" s="571"/>
      <c r="X21" s="337" t="e">
        <f>VLOOKUP(M21,ADMIXTURES!A1:F305,6,FALSE)</f>
        <v>#N/A</v>
      </c>
      <c r="Y21" s="571"/>
      <c r="Z21" s="571"/>
      <c r="AA21" s="571"/>
      <c r="AB21" s="571"/>
      <c r="AC21" s="669"/>
      <c r="AD21" s="51"/>
      <c r="AE21" s="65"/>
      <c r="AF21" s="65"/>
      <c r="AG21" s="34" t="s">
        <v>200</v>
      </c>
      <c r="AH21" s="65"/>
      <c r="AI21" s="65"/>
      <c r="AJ21" s="65"/>
      <c r="AK21" s="65"/>
      <c r="AL21" s="65"/>
      <c r="AM21" s="65"/>
      <c r="AQ21" s="27" t="s">
        <v>201</v>
      </c>
      <c r="AR21" s="22">
        <f>Y10</f>
        <v>0</v>
      </c>
      <c r="AY21"/>
      <c r="AZ21"/>
      <c r="BA21"/>
      <c r="BB21"/>
      <c r="BC21"/>
      <c r="BD21"/>
      <c r="BE21"/>
      <c r="BF21"/>
      <c r="BG21"/>
      <c r="BH21"/>
      <c r="BI21"/>
      <c r="BJ21"/>
      <c r="BK21"/>
      <c r="BM21" s="226"/>
      <c r="BN21" s="226"/>
      <c r="BO21" s="226"/>
      <c r="BP21" s="226"/>
      <c r="BQ21" s="226"/>
      <c r="BR21" s="226"/>
      <c r="BS21" s="226"/>
      <c r="BT21" s="226"/>
      <c r="BU21" s="226"/>
      <c r="BV21" s="226"/>
      <c r="BW21" s="226"/>
    </row>
    <row r="22" spans="1:103" ht="12.6" customHeight="1" thickBot="1" x14ac:dyDescent="0.25">
      <c r="A22" s="643" t="e">
        <f>VLOOKUP(M22,ADMIXTURES!A1:F305,2,FALSE)</f>
        <v>#N/A</v>
      </c>
      <c r="B22" s="644"/>
      <c r="C22" s="644"/>
      <c r="D22" s="645" t="e">
        <f>VLOOKUP(M22,ADMIXTURES!A1:F305,4,FALSE)</f>
        <v>#N/A</v>
      </c>
      <c r="E22" s="646"/>
      <c r="F22" s="646"/>
      <c r="G22" s="646"/>
      <c r="H22" s="646"/>
      <c r="I22" s="646"/>
      <c r="J22" s="646"/>
      <c r="K22" s="646"/>
      <c r="L22" s="646"/>
      <c r="M22" s="899"/>
      <c r="N22" s="641"/>
      <c r="O22" s="641"/>
      <c r="P22" s="641"/>
      <c r="Q22" s="641"/>
      <c r="R22" s="641"/>
      <c r="S22" s="641"/>
      <c r="T22" s="642"/>
      <c r="U22" s="654" t="e">
        <f>VLOOKUP(M22,ADMIXTURES!A1:F305,5,FALSE)</f>
        <v>#N/A</v>
      </c>
      <c r="V22" s="571"/>
      <c r="W22" s="571"/>
      <c r="X22" s="337" t="e">
        <f>VLOOKUP(M22,ADMIXTURES!A1:F305,6,FALSE)</f>
        <v>#N/A</v>
      </c>
      <c r="Y22" s="571"/>
      <c r="Z22" s="571"/>
      <c r="AA22" s="571"/>
      <c r="AB22" s="571"/>
      <c r="AC22" s="669"/>
      <c r="AD22" s="51"/>
      <c r="AE22" s="65"/>
      <c r="AF22" s="65"/>
      <c r="AG22" s="34" t="s">
        <v>203</v>
      </c>
      <c r="AH22" s="65"/>
      <c r="AI22" s="65"/>
      <c r="AJ22" s="65"/>
      <c r="AK22" s="65"/>
      <c r="AL22" s="65"/>
      <c r="AM22" s="65"/>
      <c r="AQ22" s="27" t="s">
        <v>204</v>
      </c>
      <c r="AR22" s="28">
        <f>AA10</f>
        <v>0</v>
      </c>
      <c r="AY22"/>
      <c r="AZ22"/>
      <c r="BA22"/>
      <c r="BB22"/>
      <c r="BC22"/>
      <c r="BD22"/>
      <c r="BE22"/>
      <c r="BF22"/>
      <c r="BG22"/>
      <c r="BH22"/>
      <c r="BI22"/>
      <c r="BJ22"/>
      <c r="BK22"/>
      <c r="BM22" s="226"/>
      <c r="BN22" s="226"/>
      <c r="BO22" s="226"/>
      <c r="BP22" s="226"/>
      <c r="BQ22" s="226"/>
      <c r="BR22" s="226"/>
      <c r="BS22" s="226"/>
      <c r="BT22" s="226"/>
      <c r="BU22" s="226"/>
      <c r="BV22" s="226"/>
      <c r="BW22" s="226"/>
    </row>
    <row r="23" spans="1:103" ht="12.6" customHeight="1" thickBot="1" x14ac:dyDescent="0.25">
      <c r="A23" s="643" t="e">
        <f>VLOOKUP(M23,ADMIXTURES!A1:F305,2,FALSE)</f>
        <v>#N/A</v>
      </c>
      <c r="B23" s="644"/>
      <c r="C23" s="644"/>
      <c r="D23" s="645" t="e">
        <f>VLOOKUP(M23,ADMIXTURES!A1:F305,4,FALSE)</f>
        <v>#N/A</v>
      </c>
      <c r="E23" s="646"/>
      <c r="F23" s="646"/>
      <c r="G23" s="646"/>
      <c r="H23" s="646"/>
      <c r="I23" s="646"/>
      <c r="J23" s="646"/>
      <c r="K23" s="646"/>
      <c r="L23" s="646"/>
      <c r="M23" s="640"/>
      <c r="N23" s="641"/>
      <c r="O23" s="641"/>
      <c r="P23" s="641"/>
      <c r="Q23" s="641"/>
      <c r="R23" s="641"/>
      <c r="S23" s="641"/>
      <c r="T23" s="642"/>
      <c r="U23" s="654" t="e">
        <f>VLOOKUP(M23,ADMIXTURES!A1:F305,5,FALSE)</f>
        <v>#N/A</v>
      </c>
      <c r="V23" s="571"/>
      <c r="W23" s="571"/>
      <c r="X23" s="337" t="e">
        <f>VLOOKUP(M23,ADMIXTURES!A1:F305,6,FALSE)</f>
        <v>#N/A</v>
      </c>
      <c r="Y23" s="571"/>
      <c r="Z23" s="571"/>
      <c r="AA23" s="571"/>
      <c r="AB23" s="571"/>
      <c r="AC23" s="669"/>
      <c r="AD23" s="51"/>
      <c r="AE23" s="65"/>
      <c r="AF23" s="65"/>
      <c r="AG23" s="34"/>
      <c r="AH23" s="65"/>
      <c r="AI23" s="65"/>
      <c r="AJ23" s="65"/>
      <c r="AK23" s="65"/>
      <c r="AL23" s="65"/>
      <c r="AM23" s="65"/>
      <c r="AQ23" s="27"/>
      <c r="AR23" s="28"/>
      <c r="AY23"/>
      <c r="AZ23"/>
      <c r="BA23"/>
      <c r="BB23"/>
      <c r="BC23"/>
      <c r="BD23"/>
      <c r="BE23"/>
      <c r="BF23"/>
      <c r="BG23"/>
      <c r="BH23"/>
      <c r="BI23"/>
      <c r="BJ23"/>
      <c r="BK23"/>
      <c r="BM23" s="226"/>
      <c r="BN23" s="226"/>
      <c r="BO23" s="226"/>
      <c r="BP23" s="226"/>
      <c r="BQ23" s="226"/>
      <c r="BR23" s="226"/>
      <c r="BS23" s="226"/>
      <c r="BT23" s="226"/>
      <c r="BU23" s="226"/>
      <c r="BV23" s="226"/>
      <c r="BW23" s="226"/>
    </row>
    <row r="24" spans="1:103" ht="12.6" customHeight="1" thickBot="1" x14ac:dyDescent="0.25">
      <c r="A24" s="643" t="e">
        <f>VLOOKUP(M24,ADMIXTURES!A1:F305,2,FALSE)</f>
        <v>#N/A</v>
      </c>
      <c r="B24" s="644"/>
      <c r="C24" s="644"/>
      <c r="D24" s="645" t="e">
        <f>VLOOKUP(M24,ADMIXTURES!A1:F305,4,FALSE)</f>
        <v>#N/A</v>
      </c>
      <c r="E24" s="646"/>
      <c r="F24" s="646"/>
      <c r="G24" s="646"/>
      <c r="H24" s="646"/>
      <c r="I24" s="646"/>
      <c r="J24" s="646"/>
      <c r="K24" s="646"/>
      <c r="L24" s="646"/>
      <c r="M24" s="640"/>
      <c r="N24" s="641"/>
      <c r="O24" s="641"/>
      <c r="P24" s="641"/>
      <c r="Q24" s="641"/>
      <c r="R24" s="641"/>
      <c r="S24" s="641"/>
      <c r="T24" s="642"/>
      <c r="U24" s="654" t="e">
        <f>VLOOKUP(M24,ADMIXTURES!A1:F305,5,FALSE)</f>
        <v>#N/A</v>
      </c>
      <c r="V24" s="571"/>
      <c r="W24" s="571"/>
      <c r="X24" s="337" t="e">
        <f>VLOOKUP(M24,ADMIXTURES!A1:F305,6,FALSE)</f>
        <v>#N/A</v>
      </c>
      <c r="Y24" s="571"/>
      <c r="Z24" s="571"/>
      <c r="AA24" s="571"/>
      <c r="AB24" s="571"/>
      <c r="AC24" s="669"/>
      <c r="AD24" s="51"/>
      <c r="AE24" s="65"/>
      <c r="AF24" s="65"/>
      <c r="AG24" s="34" t="s">
        <v>206</v>
      </c>
      <c r="AH24" s="65"/>
      <c r="AI24" s="65"/>
      <c r="AJ24" s="65"/>
      <c r="AK24" s="65"/>
      <c r="AL24" s="65"/>
      <c r="AM24" s="65"/>
      <c r="AQ24" s="27"/>
      <c r="AR24" s="28"/>
      <c r="AY24"/>
      <c r="AZ24"/>
      <c r="BA24"/>
      <c r="BB24"/>
      <c r="BC24"/>
      <c r="BD24"/>
      <c r="BE24"/>
      <c r="BF24"/>
      <c r="BG24"/>
      <c r="BH24"/>
      <c r="BI24"/>
      <c r="BJ24"/>
      <c r="BK24"/>
      <c r="BM24" s="226"/>
      <c r="BN24" s="226"/>
      <c r="BO24" s="226"/>
      <c r="BP24" s="226"/>
      <c r="BQ24" s="226"/>
      <c r="BR24" s="226"/>
      <c r="BS24" s="226"/>
      <c r="BT24" s="226"/>
      <c r="BU24" s="226"/>
      <c r="BV24" s="226"/>
      <c r="BW24" s="226"/>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65" t="s">
        <v>207</v>
      </c>
      <c r="AI25" s="65"/>
      <c r="AJ25" s="65"/>
      <c r="AK25" s="65"/>
      <c r="AL25" s="65"/>
      <c r="AM25" s="65"/>
      <c r="AQ25" s="26" t="s">
        <v>208</v>
      </c>
      <c r="AR25" s="22" t="e">
        <f>A11</f>
        <v>#N/A</v>
      </c>
      <c r="AY25"/>
      <c r="AZ25"/>
      <c r="BA25"/>
      <c r="BB25"/>
      <c r="BC25"/>
      <c r="BD25"/>
      <c r="BE25"/>
      <c r="BF25"/>
      <c r="BG25"/>
      <c r="BH25"/>
      <c r="BI25"/>
      <c r="BJ25"/>
      <c r="BK25"/>
      <c r="BM25" s="226"/>
      <c r="BN25" s="226"/>
      <c r="BO25" s="226"/>
      <c r="BP25" s="226"/>
      <c r="BQ25" s="226"/>
      <c r="BR25" s="226"/>
      <c r="BS25" s="226"/>
      <c r="BT25" s="226"/>
      <c r="BU25" s="226"/>
      <c r="BV25" s="226"/>
      <c r="BW25" s="226"/>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65" t="s">
        <v>209</v>
      </c>
      <c r="AQ26" s="26" t="s">
        <v>210</v>
      </c>
      <c r="AR26" s="32">
        <f>D11</f>
        <v>0</v>
      </c>
      <c r="AY26"/>
      <c r="AZ26"/>
      <c r="BA26"/>
      <c r="BB26"/>
      <c r="BC26"/>
      <c r="BD26"/>
      <c r="BE26"/>
      <c r="BF26"/>
      <c r="BG26"/>
      <c r="BH26"/>
      <c r="BI26"/>
      <c r="BJ26"/>
      <c r="BK26"/>
      <c r="BM26" s="226"/>
      <c r="BN26" s="226"/>
      <c r="BO26" s="226"/>
      <c r="BP26" s="226"/>
      <c r="BQ26" s="226"/>
      <c r="BR26" s="226"/>
      <c r="BS26" s="226"/>
      <c r="BT26" s="226"/>
      <c r="BU26" s="226"/>
      <c r="BV26" s="226"/>
      <c r="BW26" s="2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65" t="s">
        <v>213</v>
      </c>
      <c r="AP27" s="124"/>
      <c r="AQ27" s="26" t="s">
        <v>214</v>
      </c>
      <c r="AR27" s="22">
        <f>S11</f>
        <v>0</v>
      </c>
      <c r="AY27"/>
      <c r="AZ27"/>
      <c r="BA27"/>
      <c r="BB27"/>
      <c r="BC27"/>
      <c r="BD27"/>
      <c r="BE27"/>
      <c r="BF27"/>
      <c r="BG27"/>
      <c r="BH27"/>
      <c r="BI27"/>
      <c r="BJ27"/>
      <c r="BK27"/>
      <c r="BM27" s="226"/>
      <c r="BN27" s="226"/>
      <c r="BO27" s="226"/>
      <c r="BP27" s="226"/>
      <c r="BQ27" s="226"/>
      <c r="BR27" s="226"/>
      <c r="BS27" s="226"/>
      <c r="BT27" s="226"/>
      <c r="BU27" s="226"/>
      <c r="BV27" s="226"/>
      <c r="BW27" s="226"/>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896" t="s">
        <v>219</v>
      </c>
      <c r="O28" s="897"/>
      <c r="P28" s="898"/>
      <c r="S28" s="800" t="s">
        <v>220</v>
      </c>
      <c r="T28" s="801"/>
      <c r="U28" s="801"/>
      <c r="V28" s="801"/>
      <c r="W28" s="801"/>
      <c r="X28" s="801"/>
      <c r="Y28" s="801"/>
      <c r="Z28" s="802"/>
      <c r="AA28" s="891" t="str">
        <f>IF(Sheet2!J7=2,(SUM(E31:G33)/SUM(E30:G33)*100),"")</f>
        <v/>
      </c>
      <c r="AB28" s="891"/>
      <c r="AC28" s="892"/>
      <c r="AF28" s="4"/>
      <c r="AG28" s="65" t="s">
        <v>221</v>
      </c>
      <c r="AQ28" s="27" t="s">
        <v>222</v>
      </c>
      <c r="AR28" s="22">
        <f>V11</f>
        <v>0</v>
      </c>
      <c r="AY28"/>
      <c r="AZ28"/>
      <c r="BA28"/>
      <c r="BB28"/>
      <c r="BC28"/>
      <c r="BD28"/>
      <c r="BE28"/>
      <c r="BF28"/>
      <c r="BG28"/>
      <c r="BH28"/>
      <c r="BI28"/>
      <c r="BJ28"/>
      <c r="BK28"/>
      <c r="BM28" s="226"/>
      <c r="BN28" s="226"/>
      <c r="BO28" s="226"/>
      <c r="BP28" s="226"/>
      <c r="BQ28" s="226"/>
      <c r="BR28" s="226"/>
      <c r="BS28" s="226"/>
      <c r="BT28" s="226"/>
      <c r="BU28" s="226"/>
      <c r="BV28" s="226"/>
      <c r="BW28" s="226"/>
    </row>
    <row r="29" spans="1:103" ht="14.25" customHeight="1" thickBot="1" x14ac:dyDescent="0.25">
      <c r="A29" s="627"/>
      <c r="B29" s="628"/>
      <c r="C29" s="628"/>
      <c r="D29" s="629"/>
      <c r="E29" s="303" t="s">
        <v>72</v>
      </c>
      <c r="F29" s="303"/>
      <c r="G29" s="304"/>
      <c r="H29" s="305" t="s">
        <v>223</v>
      </c>
      <c r="I29" s="303"/>
      <c r="J29" s="304"/>
      <c r="K29" s="305" t="s">
        <v>224</v>
      </c>
      <c r="L29" s="303"/>
      <c r="M29" s="304"/>
      <c r="N29" s="893" t="s">
        <v>225</v>
      </c>
      <c r="O29" s="894"/>
      <c r="P29" s="895"/>
      <c r="R29" s="3"/>
      <c r="S29" s="800" t="s">
        <v>226</v>
      </c>
      <c r="T29" s="801"/>
      <c r="U29" s="801"/>
      <c r="V29" s="801"/>
      <c r="W29" s="801"/>
      <c r="X29" s="801"/>
      <c r="Y29" s="801"/>
      <c r="Z29" s="802"/>
      <c r="AA29" s="891" t="str">
        <f>IF(Sheet2!J7=3,(SUM(E31:G33)/SUM(E30:G33)*100),"")</f>
        <v/>
      </c>
      <c r="AB29" s="891"/>
      <c r="AC29" s="892"/>
      <c r="AF29" s="4"/>
      <c r="AG29" s="65" t="s">
        <v>227</v>
      </c>
      <c r="AQ29" s="27" t="s">
        <v>228</v>
      </c>
      <c r="AR29" s="22">
        <f>Y11</f>
        <v>0</v>
      </c>
      <c r="AY29"/>
      <c r="AZ29"/>
      <c r="BA29"/>
      <c r="BB29"/>
      <c r="BC29"/>
      <c r="BD29"/>
      <c r="BE29"/>
      <c r="BF29"/>
      <c r="BG29"/>
      <c r="BH29"/>
      <c r="BI29"/>
      <c r="BJ29"/>
      <c r="BK29"/>
      <c r="BM29" s="226"/>
      <c r="BN29" s="226"/>
      <c r="BO29" s="226"/>
      <c r="BP29" s="226"/>
      <c r="BQ29" s="226"/>
      <c r="BR29" s="226"/>
      <c r="BS29" s="226"/>
      <c r="BT29" s="226"/>
      <c r="BU29" s="226"/>
      <c r="BV29" s="226"/>
      <c r="BW29" s="226"/>
    </row>
    <row r="30" spans="1:103" ht="12.6" customHeight="1" thickBot="1" x14ac:dyDescent="0.25">
      <c r="A30" s="570" t="s">
        <v>75</v>
      </c>
      <c r="B30" s="571"/>
      <c r="C30" s="571"/>
      <c r="D30" s="571"/>
      <c r="E30" s="874"/>
      <c r="F30" s="875"/>
      <c r="G30" s="876"/>
      <c r="H30" s="875"/>
      <c r="I30" s="875"/>
      <c r="J30" s="876"/>
      <c r="K30" s="734"/>
      <c r="L30" s="734"/>
      <c r="M30" s="734"/>
      <c r="N30" s="838">
        <f>IF(E30=0,0,ROUND(E30/H30/62.4,2))</f>
        <v>0</v>
      </c>
      <c r="O30" s="838"/>
      <c r="P30" s="839"/>
      <c r="R30" s="3"/>
      <c r="S30" s="594" t="s">
        <v>229</v>
      </c>
      <c r="T30" s="336"/>
      <c r="U30" s="336"/>
      <c r="V30" s="336"/>
      <c r="W30" s="336"/>
      <c r="X30" s="336"/>
      <c r="Y30" s="336"/>
      <c r="Z30" s="337"/>
      <c r="AA30" s="888">
        <f>SUM(E30:G33)</f>
        <v>0</v>
      </c>
      <c r="AB30" s="889"/>
      <c r="AC30" s="890"/>
      <c r="AF30" s="4"/>
      <c r="AG30" s="65" t="s">
        <v>230</v>
      </c>
      <c r="AQ30" s="27" t="s">
        <v>231</v>
      </c>
      <c r="AR30" s="28">
        <f>AA11</f>
        <v>0</v>
      </c>
      <c r="AY30"/>
      <c r="AZ30"/>
      <c r="BA30"/>
      <c r="BB30"/>
      <c r="BC30"/>
      <c r="BD30"/>
      <c r="BE30"/>
      <c r="BF30"/>
      <c r="BG30"/>
      <c r="BH30"/>
      <c r="BI30"/>
      <c r="BJ30"/>
      <c r="BK30"/>
      <c r="BM30" s="226"/>
      <c r="BN30" s="226"/>
      <c r="BO30" s="226"/>
      <c r="BP30" s="226"/>
      <c r="BQ30" s="226"/>
      <c r="BR30" s="226"/>
      <c r="BS30" s="226"/>
      <c r="BT30" s="226"/>
      <c r="BU30" s="226"/>
      <c r="BV30" s="226"/>
      <c r="BW30" s="226"/>
    </row>
    <row r="31" spans="1:103" ht="12.6" customHeight="1" thickBot="1" x14ac:dyDescent="0.25">
      <c r="A31" s="738" t="s">
        <v>77</v>
      </c>
      <c r="B31" s="571"/>
      <c r="C31" s="571"/>
      <c r="D31" s="571"/>
      <c r="E31" s="851"/>
      <c r="F31" s="852"/>
      <c r="G31" s="879"/>
      <c r="H31" s="852"/>
      <c r="I31" s="852"/>
      <c r="J31" s="879"/>
      <c r="K31" s="734"/>
      <c r="L31" s="734"/>
      <c r="M31" s="734"/>
      <c r="N31" s="838">
        <f>IF(OR(E31=0,H31=0),0,ROUND(E31/H31/62.4,2))</f>
        <v>0</v>
      </c>
      <c r="O31" s="838"/>
      <c r="P31" s="839"/>
      <c r="R31" s="3"/>
      <c r="S31" s="594" t="s">
        <v>232</v>
      </c>
      <c r="T31" s="336"/>
      <c r="U31" s="336"/>
      <c r="V31" s="336"/>
      <c r="W31" s="336"/>
      <c r="X31" s="336"/>
      <c r="Y31" s="336"/>
      <c r="Z31" s="337"/>
      <c r="AA31" s="883" t="e">
        <f>IF(Sheet2!G18=TRUE,Sheet2!G19,IF(Sheet2!G29=TRUE,Sheet2!G30,IF(Sheet2!G36=TRUE,Sheet2!G37,IF(Sheet2!#REF!=TRUE,Sheet2!#REF!,""))))</f>
        <v>#REF!</v>
      </c>
      <c r="AB31" s="884"/>
      <c r="AC31" s="228" t="e">
        <f>IF(AA31="","",":1")</f>
        <v>#REF!</v>
      </c>
      <c r="AG31" s="65" t="s">
        <v>233</v>
      </c>
      <c r="AQ31" s="27" t="s">
        <v>234</v>
      </c>
      <c r="AR31" s="22" t="e">
        <f>A15</f>
        <v>#N/A</v>
      </c>
      <c r="AY31"/>
      <c r="AZ31"/>
      <c r="BA31"/>
      <c r="BB31"/>
      <c r="BC31"/>
      <c r="BD31"/>
      <c r="BE31"/>
      <c r="BF31"/>
      <c r="BG31"/>
      <c r="BH31"/>
      <c r="BI31"/>
      <c r="BJ31"/>
      <c r="BK31"/>
      <c r="BM31" s="226"/>
      <c r="BN31" s="226"/>
      <c r="BO31" s="226"/>
      <c r="BP31" s="226"/>
      <c r="BQ31" s="226"/>
      <c r="BR31" s="226"/>
      <c r="BS31" s="226"/>
      <c r="BT31" s="226"/>
      <c r="BU31" s="226"/>
      <c r="BV31" s="226"/>
      <c r="BW31" s="226"/>
    </row>
    <row r="32" spans="1:103" ht="12.6" customHeight="1" thickBot="1" x14ac:dyDescent="0.25">
      <c r="A32" s="738" t="s">
        <v>78</v>
      </c>
      <c r="B32" s="571"/>
      <c r="C32" s="571"/>
      <c r="D32" s="571"/>
      <c r="E32" s="885"/>
      <c r="F32" s="886"/>
      <c r="G32" s="887"/>
      <c r="H32" s="886"/>
      <c r="I32" s="886"/>
      <c r="J32" s="887"/>
      <c r="K32" s="734"/>
      <c r="L32" s="734"/>
      <c r="M32" s="734"/>
      <c r="N32" s="838">
        <f>IF(OR(E32=0,H32=0),0,ROUND(E32/H32/62.4,2))</f>
        <v>0</v>
      </c>
      <c r="O32" s="838"/>
      <c r="P32" s="839"/>
      <c r="R32" s="3"/>
      <c r="S32" s="594" t="s">
        <v>235</v>
      </c>
      <c r="T32" s="336"/>
      <c r="U32" s="336"/>
      <c r="V32" s="336"/>
      <c r="W32" s="336"/>
      <c r="X32" s="336"/>
      <c r="Y32" s="336"/>
      <c r="Z32" s="337"/>
      <c r="AA32" s="883" t="str">
        <f>IF(Sheet2!G20=TRUE,Sheet2!G21,IF(Sheet2!G31=TRUE,Sheet2!G32,IF(Sheet2!G38=TRUE,Sheet2!G39,"")))</f>
        <v/>
      </c>
      <c r="AB32" s="884"/>
      <c r="AC32" s="228" t="str">
        <f>IF(AA32="","",":1")</f>
        <v/>
      </c>
      <c r="AG32" s="65" t="s">
        <v>236</v>
      </c>
      <c r="AQ32" s="27" t="s">
        <v>237</v>
      </c>
      <c r="AR32" s="126">
        <f>D15</f>
        <v>0</v>
      </c>
      <c r="AY32"/>
      <c r="AZ32"/>
      <c r="BA32"/>
      <c r="BB32"/>
      <c r="BC32"/>
      <c r="BD32"/>
      <c r="BE32"/>
      <c r="BF32"/>
      <c r="BG32"/>
      <c r="BH32"/>
      <c r="BI32"/>
      <c r="BJ32"/>
      <c r="BK32"/>
      <c r="BM32" s="226"/>
      <c r="BN32" s="226"/>
      <c r="BO32" s="226"/>
      <c r="BP32" s="226"/>
      <c r="BQ32" s="226"/>
      <c r="BR32" s="226"/>
      <c r="BS32" s="226"/>
      <c r="BT32" s="226"/>
      <c r="BU32" s="226"/>
      <c r="BV32" s="226"/>
      <c r="BW32" s="226"/>
    </row>
    <row r="33" spans="1:75" ht="12.6" customHeight="1" thickBot="1" x14ac:dyDescent="0.25">
      <c r="A33" s="570" t="s">
        <v>238</v>
      </c>
      <c r="B33" s="571"/>
      <c r="C33" s="571"/>
      <c r="D33" s="571"/>
      <c r="E33" s="851"/>
      <c r="F33" s="852"/>
      <c r="G33" s="879"/>
      <c r="H33" s="852"/>
      <c r="I33" s="852"/>
      <c r="J33" s="879"/>
      <c r="K33" s="734"/>
      <c r="L33" s="734"/>
      <c r="M33" s="734"/>
      <c r="N33" s="838">
        <f>IF(OR(E33=0,H33=0),0,ROUND(E33/H33/62.4,2))</f>
        <v>0</v>
      </c>
      <c r="O33" s="838"/>
      <c r="P33" s="839"/>
      <c r="R33" s="3"/>
      <c r="S33" s="594" t="s">
        <v>239</v>
      </c>
      <c r="T33" s="336"/>
      <c r="U33" s="336"/>
      <c r="V33" s="336"/>
      <c r="W33" s="336"/>
      <c r="X33" s="336"/>
      <c r="Y33" s="336"/>
      <c r="Z33" s="337"/>
      <c r="AA33" s="838" t="e">
        <f>IF(Sheet2!G16=TRUE,Sheet2!G17,IF(Sheet2!G27=TRUE,Sheet2!G28,IF(Sheet2!G34=TRUE,Sheet2!G35,IF(Sheet2!#REF!=TRUE,Sheet2!#REF!,""))))</f>
        <v>#REF!</v>
      </c>
      <c r="AB33" s="838"/>
      <c r="AC33" s="839"/>
      <c r="AG33" s="65" t="s">
        <v>240</v>
      </c>
      <c r="AQ33" s="27" t="s">
        <v>241</v>
      </c>
      <c r="AR33" s="22">
        <f>U15</f>
        <v>0</v>
      </c>
      <c r="AY33"/>
      <c r="AZ33"/>
      <c r="BA33"/>
      <c r="BB33"/>
      <c r="BC33"/>
      <c r="BD33"/>
      <c r="BE33"/>
      <c r="BF33"/>
      <c r="BG33"/>
      <c r="BH33"/>
      <c r="BI33"/>
      <c r="BJ33"/>
      <c r="BK33"/>
      <c r="BM33" s="226"/>
      <c r="BN33" s="226"/>
      <c r="BO33" s="226"/>
      <c r="BP33" s="226"/>
      <c r="BQ33" s="226"/>
      <c r="BR33" s="226"/>
      <c r="BS33" s="226"/>
      <c r="BT33" s="226"/>
      <c r="BU33" s="226"/>
      <c r="BV33" s="226"/>
      <c r="BW33" s="226"/>
    </row>
    <row r="34" spans="1:75" ht="12.6" customHeight="1" thickBot="1" x14ac:dyDescent="0.25">
      <c r="A34" s="570" t="s">
        <v>242</v>
      </c>
      <c r="B34" s="571"/>
      <c r="C34" s="571"/>
      <c r="D34" s="571"/>
      <c r="E34" s="851"/>
      <c r="F34" s="852"/>
      <c r="G34" s="879"/>
      <c r="H34" s="852"/>
      <c r="I34" s="852"/>
      <c r="J34" s="879"/>
      <c r="K34" s="734"/>
      <c r="L34" s="734"/>
      <c r="M34" s="734"/>
      <c r="N34" s="838">
        <f>IF(OR(E34=0,H34=0),0,ROUND(E34/H34/62.4,2))</f>
        <v>0</v>
      </c>
      <c r="O34" s="838"/>
      <c r="P34" s="839"/>
      <c r="R34" s="3"/>
      <c r="S34" s="594" t="s">
        <v>243</v>
      </c>
      <c r="T34" s="336"/>
      <c r="U34" s="336"/>
      <c r="V34" s="336"/>
      <c r="W34" s="336"/>
      <c r="X34" s="336"/>
      <c r="Y34" s="336"/>
      <c r="Z34" s="337"/>
      <c r="AA34" s="854" t="str">
        <f>IFERROR((E31/E30)*100,"")</f>
        <v/>
      </c>
      <c r="AB34" s="854"/>
      <c r="AC34" s="855"/>
      <c r="AG34" s="65" t="s">
        <v>244</v>
      </c>
      <c r="AQ34" s="27" t="s">
        <v>245</v>
      </c>
      <c r="AR34" s="22" t="e">
        <f>A16</f>
        <v>#N/A</v>
      </c>
      <c r="AY34"/>
      <c r="AZ34"/>
      <c r="BA34"/>
      <c r="BB34"/>
      <c r="BC34"/>
      <c r="BD34"/>
      <c r="BE34"/>
      <c r="BF34"/>
      <c r="BG34"/>
      <c r="BH34"/>
      <c r="BI34"/>
      <c r="BJ34"/>
      <c r="BK34"/>
      <c r="BM34" s="226"/>
      <c r="BN34" s="226"/>
      <c r="BO34" s="226"/>
      <c r="BP34" s="226"/>
      <c r="BQ34" s="226"/>
      <c r="BR34" s="226"/>
      <c r="BS34" s="226"/>
      <c r="BT34" s="226"/>
      <c r="BU34" s="226"/>
      <c r="BV34" s="226"/>
      <c r="BW34" s="226"/>
    </row>
    <row r="35" spans="1:75" ht="12.6" customHeight="1" thickBot="1" x14ac:dyDescent="0.25">
      <c r="A35" s="797" t="s">
        <v>81</v>
      </c>
      <c r="B35" s="554" t="s">
        <v>82</v>
      </c>
      <c r="C35" s="336"/>
      <c r="D35" s="337"/>
      <c r="E35" s="874"/>
      <c r="F35" s="875"/>
      <c r="G35" s="876"/>
      <c r="H35" s="875"/>
      <c r="I35" s="875"/>
      <c r="J35" s="876"/>
      <c r="K35" s="875"/>
      <c r="L35" s="875"/>
      <c r="M35" s="876"/>
      <c r="N35" s="838">
        <f>IF(OR(E35=0,H35=0,K35=0),0,ROUND(E35/H35/62.4,2))</f>
        <v>0</v>
      </c>
      <c r="O35" s="838"/>
      <c r="P35" s="839"/>
      <c r="R35" s="3"/>
      <c r="S35" s="738" t="s">
        <v>246</v>
      </c>
      <c r="T35" s="571"/>
      <c r="U35" s="571"/>
      <c r="V35" s="571"/>
      <c r="W35" s="571"/>
      <c r="X35" s="571"/>
      <c r="Y35" s="571"/>
      <c r="Z35" s="571"/>
      <c r="AA35" s="854" t="str">
        <f>IF(Sheet2!G44=TRUE,Sheet2!G45,IF(Sheet2!G23=TRUE,Sheet2!G25,""))</f>
        <v/>
      </c>
      <c r="AB35" s="854"/>
      <c r="AC35" s="855"/>
      <c r="AG35" s="65" t="s">
        <v>79</v>
      </c>
      <c r="AQ35" s="27" t="s">
        <v>247</v>
      </c>
      <c r="AR35" s="28">
        <f>D16</f>
        <v>0</v>
      </c>
      <c r="AY35"/>
      <c r="AZ35"/>
      <c r="BA35"/>
      <c r="BB35"/>
      <c r="BC35"/>
      <c r="BD35"/>
      <c r="BE35"/>
      <c r="BF35"/>
      <c r="BG35"/>
      <c r="BH35"/>
      <c r="BI35"/>
      <c r="BJ35"/>
      <c r="BK35"/>
      <c r="BM35" s="226"/>
      <c r="BN35" s="226"/>
      <c r="BO35" s="226"/>
      <c r="BP35" s="226"/>
      <c r="BQ35" s="226"/>
      <c r="BR35" s="226"/>
      <c r="BS35" s="226"/>
      <c r="BT35" s="226"/>
      <c r="BU35" s="226"/>
      <c r="BV35" s="226"/>
      <c r="BW35" s="226"/>
    </row>
    <row r="36" spans="1:75" ht="12.6" customHeight="1" thickBot="1" x14ac:dyDescent="0.25">
      <c r="A36" s="798"/>
      <c r="B36" s="554" t="s">
        <v>248</v>
      </c>
      <c r="C36" s="336"/>
      <c r="D36" s="337"/>
      <c r="E36" s="874"/>
      <c r="F36" s="875"/>
      <c r="G36" s="876"/>
      <c r="H36" s="875"/>
      <c r="I36" s="875"/>
      <c r="J36" s="876"/>
      <c r="K36" s="875"/>
      <c r="L36" s="875"/>
      <c r="M36" s="876"/>
      <c r="N36" s="838">
        <f>IF(OR(E36=0,H36=0,K36=0),0,ROUND(E36/H36/62.4,2))</f>
        <v>0</v>
      </c>
      <c r="O36" s="838"/>
      <c r="P36" s="839"/>
      <c r="R36" s="3"/>
      <c r="S36" s="570" t="s">
        <v>249</v>
      </c>
      <c r="T36" s="571"/>
      <c r="U36" s="571"/>
      <c r="V36" s="571"/>
      <c r="W36" s="571"/>
      <c r="X36" s="571"/>
      <c r="Y36" s="571"/>
      <c r="Z36" s="571"/>
      <c r="AA36" s="877" t="str">
        <f>IFERROR(IF(AND(Gradation!R19=0,Gradation!AC43=0),"Yes","No"),"")</f>
        <v/>
      </c>
      <c r="AB36" s="877"/>
      <c r="AC36" s="878"/>
      <c r="AG36" s="4"/>
      <c r="AQ36" s="27" t="s">
        <v>250</v>
      </c>
      <c r="AR36" s="22">
        <f>U16</f>
        <v>0</v>
      </c>
      <c r="AY36"/>
      <c r="AZ36"/>
      <c r="BA36"/>
      <c r="BB36"/>
      <c r="BC36"/>
      <c r="BD36"/>
      <c r="BE36"/>
      <c r="BF36"/>
      <c r="BG36"/>
      <c r="BH36"/>
      <c r="BI36"/>
      <c r="BJ36"/>
      <c r="BK36"/>
    </row>
    <row r="37" spans="1:75" ht="12.6" customHeight="1" thickBot="1" x14ac:dyDescent="0.25">
      <c r="A37" s="798"/>
      <c r="B37" s="578"/>
      <c r="C37" s="431"/>
      <c r="D37" s="432"/>
      <c r="E37" s="370"/>
      <c r="F37" s="868"/>
      <c r="G37" s="371"/>
      <c r="H37" s="585"/>
      <c r="I37" s="586"/>
      <c r="J37" s="587"/>
      <c r="K37" s="537"/>
      <c r="L37" s="588"/>
      <c r="M37" s="538"/>
      <c r="N37" s="871"/>
      <c r="O37" s="872"/>
      <c r="P37" s="873"/>
      <c r="R37" s="3"/>
      <c r="S37" s="570" t="s">
        <v>251</v>
      </c>
      <c r="T37" s="571"/>
      <c r="U37" s="571"/>
      <c r="V37" s="571"/>
      <c r="W37" s="571"/>
      <c r="X37" s="571"/>
      <c r="Y37" s="571"/>
      <c r="Z37" s="571"/>
      <c r="AA37" s="880" t="str">
        <f>IFERROR(IF(AND(Gradation!R19=0,Gradation!AC44=0),"Yes","No"),"")</f>
        <v/>
      </c>
      <c r="AB37" s="881"/>
      <c r="AC37" s="882"/>
      <c r="AG37" s="4"/>
      <c r="AQ37" s="27"/>
      <c r="AR37" s="22"/>
      <c r="AY37"/>
      <c r="AZ37"/>
      <c r="BA37"/>
      <c r="BB37"/>
      <c r="BC37"/>
      <c r="BD37"/>
      <c r="BE37"/>
      <c r="BF37"/>
      <c r="BG37"/>
      <c r="BH37"/>
      <c r="BI37"/>
      <c r="BJ37"/>
      <c r="BK37"/>
    </row>
    <row r="38" spans="1:75" ht="12.6" customHeight="1" thickBot="1" x14ac:dyDescent="0.25">
      <c r="A38" s="799"/>
      <c r="B38" s="554" t="s">
        <v>252</v>
      </c>
      <c r="C38" s="336"/>
      <c r="D38" s="337"/>
      <c r="E38" s="370"/>
      <c r="F38" s="868"/>
      <c r="G38" s="371"/>
      <c r="H38" s="585"/>
      <c r="I38" s="586"/>
      <c r="J38" s="587"/>
      <c r="K38" s="537"/>
      <c r="L38" s="588"/>
      <c r="M38" s="538"/>
      <c r="N38" s="838">
        <f>IF(OR(E38=0,H38=0,K38=0),0,ROUND(E38/H38/62.4,2))</f>
        <v>0</v>
      </c>
      <c r="O38" s="838"/>
      <c r="P38" s="839"/>
      <c r="R38" s="3"/>
      <c r="S38" s="738" t="s">
        <v>253</v>
      </c>
      <c r="T38" s="571"/>
      <c r="U38" s="571"/>
      <c r="V38" s="571"/>
      <c r="W38" s="571"/>
      <c r="X38" s="571"/>
      <c r="Y38" s="571"/>
      <c r="Z38" s="571"/>
      <c r="AA38" s="869" t="e">
        <f>(E39+E41)/(E30+E31+E32+E33)</f>
        <v>#DIV/0!</v>
      </c>
      <c r="AB38" s="869"/>
      <c r="AC38" s="870"/>
      <c r="AQ38" s="27" t="s">
        <v>254</v>
      </c>
      <c r="AR38" s="22" t="e">
        <f>A17</f>
        <v>#N/A</v>
      </c>
      <c r="AY38"/>
      <c r="AZ38"/>
      <c r="BA38"/>
      <c r="BB38"/>
      <c r="BC38"/>
      <c r="BD38"/>
      <c r="BE38"/>
      <c r="BF38"/>
      <c r="BG38"/>
      <c r="BH38"/>
      <c r="BI38"/>
      <c r="BJ38"/>
      <c r="BK38"/>
    </row>
    <row r="39" spans="1:75" ht="12.6" customHeight="1" thickBot="1" x14ac:dyDescent="0.25">
      <c r="A39" s="600" t="s">
        <v>255</v>
      </c>
      <c r="B39" s="601"/>
      <c r="C39" s="601"/>
      <c r="D39" s="602"/>
      <c r="E39" s="856"/>
      <c r="F39" s="857"/>
      <c r="G39" s="858"/>
      <c r="H39" s="561">
        <v>1</v>
      </c>
      <c r="I39" s="562"/>
      <c r="J39" s="563"/>
      <c r="K39" s="784"/>
      <c r="L39" s="785"/>
      <c r="M39" s="786"/>
      <c r="N39" s="862">
        <f>IF(E39=0,0,ROUND(E39/H39/62.4,2))</f>
        <v>0</v>
      </c>
      <c r="O39" s="863"/>
      <c r="P39" s="864"/>
      <c r="R39" s="3"/>
      <c r="S39" s="594" t="s">
        <v>256</v>
      </c>
      <c r="T39" s="336"/>
      <c r="U39" s="336"/>
      <c r="V39" s="336"/>
      <c r="W39" s="336"/>
      <c r="X39" s="336"/>
      <c r="Y39" s="336"/>
      <c r="Z39" s="337"/>
      <c r="AA39" s="846"/>
      <c r="AB39" s="847"/>
      <c r="AC39" s="848"/>
      <c r="AG39" s="4" t="s">
        <v>257</v>
      </c>
      <c r="AQ39" s="27" t="s">
        <v>258</v>
      </c>
      <c r="AR39" s="126">
        <f>D17</f>
        <v>0</v>
      </c>
      <c r="AY39"/>
      <c r="AZ39"/>
      <c r="BA39"/>
      <c r="BB39"/>
      <c r="BC39"/>
      <c r="BD39"/>
      <c r="BE39"/>
      <c r="BF39"/>
      <c r="BG39"/>
      <c r="BH39"/>
      <c r="BI39"/>
      <c r="BJ39"/>
      <c r="BK39"/>
    </row>
    <row r="40" spans="1:75" ht="12.6" customHeight="1" thickBot="1" x14ac:dyDescent="0.25">
      <c r="A40" s="603"/>
      <c r="B40" s="604"/>
      <c r="C40" s="604"/>
      <c r="D40" s="605"/>
      <c r="E40" s="859"/>
      <c r="F40" s="860"/>
      <c r="G40" s="861"/>
      <c r="H40" s="564"/>
      <c r="I40" s="565"/>
      <c r="J40" s="566"/>
      <c r="K40" s="787"/>
      <c r="L40" s="788"/>
      <c r="M40" s="789"/>
      <c r="N40" s="865"/>
      <c r="O40" s="866"/>
      <c r="P40" s="867"/>
      <c r="R40" s="3"/>
      <c r="S40" s="735" t="s">
        <v>259</v>
      </c>
      <c r="T40" s="736"/>
      <c r="U40" s="736"/>
      <c r="V40" s="736"/>
      <c r="W40" s="736"/>
      <c r="X40" s="736"/>
      <c r="Y40" s="736"/>
      <c r="Z40" s="736"/>
      <c r="AA40" s="849" t="str">
        <f>IFERROR(E35/(E35+E36+E38)*100,"")</f>
        <v/>
      </c>
      <c r="AB40" s="849"/>
      <c r="AC40" s="850"/>
      <c r="AG40" s="4"/>
      <c r="AQ40" s="27" t="s">
        <v>260</v>
      </c>
      <c r="AR40" s="22">
        <f>U17</f>
        <v>0</v>
      </c>
      <c r="AY40"/>
      <c r="AZ40"/>
      <c r="BA40"/>
      <c r="BB40"/>
      <c r="BC40"/>
      <c r="BD40"/>
      <c r="BE40"/>
      <c r="BF40"/>
      <c r="BG40"/>
      <c r="BH40"/>
      <c r="BI40"/>
      <c r="BJ40"/>
      <c r="BK40"/>
    </row>
    <row r="41" spans="1:75" ht="12.6" customHeight="1" thickBot="1" x14ac:dyDescent="0.25">
      <c r="A41" s="738" t="s">
        <v>261</v>
      </c>
      <c r="B41" s="571"/>
      <c r="C41" s="571"/>
      <c r="D41" s="571"/>
      <c r="E41" s="851"/>
      <c r="F41" s="852"/>
      <c r="G41" s="853"/>
      <c r="H41" s="757">
        <v>1</v>
      </c>
      <c r="I41" s="757"/>
      <c r="J41" s="757"/>
      <c r="K41" s="734"/>
      <c r="L41" s="734"/>
      <c r="M41" s="734"/>
      <c r="N41" s="838">
        <f>IF(E41=0,0,ROUND(E41/H41/62.4,2))</f>
        <v>0</v>
      </c>
      <c r="O41" s="838"/>
      <c r="P41" s="839"/>
      <c r="R41" s="3"/>
      <c r="S41" s="738" t="s">
        <v>262</v>
      </c>
      <c r="T41" s="571"/>
      <c r="U41" s="571"/>
      <c r="V41" s="571"/>
      <c r="W41" s="571"/>
      <c r="X41" s="571"/>
      <c r="Y41" s="571"/>
      <c r="Z41" s="571"/>
      <c r="AA41" s="854" t="str">
        <f>IFERROR(N35*100/SUM(N35:N38),"")</f>
        <v/>
      </c>
      <c r="AB41" s="854"/>
      <c r="AC41" s="855"/>
      <c r="AG41" s="4" t="s">
        <v>37</v>
      </c>
      <c r="AQ41" s="27" t="s">
        <v>263</v>
      </c>
      <c r="AR41" s="22">
        <f>AA15</f>
        <v>0</v>
      </c>
      <c r="AY41"/>
      <c r="AZ41"/>
      <c r="BA41"/>
      <c r="BB41"/>
      <c r="BC41"/>
      <c r="BD41"/>
      <c r="BE41"/>
      <c r="BF41"/>
      <c r="BG41"/>
      <c r="BH41"/>
      <c r="BI41"/>
      <c r="BJ41"/>
      <c r="BK41"/>
    </row>
    <row r="42" spans="1:75" ht="12.6" customHeight="1" thickBot="1" x14ac:dyDescent="0.25">
      <c r="A42" s="793" t="s">
        <v>264</v>
      </c>
      <c r="B42" s="337"/>
      <c r="C42" s="845"/>
      <c r="D42" s="845"/>
      <c r="E42" s="753"/>
      <c r="F42" s="754"/>
      <c r="G42" s="755"/>
      <c r="H42" s="757">
        <v>0</v>
      </c>
      <c r="I42" s="757"/>
      <c r="J42" s="757"/>
      <c r="K42" s="734"/>
      <c r="L42" s="734"/>
      <c r="M42" s="734"/>
      <c r="N42" s="838">
        <f>(C42/100)*27</f>
        <v>0</v>
      </c>
      <c r="O42" s="838"/>
      <c r="P42" s="839"/>
      <c r="R42" s="3"/>
      <c r="S42" s="594" t="str">
        <f>IF(OR(V6=501,V6="730*"),"*** % Passing 1 inch sieve","% Passing 1 inch sieve")</f>
        <v>% Passing 1 inch sieve</v>
      </c>
      <c r="T42" s="336"/>
      <c r="U42" s="336"/>
      <c r="V42" s="336"/>
      <c r="W42" s="336"/>
      <c r="X42" s="336"/>
      <c r="Y42" s="336"/>
      <c r="Z42" s="336"/>
      <c r="AA42" s="835" t="str">
        <f>IF(AND(S42="*** % Passing 1 inch sieve",OR(S9="QA",S10="QA",S11="QA")),K12,IF(AND(S42="*** % Passing 1 inch sieve",OR(S9="#8",S10="#8",S11="#8")),100,""))</f>
        <v/>
      </c>
      <c r="AB42" s="836"/>
      <c r="AC42" s="837"/>
      <c r="AG42" s="4" t="s">
        <v>40</v>
      </c>
      <c r="AQ42" s="27" t="s">
        <v>265</v>
      </c>
      <c r="AR42" s="22">
        <f>AA17</f>
        <v>0</v>
      </c>
      <c r="AY42"/>
      <c r="AZ42"/>
      <c r="BA42"/>
      <c r="BB42"/>
      <c r="BC42"/>
      <c r="BD42"/>
      <c r="BE42"/>
      <c r="BF42"/>
      <c r="BG42"/>
      <c r="BH42"/>
      <c r="BI42"/>
      <c r="BJ42"/>
      <c r="BK42"/>
    </row>
    <row r="43" spans="1:75" ht="12.6" customHeight="1" thickBot="1" x14ac:dyDescent="0.25">
      <c r="A43" s="738" t="s">
        <v>266</v>
      </c>
      <c r="B43" s="571"/>
      <c r="C43" s="571"/>
      <c r="D43" s="571"/>
      <c r="E43" s="744">
        <f>SUM(E30:E42)</f>
        <v>0</v>
      </c>
      <c r="F43" s="745"/>
      <c r="G43" s="746"/>
      <c r="H43" s="734"/>
      <c r="I43" s="734"/>
      <c r="J43" s="734"/>
      <c r="K43" s="734"/>
      <c r="L43" s="734"/>
      <c r="M43" s="734"/>
      <c r="N43" s="838"/>
      <c r="O43" s="838"/>
      <c r="P43" s="839"/>
      <c r="R43" s="3"/>
      <c r="S43" s="840" t="str">
        <f>IF(OR(V6=501,V6="730*"), "** % Passing No. 200 sieve","% Passing No. 200 sieve")</f>
        <v>% Passing No. 200 sieve</v>
      </c>
      <c r="T43" s="841"/>
      <c r="U43" s="841"/>
      <c r="V43" s="841"/>
      <c r="W43" s="841"/>
      <c r="X43" s="841"/>
      <c r="Y43" s="841"/>
      <c r="Z43" s="842"/>
      <c r="AA43" s="843" t="str">
        <f>IFERROR(IF(OR(V6="501 QC/QA PCCP",V6="730*"),100*(((AB12*E35/(1+K35/100))+(W12*E36/(1+K36/100)))/(E35/(1+K35/100)+E36/(1+K36/100))),""),"")</f>
        <v/>
      </c>
      <c r="AB43" s="843"/>
      <c r="AC43" s="844"/>
      <c r="AG43" s="4" t="s">
        <v>42</v>
      </c>
      <c r="AQ43" s="27" t="s">
        <v>267</v>
      </c>
      <c r="AR43" s="128" t="e">
        <f>A20</f>
        <v>#N/A</v>
      </c>
      <c r="AY43"/>
      <c r="AZ43"/>
      <c r="BA43"/>
      <c r="BB43"/>
      <c r="BC43"/>
      <c r="BD43"/>
      <c r="BE43"/>
      <c r="BF43"/>
      <c r="BG43"/>
      <c r="BH43"/>
      <c r="BI43"/>
      <c r="BJ43"/>
      <c r="BK43"/>
    </row>
    <row r="44" spans="1:75" ht="18" customHeight="1" thickBot="1" x14ac:dyDescent="0.25">
      <c r="A44" s="761"/>
      <c r="B44" s="762"/>
      <c r="C44" s="762"/>
      <c r="D44" s="762"/>
      <c r="E44" s="762"/>
      <c r="F44" s="762"/>
      <c r="G44" s="762"/>
      <c r="H44" s="762"/>
      <c r="I44" s="762"/>
      <c r="J44" s="474" t="s">
        <v>268</v>
      </c>
      <c r="K44" s="474"/>
      <c r="L44" s="474"/>
      <c r="M44" s="763"/>
      <c r="N44" s="830"/>
      <c r="O44" s="831"/>
      <c r="P44" s="832"/>
      <c r="S44" s="674" t="s">
        <v>269</v>
      </c>
      <c r="T44" s="675"/>
      <c r="U44" s="675"/>
      <c r="V44" s="675"/>
      <c r="W44" s="675"/>
      <c r="X44" s="675"/>
      <c r="Y44" s="675"/>
      <c r="Z44" s="675"/>
      <c r="AA44" s="833" t="e">
        <f>((N30+N31+N32+N33+N39+N41+N42)/N43)*100</f>
        <v>#DIV/0!</v>
      </c>
      <c r="AB44" s="833"/>
      <c r="AC44" s="834"/>
      <c r="AG44" s="4" t="s">
        <v>45</v>
      </c>
      <c r="AQ44" s="31" t="s">
        <v>270</v>
      </c>
      <c r="AR44" s="126" t="e">
        <f>D20</f>
        <v>#N/A</v>
      </c>
      <c r="AY44"/>
      <c r="AZ44"/>
      <c r="BA44"/>
      <c r="BB44"/>
      <c r="BC44"/>
      <c r="BD44"/>
      <c r="BE44"/>
      <c r="BF44"/>
      <c r="BG44"/>
      <c r="BH44"/>
      <c r="BI44"/>
      <c r="BJ44"/>
      <c r="BK44"/>
    </row>
    <row r="45" spans="1:75" ht="18" customHeight="1" thickBot="1" x14ac:dyDescent="0.25">
      <c r="A45" s="182"/>
      <c r="B45" s="182"/>
      <c r="C45" s="182"/>
      <c r="D45" s="182"/>
      <c r="E45" s="182"/>
      <c r="F45" s="182"/>
      <c r="G45" s="182"/>
      <c r="H45" s="182"/>
      <c r="I45" s="182"/>
      <c r="J45" s="67"/>
      <c r="K45" s="67"/>
      <c r="L45" s="67"/>
      <c r="M45" s="67"/>
      <c r="N45" s="180"/>
      <c r="O45" s="180"/>
      <c r="P45" s="180"/>
      <c r="S45" s="776" t="s">
        <v>271</v>
      </c>
      <c r="T45" s="777"/>
      <c r="U45" s="777"/>
      <c r="V45" s="777"/>
      <c r="W45" s="777"/>
      <c r="X45" s="777"/>
      <c r="Y45" s="777"/>
      <c r="Z45" s="777"/>
      <c r="AA45" s="823"/>
      <c r="AB45" s="824"/>
      <c r="AC45" s="229"/>
      <c r="AG45" s="4" t="s">
        <v>47</v>
      </c>
      <c r="AP45" s="3"/>
      <c r="AQ45" s="31"/>
      <c r="AR45" s="126"/>
      <c r="AY45"/>
      <c r="AZ45"/>
      <c r="BA45"/>
      <c r="BB45"/>
      <c r="BC45"/>
      <c r="BD45"/>
      <c r="BE45"/>
      <c r="BF45"/>
      <c r="BG45"/>
      <c r="BH45"/>
      <c r="BI45"/>
      <c r="BJ45"/>
      <c r="BK45"/>
    </row>
    <row r="46" spans="1:75" ht="16.5" customHeight="1" thickBot="1" x14ac:dyDescent="0.25">
      <c r="A46" s="825" t="s">
        <v>272</v>
      </c>
      <c r="B46" s="826"/>
      <c r="C46" s="826"/>
      <c r="D46" s="826"/>
      <c r="E46" s="826"/>
      <c r="F46" s="826"/>
      <c r="G46" s="826"/>
      <c r="H46" s="826"/>
      <c r="I46" s="826"/>
      <c r="J46" s="826"/>
      <c r="K46" s="826"/>
      <c r="L46" s="826"/>
      <c r="M46" s="827" t="str">
        <f>IF(V6="501 QC/QA PCCP","***501 QC/QA PCCP MUST HAVE A POZZOLAN***"," ")</f>
        <v xml:space="preserve"> </v>
      </c>
      <c r="N46" s="827"/>
      <c r="O46" s="827"/>
      <c r="P46" s="827"/>
      <c r="Q46" s="827"/>
      <c r="R46" s="827"/>
      <c r="S46" s="827"/>
      <c r="T46" s="827"/>
      <c r="U46" s="827"/>
      <c r="V46" s="827"/>
      <c r="W46" s="827"/>
      <c r="X46" s="827"/>
      <c r="Y46" s="827"/>
      <c r="Z46" s="827"/>
      <c r="AA46" s="827"/>
      <c r="AB46" s="827"/>
      <c r="AC46" s="827"/>
      <c r="AG46" s="4" t="s">
        <v>50</v>
      </c>
      <c r="AP46" s="3"/>
      <c r="AQ46" s="31" t="s">
        <v>273</v>
      </c>
      <c r="AR46" s="32">
        <f>M20</f>
        <v>0</v>
      </c>
      <c r="AY46"/>
      <c r="AZ46"/>
      <c r="BA46"/>
      <c r="BB46"/>
      <c r="BC46"/>
      <c r="BD46"/>
      <c r="BE46"/>
      <c r="BF46"/>
      <c r="BG46"/>
      <c r="BH46"/>
      <c r="BI46"/>
      <c r="BJ46"/>
      <c r="BK46"/>
    </row>
    <row r="47" spans="1:75" ht="18.75" customHeight="1" thickBot="1" x14ac:dyDescent="0.25">
      <c r="A47" s="2"/>
      <c r="B47" s="2"/>
      <c r="E47" s="4" t="s">
        <v>274</v>
      </c>
      <c r="M47" s="828"/>
      <c r="N47" s="828"/>
      <c r="O47" s="828"/>
      <c r="P47" s="828"/>
      <c r="Q47" s="828"/>
      <c r="R47" s="828"/>
      <c r="S47" s="828"/>
      <c r="T47" s="828"/>
      <c r="U47" s="828"/>
      <c r="V47" s="828"/>
      <c r="W47" s="828"/>
      <c r="X47" s="298" t="s">
        <v>275</v>
      </c>
      <c r="Y47" s="298"/>
      <c r="Z47" s="829"/>
      <c r="AA47" s="828"/>
      <c r="AB47" s="828"/>
      <c r="AC47" s="828"/>
      <c r="AD47" s="5"/>
      <c r="AG47" s="4" t="s">
        <v>276</v>
      </c>
      <c r="AO47" s="122"/>
      <c r="AP47" s="123"/>
      <c r="AQ47" s="31" t="s">
        <v>181</v>
      </c>
      <c r="AR47" s="126" t="e">
        <f>U20</f>
        <v>#N/A</v>
      </c>
      <c r="AY47"/>
      <c r="AZ47"/>
      <c r="BA47"/>
      <c r="BB47"/>
      <c r="BC47"/>
      <c r="BD47"/>
      <c r="BE47"/>
      <c r="BF47"/>
      <c r="BG47"/>
      <c r="BH47"/>
      <c r="BI47"/>
      <c r="BJ47"/>
      <c r="BK47"/>
    </row>
    <row r="48" spans="1:75" ht="16.5" customHeight="1" thickBot="1" x14ac:dyDescent="0.25">
      <c r="A48" s="211"/>
      <c r="M48" s="39"/>
      <c r="N48" s="818" t="s">
        <v>277</v>
      </c>
      <c r="O48" s="818"/>
      <c r="P48" s="818"/>
      <c r="Q48" s="818"/>
      <c r="R48" s="818"/>
      <c r="S48" s="818"/>
      <c r="T48" s="818"/>
      <c r="U48" s="818"/>
      <c r="V48" s="818"/>
      <c r="W48" s="818"/>
      <c r="X48" s="818"/>
      <c r="Y48" s="818"/>
      <c r="Z48" s="819"/>
      <c r="AA48" s="819"/>
      <c r="AB48" s="819"/>
      <c r="AC48" s="819"/>
      <c r="AD48" s="33"/>
      <c r="AG48" s="4"/>
      <c r="AP48" s="3"/>
      <c r="AQ48" s="31" t="s">
        <v>278</v>
      </c>
      <c r="AR48" s="126" t="e">
        <f>X20</f>
        <v>#N/A</v>
      </c>
      <c r="AY48"/>
      <c r="AZ48"/>
      <c r="BA48"/>
      <c r="BB48"/>
      <c r="BC48"/>
      <c r="BD48"/>
      <c r="BE48"/>
      <c r="BF48"/>
      <c r="BG48"/>
      <c r="BH48"/>
      <c r="BI48"/>
      <c r="BJ48"/>
      <c r="BK48"/>
    </row>
    <row r="49" spans="1:63" ht="16.5" customHeight="1" thickBot="1" x14ac:dyDescent="0.25">
      <c r="A49" s="211"/>
      <c r="M49" s="40"/>
      <c r="N49" s="213"/>
      <c r="O49" s="213"/>
      <c r="P49" s="764" t="s">
        <v>279</v>
      </c>
      <c r="Q49" s="764"/>
      <c r="R49" s="764"/>
      <c r="S49" s="764"/>
      <c r="T49" s="764"/>
      <c r="U49" s="764"/>
      <c r="V49" s="764"/>
      <c r="W49" s="764"/>
      <c r="X49" s="764"/>
      <c r="Y49" s="764"/>
      <c r="Z49" s="820"/>
      <c r="AA49" s="820"/>
      <c r="AB49" s="820"/>
      <c r="AC49" s="820"/>
      <c r="AD49" s="33"/>
      <c r="AG49" s="4" t="s">
        <v>280</v>
      </c>
      <c r="AQ49" s="31" t="s">
        <v>281</v>
      </c>
      <c r="AR49" s="128" t="e">
        <f>A21</f>
        <v>#N/A</v>
      </c>
      <c r="AY49"/>
      <c r="AZ49"/>
      <c r="BA49"/>
      <c r="BB49"/>
      <c r="BC49"/>
      <c r="BD49"/>
      <c r="BE49"/>
      <c r="BF49"/>
      <c r="BG49"/>
      <c r="BH49"/>
      <c r="BI49"/>
      <c r="BJ49"/>
      <c r="BK49"/>
    </row>
    <row r="50" spans="1:63" ht="13.5" customHeight="1" thickBot="1" x14ac:dyDescent="0.25">
      <c r="A50" s="298" t="s">
        <v>282</v>
      </c>
      <c r="B50" s="298"/>
      <c r="C50" s="298"/>
      <c r="D50" s="298"/>
      <c r="E50" s="298"/>
      <c r="F50" s="298"/>
      <c r="G50" s="821"/>
      <c r="H50" s="822"/>
      <c r="I50" s="822"/>
      <c r="J50" s="822"/>
      <c r="K50" s="822"/>
      <c r="L50" s="822"/>
      <c r="M50" s="822"/>
      <c r="N50" s="822"/>
      <c r="O50" s="822"/>
      <c r="P50" s="822"/>
      <c r="Q50" s="822"/>
      <c r="R50" s="822"/>
      <c r="S50" s="822"/>
      <c r="T50" s="822"/>
      <c r="U50" s="822"/>
      <c r="V50" s="822"/>
      <c r="W50" s="822"/>
      <c r="X50" s="822"/>
      <c r="Y50" s="822"/>
      <c r="Z50" s="822"/>
      <c r="AA50" s="822"/>
      <c r="AB50" s="822"/>
      <c r="AC50" s="822"/>
      <c r="AD50" s="33"/>
      <c r="AQ50" s="31" t="s">
        <v>283</v>
      </c>
      <c r="AR50" s="22" t="e">
        <f>D20</f>
        <v>#N/A</v>
      </c>
      <c r="AY50"/>
      <c r="AZ50"/>
      <c r="BA50"/>
      <c r="BB50"/>
      <c r="BC50"/>
      <c r="BD50"/>
      <c r="BE50"/>
      <c r="BF50"/>
      <c r="BG50"/>
      <c r="BH50"/>
      <c r="BI50"/>
      <c r="BJ50"/>
      <c r="BK50"/>
    </row>
    <row r="51" spans="1:63" ht="13.5" customHeight="1" thickBot="1" x14ac:dyDescent="0.25">
      <c r="A51" s="814"/>
      <c r="B51" s="814"/>
      <c r="C51" s="814"/>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4"/>
      <c r="AC51" s="814"/>
      <c r="AD51" s="109"/>
      <c r="AG51" s="4" t="s">
        <v>1805</v>
      </c>
      <c r="AQ51" s="31" t="s">
        <v>284</v>
      </c>
      <c r="AR51" s="32">
        <f>M21</f>
        <v>0</v>
      </c>
      <c r="AY51"/>
      <c r="AZ51"/>
      <c r="BA51"/>
      <c r="BB51"/>
      <c r="BC51"/>
      <c r="BD51"/>
      <c r="BE51"/>
      <c r="BF51"/>
      <c r="BG51"/>
      <c r="BH51"/>
      <c r="BI51"/>
      <c r="BJ51"/>
      <c r="BK51"/>
    </row>
    <row r="52" spans="1:63" ht="12.75" customHeight="1" thickBot="1" x14ac:dyDescent="0.25">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C52" s="815"/>
      <c r="AD52" s="109"/>
      <c r="AG52" s="4" t="s">
        <v>1806</v>
      </c>
      <c r="AQ52" s="31" t="s">
        <v>285</v>
      </c>
      <c r="AR52" s="22" t="e">
        <f>U21</f>
        <v>#N/A</v>
      </c>
      <c r="AY52"/>
      <c r="AZ52"/>
      <c r="BA52"/>
      <c r="BB52"/>
      <c r="BC52"/>
      <c r="BD52"/>
      <c r="BE52"/>
      <c r="BF52"/>
      <c r="BG52"/>
      <c r="BH52"/>
      <c r="BI52"/>
      <c r="BJ52"/>
      <c r="BK52"/>
    </row>
    <row r="53" spans="1:63" ht="12.75" customHeight="1" thickBot="1" x14ac:dyDescent="0.25">
      <c r="A53" s="298" t="s">
        <v>286</v>
      </c>
      <c r="B53" s="298"/>
      <c r="C53" s="298"/>
      <c r="D53" s="298"/>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109"/>
      <c r="AG53" s="4" t="s">
        <v>1807</v>
      </c>
      <c r="AQ53" s="31" t="s">
        <v>287</v>
      </c>
      <c r="AR53" s="28" t="e">
        <f>X21</f>
        <v>#N/A</v>
      </c>
      <c r="AY53"/>
      <c r="AZ53"/>
      <c r="BA53"/>
      <c r="BB53"/>
      <c r="BC53"/>
      <c r="BD53"/>
      <c r="BE53"/>
      <c r="BF53"/>
      <c r="BG53"/>
      <c r="BH53"/>
      <c r="BI53"/>
      <c r="BJ53"/>
      <c r="BK53"/>
    </row>
    <row r="54" spans="1:63" ht="12.75" customHeight="1" thickBot="1" x14ac:dyDescent="0.25">
      <c r="A54" s="817"/>
      <c r="B54" s="817"/>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17"/>
      <c r="AG54" s="4" t="s">
        <v>1808</v>
      </c>
      <c r="AQ54" s="31" t="s">
        <v>288</v>
      </c>
      <c r="AR54" s="128" t="e">
        <f>A22</f>
        <v>#N/A</v>
      </c>
      <c r="AY54"/>
      <c r="AZ54"/>
      <c r="BA54"/>
      <c r="BB54"/>
      <c r="BC54"/>
      <c r="BD54"/>
      <c r="BE54"/>
      <c r="BF54"/>
      <c r="BG54"/>
      <c r="BH54"/>
      <c r="BI54"/>
      <c r="BJ54"/>
      <c r="BK54"/>
    </row>
    <row r="55" spans="1:63" ht="12.75" customHeight="1" thickBot="1" x14ac:dyDescent="0.25">
      <c r="A55" s="808"/>
      <c r="B55" s="808"/>
      <c r="C55" s="808"/>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17"/>
      <c r="AQ55" s="31" t="s">
        <v>289</v>
      </c>
      <c r="AR55" s="22" t="e">
        <f>D22</f>
        <v>#N/A</v>
      </c>
      <c r="AY55"/>
      <c r="AZ55"/>
      <c r="BA55"/>
      <c r="BB55"/>
      <c r="BC55"/>
      <c r="BD55"/>
      <c r="BE55"/>
      <c r="BF55"/>
      <c r="BG55"/>
      <c r="BH55"/>
      <c r="BI55"/>
      <c r="BJ55"/>
      <c r="BK55"/>
    </row>
    <row r="56" spans="1:63" ht="12.75" customHeight="1" thickBot="1" x14ac:dyDescent="0.25">
      <c r="A56" s="808"/>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17"/>
      <c r="AQ56" s="31" t="s">
        <v>290</v>
      </c>
      <c r="AR56" s="28">
        <f>M22</f>
        <v>0</v>
      </c>
      <c r="AY56"/>
      <c r="AZ56"/>
      <c r="BA56"/>
      <c r="BB56"/>
      <c r="BC56"/>
      <c r="BD56"/>
      <c r="BE56"/>
      <c r="BF56"/>
      <c r="BG56"/>
      <c r="BH56"/>
      <c r="BI56"/>
      <c r="BJ56"/>
      <c r="BK56"/>
    </row>
    <row r="57" spans="1:63" ht="12.75" customHeight="1" thickBot="1" x14ac:dyDescent="0.25">
      <c r="A57" s="80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10"/>
      <c r="AA57" s="811" t="str">
        <f>CMDS!AA60</f>
        <v>v14f.07.01.24</v>
      </c>
      <c r="AB57" s="812"/>
      <c r="AC57" s="812"/>
      <c r="AD57" s="813"/>
      <c r="AQ57" s="31" t="s">
        <v>291</v>
      </c>
      <c r="AR57" s="22" t="e">
        <f>U22</f>
        <v>#N/A</v>
      </c>
      <c r="AY57"/>
      <c r="AZ57"/>
      <c r="BA57"/>
      <c r="BB57"/>
      <c r="BC57"/>
      <c r="BD57"/>
      <c r="BE57"/>
      <c r="BF57"/>
      <c r="BG57"/>
      <c r="BH57"/>
      <c r="BI57"/>
      <c r="BJ57"/>
      <c r="BK57"/>
    </row>
    <row r="58" spans="1:63" s="119" customFormat="1" ht="12.75" customHeight="1" thickBot="1" x14ac:dyDescent="0.25">
      <c r="AG58"/>
      <c r="AI58"/>
      <c r="AJ58"/>
      <c r="AK58"/>
      <c r="AL58"/>
      <c r="AM58"/>
      <c r="AN58"/>
      <c r="AO58"/>
      <c r="AP58"/>
      <c r="AQ58" s="137" t="s">
        <v>292</v>
      </c>
      <c r="AR58" s="138" t="e">
        <f>X22</f>
        <v>#N/A</v>
      </c>
    </row>
    <row r="59" spans="1:63" s="119" customFormat="1" ht="18.75" customHeight="1" thickBot="1" x14ac:dyDescent="0.25">
      <c r="AG59"/>
      <c r="AQ59" s="139" t="s">
        <v>293</v>
      </c>
      <c r="AR59" s="140" t="e">
        <f>A24</f>
        <v>#N/A</v>
      </c>
    </row>
    <row r="60" spans="1:63" s="119" customFormat="1" ht="24.75" thickBot="1" x14ac:dyDescent="0.25">
      <c r="AG60"/>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e">
        <f>U24</f>
        <v>#N/A</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0</v>
      </c>
    </row>
    <row r="101" spans="43:44" s="119" customFormat="1" ht="13.5" thickBot="1" x14ac:dyDescent="0.25">
      <c r="AQ101" s="154" t="str">
        <f>A43</f>
        <v>∑</v>
      </c>
      <c r="AR101" s="147">
        <f>E43</f>
        <v>0</v>
      </c>
    </row>
    <row r="102" spans="43:44" s="119" customFormat="1" ht="13.5" thickBot="1" x14ac:dyDescent="0.25">
      <c r="AQ102" s="154" t="s">
        <v>333</v>
      </c>
      <c r="AR102" s="148">
        <f>N43</f>
        <v>0</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e">
        <f>AA31&amp;AC31</f>
        <v>#REF!</v>
      </c>
    </row>
    <row r="107" spans="43:44" s="119" customFormat="1" ht="13.5" thickBot="1" x14ac:dyDescent="0.25">
      <c r="AQ107" s="146" t="s">
        <v>338</v>
      </c>
      <c r="AR107" s="148" t="str">
        <f>AA32&amp;AC32</f>
        <v/>
      </c>
    </row>
    <row r="108" spans="43:44" s="119" customFormat="1" ht="13.5" thickBot="1" x14ac:dyDescent="0.25">
      <c r="AQ108" s="146" t="s">
        <v>339</v>
      </c>
      <c r="AR108" s="148" t="e">
        <f>AA33</f>
        <v>#REF!</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e">
        <f t="shared" ref="AR112:AR117" si="1">AA38</f>
        <v>#DIV/0!</v>
      </c>
    </row>
    <row r="113" spans="33:44" s="119" customFormat="1" ht="13.5" thickBot="1" x14ac:dyDescent="0.25">
      <c r="AQ113" s="146" t="s">
        <v>256</v>
      </c>
      <c r="AR113" s="156">
        <f t="shared" si="1"/>
        <v>0</v>
      </c>
    </row>
    <row r="114" spans="33:44" s="119" customFormat="1" ht="13.5" thickBot="1" x14ac:dyDescent="0.25">
      <c r="AQ114" s="146" t="s">
        <v>259</v>
      </c>
      <c r="AR114" s="147" t="str">
        <f t="shared" si="1"/>
        <v/>
      </c>
    </row>
    <row r="115" spans="33:44" ht="13.5" thickBot="1" x14ac:dyDescent="0.25">
      <c r="AG115" s="119"/>
      <c r="AI115" s="119"/>
      <c r="AJ115" s="119"/>
      <c r="AK115" s="119"/>
      <c r="AL115" s="119"/>
      <c r="AM115" s="119"/>
      <c r="AN115" s="119"/>
      <c r="AO115" s="119"/>
      <c r="AP115" s="119"/>
      <c r="AQ115" s="210" t="s">
        <v>262</v>
      </c>
      <c r="AR115" s="29" t="str">
        <f t="shared" si="1"/>
        <v/>
      </c>
    </row>
    <row r="116" spans="33:44" ht="13.5" thickBot="1" x14ac:dyDescent="0.25">
      <c r="AG116" s="119"/>
      <c r="AQ116" s="210" t="str">
        <f>IF(OR(AS73=501,AS73="730*"),"*** % Passing 1 inch sieve","% Passing 1 inch sieve")</f>
        <v>% Passing 1 inch sieve</v>
      </c>
      <c r="AR116" s="29" t="str">
        <f t="shared" si="1"/>
        <v/>
      </c>
    </row>
    <row r="117" spans="33:44" ht="13.5" thickBot="1" x14ac:dyDescent="0.25">
      <c r="AG117" s="119"/>
      <c r="AQ117" s="210" t="str">
        <f>IF(OR(AS73=501,AS73="730*"), "** % Passing No. 200 sieve","% Passing No. 200 sieve")</f>
        <v>% Passing No. 200 sieve</v>
      </c>
      <c r="AR117" s="30" t="str">
        <f t="shared" si="1"/>
        <v/>
      </c>
    </row>
  </sheetData>
  <sheetProtection algorithmName="SHA-512" hashValue="npxZZNdL//kEI2TlxGpc575gwYDwcOn5VhG19zZUUqhf7emgrfAEx+nnKxzpSEYajI1frMfNK3uZYR2S6kuN7A==" saltValue="VIJO+mVjUxL+R3VvAXt8KQ==" spinCount="100000" sheet="1" formatCells="0" selectLockedCells="1"/>
  <dataConsolidate/>
  <mergeCells count="256">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SOURCES'!$A$1:$A$81</xm:f>
          </x14:formula1>
          <xm:sqref>D15:T17</xm:sqref>
        </x14:dataValidation>
        <x14:dataValidation type="list" allowBlank="1" showInputMessage="1" showErrorMessage="1" xr:uid="{30BF72B8-0D62-414A-9B37-D123E984D297}">
          <x14:formula1>
            <xm:f>ADMIXTURES!$A$1:$A$305</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6" sqref="C6"/>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4" customWidth="1"/>
    <col min="21" max="21" width="9.7109375" style="214" bestFit="1" customWidth="1"/>
    <col min="22" max="22" width="16.5703125" style="214" bestFit="1" customWidth="1"/>
    <col min="23" max="23" width="9.5703125" style="214" bestFit="1" customWidth="1"/>
    <col min="24" max="24" width="16.5703125" style="214" bestFit="1" customWidth="1"/>
    <col min="25" max="26" width="10.28515625" style="214" customWidth="1"/>
    <col min="27" max="28" width="9.140625" style="215" customWidth="1"/>
    <col min="29" max="29" width="9.140625" customWidth="1"/>
    <col min="30" max="30" width="23.28515625" bestFit="1" customWidth="1"/>
    <col min="34" max="58" width="9.140625" style="215"/>
  </cols>
  <sheetData>
    <row r="1" spans="2:32" ht="16.5" customHeight="1" x14ac:dyDescent="0.2">
      <c r="B1" s="70"/>
      <c r="C1" s="88"/>
      <c r="D1" s="88"/>
      <c r="E1" s="88"/>
      <c r="F1" s="88"/>
      <c r="G1" s="88"/>
      <c r="H1" s="88"/>
      <c r="I1" s="88"/>
      <c r="J1" s="88"/>
      <c r="K1" s="89"/>
      <c r="L1" s="89"/>
      <c r="M1" s="89"/>
      <c r="O1" s="298" t="str">
        <f>CMDS!AA60</f>
        <v>v14f.07.01.24</v>
      </c>
      <c r="P1" s="298"/>
      <c r="Q1" s="298"/>
      <c r="AD1" s="4" t="s">
        <v>1766</v>
      </c>
    </row>
    <row r="2" spans="2:32" ht="21.75" customHeight="1" x14ac:dyDescent="0.2">
      <c r="B2" s="97" t="s">
        <v>81</v>
      </c>
      <c r="C2" s="924" t="s">
        <v>82</v>
      </c>
      <c r="D2" s="925"/>
      <c r="E2" s="926"/>
      <c r="F2" s="924" t="s">
        <v>248</v>
      </c>
      <c r="G2" s="926"/>
      <c r="H2" s="924" t="s">
        <v>252</v>
      </c>
      <c r="I2" s="925"/>
      <c r="J2" s="931" t="s">
        <v>342</v>
      </c>
      <c r="K2" s="932"/>
      <c r="L2" s="937" t="s">
        <v>343</v>
      </c>
      <c r="M2" s="938"/>
      <c r="AD2" s="4" t="s">
        <v>1787</v>
      </c>
      <c r="AE2" s="5">
        <f>(CMDS!N30+CMDS!N31+CMDS!N32+CMDS!N33+CMDS!N41)/27</f>
        <v>0</v>
      </c>
    </row>
    <row r="3" spans="2:32" ht="15" customHeight="1" x14ac:dyDescent="0.2">
      <c r="B3" s="75" t="s">
        <v>344</v>
      </c>
      <c r="C3" s="927" t="e">
        <f>CMDS!E35/SUM(CMDS!E35:G38)</f>
        <v>#DIV/0!</v>
      </c>
      <c r="D3" s="929"/>
      <c r="E3" s="928"/>
      <c r="F3" s="927" t="e">
        <f>CMDS!E36/SUM(CMDS!E35:G38)</f>
        <v>#DIV/0!</v>
      </c>
      <c r="G3" s="928"/>
      <c r="H3" s="929" t="e">
        <f>CMDS!E38/SUM(CMDS!E35:G38)</f>
        <v>#DIV/0!</v>
      </c>
      <c r="I3" s="929"/>
      <c r="J3" s="933"/>
      <c r="K3" s="934"/>
      <c r="L3" s="939"/>
      <c r="M3" s="940"/>
      <c r="AD3" s="4" t="s">
        <v>1786</v>
      </c>
      <c r="AE3" s="224">
        <f>(CMDS!N30+CMDS!N31+CMDS!N32+CMDS!N33+CMDS!N41+CMDS!N42)/27</f>
        <v>6.5000000000000002E-2</v>
      </c>
    </row>
    <row r="4" spans="2:32" ht="15" customHeight="1" x14ac:dyDescent="0.2">
      <c r="B4" s="76" t="s">
        <v>345</v>
      </c>
      <c r="C4" s="927" t="e">
        <f>CMDS!N35/SUM(CMDS!N35:P38)</f>
        <v>#DIV/0!</v>
      </c>
      <c r="D4" s="929"/>
      <c r="E4" s="928"/>
      <c r="F4" s="927" t="e">
        <f>CMDS!N36/SUM(CMDS!N35:P38)</f>
        <v>#DIV/0!</v>
      </c>
      <c r="G4" s="928"/>
      <c r="H4" s="929" t="e">
        <f>CMDS!N38/SUM(CMDS!N35:P38)</f>
        <v>#DIV/0!</v>
      </c>
      <c r="I4" s="929"/>
      <c r="J4" s="935"/>
      <c r="K4" s="936"/>
      <c r="L4" s="941"/>
      <c r="M4" s="942"/>
      <c r="N4" s="300" t="s">
        <v>346</v>
      </c>
      <c r="O4" s="298"/>
      <c r="T4" s="216"/>
      <c r="U4" s="216"/>
      <c r="V4" s="216"/>
      <c r="W4" s="216"/>
      <c r="X4" s="216"/>
      <c r="Y4" s="930" t="s">
        <v>1785</v>
      </c>
      <c r="Z4" s="930"/>
    </row>
    <row r="5" spans="2:32" ht="31.5" customHeight="1" x14ac:dyDescent="0.25">
      <c r="B5" s="81" t="s">
        <v>347</v>
      </c>
      <c r="C5" s="77" t="s">
        <v>348</v>
      </c>
      <c r="D5" s="78" t="s">
        <v>349</v>
      </c>
      <c r="E5" s="78" t="s">
        <v>350</v>
      </c>
      <c r="F5" s="77" t="s">
        <v>348</v>
      </c>
      <c r="G5" s="79" t="s">
        <v>349</v>
      </c>
      <c r="H5" s="77" t="s">
        <v>348</v>
      </c>
      <c r="I5" s="78" t="s">
        <v>349</v>
      </c>
      <c r="J5" s="98" t="s">
        <v>348</v>
      </c>
      <c r="K5" s="99" t="s">
        <v>349</v>
      </c>
      <c r="L5" s="80" t="s">
        <v>348</v>
      </c>
      <c r="M5" s="79" t="s">
        <v>349</v>
      </c>
      <c r="N5" s="212" t="s">
        <v>351</v>
      </c>
      <c r="O5" s="74" t="s">
        <v>352</v>
      </c>
      <c r="T5" s="217" t="s">
        <v>1780</v>
      </c>
      <c r="U5" s="218" t="s">
        <v>1781</v>
      </c>
      <c r="V5" s="218" t="s">
        <v>1783</v>
      </c>
      <c r="W5" s="217" t="s">
        <v>1782</v>
      </c>
      <c r="X5" s="217" t="s">
        <v>1784</v>
      </c>
      <c r="Y5" s="219" t="s">
        <v>352</v>
      </c>
      <c r="Z5" s="219" t="s">
        <v>351</v>
      </c>
      <c r="AD5" s="4" t="s">
        <v>1765</v>
      </c>
    </row>
    <row r="6" spans="2:32" ht="15" customHeight="1" x14ac:dyDescent="0.2">
      <c r="B6" s="82" t="s">
        <v>353</v>
      </c>
      <c r="C6" s="199"/>
      <c r="D6" s="68">
        <f>100-C6</f>
        <v>100</v>
      </c>
      <c r="E6" s="68"/>
      <c r="F6" s="199"/>
      <c r="G6" s="69">
        <f>100-F6</f>
        <v>100</v>
      </c>
      <c r="H6" s="198"/>
      <c r="I6" s="83">
        <f>100-H6</f>
        <v>100</v>
      </c>
      <c r="J6" s="100" t="e">
        <f t="shared" ref="J6:J18" si="0">C$3*C6+F$3*F6+H$3*H6</f>
        <v>#DIV/0!</v>
      </c>
      <c r="K6" s="101" t="e">
        <f t="shared" ref="K6:K18" si="1">C$3*D6+F$3*G6+H$3*I6</f>
        <v>#DIV/0!</v>
      </c>
      <c r="L6" s="71" t="e">
        <f t="shared" ref="L6:L18" si="2">C$4*C6+F$4*F6+H$4*H6</f>
        <v>#DIV/0!</v>
      </c>
      <c r="M6" s="69" t="e">
        <f t="shared" ref="M6:M18" si="3">C$4*D6+F$4*G6+H$4*I6</f>
        <v>#DIV/0!</v>
      </c>
      <c r="T6" s="220" t="str">
        <f>B6</f>
        <v>2"</v>
      </c>
      <c r="U6" s="221">
        <v>50</v>
      </c>
      <c r="V6" s="222">
        <f>U6^0.45</f>
        <v>5.8148230317277987</v>
      </c>
      <c r="W6" s="223" t="e">
        <f>L6</f>
        <v>#DIV/0!</v>
      </c>
      <c r="X6" s="223">
        <f>100*(U6/25)^0.45</f>
        <v>136.60402567543954</v>
      </c>
      <c r="Y6" s="223">
        <f>100*(U6/37.5)^0.45</f>
        <v>113.82100906616924</v>
      </c>
      <c r="Z6" s="223">
        <f>100*(U6/19)^0.45</f>
        <v>154.56009696195599</v>
      </c>
      <c r="AD6" s="4" t="s">
        <v>1789</v>
      </c>
      <c r="AE6" s="224">
        <f>(CMDS!N30+CMDS!N31+CMDS!N32+CMDS!N33+CMDS!N35+CMDS!N41)/27</f>
        <v>0</v>
      </c>
      <c r="AF6" s="4"/>
    </row>
    <row r="7" spans="2:32" ht="15" customHeight="1" x14ac:dyDescent="0.2">
      <c r="B7" s="82" t="s">
        <v>354</v>
      </c>
      <c r="C7" s="200"/>
      <c r="D7" s="68">
        <f t="shared" ref="D7:D18" si="4">C6-C7</f>
        <v>0</v>
      </c>
      <c r="E7" s="68"/>
      <c r="F7" s="200"/>
      <c r="G7" s="69">
        <f>F6-F7</f>
        <v>0</v>
      </c>
      <c r="H7" s="198"/>
      <c r="I7" s="68">
        <f>H6-H7</f>
        <v>0</v>
      </c>
      <c r="J7" s="102" t="e">
        <f t="shared" si="0"/>
        <v>#DIV/0!</v>
      </c>
      <c r="K7" s="101" t="e">
        <f t="shared" si="1"/>
        <v>#DIV/0!</v>
      </c>
      <c r="L7" s="71" t="e">
        <f t="shared" si="2"/>
        <v>#DIV/0!</v>
      </c>
      <c r="M7" s="69" t="e">
        <f t="shared" si="3"/>
        <v>#DIV/0!</v>
      </c>
      <c r="N7" s="67">
        <v>0</v>
      </c>
      <c r="O7" s="67">
        <v>0</v>
      </c>
      <c r="R7" s="214" t="e">
        <f>IF(AND(M7&gt;=0,M7&lt;=0),"0","1")</f>
        <v>#DIV/0!</v>
      </c>
      <c r="T7" s="220" t="str">
        <f t="shared" ref="T7:T19" si="5">B7</f>
        <v>1.5"</v>
      </c>
      <c r="U7" s="221">
        <v>37.5</v>
      </c>
      <c r="V7" s="222">
        <f t="shared" ref="V7:V18" si="6">U7^0.45</f>
        <v>5.1087431744234335</v>
      </c>
      <c r="W7" s="223" t="e">
        <f t="shared" ref="W7:W18" si="7">L7</f>
        <v>#DIV/0!</v>
      </c>
      <c r="X7" s="223">
        <f t="shared" ref="X7:X18" si="8">100*(U7/25)^0.45</f>
        <v>120.0165301609877</v>
      </c>
      <c r="Y7" s="223">
        <f t="shared" ref="Y7:Y18" si="9">100*(U7/37.5)^0.45</f>
        <v>100</v>
      </c>
      <c r="Z7" s="223">
        <f t="shared" ref="Z7:Z18" si="10">100*(U7/19)^0.45</f>
        <v>135.7922392623521</v>
      </c>
      <c r="AD7" s="4" t="s">
        <v>1788</v>
      </c>
      <c r="AE7" s="224">
        <f>(CMDS!N30+CMDS!N31+CMDS!N32+CMDS!N33+CMDS!N35+CMDS!N41+CMDS!N42)/27</f>
        <v>6.5000000000000002E-2</v>
      </c>
    </row>
    <row r="8" spans="2:32" ht="15" customHeight="1" x14ac:dyDescent="0.2">
      <c r="B8" s="82" t="s">
        <v>355</v>
      </c>
      <c r="C8" s="200"/>
      <c r="D8" s="68">
        <f t="shared" si="4"/>
        <v>0</v>
      </c>
      <c r="E8" s="68"/>
      <c r="F8" s="200"/>
      <c r="G8" s="69">
        <f>F7-F8</f>
        <v>0</v>
      </c>
      <c r="H8" s="198"/>
      <c r="I8" s="68">
        <f>H7-H8</f>
        <v>0</v>
      </c>
      <c r="J8" s="102" t="e">
        <f t="shared" si="0"/>
        <v>#DIV/0!</v>
      </c>
      <c r="K8" s="101" t="e">
        <f t="shared" si="1"/>
        <v>#DIV/0!</v>
      </c>
      <c r="L8" s="71" t="e">
        <f t="shared" si="2"/>
        <v>#DIV/0!</v>
      </c>
      <c r="M8" s="69" t="e">
        <f t="shared" si="3"/>
        <v>#DIV/0!</v>
      </c>
      <c r="N8" s="67">
        <v>0</v>
      </c>
      <c r="O8" s="67">
        <v>16</v>
      </c>
      <c r="R8" s="214" t="e">
        <f>IF(AND(M8&gt;=0,M8&lt;=16.4),"0","1")</f>
        <v>#DIV/0!</v>
      </c>
      <c r="T8" s="220" t="str">
        <f t="shared" si="5"/>
        <v>1"</v>
      </c>
      <c r="U8" s="221">
        <v>25</v>
      </c>
      <c r="V8" s="222">
        <f t="shared" si="6"/>
        <v>4.2566996126039234</v>
      </c>
      <c r="W8" s="223" t="e">
        <f t="shared" si="7"/>
        <v>#DIV/0!</v>
      </c>
      <c r="X8" s="223">
        <f t="shared" si="8"/>
        <v>100</v>
      </c>
      <c r="Y8" s="223">
        <f t="shared" si="9"/>
        <v>83.321855635937851</v>
      </c>
      <c r="Z8" s="223">
        <f t="shared" si="10"/>
        <v>113.14461356298435</v>
      </c>
      <c r="AD8" s="4" t="s">
        <v>1767</v>
      </c>
      <c r="AE8" s="224">
        <v>0.55000000000000004</v>
      </c>
    </row>
    <row r="9" spans="2:32" ht="15" customHeight="1" x14ac:dyDescent="0.2">
      <c r="B9" s="82" t="s">
        <v>356</v>
      </c>
      <c r="C9" s="200"/>
      <c r="D9" s="68">
        <f t="shared" si="4"/>
        <v>0</v>
      </c>
      <c r="E9" s="68"/>
      <c r="F9" s="200"/>
      <c r="G9" s="69">
        <f>F8-F9</f>
        <v>0</v>
      </c>
      <c r="H9" s="198"/>
      <c r="I9" s="68">
        <f t="shared" ref="I9:I17" si="11">H8-H9</f>
        <v>0</v>
      </c>
      <c r="J9" s="102" t="e">
        <f t="shared" si="0"/>
        <v>#DIV/0!</v>
      </c>
      <c r="K9" s="101" t="e">
        <f t="shared" si="1"/>
        <v>#DIV/0!</v>
      </c>
      <c r="L9" s="71" t="e">
        <f t="shared" si="2"/>
        <v>#DIV/0!</v>
      </c>
      <c r="M9" s="69" t="e">
        <f t="shared" si="3"/>
        <v>#DIV/0!</v>
      </c>
      <c r="N9" s="67">
        <v>0</v>
      </c>
      <c r="O9" s="67">
        <v>20</v>
      </c>
      <c r="R9" s="214" t="e">
        <f>IF(AND(M9&gt;=0,M9&lt;=20.4),"0","1")</f>
        <v>#DIV/0!</v>
      </c>
      <c r="T9" s="220" t="str">
        <f t="shared" si="5"/>
        <v>3/4"</v>
      </c>
      <c r="U9" s="221">
        <v>19</v>
      </c>
      <c r="V9" s="222">
        <f t="shared" si="6"/>
        <v>3.7621761023862978</v>
      </c>
      <c r="W9" s="223" t="e">
        <f t="shared" si="7"/>
        <v>#DIV/0!</v>
      </c>
      <c r="X9" s="223">
        <f t="shared" si="8"/>
        <v>88.382466341919923</v>
      </c>
      <c r="Y9" s="223">
        <f t="shared" si="9"/>
        <v>73.641911012895903</v>
      </c>
      <c r="Z9" s="223">
        <f t="shared" si="10"/>
        <v>100</v>
      </c>
      <c r="AD9" s="4" t="s">
        <v>1768</v>
      </c>
      <c r="AE9" s="224">
        <v>0.56999999999999995</v>
      </c>
    </row>
    <row r="10" spans="2:32" ht="15" customHeight="1" x14ac:dyDescent="0.2">
      <c r="B10" s="82" t="s">
        <v>357</v>
      </c>
      <c r="C10" s="200"/>
      <c r="D10" s="68">
        <f t="shared" si="4"/>
        <v>0</v>
      </c>
      <c r="E10" s="68"/>
      <c r="F10" s="200"/>
      <c r="G10" s="69">
        <f t="shared" ref="G10:G17" si="12">F9-F10</f>
        <v>0</v>
      </c>
      <c r="H10" s="198"/>
      <c r="I10" s="68">
        <f t="shared" si="11"/>
        <v>0</v>
      </c>
      <c r="J10" s="102" t="e">
        <f>C$3*C10+F$3*F10+H$3*H10</f>
        <v>#DIV/0!</v>
      </c>
      <c r="K10" s="101" t="e">
        <f t="shared" si="1"/>
        <v>#DIV/0!</v>
      </c>
      <c r="L10" s="71" t="e">
        <f t="shared" si="2"/>
        <v>#DIV/0!</v>
      </c>
      <c r="M10" s="69" t="e">
        <f t="shared" si="3"/>
        <v>#DIV/0!</v>
      </c>
      <c r="N10" s="67">
        <v>4</v>
      </c>
      <c r="O10" s="67">
        <v>20</v>
      </c>
      <c r="R10" s="214" t="e">
        <f>IF(AND(M10&gt;=3.5,M10&lt;=20.4),"0","1")</f>
        <v>#DIV/0!</v>
      </c>
      <c r="T10" s="220" t="str">
        <f t="shared" si="5"/>
        <v>1/2"</v>
      </c>
      <c r="U10" s="221">
        <v>12.5</v>
      </c>
      <c r="V10" s="222">
        <f t="shared" si="6"/>
        <v>3.116086507375345</v>
      </c>
      <c r="W10" s="223" t="e">
        <f t="shared" si="7"/>
        <v>#DIV/0!</v>
      </c>
      <c r="X10" s="223">
        <f t="shared" si="8"/>
        <v>73.204284797281275</v>
      </c>
      <c r="Y10" s="223">
        <f t="shared" si="9"/>
        <v>60.995168498111511</v>
      </c>
      <c r="Z10" s="223">
        <f t="shared" si="10"/>
        <v>82.826705145430395</v>
      </c>
    </row>
    <row r="11" spans="2:32" ht="15" customHeight="1" x14ac:dyDescent="0.2">
      <c r="B11" s="82" t="s">
        <v>358</v>
      </c>
      <c r="C11" s="200"/>
      <c r="D11" s="68">
        <f t="shared" si="4"/>
        <v>0</v>
      </c>
      <c r="E11" s="68"/>
      <c r="F11" s="200"/>
      <c r="G11" s="69">
        <f t="shared" si="12"/>
        <v>0</v>
      </c>
      <c r="H11" s="198"/>
      <c r="I11" s="68">
        <f>H10-H11</f>
        <v>0</v>
      </c>
      <c r="J11" s="102" t="e">
        <f t="shared" si="0"/>
        <v>#DIV/0!</v>
      </c>
      <c r="K11" s="101" t="e">
        <f t="shared" si="1"/>
        <v>#DIV/0!</v>
      </c>
      <c r="L11" s="71" t="e">
        <f>C$4*C11+F$4*F11+H$4*H11</f>
        <v>#DIV/0!</v>
      </c>
      <c r="M11" s="69" t="e">
        <f t="shared" si="3"/>
        <v>#DIV/0!</v>
      </c>
      <c r="N11" s="67">
        <v>4</v>
      </c>
      <c r="O11" s="67">
        <v>20</v>
      </c>
      <c r="R11" s="214" t="e">
        <f>IF(AND(M11&gt;=3.5,M11&lt;=20.4),"0","1")</f>
        <v>#DIV/0!</v>
      </c>
      <c r="T11" s="220" t="str">
        <f t="shared" si="5"/>
        <v>3/8"</v>
      </c>
      <c r="U11" s="221">
        <v>9.5</v>
      </c>
      <c r="V11" s="222">
        <f t="shared" si="6"/>
        <v>2.754074108566122</v>
      </c>
      <c r="W11" s="223" t="e">
        <f t="shared" si="7"/>
        <v>#DIV/0!</v>
      </c>
      <c r="X11" s="223">
        <f t="shared" si="8"/>
        <v>64.699752371800329</v>
      </c>
      <c r="Y11" s="223">
        <f t="shared" si="9"/>
        <v>53.909034268040756</v>
      </c>
      <c r="Z11" s="223">
        <f t="shared" si="10"/>
        <v>73.204284797281275</v>
      </c>
      <c r="AD11" s="4" t="s">
        <v>1778</v>
      </c>
      <c r="AE11" s="19" t="e">
        <f>100*((100-L11)/(100-L13))</f>
        <v>#DIV/0!</v>
      </c>
    </row>
    <row r="12" spans="2:32" ht="15" customHeight="1" x14ac:dyDescent="0.2">
      <c r="B12" s="82" t="s">
        <v>359</v>
      </c>
      <c r="C12" s="200"/>
      <c r="D12" s="68">
        <f t="shared" si="4"/>
        <v>0</v>
      </c>
      <c r="E12" s="68">
        <f>D12</f>
        <v>0</v>
      </c>
      <c r="F12" s="200"/>
      <c r="G12" s="69">
        <f>F11-F12</f>
        <v>0</v>
      </c>
      <c r="H12" s="198"/>
      <c r="I12" s="68">
        <f t="shared" si="11"/>
        <v>0</v>
      </c>
      <c r="J12" s="102" t="e">
        <f>C$3*C12+F$3*F12+H$3*H12</f>
        <v>#DIV/0!</v>
      </c>
      <c r="K12" s="101" t="e">
        <f t="shared" si="1"/>
        <v>#DIV/0!</v>
      </c>
      <c r="L12" s="71" t="e">
        <f t="shared" si="2"/>
        <v>#DIV/0!</v>
      </c>
      <c r="M12" s="69" t="e">
        <f t="shared" si="3"/>
        <v>#DIV/0!</v>
      </c>
      <c r="N12" s="67">
        <v>4</v>
      </c>
      <c r="O12" s="67">
        <v>20</v>
      </c>
      <c r="R12" s="214" t="e">
        <f>IF(AND(M12&gt;=3.5,M12&lt;=20.4),"0","1")</f>
        <v>#DIV/0!</v>
      </c>
      <c r="T12" s="220" t="str">
        <f t="shared" si="5"/>
        <v>#4</v>
      </c>
      <c r="U12" s="221">
        <v>4.75</v>
      </c>
      <c r="V12" s="222">
        <f t="shared" si="6"/>
        <v>2.0161002539629291</v>
      </c>
      <c r="W12" s="223" t="e">
        <f t="shared" si="7"/>
        <v>#DIV/0!</v>
      </c>
      <c r="X12" s="223">
        <f t="shared" si="8"/>
        <v>47.36299098938845</v>
      </c>
      <c r="Y12" s="223">
        <f t="shared" si="9"/>
        <v>39.463722977040504</v>
      </c>
      <c r="Z12" s="223">
        <f t="shared" si="10"/>
        <v>53.588673126814655</v>
      </c>
      <c r="AD12" s="4" t="s">
        <v>1779</v>
      </c>
      <c r="AE12" s="19" t="e">
        <f>L13+2.5*(((SUM(CMDS!E30:G33)-564)/97))</f>
        <v>#DIV/0!</v>
      </c>
    </row>
    <row r="13" spans="2:32" ht="15" customHeight="1" x14ac:dyDescent="0.2">
      <c r="B13" s="82" t="s">
        <v>360</v>
      </c>
      <c r="C13" s="200"/>
      <c r="D13" s="68">
        <f t="shared" si="4"/>
        <v>0</v>
      </c>
      <c r="E13" s="68">
        <f>SUM(D12:D13)</f>
        <v>0</v>
      </c>
      <c r="F13" s="200"/>
      <c r="G13" s="69">
        <f t="shared" si="12"/>
        <v>0</v>
      </c>
      <c r="H13" s="198"/>
      <c r="I13" s="68">
        <f t="shared" si="11"/>
        <v>0</v>
      </c>
      <c r="J13" s="102" t="e">
        <f t="shared" si="0"/>
        <v>#DIV/0!</v>
      </c>
      <c r="K13" s="101" t="e">
        <f t="shared" si="1"/>
        <v>#DIV/0!</v>
      </c>
      <c r="L13" s="71" t="e">
        <f t="shared" si="2"/>
        <v>#DIV/0!</v>
      </c>
      <c r="M13" s="69" t="e">
        <f t="shared" si="3"/>
        <v>#DIV/0!</v>
      </c>
      <c r="N13" s="67">
        <v>0</v>
      </c>
      <c r="O13" s="67">
        <v>12</v>
      </c>
      <c r="R13" s="214" t="e">
        <f>IF(AND(M13&gt;=0,M13&lt;=12.4),"0","1")</f>
        <v>#DIV/0!</v>
      </c>
      <c r="T13" s="220" t="str">
        <f t="shared" si="5"/>
        <v>#8</v>
      </c>
      <c r="U13" s="221">
        <v>2.36</v>
      </c>
      <c r="V13" s="222">
        <f t="shared" si="6"/>
        <v>1.4716698795820382</v>
      </c>
      <c r="W13" s="223" t="e">
        <f t="shared" si="7"/>
        <v>#DIV/0!</v>
      </c>
      <c r="X13" s="223">
        <f t="shared" si="8"/>
        <v>34.573026370582518</v>
      </c>
      <c r="Y13" s="223">
        <f t="shared" si="9"/>
        <v>28.80688712147149</v>
      </c>
      <c r="Z13" s="223">
        <f t="shared" si="10"/>
        <v>39.117517084024257</v>
      </c>
    </row>
    <row r="14" spans="2:32" ht="15" customHeight="1" x14ac:dyDescent="0.2">
      <c r="B14" s="82" t="s">
        <v>361</v>
      </c>
      <c r="C14" s="200"/>
      <c r="D14" s="68">
        <f t="shared" si="4"/>
        <v>0</v>
      </c>
      <c r="E14" s="68">
        <f>SUM(D12:D14)</f>
        <v>0</v>
      </c>
      <c r="F14" s="200"/>
      <c r="G14" s="69">
        <f t="shared" si="12"/>
        <v>0</v>
      </c>
      <c r="H14" s="198"/>
      <c r="I14" s="68">
        <f t="shared" si="11"/>
        <v>0</v>
      </c>
      <c r="J14" s="102" t="e">
        <f t="shared" si="0"/>
        <v>#DIV/0!</v>
      </c>
      <c r="K14" s="101" t="e">
        <f t="shared" si="1"/>
        <v>#DIV/0!</v>
      </c>
      <c r="L14" s="71" t="e">
        <f t="shared" si="2"/>
        <v>#DIV/0!</v>
      </c>
      <c r="M14" s="69" t="e">
        <f t="shared" si="3"/>
        <v>#DIV/0!</v>
      </c>
      <c r="N14" s="67">
        <v>0</v>
      </c>
      <c r="O14" s="67">
        <v>12</v>
      </c>
      <c r="R14" s="214" t="e">
        <f>IF(AND(M14&gt;=0,M14&lt;=12.4),"0","1")</f>
        <v>#DIV/0!</v>
      </c>
      <c r="T14" s="220" t="str">
        <f t="shared" si="5"/>
        <v>#16</v>
      </c>
      <c r="U14" s="221">
        <v>1.18</v>
      </c>
      <c r="V14" s="222">
        <f t="shared" si="6"/>
        <v>1.0773254099250416</v>
      </c>
      <c r="W14" s="223" t="e">
        <f t="shared" si="7"/>
        <v>#DIV/0!</v>
      </c>
      <c r="X14" s="223">
        <f t="shared" si="8"/>
        <v>25.308936687360383</v>
      </c>
      <c r="Y14" s="223">
        <f t="shared" si="9"/>
        <v>21.087875689633332</v>
      </c>
      <c r="Z14" s="223">
        <f t="shared" si="10"/>
        <v>28.635698611814277</v>
      </c>
    </row>
    <row r="15" spans="2:32" ht="15" customHeight="1" x14ac:dyDescent="0.2">
      <c r="B15" s="82" t="s">
        <v>362</v>
      </c>
      <c r="C15" s="200"/>
      <c r="D15" s="68">
        <f t="shared" si="4"/>
        <v>0</v>
      </c>
      <c r="E15" s="68">
        <f>SUM(D12:D15)</f>
        <v>0</v>
      </c>
      <c r="F15" s="200"/>
      <c r="G15" s="69">
        <f t="shared" si="12"/>
        <v>0</v>
      </c>
      <c r="H15" s="198"/>
      <c r="I15" s="68">
        <f t="shared" si="11"/>
        <v>0</v>
      </c>
      <c r="J15" s="102" t="e">
        <f t="shared" si="0"/>
        <v>#DIV/0!</v>
      </c>
      <c r="K15" s="101" t="e">
        <f t="shared" si="1"/>
        <v>#DIV/0!</v>
      </c>
      <c r="L15" s="71" t="e">
        <f t="shared" si="2"/>
        <v>#DIV/0!</v>
      </c>
      <c r="M15" s="69" t="e">
        <f>C$4*D15+F$4*G15+H$4*I15</f>
        <v>#DIV/0!</v>
      </c>
      <c r="N15" s="67">
        <v>4</v>
      </c>
      <c r="O15" s="67">
        <v>20</v>
      </c>
      <c r="R15" s="214" t="e">
        <f>IF(AND(M15&gt;=3.5,M15&lt;=20.4),"0","1")</f>
        <v>#DIV/0!</v>
      </c>
      <c r="T15" s="220" t="str">
        <f t="shared" si="5"/>
        <v>#30</v>
      </c>
      <c r="U15" s="221">
        <v>0.6</v>
      </c>
      <c r="V15" s="222">
        <f t="shared" si="6"/>
        <v>0.79463568224020453</v>
      </c>
      <c r="W15" s="223" t="e">
        <f t="shared" si="7"/>
        <v>#DIV/0!</v>
      </c>
      <c r="X15" s="223">
        <f t="shared" si="8"/>
        <v>18.667882504260316</v>
      </c>
      <c r="Y15" s="223">
        <f t="shared" si="9"/>
        <v>15.554426110486281</v>
      </c>
      <c r="Z15" s="223">
        <f t="shared" si="10"/>
        <v>21.1217035198373</v>
      </c>
      <c r="AD15" s="205" t="s">
        <v>1769</v>
      </c>
      <c r="AE15" s="1"/>
    </row>
    <row r="16" spans="2:32" ht="15" customHeight="1" x14ac:dyDescent="0.2">
      <c r="B16" s="82" t="s">
        <v>363</v>
      </c>
      <c r="C16" s="200"/>
      <c r="D16" s="68">
        <f t="shared" si="4"/>
        <v>0</v>
      </c>
      <c r="E16" s="68">
        <f>SUM(D12:D16)</f>
        <v>0</v>
      </c>
      <c r="F16" s="200"/>
      <c r="G16" s="69">
        <f t="shared" si="12"/>
        <v>0</v>
      </c>
      <c r="H16" s="198"/>
      <c r="I16" s="68">
        <f t="shared" si="11"/>
        <v>0</v>
      </c>
      <c r="J16" s="102" t="e">
        <f t="shared" si="0"/>
        <v>#DIV/0!</v>
      </c>
      <c r="K16" s="101" t="e">
        <f t="shared" si="1"/>
        <v>#DIV/0!</v>
      </c>
      <c r="L16" s="71" t="e">
        <f t="shared" si="2"/>
        <v>#DIV/0!</v>
      </c>
      <c r="M16" s="69" t="e">
        <f t="shared" si="3"/>
        <v>#DIV/0!</v>
      </c>
      <c r="N16" s="67">
        <v>4</v>
      </c>
      <c r="O16" s="67">
        <v>20</v>
      </c>
      <c r="R16" s="214" t="e">
        <f>IF(AND(M16&gt;=3.5,M16&lt;=20.4),"0","1")</f>
        <v>#DIV/0!</v>
      </c>
      <c r="T16" s="220" t="str">
        <f t="shared" si="5"/>
        <v>#50</v>
      </c>
      <c r="U16" s="221">
        <v>0.3</v>
      </c>
      <c r="V16" s="222">
        <f t="shared" si="6"/>
        <v>0.58170736792793831</v>
      </c>
      <c r="W16" s="223" t="e">
        <f t="shared" si="7"/>
        <v>#DIV/0!</v>
      </c>
      <c r="X16" s="223">
        <f t="shared" si="8"/>
        <v>13.665689874040565</v>
      </c>
      <c r="Y16" s="223">
        <f t="shared" si="9"/>
        <v>11.386506388503056</v>
      </c>
      <c r="Z16" s="223">
        <f t="shared" si="10"/>
        <v>15.461991998699082</v>
      </c>
      <c r="AD16" s="205" t="s">
        <v>1770</v>
      </c>
      <c r="AE16" s="205" t="s">
        <v>1771</v>
      </c>
      <c r="AF16" s="4" t="s">
        <v>1772</v>
      </c>
    </row>
    <row r="17" spans="2:32" ht="15" customHeight="1" x14ac:dyDescent="0.2">
      <c r="B17" s="82" t="s">
        <v>364</v>
      </c>
      <c r="C17" s="200"/>
      <c r="D17" s="68">
        <f t="shared" si="4"/>
        <v>0</v>
      </c>
      <c r="E17" s="68">
        <f>SUM(D12:D17)</f>
        <v>0</v>
      </c>
      <c r="F17" s="200"/>
      <c r="G17" s="69">
        <f t="shared" si="12"/>
        <v>0</v>
      </c>
      <c r="H17" s="198"/>
      <c r="I17" s="68">
        <f t="shared" si="11"/>
        <v>0</v>
      </c>
      <c r="J17" s="102" t="e">
        <f t="shared" si="0"/>
        <v>#DIV/0!</v>
      </c>
      <c r="K17" s="101" t="e">
        <f t="shared" si="1"/>
        <v>#DIV/0!</v>
      </c>
      <c r="L17" s="71" t="e">
        <f t="shared" si="2"/>
        <v>#DIV/0!</v>
      </c>
      <c r="M17" s="69" t="e">
        <f t="shared" si="3"/>
        <v>#DIV/0!</v>
      </c>
      <c r="N17" s="67">
        <v>0</v>
      </c>
      <c r="O17" s="67">
        <v>10</v>
      </c>
      <c r="R17" s="214" t="e">
        <f>IF(AND(M17&gt;=0,M17&lt;=10.4),"0","1")</f>
        <v>#DIV/0!</v>
      </c>
      <c r="T17" s="220" t="str">
        <f t="shared" si="5"/>
        <v>#100</v>
      </c>
      <c r="U17" s="221">
        <v>0.15</v>
      </c>
      <c r="V17" s="222">
        <f t="shared" si="6"/>
        <v>0.42583471830473674</v>
      </c>
      <c r="W17" s="223" t="e">
        <f t="shared" si="7"/>
        <v>#DIV/0!</v>
      </c>
      <c r="X17" s="223">
        <f t="shared" si="8"/>
        <v>10.003870534905881</v>
      </c>
      <c r="Y17" s="223">
        <f t="shared" si="9"/>
        <v>8.3354105651004069</v>
      </c>
      <c r="Z17" s="223">
        <f t="shared" si="10"/>
        <v>11.31884065806052</v>
      </c>
      <c r="AD17" s="1">
        <v>100</v>
      </c>
      <c r="AE17" s="1">
        <v>25</v>
      </c>
      <c r="AF17">
        <v>27</v>
      </c>
    </row>
    <row r="18" spans="2:32" ht="15" customHeight="1" x14ac:dyDescent="0.2">
      <c r="B18" s="84" t="s">
        <v>365</v>
      </c>
      <c r="C18" s="200"/>
      <c r="D18" s="85">
        <f t="shared" si="4"/>
        <v>0</v>
      </c>
      <c r="E18" s="85"/>
      <c r="F18" s="200"/>
      <c r="G18" s="86">
        <f>F17-F18</f>
        <v>0</v>
      </c>
      <c r="H18" s="198"/>
      <c r="I18" s="85">
        <f>H17-H18</f>
        <v>0</v>
      </c>
      <c r="J18" s="103" t="e">
        <f t="shared" si="0"/>
        <v>#DIV/0!</v>
      </c>
      <c r="K18" s="104" t="e">
        <f t="shared" si="1"/>
        <v>#DIV/0!</v>
      </c>
      <c r="L18" s="87" t="e">
        <f t="shared" si="2"/>
        <v>#DIV/0!</v>
      </c>
      <c r="M18" s="86" t="e">
        <f t="shared" si="3"/>
        <v>#DIV/0!</v>
      </c>
      <c r="N18" s="67">
        <v>0</v>
      </c>
      <c r="O18" s="67">
        <v>2</v>
      </c>
      <c r="R18" s="214" t="e">
        <f>IF(AND(M18&gt;=0,M18&lt;=2.4),"0","1")</f>
        <v>#DIV/0!</v>
      </c>
      <c r="T18" s="220" t="str">
        <f t="shared" si="5"/>
        <v>#200</v>
      </c>
      <c r="U18" s="221">
        <v>7.4999999999999997E-2</v>
      </c>
      <c r="V18" s="222">
        <f t="shared" si="6"/>
        <v>0.31172925995349998</v>
      </c>
      <c r="W18" s="223" t="e">
        <f t="shared" si="7"/>
        <v>#DIV/0!</v>
      </c>
      <c r="X18" s="223">
        <f t="shared" si="8"/>
        <v>7.3232618771238061</v>
      </c>
      <c r="Y18" s="223">
        <f t="shared" si="9"/>
        <v>6.1018776890987736</v>
      </c>
      <c r="Z18" s="223">
        <f t="shared" si="10"/>
        <v>8.2858763510770874</v>
      </c>
      <c r="AD18" s="1">
        <v>90</v>
      </c>
      <c r="AE18" s="1">
        <v>25</v>
      </c>
      <c r="AF18">
        <v>27</v>
      </c>
    </row>
    <row r="19" spans="2:32" ht="15" customHeight="1" x14ac:dyDescent="0.2">
      <c r="B19" s="82"/>
      <c r="P19" t="s">
        <v>366</v>
      </c>
      <c r="R19" s="214" t="e">
        <f>(R7+R8+R9+R10+R11+R12+R13+R14+R15+R16+R17+R18)</f>
        <v>#DIV/0!</v>
      </c>
      <c r="T19" s="214">
        <f t="shared" si="5"/>
        <v>0</v>
      </c>
      <c r="V19" s="214">
        <v>0</v>
      </c>
      <c r="X19" s="214">
        <v>0</v>
      </c>
      <c r="Y19" s="214">
        <v>0</v>
      </c>
      <c r="Z19" s="214">
        <v>0</v>
      </c>
      <c r="AD19" s="1">
        <v>80</v>
      </c>
      <c r="AE19" s="1">
        <v>25.5</v>
      </c>
      <c r="AF19">
        <v>27.5</v>
      </c>
    </row>
    <row r="20" spans="2:32" ht="15" customHeight="1" x14ac:dyDescent="0.2">
      <c r="D20" s="72" t="s">
        <v>367</v>
      </c>
      <c r="E20" s="73">
        <f>SUM(E12:E17)/100</f>
        <v>0</v>
      </c>
      <c r="G20" s="205"/>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5" t="s">
        <v>1773</v>
      </c>
      <c r="AE26" s="1"/>
    </row>
    <row r="27" spans="2:32" x14ac:dyDescent="0.2">
      <c r="AD27" s="205" t="s">
        <v>1770</v>
      </c>
      <c r="AE27" s="205" t="s">
        <v>1774</v>
      </c>
    </row>
    <row r="28" spans="2:32" x14ac:dyDescent="0.2">
      <c r="AD28" s="1">
        <v>100</v>
      </c>
      <c r="AE28" s="1">
        <v>36</v>
      </c>
    </row>
    <row r="29" spans="2:32" x14ac:dyDescent="0.2">
      <c r="AD29" s="1">
        <v>37</v>
      </c>
      <c r="AE29" s="1">
        <v>45</v>
      </c>
    </row>
    <row r="30" spans="2:32" x14ac:dyDescent="0.2">
      <c r="AD30" s="1"/>
      <c r="AE30" s="1"/>
    </row>
    <row r="31" spans="2:32" x14ac:dyDescent="0.2">
      <c r="K31" s="4"/>
      <c r="AD31" s="205" t="s">
        <v>1775</v>
      </c>
      <c r="AE31" s="1"/>
    </row>
    <row r="32" spans="2:32" x14ac:dyDescent="0.2">
      <c r="AD32" s="205" t="s">
        <v>1770</v>
      </c>
      <c r="AE32" s="205" t="s">
        <v>1774</v>
      </c>
    </row>
    <row r="33" spans="2:32" x14ac:dyDescent="0.2">
      <c r="AD33" s="1">
        <v>75.5</v>
      </c>
      <c r="AE33" s="1">
        <v>28.126999999999999</v>
      </c>
    </row>
    <row r="34" spans="2:32" x14ac:dyDescent="0.2">
      <c r="AD34" s="1">
        <v>75.5</v>
      </c>
      <c r="AE34" s="1">
        <v>39.5</v>
      </c>
    </row>
    <row r="35" spans="2:32" x14ac:dyDescent="0.2">
      <c r="AD35" s="1"/>
      <c r="AE35" s="1"/>
    </row>
    <row r="36" spans="2:32" x14ac:dyDescent="0.2">
      <c r="AD36" s="205" t="s">
        <v>1776</v>
      </c>
      <c r="AE36" s="1"/>
    </row>
    <row r="37" spans="2:32" x14ac:dyDescent="0.2">
      <c r="AD37" s="205" t="s">
        <v>1770</v>
      </c>
      <c r="AE37" s="205" t="s">
        <v>1774</v>
      </c>
    </row>
    <row r="38" spans="2:32" x14ac:dyDescent="0.2">
      <c r="AD38" s="1">
        <v>46.5</v>
      </c>
      <c r="AE38" s="1">
        <v>32.524999999999999</v>
      </c>
    </row>
    <row r="39" spans="2:32" x14ac:dyDescent="0.2">
      <c r="AD39" s="1">
        <v>46.5</v>
      </c>
      <c r="AE39" s="1">
        <v>43.643000000000001</v>
      </c>
    </row>
    <row r="40" spans="2:32" x14ac:dyDescent="0.2">
      <c r="AB40" s="214"/>
      <c r="AD40" s="1"/>
      <c r="AE40" s="1"/>
    </row>
    <row r="41" spans="2:32" ht="15" x14ac:dyDescent="0.25">
      <c r="B41" s="91"/>
      <c r="C41" s="92" t="s">
        <v>368</v>
      </c>
      <c r="D41" s="93" t="e">
        <f>SUM(M15:M18)</f>
        <v>#DIV/0!</v>
      </c>
      <c r="E41" s="92" t="s">
        <v>369</v>
      </c>
      <c r="F41" s="94" t="s">
        <v>370</v>
      </c>
      <c r="G41" s="202"/>
      <c r="H41" s="206"/>
      <c r="AB41" s="214" t="e">
        <f>IF(AND(D41&gt;=23.4,D41&lt;=34.5),"0","1")</f>
        <v>#DIV/0!</v>
      </c>
      <c r="AC41" s="1"/>
      <c r="AD41" s="1" t="s">
        <v>1777</v>
      </c>
      <c r="AE41" s="1"/>
    </row>
    <row r="42" spans="2:32" ht="15" x14ac:dyDescent="0.25">
      <c r="B42" s="105"/>
      <c r="C42" s="106"/>
      <c r="D42" s="107"/>
      <c r="E42" s="204"/>
      <c r="F42" s="96" t="s">
        <v>371</v>
      </c>
      <c r="G42" s="204"/>
      <c r="H42" s="207"/>
      <c r="K42" s="1"/>
      <c r="AB42" s="214" t="e">
        <f>IF(AND(D41&gt;=24.4,D41&lt;=40.5),"0","1")</f>
        <v>#DIV/0!</v>
      </c>
      <c r="AC42" s="1"/>
      <c r="AD42" s="1">
        <v>1</v>
      </c>
      <c r="AE42" s="1" t="s">
        <v>1770</v>
      </c>
      <c r="AF42" t="s">
        <v>1774</v>
      </c>
    </row>
    <row r="43" spans="2:32" ht="15" x14ac:dyDescent="0.25">
      <c r="B43" s="95"/>
      <c r="C43" s="72" t="s">
        <v>372</v>
      </c>
      <c r="D43" s="90" t="e">
        <f>SUM(M13:M15)</f>
        <v>#DIV/0!</v>
      </c>
      <c r="E43" s="72" t="s">
        <v>373</v>
      </c>
      <c r="F43" s="94" t="s">
        <v>374</v>
      </c>
      <c r="H43" s="203"/>
      <c r="K43" s="1"/>
      <c r="AB43" s="214" t="e">
        <f>IF(D43&gt;=14.5,"0","1")</f>
        <v>#DIV/0!</v>
      </c>
      <c r="AC43" s="1" t="e">
        <f>AB41+AB43</f>
        <v>#DIV/0!</v>
      </c>
      <c r="AD43" s="1"/>
      <c r="AE43" s="1">
        <v>75.5</v>
      </c>
      <c r="AF43">
        <v>29</v>
      </c>
    </row>
    <row r="44" spans="2:32" ht="14.25" x14ac:dyDescent="0.2">
      <c r="B44" s="15"/>
      <c r="C44" s="204"/>
      <c r="D44" s="204"/>
      <c r="E44" s="204"/>
      <c r="F44" s="96" t="s">
        <v>375</v>
      </c>
      <c r="G44" s="204"/>
      <c r="H44" s="207"/>
      <c r="K44" s="1"/>
      <c r="AB44" s="214" t="e">
        <f>IF(D43&gt;=19.5,"0","1")</f>
        <v>#DIV/0!</v>
      </c>
      <c r="AC44" s="1" t="e">
        <f>AB42+AB44</f>
        <v>#DIV/0!</v>
      </c>
      <c r="AD44" s="1"/>
      <c r="AE44" s="1">
        <v>46.5</v>
      </c>
      <c r="AF44">
        <f>AF43+(AE38-AE33)</f>
        <v>33.397999999999996</v>
      </c>
    </row>
    <row r="45" spans="2:32" ht="15.75" x14ac:dyDescent="0.25">
      <c r="B45" s="9"/>
      <c r="AD45" s="1"/>
      <c r="AE45" s="1">
        <v>30</v>
      </c>
      <c r="AF45" s="225">
        <f>AF44+((AF44-AF43)/(AE44-AE43))*(AE45-AE44)</f>
        <v>35.900310344827581</v>
      </c>
    </row>
    <row r="46" spans="2:32" x14ac:dyDescent="0.2">
      <c r="AD46" s="1"/>
      <c r="AE46" s="1"/>
    </row>
    <row r="47" spans="2:32" x14ac:dyDescent="0.2">
      <c r="AD47" s="1">
        <v>2</v>
      </c>
      <c r="AE47" s="1" t="s">
        <v>1770</v>
      </c>
      <c r="AF47" t="s">
        <v>1774</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5">
        <f>AF49+((AF49-AF48)/(AE49-AE48))*(AE50-AE49)</f>
        <v>37.230310344827579</v>
      </c>
    </row>
    <row r="51" spans="30:32" x14ac:dyDescent="0.2">
      <c r="AD51" s="1"/>
      <c r="AE51" s="1"/>
    </row>
    <row r="52" spans="30:32" x14ac:dyDescent="0.2">
      <c r="AD52" s="1">
        <v>3</v>
      </c>
      <c r="AE52" s="1" t="s">
        <v>1770</v>
      </c>
      <c r="AF52" t="s">
        <v>1774</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5">
        <f>AF54+((AF54-AF53)/(AE54-AE53))*(AE55-AE54)</f>
        <v>39.230310344827579</v>
      </c>
    </row>
    <row r="56" spans="30:32" x14ac:dyDescent="0.2">
      <c r="AD56" s="1"/>
      <c r="AE56" s="1"/>
    </row>
    <row r="57" spans="30:32" x14ac:dyDescent="0.2">
      <c r="AD57" s="1">
        <v>4</v>
      </c>
      <c r="AE57" s="1" t="s">
        <v>1770</v>
      </c>
      <c r="AF57" t="s">
        <v>1774</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5">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F75" sqref="F75"/>
    </sheetView>
  </sheetViews>
  <sheetFormatPr defaultColWidth="8.85546875" defaultRowHeight="15" x14ac:dyDescent="0.25"/>
  <cols>
    <col min="1" max="1" width="12.28515625" style="257" customWidth="1"/>
    <col min="2" max="2" width="6.85546875" style="257" customWidth="1"/>
    <col min="3" max="5" width="22.28515625" style="257" customWidth="1"/>
    <col min="6" max="6" width="11.7109375" style="257" customWidth="1"/>
    <col min="7" max="7" width="17.42578125" style="257" customWidth="1"/>
    <col min="8" max="8" width="12.28515625" style="257" customWidth="1"/>
    <col min="9" max="9" width="8.85546875" style="257" customWidth="1"/>
    <col min="10" max="16384" width="8.85546875" style="257"/>
  </cols>
  <sheetData>
    <row r="1" spans="1:9" ht="25.5" customHeight="1" thickBot="1" x14ac:dyDescent="0.3">
      <c r="A1" s="958" t="s">
        <v>3345</v>
      </c>
      <c r="B1" s="959"/>
      <c r="C1" s="959"/>
      <c r="D1" s="959"/>
      <c r="E1" s="959"/>
      <c r="F1" s="959"/>
      <c r="G1" s="959"/>
      <c r="H1" s="960"/>
      <c r="I1" s="256"/>
    </row>
    <row r="2" spans="1:9" ht="25.5" customHeight="1" thickBot="1" x14ac:dyDescent="0.3">
      <c r="A2" s="234"/>
      <c r="B2" s="963" t="s">
        <v>3359</v>
      </c>
      <c r="C2" s="964"/>
      <c r="D2" s="965" t="str">
        <f>IF(CMDS!V5="","",CMDS!V5)</f>
        <v>Mix ID Required</v>
      </c>
      <c r="E2" s="966"/>
      <c r="F2" s="967"/>
      <c r="G2" s="968"/>
      <c r="H2" s="239"/>
    </row>
    <row r="3" spans="1:9" ht="15.75" customHeight="1" thickBot="1" x14ac:dyDescent="0.3">
      <c r="A3" s="951" t="s">
        <v>3373</v>
      </c>
      <c r="B3" s="952"/>
      <c r="C3" s="952"/>
      <c r="D3" s="953"/>
      <c r="E3" s="954" t="str">
        <f>"   "&amp;CMDS!V6</f>
        <v xml:space="preserve">   </v>
      </c>
      <c r="F3" s="954"/>
      <c r="G3" s="954"/>
      <c r="H3" s="955"/>
    </row>
    <row r="4" spans="1:9" ht="15" customHeight="1" thickBot="1" x14ac:dyDescent="0.3">
      <c r="A4" s="975" t="s">
        <v>3346</v>
      </c>
      <c r="B4" s="976"/>
      <c r="C4" s="244" t="str">
        <f>IF(CMDS!$G$2="","","   "&amp;CMDS!$G$2)</f>
        <v/>
      </c>
      <c r="D4" s="252" t="s">
        <v>3376</v>
      </c>
      <c r="E4" s="983" t="str">
        <f>"   "&amp;SUM(CMDS!E30:G33)</f>
        <v xml:space="preserve">   0</v>
      </c>
      <c r="F4" s="984"/>
      <c r="G4" s="984"/>
      <c r="H4" s="985"/>
    </row>
    <row r="5" spans="1:9" x14ac:dyDescent="0.25">
      <c r="A5" s="973" t="s">
        <v>3358</v>
      </c>
      <c r="B5" s="974"/>
      <c r="C5" s="243" t="str">
        <f>IF(CMDS!$G$3="","","   "&amp;CMDS!$G$3)</f>
        <v/>
      </c>
      <c r="D5" s="249" t="s">
        <v>3372</v>
      </c>
      <c r="E5" s="240" t="str">
        <f>IF(CMDS!$E$30="","    -","   "&amp;CMDS!$E$30)</f>
        <v xml:space="preserve">    -</v>
      </c>
      <c r="F5" s="981" t="s">
        <v>3363</v>
      </c>
      <c r="G5" s="982"/>
      <c r="H5" s="245" t="str">
        <f>IF(CMDS!$E$34="","   -",CMDS!$E$34)</f>
        <v xml:space="preserve">   -</v>
      </c>
    </row>
    <row r="6" spans="1:9" x14ac:dyDescent="0.25">
      <c r="A6" s="973" t="s">
        <v>3356</v>
      </c>
      <c r="B6" s="974"/>
      <c r="C6" s="243" t="str">
        <f>IF(CMDS!$G$4="","","   "&amp;CMDS!$G$4)</f>
        <v/>
      </c>
      <c r="D6" s="246" t="s">
        <v>3360</v>
      </c>
      <c r="E6" s="241" t="str">
        <f>IF(CMDS!$E$31="","    -","   "&amp;CMDS!$E$31)</f>
        <v xml:space="preserve">    -</v>
      </c>
      <c r="F6" s="956" t="s">
        <v>3347</v>
      </c>
      <c r="G6" s="957"/>
      <c r="H6" s="276" t="str">
        <f>IFERROR(ROUND(IF(CMDS!$AA$38="","",CMDS!$AA$38),3),"")</f>
        <v/>
      </c>
    </row>
    <row r="7" spans="1:9" x14ac:dyDescent="0.25">
      <c r="A7" s="973" t="s">
        <v>3357</v>
      </c>
      <c r="B7" s="974"/>
      <c r="C7" s="243" t="str">
        <f>IF(CMDS!$G$5="","","   "&amp;CMDS!$G$5)</f>
        <v/>
      </c>
      <c r="D7" s="246" t="s">
        <v>3361</v>
      </c>
      <c r="E7" s="241" t="str">
        <f>IF(CMDS!$E$32="","    -","   "&amp;CMDS!$E$32)</f>
        <v xml:space="preserve">    -</v>
      </c>
      <c r="F7" s="956" t="s">
        <v>3348</v>
      </c>
      <c r="G7" s="957"/>
      <c r="H7" s="270" t="str">
        <f>IF(CMDS!$AA$44=0,"   -",CMDS!$AA$44)</f>
        <v xml:space="preserve">   -</v>
      </c>
    </row>
    <row r="8" spans="1:9" ht="15.75" thickBot="1" x14ac:dyDescent="0.3">
      <c r="A8" s="977"/>
      <c r="B8" s="978"/>
      <c r="C8" s="269" t="str">
        <f>IF(CMDS!$V$2="","","   "&amp;CMDS!$V$2)</f>
        <v/>
      </c>
      <c r="D8" s="247" t="s">
        <v>3362</v>
      </c>
      <c r="E8" s="242" t="str">
        <f>IF(CMDS!$E$33="","    -","   "&amp;CMDS!$E$33)</f>
        <v xml:space="preserve">    -</v>
      </c>
      <c r="F8" s="979" t="s">
        <v>3349</v>
      </c>
      <c r="G8" s="980"/>
      <c r="H8" s="242" t="str">
        <f>IF(CMDS!U20="E5","  Yes",IF(CMDS!U21="E5","  Yes",IF(CMDS!U22="E5","  Yes",IF(CMDS!U23="E5","  Yes",IF(CMDS!U24="E5","  Yes",IF(CMDS!U25="E5","  Yes","  No"))))))</f>
        <v xml:space="preserve">  No</v>
      </c>
    </row>
    <row r="9" spans="1:9" ht="10.15" customHeight="1" thickBot="1" x14ac:dyDescent="0.3">
      <c r="A9" s="969"/>
      <c r="B9" s="970"/>
      <c r="C9" s="970"/>
      <c r="D9" s="971"/>
      <c r="E9" s="971"/>
      <c r="F9" s="971"/>
      <c r="G9" s="971"/>
      <c r="H9" s="972"/>
    </row>
    <row r="10" spans="1:9" ht="30.75" thickBot="1" x14ac:dyDescent="0.3">
      <c r="A10" s="235" t="s">
        <v>3350</v>
      </c>
      <c r="B10" s="236" t="s">
        <v>3353</v>
      </c>
      <c r="C10" s="961" t="s">
        <v>3351</v>
      </c>
      <c r="D10" s="954"/>
      <c r="E10" s="962"/>
      <c r="F10" s="236" t="s">
        <v>3352</v>
      </c>
      <c r="G10" s="235" t="s">
        <v>3354</v>
      </c>
      <c r="H10" s="237" t="s">
        <v>3355</v>
      </c>
    </row>
    <row r="11" spans="1:9" x14ac:dyDescent="0.25">
      <c r="A11" s="271"/>
      <c r="B11" s="272"/>
      <c r="C11" s="948"/>
      <c r="D11" s="949"/>
      <c r="E11" s="950"/>
      <c r="F11" s="266" t="str">
        <f>IF(C11="", "",VLOOKUP(C11,'Items List'!A$2:H$1073,3,FALSE))</f>
        <v/>
      </c>
      <c r="G11" s="266"/>
      <c r="H11" s="267"/>
    </row>
    <row r="12" spans="1:9" ht="14.45" customHeight="1" x14ac:dyDescent="0.25">
      <c r="A12" s="230"/>
      <c r="B12" s="231"/>
      <c r="C12" s="948"/>
      <c r="D12" s="949"/>
      <c r="E12" s="950"/>
      <c r="F12" s="232" t="str">
        <f>IF(C12="", "",VLOOKUP(C12,'Items List'!A$2:H$1073,3,FALSE))</f>
        <v/>
      </c>
      <c r="G12" s="232"/>
      <c r="H12" s="233"/>
    </row>
    <row r="13" spans="1:9" x14ac:dyDescent="0.25">
      <c r="A13" s="230"/>
      <c r="B13" s="231"/>
      <c r="C13" s="948"/>
      <c r="D13" s="949"/>
      <c r="E13" s="950"/>
      <c r="F13" s="232" t="str">
        <f>IF(C13="", "",VLOOKUP(C13,'Items List'!A$2:H$1073,3,FALSE))</f>
        <v/>
      </c>
      <c r="G13" s="268"/>
      <c r="H13" s="233"/>
    </row>
    <row r="14" spans="1:9" ht="15" customHeight="1" x14ac:dyDescent="0.25">
      <c r="A14" s="230"/>
      <c r="B14" s="231"/>
      <c r="C14" s="948"/>
      <c r="D14" s="949"/>
      <c r="E14" s="950"/>
      <c r="F14" s="232" t="str">
        <f>IF(C14="", "",VLOOKUP(C14,'Items List'!A$2:H$1073,3,FALSE))</f>
        <v/>
      </c>
      <c r="G14" s="232"/>
      <c r="H14" s="233"/>
    </row>
    <row r="15" spans="1:9" x14ac:dyDescent="0.25">
      <c r="A15" s="230"/>
      <c r="B15" s="231"/>
      <c r="C15" s="948"/>
      <c r="D15" s="949"/>
      <c r="E15" s="950"/>
      <c r="F15" s="232" t="str">
        <f>IF(C15="", "",VLOOKUP(C15,'Items List'!A$2:H$1073,3,FALSE))</f>
        <v/>
      </c>
      <c r="G15" s="232"/>
      <c r="H15" s="233"/>
    </row>
    <row r="16" spans="1:9" ht="15" customHeight="1" x14ac:dyDescent="0.25">
      <c r="A16" s="230"/>
      <c r="B16" s="231"/>
      <c r="C16" s="948"/>
      <c r="D16" s="949"/>
      <c r="E16" s="950"/>
      <c r="F16" s="232" t="str">
        <f>IF(C16="", "",VLOOKUP(C16,'Items List'!A$2:H$1073,3,FALSE))</f>
        <v/>
      </c>
      <c r="G16" s="232"/>
      <c r="H16" s="233"/>
    </row>
    <row r="17" spans="1:8" x14ac:dyDescent="0.25">
      <c r="A17" s="230"/>
      <c r="B17" s="231"/>
      <c r="C17" s="948"/>
      <c r="D17" s="949"/>
      <c r="E17" s="950"/>
      <c r="F17" s="232" t="str">
        <f>IF(C17="", "",VLOOKUP(C17,'Items List'!A$2:H$1073,3,FALSE))</f>
        <v/>
      </c>
      <c r="G17" s="232"/>
      <c r="H17" s="233"/>
    </row>
    <row r="18" spans="1:8" x14ac:dyDescent="0.25">
      <c r="A18" s="230"/>
      <c r="B18" s="231"/>
      <c r="C18" s="948"/>
      <c r="D18" s="949"/>
      <c r="E18" s="950"/>
      <c r="F18" s="232" t="str">
        <f>IF(C18="", "",VLOOKUP(C18,'Items List'!A$2:H$1073,3,FALSE))</f>
        <v/>
      </c>
      <c r="G18" s="232"/>
      <c r="H18" s="233"/>
    </row>
    <row r="19" spans="1:8" x14ac:dyDescent="0.25">
      <c r="A19" s="230"/>
      <c r="B19" s="231"/>
      <c r="C19" s="948"/>
      <c r="D19" s="949"/>
      <c r="E19" s="950"/>
      <c r="F19" s="232" t="str">
        <f>IF(C19="", "",VLOOKUP(C19,'Items List'!A$2:H$1073,3,FALSE))</f>
        <v/>
      </c>
      <c r="G19" s="232"/>
      <c r="H19" s="233"/>
    </row>
    <row r="20" spans="1:8" x14ac:dyDescent="0.25">
      <c r="A20" s="230"/>
      <c r="B20" s="231"/>
      <c r="C20" s="948"/>
      <c r="D20" s="949"/>
      <c r="E20" s="950"/>
      <c r="F20" s="232" t="str">
        <f>IF(C20="", "",VLOOKUP(C20,'Items List'!A$2:H$1073,3,FALSE))</f>
        <v/>
      </c>
      <c r="G20" s="232"/>
      <c r="H20" s="233"/>
    </row>
    <row r="21" spans="1:8" x14ac:dyDescent="0.25">
      <c r="A21" s="230"/>
      <c r="B21" s="231"/>
      <c r="C21" s="948"/>
      <c r="D21" s="949"/>
      <c r="E21" s="950"/>
      <c r="F21" s="232" t="str">
        <f>IF(C21="", "",VLOOKUP(C21,'Items List'!A$2:H$1073,3,FALSE))</f>
        <v/>
      </c>
      <c r="G21" s="232"/>
      <c r="H21" s="233"/>
    </row>
    <row r="22" spans="1:8" x14ac:dyDescent="0.25">
      <c r="A22" s="238"/>
      <c r="B22" s="231"/>
      <c r="C22" s="948"/>
      <c r="D22" s="949"/>
      <c r="E22" s="950"/>
      <c r="F22" s="232" t="str">
        <f>IF(C22="", "",VLOOKUP(C22,'Items List'!A$2:H$1073,3,FALSE))</f>
        <v/>
      </c>
      <c r="G22" s="258"/>
      <c r="H22" s="233"/>
    </row>
    <row r="23" spans="1:8" x14ac:dyDescent="0.25">
      <c r="A23" s="230"/>
      <c r="B23" s="231"/>
      <c r="C23" s="948"/>
      <c r="D23" s="949"/>
      <c r="E23" s="950"/>
      <c r="F23" s="232" t="str">
        <f>IF(C23="", "",VLOOKUP(C23,'Items List'!A$2:H$1073,3,FALSE))</f>
        <v/>
      </c>
      <c r="G23" s="232"/>
      <c r="H23" s="233"/>
    </row>
    <row r="24" spans="1:8" x14ac:dyDescent="0.25">
      <c r="A24" s="230"/>
      <c r="B24" s="231"/>
      <c r="C24" s="948"/>
      <c r="D24" s="949"/>
      <c r="E24" s="950"/>
      <c r="F24" s="232" t="str">
        <f>IF(C24="", "",VLOOKUP(C24,'Items List'!A$2:H$1073,3,FALSE))</f>
        <v/>
      </c>
      <c r="G24" s="232"/>
      <c r="H24" s="233"/>
    </row>
    <row r="25" spans="1:8" x14ac:dyDescent="0.25">
      <c r="A25" s="230"/>
      <c r="B25" s="231"/>
      <c r="C25" s="948"/>
      <c r="D25" s="949"/>
      <c r="E25" s="950"/>
      <c r="F25" s="232" t="str">
        <f>IF(C25="", "",VLOOKUP(C25,'Items List'!A$2:H$1073,3,FALSE))</f>
        <v/>
      </c>
      <c r="G25" s="232"/>
      <c r="H25" s="233"/>
    </row>
    <row r="26" spans="1:8" x14ac:dyDescent="0.25">
      <c r="A26" s="230"/>
      <c r="B26" s="231"/>
      <c r="C26" s="948"/>
      <c r="D26" s="949"/>
      <c r="E26" s="950"/>
      <c r="F26" s="232" t="str">
        <f>IF(C26="", "",VLOOKUP(C26,'Items List'!A$2:H$1073,3,FALSE))</f>
        <v/>
      </c>
      <c r="G26" s="232"/>
      <c r="H26" s="233"/>
    </row>
    <row r="27" spans="1:8" x14ac:dyDescent="0.25">
      <c r="A27" s="230"/>
      <c r="B27" s="231"/>
      <c r="C27" s="948"/>
      <c r="D27" s="949"/>
      <c r="E27" s="950"/>
      <c r="F27" s="232" t="str">
        <f>IF(C27="", "",VLOOKUP(C27,'Items List'!A$2:H$1073,3,FALSE))</f>
        <v/>
      </c>
      <c r="G27" s="232"/>
      <c r="H27" s="233"/>
    </row>
    <row r="28" spans="1:8" x14ac:dyDescent="0.25">
      <c r="A28" s="230"/>
      <c r="B28" s="231"/>
      <c r="C28" s="948"/>
      <c r="D28" s="949"/>
      <c r="E28" s="950"/>
      <c r="F28" s="232" t="str">
        <f>IF(C28="", "",VLOOKUP(C28,'Items List'!A$2:H$1073,3,FALSE))</f>
        <v/>
      </c>
      <c r="G28" s="232"/>
      <c r="H28" s="233"/>
    </row>
    <row r="29" spans="1:8" x14ac:dyDescent="0.25">
      <c r="A29" s="230"/>
      <c r="B29" s="231"/>
      <c r="C29" s="948"/>
      <c r="D29" s="949"/>
      <c r="E29" s="950"/>
      <c r="F29" s="232" t="str">
        <f>IF(C29="", "",VLOOKUP(C29,'Items List'!A$2:H$1073,3,FALSE))</f>
        <v/>
      </c>
      <c r="G29" s="232"/>
      <c r="H29" s="233"/>
    </row>
    <row r="30" spans="1:8" x14ac:dyDescent="0.25">
      <c r="A30" s="230"/>
      <c r="B30" s="231"/>
      <c r="C30" s="948"/>
      <c r="D30" s="949"/>
      <c r="E30" s="950"/>
      <c r="F30" s="232" t="str">
        <f>IF(C30="", "",VLOOKUP(C30,'Items List'!A$2:H$1073,3,FALSE))</f>
        <v/>
      </c>
      <c r="G30" s="232"/>
      <c r="H30" s="233"/>
    </row>
    <row r="31" spans="1:8" x14ac:dyDescent="0.25">
      <c r="A31" s="230"/>
      <c r="B31" s="231"/>
      <c r="C31" s="948"/>
      <c r="D31" s="949"/>
      <c r="E31" s="950"/>
      <c r="F31" s="232" t="str">
        <f>IF(C31="", "",VLOOKUP(C31,'Items List'!A$2:H$1073,3,FALSE))</f>
        <v/>
      </c>
      <c r="G31" s="232"/>
      <c r="H31" s="233"/>
    </row>
    <row r="32" spans="1:8" x14ac:dyDescent="0.25">
      <c r="A32" s="230"/>
      <c r="B32" s="231"/>
      <c r="C32" s="948"/>
      <c r="D32" s="949"/>
      <c r="E32" s="950"/>
      <c r="F32" s="232" t="str">
        <f>IF(C32="", "",VLOOKUP(C32,'Items List'!A$2:H$1073,3,FALSE))</f>
        <v/>
      </c>
      <c r="G32" s="232"/>
      <c r="H32" s="233"/>
    </row>
    <row r="33" spans="1:8" x14ac:dyDescent="0.25">
      <c r="A33" s="230"/>
      <c r="B33" s="231"/>
      <c r="C33" s="948"/>
      <c r="D33" s="949"/>
      <c r="E33" s="950"/>
      <c r="F33" s="232" t="str">
        <f>IF(C33="", "",VLOOKUP(C33,'Items List'!A$2:H$1073,3,FALSE))</f>
        <v/>
      </c>
      <c r="G33" s="232"/>
      <c r="H33" s="233"/>
    </row>
    <row r="34" spans="1:8" x14ac:dyDescent="0.25">
      <c r="A34" s="230"/>
      <c r="B34" s="231"/>
      <c r="C34" s="948"/>
      <c r="D34" s="949"/>
      <c r="E34" s="950"/>
      <c r="F34" s="232" t="str">
        <f>IF(C34="", "",VLOOKUP(C34,'Items List'!A$2:H$1073,3,FALSE))</f>
        <v/>
      </c>
      <c r="G34" s="232"/>
      <c r="H34" s="233"/>
    </row>
    <row r="35" spans="1:8" x14ac:dyDescent="0.25">
      <c r="A35" s="230"/>
      <c r="B35" s="231"/>
      <c r="C35" s="948"/>
      <c r="D35" s="949"/>
      <c r="E35" s="950"/>
      <c r="F35" s="232" t="str">
        <f>IF(C35="", "",VLOOKUP(C35,'Items List'!A$2:H$1073,3,FALSE))</f>
        <v/>
      </c>
      <c r="G35" s="232"/>
      <c r="H35" s="233"/>
    </row>
    <row r="36" spans="1:8" x14ac:dyDescent="0.25">
      <c r="A36" s="230"/>
      <c r="B36" s="231"/>
      <c r="C36" s="948"/>
      <c r="D36" s="949"/>
      <c r="E36" s="950"/>
      <c r="F36" s="232" t="str">
        <f>IF(C36="", "",VLOOKUP(C36,'Items List'!A$2:H$1073,3,FALSE))</f>
        <v/>
      </c>
      <c r="G36" s="232"/>
      <c r="H36" s="233"/>
    </row>
    <row r="37" spans="1:8" x14ac:dyDescent="0.25">
      <c r="A37" s="230"/>
      <c r="B37" s="231"/>
      <c r="C37" s="948"/>
      <c r="D37" s="949"/>
      <c r="E37" s="950"/>
      <c r="F37" s="232" t="str">
        <f>IF(C37="", "",VLOOKUP(C37,'Items List'!A$2:H$1073,3,FALSE))</f>
        <v/>
      </c>
      <c r="G37" s="232"/>
      <c r="H37" s="233"/>
    </row>
    <row r="38" spans="1:8" x14ac:dyDescent="0.25">
      <c r="A38" s="230"/>
      <c r="B38" s="231"/>
      <c r="C38" s="948"/>
      <c r="D38" s="949"/>
      <c r="E38" s="950"/>
      <c r="F38" s="232" t="str">
        <f>IF(C38="", "",VLOOKUP(C38,'Items List'!A$2:H$1073,3,FALSE))</f>
        <v/>
      </c>
      <c r="G38" s="232"/>
      <c r="H38" s="233"/>
    </row>
    <row r="39" spans="1:8" x14ac:dyDescent="0.25">
      <c r="A39" s="230"/>
      <c r="B39" s="231"/>
      <c r="C39" s="948"/>
      <c r="D39" s="949"/>
      <c r="E39" s="950"/>
      <c r="F39" s="232" t="str">
        <f>IF(C39="", "",VLOOKUP(C39,'Items List'!A$2:H$1073,3,FALSE))</f>
        <v/>
      </c>
      <c r="G39" s="232"/>
      <c r="H39" s="233"/>
    </row>
    <row r="40" spans="1:8" x14ac:dyDescent="0.25">
      <c r="A40" s="230"/>
      <c r="B40" s="231"/>
      <c r="C40" s="948"/>
      <c r="D40" s="949"/>
      <c r="E40" s="950"/>
      <c r="F40" s="232" t="str">
        <f>IF(C40="", "",VLOOKUP(C40,'Items List'!A$2:H$1073,3,FALSE))</f>
        <v/>
      </c>
      <c r="G40" s="232"/>
      <c r="H40" s="233"/>
    </row>
    <row r="41" spans="1:8" x14ac:dyDescent="0.25">
      <c r="A41" s="230"/>
      <c r="B41" s="231"/>
      <c r="C41" s="948"/>
      <c r="D41" s="949"/>
      <c r="E41" s="950"/>
      <c r="F41" s="232" t="str">
        <f>IF(C41="", "",VLOOKUP(C41,'Items List'!A$2:H$1073,3,FALSE))</f>
        <v/>
      </c>
      <c r="G41" s="232"/>
      <c r="H41" s="233"/>
    </row>
    <row r="42" spans="1:8" x14ac:dyDescent="0.25">
      <c r="A42" s="230"/>
      <c r="B42" s="231"/>
      <c r="C42" s="948"/>
      <c r="D42" s="949"/>
      <c r="E42" s="950"/>
      <c r="F42" s="232" t="str">
        <f>IF(C42="", "",VLOOKUP(C42,'Items List'!A$2:H$1073,3,FALSE))</f>
        <v/>
      </c>
      <c r="G42" s="232"/>
      <c r="H42" s="233"/>
    </row>
    <row r="43" spans="1:8" x14ac:dyDescent="0.25">
      <c r="A43" s="230"/>
      <c r="B43" s="231"/>
      <c r="C43" s="948"/>
      <c r="D43" s="949"/>
      <c r="E43" s="950"/>
      <c r="F43" s="232" t="str">
        <f>IF(C43="", "",VLOOKUP(C43,'Items List'!A$2:H$1073,3,FALSE))</f>
        <v/>
      </c>
      <c r="G43" s="232"/>
      <c r="H43" s="233"/>
    </row>
    <row r="44" spans="1:8" x14ac:dyDescent="0.25">
      <c r="A44" s="230"/>
      <c r="B44" s="231"/>
      <c r="C44" s="948"/>
      <c r="D44" s="949"/>
      <c r="E44" s="950"/>
      <c r="F44" s="232" t="str">
        <f>IF(C44="", "",VLOOKUP(C44,'Items List'!A$2:H$1073,3,FALSE))</f>
        <v/>
      </c>
      <c r="G44" s="232"/>
      <c r="H44" s="233"/>
    </row>
    <row r="45" spans="1:8" x14ac:dyDescent="0.25">
      <c r="A45" s="230"/>
      <c r="B45" s="231"/>
      <c r="C45" s="948"/>
      <c r="D45" s="949"/>
      <c r="E45" s="950"/>
      <c r="F45" s="232" t="str">
        <f>IF(C45="", "",VLOOKUP(C45,'Items List'!A$2:H$1073,3,FALSE))</f>
        <v/>
      </c>
      <c r="G45" s="232"/>
      <c r="H45" s="233"/>
    </row>
    <row r="46" spans="1:8" x14ac:dyDescent="0.25">
      <c r="A46" s="230"/>
      <c r="B46" s="231"/>
      <c r="C46" s="948"/>
      <c r="D46" s="949"/>
      <c r="E46" s="950"/>
      <c r="F46" s="232" t="str">
        <f>IF(C46="", "",VLOOKUP(C46,'Items List'!A$2:H$1073,3,FALSE))</f>
        <v/>
      </c>
      <c r="G46" s="232"/>
      <c r="H46" s="233"/>
    </row>
    <row r="47" spans="1:8" x14ac:dyDescent="0.25">
      <c r="A47" s="230"/>
      <c r="B47" s="231"/>
      <c r="C47" s="948"/>
      <c r="D47" s="949"/>
      <c r="E47" s="950"/>
      <c r="F47" s="232" t="str">
        <f>IF(C47="", "",VLOOKUP(C47,'Items List'!A$2:H$1073,3,FALSE))</f>
        <v/>
      </c>
      <c r="G47" s="232"/>
      <c r="H47" s="233"/>
    </row>
    <row r="48" spans="1:8" x14ac:dyDescent="0.25">
      <c r="A48" s="230"/>
      <c r="B48" s="231"/>
      <c r="C48" s="948"/>
      <c r="D48" s="949"/>
      <c r="E48" s="950"/>
      <c r="F48" s="232" t="str">
        <f>IF(C48="", "",VLOOKUP(C48,'Items List'!A$2:H$1073,3,FALSE))</f>
        <v/>
      </c>
      <c r="G48" s="232"/>
      <c r="H48" s="233"/>
    </row>
    <row r="49" spans="1:8" x14ac:dyDescent="0.25">
      <c r="A49" s="230"/>
      <c r="B49" s="231"/>
      <c r="C49" s="948"/>
      <c r="D49" s="949"/>
      <c r="E49" s="950"/>
      <c r="F49" s="232" t="str">
        <f>IF(C49="", "",VLOOKUP(C49,'Items List'!A$2:H$1073,3,FALSE))</f>
        <v/>
      </c>
      <c r="G49" s="232"/>
      <c r="H49" s="233"/>
    </row>
    <row r="50" spans="1:8" x14ac:dyDescent="0.25">
      <c r="A50" s="230"/>
      <c r="B50" s="231"/>
      <c r="C50" s="948"/>
      <c r="D50" s="949"/>
      <c r="E50" s="950"/>
      <c r="F50" s="232" t="str">
        <f>IF(C50="", "",VLOOKUP(C50,'Items List'!A$2:H$1073,3,FALSE))</f>
        <v/>
      </c>
      <c r="G50" s="232"/>
      <c r="H50" s="233"/>
    </row>
    <row r="51" spans="1:8" x14ac:dyDescent="0.25">
      <c r="A51" s="230"/>
      <c r="B51" s="231"/>
      <c r="C51" s="948"/>
      <c r="D51" s="949"/>
      <c r="E51" s="950"/>
      <c r="F51" s="232" t="str">
        <f>IF(C51="", "",VLOOKUP(C51,'Items List'!A$2:H$1073,3,FALSE))</f>
        <v/>
      </c>
      <c r="G51" s="232"/>
      <c r="H51" s="233"/>
    </row>
    <row r="52" spans="1:8" x14ac:dyDescent="0.25">
      <c r="A52" s="230"/>
      <c r="B52" s="231"/>
      <c r="C52" s="948"/>
      <c r="D52" s="949"/>
      <c r="E52" s="950"/>
      <c r="F52" s="232" t="str">
        <f>IF(C52="", "",VLOOKUP(C52,'Items List'!A$2:H$1073,3,FALSE))</f>
        <v/>
      </c>
      <c r="G52" s="232"/>
      <c r="H52" s="233"/>
    </row>
    <row r="53" spans="1:8" x14ac:dyDescent="0.25">
      <c r="A53" s="230"/>
      <c r="B53" s="231"/>
      <c r="C53" s="948"/>
      <c r="D53" s="949"/>
      <c r="E53" s="950"/>
      <c r="F53" s="232" t="str">
        <f>IF(C53="", "",VLOOKUP(C53,'Items List'!A$2:H$1073,3,FALSE))</f>
        <v/>
      </c>
      <c r="G53" s="232"/>
      <c r="H53" s="233"/>
    </row>
    <row r="54" spans="1:8" x14ac:dyDescent="0.25">
      <c r="A54" s="230"/>
      <c r="B54" s="231"/>
      <c r="C54" s="948"/>
      <c r="D54" s="949"/>
      <c r="E54" s="950"/>
      <c r="F54" s="232" t="str">
        <f>IF(C54="", "",VLOOKUP(C54,'Items List'!A$2:H$1073,3,FALSE))</f>
        <v/>
      </c>
      <c r="G54" s="232"/>
      <c r="H54" s="233"/>
    </row>
    <row r="55" spans="1:8" x14ac:dyDescent="0.25">
      <c r="A55" s="230"/>
      <c r="B55" s="231"/>
      <c r="C55" s="948"/>
      <c r="D55" s="949"/>
      <c r="E55" s="950"/>
      <c r="F55" s="232" t="str">
        <f>IF(C55="", "",VLOOKUP(C55,'Items List'!A$2:H$1073,3,FALSE))</f>
        <v/>
      </c>
      <c r="G55" s="232"/>
      <c r="H55" s="233"/>
    </row>
    <row r="56" spans="1:8" x14ac:dyDescent="0.25">
      <c r="A56" s="230"/>
      <c r="B56" s="231"/>
      <c r="C56" s="948"/>
      <c r="D56" s="949"/>
      <c r="E56" s="950"/>
      <c r="F56" s="232" t="str">
        <f>IF(C56="", "",VLOOKUP(C56,'Items List'!A$2:H$1073,3,FALSE))</f>
        <v/>
      </c>
      <c r="G56" s="232"/>
      <c r="H56" s="233"/>
    </row>
    <row r="57" spans="1:8" x14ac:dyDescent="0.25">
      <c r="A57" s="230"/>
      <c r="B57" s="231"/>
      <c r="C57" s="948"/>
      <c r="D57" s="949"/>
      <c r="E57" s="950"/>
      <c r="F57" s="232" t="str">
        <f>IF(C57="", "",VLOOKUP(C57,'Items List'!A$2:H$1073,3,FALSE))</f>
        <v/>
      </c>
      <c r="G57" s="232"/>
      <c r="H57" s="233"/>
    </row>
    <row r="58" spans="1:8" x14ac:dyDescent="0.25">
      <c r="A58" s="230"/>
      <c r="B58" s="231"/>
      <c r="C58" s="948"/>
      <c r="D58" s="949"/>
      <c r="E58" s="950"/>
      <c r="F58" s="232" t="str">
        <f>IF(C58="", "",VLOOKUP(C58,'Items List'!A$2:H$1073,3,FALSE))</f>
        <v/>
      </c>
      <c r="G58" s="232"/>
      <c r="H58" s="233"/>
    </row>
    <row r="59" spans="1:8" x14ac:dyDescent="0.25">
      <c r="A59" s="230"/>
      <c r="B59" s="231"/>
      <c r="C59" s="948"/>
      <c r="D59" s="949"/>
      <c r="E59" s="950"/>
      <c r="F59" s="232" t="str">
        <f>IF(C59="", "",VLOOKUP(C59,'Items List'!A$2:H$1073,3,FALSE))</f>
        <v/>
      </c>
      <c r="G59" s="232"/>
      <c r="H59" s="233"/>
    </row>
    <row r="60" spans="1:8" x14ac:dyDescent="0.25">
      <c r="A60" s="230"/>
      <c r="B60" s="231"/>
      <c r="C60" s="948"/>
      <c r="D60" s="949"/>
      <c r="E60" s="950"/>
      <c r="F60" s="232" t="str">
        <f>IF(C60="", "",VLOOKUP(C60,'Items List'!A$2:H$1073,3,FALSE))</f>
        <v/>
      </c>
      <c r="G60" s="232"/>
      <c r="H60" s="233"/>
    </row>
    <row r="61" spans="1:8" x14ac:dyDescent="0.25">
      <c r="A61" s="230"/>
      <c r="B61" s="231"/>
      <c r="C61" s="948"/>
      <c r="D61" s="949"/>
      <c r="E61" s="950"/>
      <c r="F61" s="232" t="str">
        <f>IF(C61="", "",VLOOKUP(C61,'Items List'!A$2:H$1073,3,FALSE))</f>
        <v/>
      </c>
      <c r="G61" s="232"/>
      <c r="H61" s="233"/>
    </row>
    <row r="62" spans="1:8" x14ac:dyDescent="0.25">
      <c r="A62" s="230"/>
      <c r="B62" s="231"/>
      <c r="C62" s="948"/>
      <c r="D62" s="949"/>
      <c r="E62" s="950"/>
      <c r="F62" s="232" t="str">
        <f>IF(C62="", "",VLOOKUP(C62,'Items List'!A$2:H$1073,3,FALSE))</f>
        <v/>
      </c>
      <c r="G62" s="232"/>
      <c r="H62" s="233"/>
    </row>
    <row r="63" spans="1:8" x14ac:dyDescent="0.25">
      <c r="A63" s="230"/>
      <c r="B63" s="231"/>
      <c r="C63" s="948"/>
      <c r="D63" s="949"/>
      <c r="E63" s="950"/>
      <c r="F63" s="232" t="str">
        <f>IF(C63="", "",VLOOKUP(C63,'Items List'!A$2:H$1073,3,FALSE))</f>
        <v/>
      </c>
      <c r="G63" s="232"/>
      <c r="H63" s="233"/>
    </row>
    <row r="64" spans="1:8" x14ac:dyDescent="0.25">
      <c r="A64" s="230"/>
      <c r="B64" s="231"/>
      <c r="C64" s="948"/>
      <c r="D64" s="949"/>
      <c r="E64" s="950"/>
      <c r="F64" s="232" t="str">
        <f>IF(C64="", "",VLOOKUP(C64,'Items List'!A$2:H$1073,3,FALSE))</f>
        <v/>
      </c>
      <c r="G64" s="232"/>
      <c r="H64" s="233"/>
    </row>
    <row r="65" spans="1:8" x14ac:dyDescent="0.25">
      <c r="A65" s="230"/>
      <c r="B65" s="231"/>
      <c r="C65" s="948"/>
      <c r="D65" s="949"/>
      <c r="E65" s="950"/>
      <c r="F65" s="232" t="str">
        <f>IF(C65="", "",VLOOKUP(C65,'Items List'!A$2:H$1073,3,FALSE))</f>
        <v/>
      </c>
      <c r="G65" s="232"/>
      <c r="H65" s="233"/>
    </row>
    <row r="66" spans="1:8" x14ac:dyDescent="0.25">
      <c r="A66" s="230"/>
      <c r="B66" s="231"/>
      <c r="C66" s="948"/>
      <c r="D66" s="949"/>
      <c r="E66" s="950"/>
      <c r="F66" s="232" t="str">
        <f>IF(C66="", "",VLOOKUP(C66,'Items List'!A$2:H$1073,3,FALSE))</f>
        <v/>
      </c>
      <c r="G66" s="232"/>
      <c r="H66" s="233"/>
    </row>
    <row r="67" spans="1:8" x14ac:dyDescent="0.25">
      <c r="A67" s="230"/>
      <c r="B67" s="231"/>
      <c r="C67" s="948"/>
      <c r="D67" s="949"/>
      <c r="E67" s="950"/>
      <c r="F67" s="232" t="str">
        <f>IF(C67="", "",VLOOKUP(C67,'Items List'!A$2:H$1073,3,FALSE))</f>
        <v/>
      </c>
      <c r="G67" s="232"/>
      <c r="H67" s="233"/>
    </row>
    <row r="68" spans="1:8" x14ac:dyDescent="0.25">
      <c r="A68" s="230"/>
      <c r="B68" s="231"/>
      <c r="C68" s="948"/>
      <c r="D68" s="949"/>
      <c r="E68" s="950"/>
      <c r="F68" s="232" t="str">
        <f>IF(C68="", "",VLOOKUP(C68,'Items List'!A$2:H$1073,3,FALSE))</f>
        <v/>
      </c>
      <c r="G68" s="232"/>
      <c r="H68" s="233"/>
    </row>
    <row r="69" spans="1:8" x14ac:dyDescent="0.25">
      <c r="A69" s="230"/>
      <c r="B69" s="231"/>
      <c r="C69" s="948"/>
      <c r="D69" s="949"/>
      <c r="E69" s="950"/>
      <c r="F69" s="232" t="str">
        <f>IF(C69="", "",VLOOKUP(C69,'Items List'!A$2:H$1073,3,FALSE))</f>
        <v/>
      </c>
      <c r="G69" s="232"/>
      <c r="H69" s="233"/>
    </row>
    <row r="70" spans="1:8" x14ac:dyDescent="0.25">
      <c r="A70" s="230"/>
      <c r="B70" s="231"/>
      <c r="C70" s="948"/>
      <c r="D70" s="949"/>
      <c r="E70" s="950"/>
      <c r="F70" s="232" t="str">
        <f>IF(C70="", "",VLOOKUP(C70,'Items List'!A$2:H$1073,3,FALSE))</f>
        <v/>
      </c>
      <c r="G70" s="232"/>
      <c r="H70" s="233"/>
    </row>
    <row r="71" spans="1:8" x14ac:dyDescent="0.25">
      <c r="A71" s="230"/>
      <c r="B71" s="231"/>
      <c r="C71" s="948"/>
      <c r="D71" s="949"/>
      <c r="E71" s="950"/>
      <c r="F71" s="232" t="str">
        <f>IF(C71="", "",VLOOKUP(C71,'Items List'!A$2:H$1073,3,FALSE))</f>
        <v/>
      </c>
      <c r="G71" s="232"/>
      <c r="H71" s="233"/>
    </row>
    <row r="72" spans="1:8" x14ac:dyDescent="0.25">
      <c r="A72" s="230"/>
      <c r="B72" s="231"/>
      <c r="C72" s="948"/>
      <c r="D72" s="949"/>
      <c r="E72" s="950"/>
      <c r="F72" s="232" t="str">
        <f>IF(C72="", "",VLOOKUP(C72,'Items List'!A$2:H$1073,3,FALSE))</f>
        <v/>
      </c>
      <c r="G72" s="232"/>
      <c r="H72" s="233"/>
    </row>
    <row r="73" spans="1:8" x14ac:dyDescent="0.25">
      <c r="A73" s="230"/>
      <c r="B73" s="231"/>
      <c r="C73" s="948"/>
      <c r="D73" s="949"/>
      <c r="E73" s="950"/>
      <c r="F73" s="232" t="str">
        <f>IF(C73="", "",VLOOKUP(C73,'Items List'!A$2:H$1073,3,FALSE))</f>
        <v/>
      </c>
      <c r="G73" s="232"/>
      <c r="H73" s="233"/>
    </row>
    <row r="74" spans="1:8" x14ac:dyDescent="0.25">
      <c r="A74" s="230"/>
      <c r="B74" s="231"/>
      <c r="C74" s="948"/>
      <c r="D74" s="949"/>
      <c r="E74" s="950"/>
      <c r="F74" s="232" t="str">
        <f>IF(C74="", "",VLOOKUP(C74,'Items List'!A$2:H$1073,3,FALSE))</f>
        <v/>
      </c>
      <c r="G74" s="232"/>
      <c r="H74" s="233"/>
    </row>
    <row r="75" spans="1:8" x14ac:dyDescent="0.25">
      <c r="A75" s="230"/>
      <c r="B75" s="231"/>
      <c r="C75" s="948"/>
      <c r="D75" s="949"/>
      <c r="E75" s="950"/>
      <c r="F75" s="232" t="str">
        <f>IF(C75="", "",VLOOKUP(C75,'Items List'!A$2:H$1073,3,FALSE))</f>
        <v/>
      </c>
      <c r="G75" s="232"/>
      <c r="H75" s="233"/>
    </row>
    <row r="76" spans="1:8" x14ac:dyDescent="0.25">
      <c r="A76" s="230"/>
      <c r="B76" s="231"/>
      <c r="C76" s="948"/>
      <c r="D76" s="949"/>
      <c r="E76" s="950"/>
      <c r="F76" s="232" t="str">
        <f>IF(C76="", "",VLOOKUP(C76,'Items List'!A$2:H$1073,3,FALSE))</f>
        <v/>
      </c>
      <c r="G76" s="232"/>
      <c r="H76" s="233"/>
    </row>
    <row r="77" spans="1:8" x14ac:dyDescent="0.25">
      <c r="A77" s="230"/>
      <c r="B77" s="231"/>
      <c r="C77" s="948"/>
      <c r="D77" s="949"/>
      <c r="E77" s="950"/>
      <c r="F77" s="232" t="str">
        <f>IF(C77="", "",VLOOKUP(C77,'Items List'!A$2:H$1073,3,FALSE))</f>
        <v/>
      </c>
      <c r="G77" s="232"/>
      <c r="H77" s="233"/>
    </row>
    <row r="78" spans="1:8" x14ac:dyDescent="0.25">
      <c r="A78" s="230"/>
      <c r="B78" s="231"/>
      <c r="C78" s="948"/>
      <c r="D78" s="949"/>
      <c r="E78" s="950"/>
      <c r="F78" s="232" t="str">
        <f>IF(C78="", "",VLOOKUP(C78,'Items List'!A$2:H$1073,3,FALSE))</f>
        <v/>
      </c>
      <c r="G78" s="232"/>
      <c r="H78" s="233"/>
    </row>
    <row r="79" spans="1:8" x14ac:dyDescent="0.25">
      <c r="A79" s="230"/>
      <c r="B79" s="231"/>
      <c r="C79" s="948"/>
      <c r="D79" s="949"/>
      <c r="E79" s="950"/>
      <c r="F79" s="232" t="str">
        <f>IF(C79="", "",VLOOKUP(C79,'Items List'!A$2:H$1073,3,FALSE))</f>
        <v/>
      </c>
      <c r="G79" s="232"/>
      <c r="H79" s="233"/>
    </row>
    <row r="80" spans="1:8" x14ac:dyDescent="0.25">
      <c r="A80" s="230"/>
      <c r="B80" s="231"/>
      <c r="C80" s="948"/>
      <c r="D80" s="949"/>
      <c r="E80" s="950"/>
      <c r="F80" s="232" t="str">
        <f>IF(C80="", "",VLOOKUP(C80,'Items List'!A$2:H$1073,3,FALSE))</f>
        <v/>
      </c>
      <c r="G80" s="232"/>
      <c r="H80" s="233"/>
    </row>
    <row r="81" spans="1:8" x14ac:dyDescent="0.25">
      <c r="A81" s="230"/>
      <c r="B81" s="231"/>
      <c r="C81" s="948"/>
      <c r="D81" s="949"/>
      <c r="E81" s="950"/>
      <c r="F81" s="232" t="str">
        <f>IF(C81="", "",VLOOKUP(C81,'Items List'!A$2:H$1073,3,FALSE))</f>
        <v/>
      </c>
      <c r="G81" s="232"/>
      <c r="H81" s="233"/>
    </row>
    <row r="82" spans="1:8" x14ac:dyDescent="0.25">
      <c r="A82" s="230"/>
      <c r="B82" s="231"/>
      <c r="C82" s="948"/>
      <c r="D82" s="949"/>
      <c r="E82" s="950"/>
      <c r="F82" s="232" t="str">
        <f>IF(C82="", "",VLOOKUP(C82,'Items List'!A$2:H$1073,3,FALSE))</f>
        <v/>
      </c>
      <c r="G82" s="232"/>
      <c r="H82" s="233"/>
    </row>
    <row r="83" spans="1:8" x14ac:dyDescent="0.25">
      <c r="A83" s="230"/>
      <c r="B83" s="231"/>
      <c r="C83" s="948"/>
      <c r="D83" s="949"/>
      <c r="E83" s="950"/>
      <c r="F83" s="232" t="str">
        <f>IF(C83="", "",VLOOKUP(C83,'Items List'!A$2:H$1073,3,FALSE))</f>
        <v/>
      </c>
      <c r="G83" s="232"/>
      <c r="H83" s="233"/>
    </row>
    <row r="84" spans="1:8" x14ac:dyDescent="0.25">
      <c r="A84" s="230"/>
      <c r="B84" s="231"/>
      <c r="C84" s="948"/>
      <c r="D84" s="949"/>
      <c r="E84" s="950"/>
      <c r="F84" s="232" t="str">
        <f>IF(C84="", "",VLOOKUP(C84,'Items List'!A$2:H$1073,3,FALSE))</f>
        <v/>
      </c>
      <c r="G84" s="232"/>
      <c r="H84" s="233"/>
    </row>
    <row r="85" spans="1:8" ht="15.6" customHeight="1" thickBot="1" x14ac:dyDescent="0.3">
      <c r="A85" s="945" t="str">
        <f>IF(C85="", "",VLOOKUP(C85,'Items List'!A$2:H$1073,3,FALSE))</f>
        <v/>
      </c>
      <c r="B85" s="946"/>
      <c r="C85" s="946"/>
      <c r="D85" s="946"/>
      <c r="E85" s="946"/>
      <c r="F85" s="947"/>
      <c r="G85" s="943" t="str">
        <f>CMDS!AA60</f>
        <v>v14f.07.01.24</v>
      </c>
      <c r="H85" s="944"/>
    </row>
  </sheetData>
  <sheetProtection algorithmName="SHA-512" hashValue="IlsBo1VBh88FYjkI5+LI0KMh23TMkdDfD0xOuDivwvJIPq31b2PcdqGofADNH8WCLgq72tHw7s8tSY5eoirv6w==" saltValue="eQ8f/h5RKabxUpROYhPwuA==" spinCount="100000" sheet="1" objects="1" scenario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2.75" x14ac:dyDescent="0.2"/>
  <cols>
    <col min="1" max="1" width="47.7109375" bestFit="1" customWidth="1"/>
    <col min="2" max="2" width="12.85546875" bestFit="1" customWidth="1"/>
    <col min="3" max="3" width="13.42578125" bestFit="1" customWidth="1"/>
  </cols>
  <sheetData>
    <row r="1" spans="1:5" x14ac:dyDescent="0.2">
      <c r="B1" s="301" t="s">
        <v>4888</v>
      </c>
      <c r="C1" s="298"/>
      <c r="D1" s="301" t="s">
        <v>4889</v>
      </c>
      <c r="E1" s="301"/>
    </row>
    <row r="2" spans="1:5" x14ac:dyDescent="0.2">
      <c r="A2" s="4" t="s">
        <v>4885</v>
      </c>
      <c r="B2" s="205" t="s">
        <v>4886</v>
      </c>
      <c r="C2" s="205" t="s">
        <v>4887</v>
      </c>
      <c r="D2" s="4" t="s">
        <v>4886</v>
      </c>
      <c r="E2" s="4" t="s">
        <v>4887</v>
      </c>
    </row>
    <row r="3" spans="1:5" x14ac:dyDescent="0.2">
      <c r="A3" s="4" t="s">
        <v>3365</v>
      </c>
      <c r="B3" s="1">
        <v>0</v>
      </c>
      <c r="C3" s="1" t="str">
        <f>IF([2]CMDS!$E$31&lt;&gt;"",0.44*0.9706,IF([2]CMDS!$E$32&lt;&gt;"",0.45,""))</f>
        <v/>
      </c>
      <c r="D3" s="4">
        <v>1.25</v>
      </c>
      <c r="E3">
        <v>6</v>
      </c>
    </row>
    <row r="4" spans="1:5" x14ac:dyDescent="0.2">
      <c r="A4" s="4" t="s">
        <v>3366</v>
      </c>
      <c r="B4" s="1">
        <v>0</v>
      </c>
      <c r="C4" s="1" t="str">
        <f>IF([2]CMDS!$E$31&lt;&gt;"",0.44*0.9706,IF([2]CMDS!$E$32&lt;&gt;"",0.45,""))</f>
        <v/>
      </c>
      <c r="D4" s="4">
        <v>1.25</v>
      </c>
      <c r="E4">
        <v>6</v>
      </c>
    </row>
    <row r="5" spans="1:5" x14ac:dyDescent="0.2">
      <c r="A5" s="4" t="s">
        <v>3367</v>
      </c>
      <c r="B5" s="1">
        <v>0.34</v>
      </c>
      <c r="C5" s="1">
        <v>0.435</v>
      </c>
      <c r="D5">
        <v>2</v>
      </c>
      <c r="E5">
        <v>6</v>
      </c>
    </row>
    <row r="6" spans="1:5" x14ac:dyDescent="0.2">
      <c r="A6" s="4" t="s">
        <v>3368</v>
      </c>
      <c r="B6" s="1">
        <v>0.34</v>
      </c>
      <c r="C6" s="1">
        <v>0.435</v>
      </c>
      <c r="D6">
        <v>1.25</v>
      </c>
      <c r="E6">
        <v>3</v>
      </c>
    </row>
    <row r="7" spans="1:5" x14ac:dyDescent="0.2">
      <c r="A7" s="4" t="s">
        <v>3369</v>
      </c>
      <c r="B7" s="1">
        <v>0.34</v>
      </c>
      <c r="C7" s="1">
        <f>IF(OR([2]CMDS!$U$15="Type III Cement",[2]CMDS!$U$15="Type CSA Cement"),0.435,0.4)</f>
        <v>0.4</v>
      </c>
      <c r="D7">
        <v>2</v>
      </c>
      <c r="E7">
        <v>6</v>
      </c>
    </row>
    <row r="8" spans="1:5" x14ac:dyDescent="0.2">
      <c r="A8" s="4" t="s">
        <v>4890</v>
      </c>
      <c r="B8" s="1">
        <v>0.34</v>
      </c>
      <c r="C8" s="1">
        <f>IF(OR([2]CMDS!$U$15="Type III Cement",[2]CMDS!$U$15="Type CSA Cement"),0.435,0.4)</f>
        <v>0.4</v>
      </c>
      <c r="D8">
        <v>2</v>
      </c>
      <c r="E8">
        <v>6</v>
      </c>
    </row>
    <row r="9" spans="1:5" x14ac:dyDescent="0.2">
      <c r="A9" s="4" t="s">
        <v>3370</v>
      </c>
      <c r="B9" s="1">
        <v>0.34</v>
      </c>
      <c r="C9" s="1">
        <f>IF(OR([2]CMDS!$U$15="Type III Cement",[2]CMDS!$U$15="Type CSA Cement"),0.435,0.4)</f>
        <v>0.4</v>
      </c>
      <c r="D9">
        <v>2</v>
      </c>
      <c r="E9">
        <v>6</v>
      </c>
    </row>
    <row r="10" spans="1:5" x14ac:dyDescent="0.2">
      <c r="A10" s="4" t="s">
        <v>4873</v>
      </c>
      <c r="B10" s="1">
        <f>0.38/0.9706</f>
        <v>0.3915104059344735</v>
      </c>
      <c r="C10" s="1">
        <f>0.45*0.9706</f>
        <v>0.43676999999999999</v>
      </c>
      <c r="D10">
        <v>1</v>
      </c>
      <c r="E10">
        <v>6</v>
      </c>
    </row>
    <row r="11" spans="1:5" x14ac:dyDescent="0.2">
      <c r="A11" s="4" t="s">
        <v>4879</v>
      </c>
      <c r="B11" s="1">
        <f>0.36/0.9706</f>
        <v>0.37090459509581702</v>
      </c>
      <c r="C11" s="1">
        <f>0.45*0.9706</f>
        <v>0.43676999999999999</v>
      </c>
      <c r="D11">
        <v>1</v>
      </c>
      <c r="E11">
        <v>2.5</v>
      </c>
    </row>
    <row r="12" spans="1:5" x14ac:dyDescent="0.2">
      <c r="A12" s="4" t="s">
        <v>4874</v>
      </c>
      <c r="B12" s="1">
        <f>0.4/0.9706</f>
        <v>0.41211621677313004</v>
      </c>
      <c r="C12" s="1">
        <v>0.60099999999999998</v>
      </c>
      <c r="D12">
        <v>1</v>
      </c>
      <c r="E12">
        <v>6</v>
      </c>
    </row>
    <row r="13" spans="1:5" x14ac:dyDescent="0.2">
      <c r="A13" s="4" t="s">
        <v>4875</v>
      </c>
      <c r="B13" s="1">
        <f>0.38/0.9706</f>
        <v>0.3915104059344735</v>
      </c>
      <c r="C13" s="1">
        <f>0.443*0.9706</f>
        <v>0.42997580000000002</v>
      </c>
      <c r="D13">
        <v>1</v>
      </c>
      <c r="E13">
        <v>6</v>
      </c>
    </row>
    <row r="14" spans="1:5" x14ac:dyDescent="0.2">
      <c r="A14" s="4" t="s">
        <v>4876</v>
      </c>
      <c r="B14" s="1">
        <f>0.38/0.9706</f>
        <v>0.3915104059344735</v>
      </c>
      <c r="C14" s="1">
        <f>0.443*0.9706</f>
        <v>0.42997580000000002</v>
      </c>
      <c r="D14">
        <v>1</v>
      </c>
      <c r="E14">
        <v>6</v>
      </c>
    </row>
    <row r="15" spans="1:5" x14ac:dyDescent="0.2">
      <c r="A15" s="4" t="s">
        <v>4877</v>
      </c>
      <c r="B15" s="1">
        <f>0.36/0.9706</f>
        <v>0.37090459509581702</v>
      </c>
      <c r="C15" s="1">
        <f>0.443*0.9706</f>
        <v>0.42997580000000002</v>
      </c>
      <c r="D15">
        <v>1</v>
      </c>
      <c r="E15">
        <v>2.5</v>
      </c>
    </row>
    <row r="16" spans="1:5" x14ac:dyDescent="0.2">
      <c r="A16" s="4" t="s">
        <v>4891</v>
      </c>
      <c r="B16" s="1">
        <f>0.42/0.9706</f>
        <v>0.43272202761178652</v>
      </c>
      <c r="C16" s="1">
        <f>0.48*0.9706</f>
        <v>0.46588799999999997</v>
      </c>
      <c r="D16">
        <v>3</v>
      </c>
      <c r="E16">
        <v>7</v>
      </c>
    </row>
    <row r="17" spans="1:5" x14ac:dyDescent="0.2">
      <c r="A17" s="4" t="s">
        <v>4892</v>
      </c>
      <c r="B17" s="1">
        <f>0.38/0.9706</f>
        <v>0.3915104059344735</v>
      </c>
      <c r="C17" s="1">
        <f>0.48*0.9706</f>
        <v>0.46588799999999997</v>
      </c>
      <c r="D17">
        <v>1</v>
      </c>
      <c r="E17">
        <v>2.5</v>
      </c>
    </row>
    <row r="18" spans="1:5" x14ac:dyDescent="0.2">
      <c r="A18" s="4" t="s">
        <v>4893</v>
      </c>
      <c r="B18" s="1">
        <f>0.42/0.9706</f>
        <v>0.43272202761178652</v>
      </c>
      <c r="C18" s="1">
        <f>0.48*0.9706</f>
        <v>0.46588799999999997</v>
      </c>
      <c r="D18">
        <v>3</v>
      </c>
      <c r="E18">
        <v>7</v>
      </c>
    </row>
    <row r="19" spans="1:5" x14ac:dyDescent="0.2">
      <c r="A19" s="4" t="s">
        <v>4894</v>
      </c>
      <c r="B19" s="1">
        <f>0.38/0.9706</f>
        <v>0.3915104059344735</v>
      </c>
      <c r="C19" s="1">
        <f>0.48*0.9706</f>
        <v>0.46588799999999997</v>
      </c>
      <c r="D19">
        <v>1</v>
      </c>
      <c r="E19">
        <v>2.5</v>
      </c>
    </row>
    <row r="20" spans="1:5" x14ac:dyDescent="0.2">
      <c r="A20" s="4" t="s">
        <v>3371</v>
      </c>
      <c r="B20" s="1">
        <f>0.37/0.9706</f>
        <v>0.38120750051514524</v>
      </c>
      <c r="C20" s="1">
        <f>0.4*0.9706</f>
        <v>0.38824000000000003</v>
      </c>
      <c r="D20">
        <v>4.5</v>
      </c>
      <c r="E20">
        <v>7.5</v>
      </c>
    </row>
    <row r="21" spans="1:5" x14ac:dyDescent="0.2">
      <c r="A21" s="4" t="s">
        <v>4895</v>
      </c>
      <c r="B21" s="1">
        <f>0.44/0.9706</f>
        <v>0.453327838450443</v>
      </c>
      <c r="C21" s="1">
        <f>0.49*0.9706</f>
        <v>0.47559400000000002</v>
      </c>
      <c r="D21">
        <v>5</v>
      </c>
      <c r="E21">
        <v>8</v>
      </c>
    </row>
    <row r="22" spans="1:5" x14ac:dyDescent="0.2">
      <c r="A22" s="4" t="s">
        <v>4878</v>
      </c>
      <c r="B22" s="1">
        <f>0.38/0.9706</f>
        <v>0.3915104059344735</v>
      </c>
      <c r="C22" s="1">
        <f>0.45*0.9706</f>
        <v>0.43676999999999999</v>
      </c>
      <c r="D22">
        <v>1</v>
      </c>
      <c r="E22">
        <v>6</v>
      </c>
    </row>
    <row r="23" spans="1:5" x14ac:dyDescent="0.2">
      <c r="A23" s="4" t="s">
        <v>188</v>
      </c>
      <c r="B23" s="1">
        <v>0</v>
      </c>
      <c r="C23" s="20">
        <v>0.45</v>
      </c>
      <c r="D23">
        <v>7</v>
      </c>
      <c r="E23">
        <v>9</v>
      </c>
    </row>
    <row r="24" spans="1:5" x14ac:dyDescent="0.2">
      <c r="A24" s="4" t="s">
        <v>4872</v>
      </c>
      <c r="B24" s="1">
        <v>0</v>
      </c>
      <c r="C24" s="1">
        <v>2</v>
      </c>
      <c r="D24">
        <v>0</v>
      </c>
      <c r="E24">
        <v>12</v>
      </c>
    </row>
    <row r="29" spans="1:5" x14ac:dyDescent="0.2">
      <c r="A29" s="259"/>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298" t="s">
        <v>376</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row>
    <row r="3" spans="1:29" x14ac:dyDescent="0.2">
      <c r="A3" s="390">
        <f>CMDS!E30</f>
        <v>0</v>
      </c>
      <c r="B3" s="390"/>
      <c r="C3" t="s">
        <v>377</v>
      </c>
      <c r="J3">
        <f>IF(A3=0,0,1)</f>
        <v>0</v>
      </c>
    </row>
    <row r="4" spans="1:29" x14ac:dyDescent="0.2">
      <c r="A4" s="390">
        <f>CMDS!E31</f>
        <v>0</v>
      </c>
      <c r="B4" s="390"/>
      <c r="C4" t="s">
        <v>378</v>
      </c>
      <c r="J4">
        <f>IF(A4=0,0,1)</f>
        <v>0</v>
      </c>
    </row>
    <row r="5" spans="1:29" x14ac:dyDescent="0.2">
      <c r="A5" s="390">
        <f>CMDS!E32</f>
        <v>0</v>
      </c>
      <c r="B5" s="390"/>
      <c r="C5" t="s">
        <v>379</v>
      </c>
      <c r="J5">
        <f>IF(A5=0,0,1)</f>
        <v>0</v>
      </c>
    </row>
    <row r="6" spans="1:29" x14ac:dyDescent="0.2">
      <c r="A6" s="390">
        <f>CMDS!E33</f>
        <v>0</v>
      </c>
      <c r="B6" s="390"/>
      <c r="C6" t="s">
        <v>380</v>
      </c>
      <c r="J6">
        <f>IF(A6=0,0,1)</f>
        <v>0</v>
      </c>
    </row>
    <row r="7" spans="1:29" x14ac:dyDescent="0.2">
      <c r="J7">
        <f>SUM(J3:J6)</f>
        <v>0</v>
      </c>
    </row>
    <row r="8" spans="1:29" x14ac:dyDescent="0.2">
      <c r="A8" s="988" t="s">
        <v>381</v>
      </c>
      <c r="B8" s="988"/>
      <c r="C8" s="988"/>
      <c r="D8" s="988"/>
      <c r="E8" s="988"/>
      <c r="F8" s="988"/>
      <c r="G8" s="989" t="b">
        <f>OR(CMDS!V6="501 QC/QA PCCP (Binary)",CMDS!V6="501 QC/QA PCCP (Ternary)")</f>
        <v>0</v>
      </c>
      <c r="H8" s="989"/>
      <c r="I8" s="989"/>
    </row>
    <row r="9" spans="1:29" x14ac:dyDescent="0.2">
      <c r="A9" s="986" t="s">
        <v>382</v>
      </c>
      <c r="B9" s="986"/>
      <c r="C9" s="986"/>
      <c r="D9" s="986"/>
      <c r="E9" s="986"/>
      <c r="F9" s="986"/>
      <c r="G9" s="298" t="b">
        <f>IF(AND(G8=TRUE,CMDS!E31&gt;0),TRUE,FALSE)</f>
        <v>0</v>
      </c>
      <c r="H9" s="298"/>
      <c r="I9" s="298"/>
    </row>
    <row r="10" spans="1:29" x14ac:dyDescent="0.2">
      <c r="A10" s="986" t="s">
        <v>383</v>
      </c>
      <c r="B10" s="986"/>
      <c r="C10" s="986"/>
      <c r="D10" s="986"/>
      <c r="E10" s="986"/>
      <c r="F10" s="986"/>
      <c r="G10" s="298" t="b">
        <f>IF(AND(G8=TRUE,CMDS!E32&gt;0),TRUE,FALSE)</f>
        <v>0</v>
      </c>
      <c r="H10" s="298"/>
      <c r="I10" s="298"/>
    </row>
    <row r="11" spans="1:29" x14ac:dyDescent="0.2">
      <c r="A11" s="986" t="s">
        <v>384</v>
      </c>
      <c r="B11" s="986"/>
      <c r="C11" s="986"/>
      <c r="D11" s="986"/>
      <c r="E11" s="986"/>
      <c r="F11" s="986"/>
      <c r="G11" s="298" t="str">
        <f>IF(G9=TRUE,CMDS!E30/CMDS!E31,"NA")</f>
        <v>NA</v>
      </c>
      <c r="H11" s="298"/>
      <c r="I11" s="298"/>
    </row>
    <row r="12" spans="1:29" x14ac:dyDescent="0.2">
      <c r="A12" s="986" t="s">
        <v>385</v>
      </c>
      <c r="B12" s="986"/>
      <c r="C12" s="986"/>
      <c r="D12" s="986"/>
      <c r="E12" s="986"/>
      <c r="F12" s="986"/>
      <c r="G12" s="298" t="str">
        <f>IF(G10=TRUE,CMDS!E30/CMDS!E32,"NA")</f>
        <v>NA</v>
      </c>
      <c r="H12" s="298"/>
      <c r="I12" s="298"/>
    </row>
    <row r="13" spans="1:29" x14ac:dyDescent="0.2">
      <c r="A13" s="986" t="s">
        <v>386</v>
      </c>
      <c r="B13" s="986"/>
      <c r="C13" s="986"/>
      <c r="D13" s="986"/>
      <c r="E13" s="986"/>
      <c r="F13" s="986"/>
      <c r="G13" s="298" t="b">
        <f>IF(AND(CMDS!V6="SP 730",CMDS!E33&gt;0),TRUE,FALSE)</f>
        <v>0</v>
      </c>
      <c r="H13" s="298"/>
      <c r="I13" s="298"/>
    </row>
    <row r="14" spans="1:29" x14ac:dyDescent="0.2">
      <c r="A14" s="986" t="s">
        <v>387</v>
      </c>
      <c r="B14" s="986"/>
      <c r="C14" s="986"/>
      <c r="D14" s="986"/>
      <c r="E14" s="986"/>
      <c r="F14" s="986"/>
      <c r="G14" s="298">
        <f>IF(G13=TRUE,CMDS!E33*100/(CMDS!E30+CMDS!E31+CMDS!E32+CMDS!E33),0)</f>
        <v>0</v>
      </c>
      <c r="H14" s="298"/>
      <c r="I14" s="298"/>
    </row>
    <row r="16" spans="1:29" x14ac:dyDescent="0.2">
      <c r="A16" s="988" t="s">
        <v>4880</v>
      </c>
      <c r="B16" s="988"/>
      <c r="C16" s="988"/>
      <c r="D16" s="988"/>
      <c r="E16" s="988"/>
      <c r="F16" s="988"/>
      <c r="G16" s="989" t="b">
        <f>OR(CMDS!V6="502 Standard Strength (Formed)",CMDS!V6="502 Standard Strength (Slipformed")</f>
        <v>0</v>
      </c>
      <c r="H16" s="989"/>
      <c r="I16" s="989"/>
    </row>
    <row r="17" spans="1:9" x14ac:dyDescent="0.2">
      <c r="A17" s="986" t="s">
        <v>388</v>
      </c>
      <c r="B17" s="986"/>
      <c r="C17" s="986"/>
      <c r="D17" s="986"/>
      <c r="E17" s="986"/>
      <c r="F17" s="986"/>
      <c r="G17" s="298">
        <f>IF(AND(G16=TRUE,OR(G18=TRUE,G20=TRUE)),(564-CMDS!E30)*100/564,0)</f>
        <v>0</v>
      </c>
      <c r="H17" s="298"/>
      <c r="I17" s="298"/>
    </row>
    <row r="18" spans="1:9" x14ac:dyDescent="0.2">
      <c r="A18" s="986" t="s">
        <v>382</v>
      </c>
      <c r="B18" s="986"/>
      <c r="C18" s="986"/>
      <c r="D18" s="986"/>
      <c r="E18" s="986"/>
      <c r="F18" s="986"/>
      <c r="G18" s="298" t="b">
        <f>AND(G16=TRUE,CMDS!E31&gt;0)</f>
        <v>0</v>
      </c>
      <c r="H18" s="298"/>
      <c r="I18" s="298"/>
    </row>
    <row r="19" spans="1:9" x14ac:dyDescent="0.2">
      <c r="A19" s="986" t="s">
        <v>389</v>
      </c>
      <c r="B19" s="986"/>
      <c r="C19" s="986"/>
      <c r="D19" s="986"/>
      <c r="E19" s="986"/>
      <c r="F19" s="986"/>
      <c r="G19" s="298">
        <f>IF(G18=TRUE,CMDS!E31/(564-CMDS!E30),0)</f>
        <v>0</v>
      </c>
      <c r="H19" s="298"/>
      <c r="I19" s="298"/>
    </row>
    <row r="20" spans="1:9" x14ac:dyDescent="0.2">
      <c r="A20" s="986" t="s">
        <v>383</v>
      </c>
      <c r="B20" s="986"/>
      <c r="C20" s="986"/>
      <c r="D20" s="986"/>
      <c r="E20" s="986"/>
      <c r="F20" s="986"/>
      <c r="G20" s="298" t="b">
        <f>AND(G16=TRUE,CMDS!E32&gt;0)</f>
        <v>0</v>
      </c>
      <c r="H20" s="298"/>
      <c r="I20" s="298"/>
    </row>
    <row r="21" spans="1:9" x14ac:dyDescent="0.2">
      <c r="A21" s="986" t="s">
        <v>390</v>
      </c>
      <c r="B21" s="986"/>
      <c r="C21" s="986"/>
      <c r="D21" s="986"/>
      <c r="E21" s="986"/>
      <c r="F21" s="986"/>
      <c r="G21" s="298">
        <f>IF(G20=TRUE,CMDS!E32/(564-CMDS!E30),0)</f>
        <v>0</v>
      </c>
      <c r="H21" s="298"/>
      <c r="I21" s="298"/>
    </row>
    <row r="23" spans="1:9" x14ac:dyDescent="0.2">
      <c r="A23" s="988" t="s">
        <v>4881</v>
      </c>
      <c r="B23" s="988"/>
      <c r="C23" s="988"/>
      <c r="D23" s="988"/>
      <c r="E23" s="988"/>
      <c r="F23" s="988"/>
      <c r="G23" s="989" t="b">
        <f>OR(CMDS!V6="506 Full Depth Patch (Length ≤ 15-ft)",CMDS!V6="506 Partial Depth Patch (Length ≤ 15-ft)",CMDS!V6="506 Full Depth Patch (Length &gt; 15-ft)")</f>
        <v>0</v>
      </c>
      <c r="H23" s="989"/>
      <c r="I23" s="989"/>
    </row>
    <row r="24" spans="1:9" x14ac:dyDescent="0.2">
      <c r="A24" s="986" t="s">
        <v>391</v>
      </c>
      <c r="B24" s="986"/>
      <c r="C24" s="986"/>
      <c r="D24" s="986"/>
      <c r="E24" s="986"/>
      <c r="F24" s="986"/>
      <c r="G24" s="298">
        <f>IF(G23=TRUE,CMDS!E31*100/CMDS!E30,0)</f>
        <v>0</v>
      </c>
      <c r="H24" s="298"/>
      <c r="I24" s="298"/>
    </row>
    <row r="25" spans="1:9" x14ac:dyDescent="0.2">
      <c r="A25" s="986" t="s">
        <v>392</v>
      </c>
      <c r="B25" s="986"/>
      <c r="C25" s="986"/>
      <c r="D25" s="986"/>
      <c r="E25" s="986"/>
      <c r="F25" s="986"/>
      <c r="G25" s="298">
        <f>IF(G23=TRUE,CMDS!E32*100/CMDS!E30,0)</f>
        <v>0</v>
      </c>
      <c r="H25" s="298"/>
      <c r="I25" s="298"/>
    </row>
    <row r="26" spans="1:9" x14ac:dyDescent="0.2">
      <c r="A26" s="213"/>
      <c r="B26" s="213"/>
      <c r="C26" s="213"/>
      <c r="D26" s="213"/>
      <c r="E26" s="213"/>
      <c r="F26" s="213"/>
      <c r="G26" s="1"/>
      <c r="H26" s="1"/>
      <c r="I26" s="1"/>
    </row>
    <row r="27" spans="1:9" x14ac:dyDescent="0.2">
      <c r="A27" s="988" t="s">
        <v>4882</v>
      </c>
      <c r="B27" s="986"/>
      <c r="C27" s="986"/>
      <c r="D27" s="986"/>
      <c r="E27" s="986"/>
      <c r="F27" s="986"/>
      <c r="G27" s="989" t="b">
        <f>IF(CMDS!V6="702 Structural (Class B)",TRUE,FALSE)</f>
        <v>0</v>
      </c>
      <c r="H27" s="989"/>
      <c r="I27" s="989"/>
    </row>
    <row r="28" spans="1:9" x14ac:dyDescent="0.2">
      <c r="A28" s="986" t="s">
        <v>388</v>
      </c>
      <c r="B28" s="986"/>
      <c r="C28" s="986"/>
      <c r="D28" s="986"/>
      <c r="E28" s="986"/>
      <c r="F28" s="986"/>
      <c r="G28" s="298">
        <f>IF(AND(G27=TRUE,OR(G29=TRUE,G31=TRUE)),(470-CMDS!E30)*100/470,0)</f>
        <v>0</v>
      </c>
      <c r="H28" s="298"/>
      <c r="I28" s="298"/>
    </row>
    <row r="29" spans="1:9" x14ac:dyDescent="0.2">
      <c r="A29" s="986" t="s">
        <v>382</v>
      </c>
      <c r="B29" s="986"/>
      <c r="C29" s="986"/>
      <c r="D29" s="986"/>
      <c r="E29" s="986"/>
      <c r="F29" s="986"/>
      <c r="G29" s="298" t="b">
        <f>AND(G27=TRUE,CMDS!E31&gt;0)</f>
        <v>0</v>
      </c>
      <c r="H29" s="298"/>
      <c r="I29" s="298"/>
    </row>
    <row r="30" spans="1:9" x14ac:dyDescent="0.2">
      <c r="A30" s="986" t="s">
        <v>393</v>
      </c>
      <c r="B30" s="986"/>
      <c r="C30" s="986"/>
      <c r="D30" s="986"/>
      <c r="E30" s="986"/>
      <c r="F30" s="986"/>
      <c r="G30" s="298">
        <f>IF(G29=TRUE,CMDS!E31/(470-CMDS!E30),0)</f>
        <v>0</v>
      </c>
      <c r="H30" s="298"/>
      <c r="I30" s="298"/>
    </row>
    <row r="31" spans="1:9" x14ac:dyDescent="0.2">
      <c r="A31" s="986" t="s">
        <v>383</v>
      </c>
      <c r="B31" s="986"/>
      <c r="C31" s="986"/>
      <c r="D31" s="986"/>
      <c r="E31" s="986"/>
      <c r="F31" s="986"/>
      <c r="G31" s="298" t="b">
        <f>AND(G27=TRUE,CMDS!E32&gt;0)</f>
        <v>0</v>
      </c>
      <c r="H31" s="298"/>
      <c r="I31" s="298"/>
    </row>
    <row r="32" spans="1:9" x14ac:dyDescent="0.2">
      <c r="A32" s="986" t="s">
        <v>394</v>
      </c>
      <c r="B32" s="986"/>
      <c r="C32" s="986"/>
      <c r="D32" s="986"/>
      <c r="E32" s="986"/>
      <c r="F32" s="986"/>
      <c r="G32" s="987">
        <f>IF(G31=TRUE,CMDS!E32/(470-CMDS!E30),0)</f>
        <v>0</v>
      </c>
      <c r="H32" s="987"/>
      <c r="I32" s="987"/>
    </row>
    <row r="34" spans="1:12" x14ac:dyDescent="0.2">
      <c r="A34" s="988" t="s">
        <v>395</v>
      </c>
      <c r="B34" s="988"/>
      <c r="C34" s="988"/>
      <c r="D34" s="988"/>
      <c r="E34" s="988"/>
      <c r="F34" s="988"/>
      <c r="G34" s="989" t="b">
        <f>OR(CMDS!V6="702 Structural (Class C)",CMDS!V6="702 Structural (Class C, AP Agg)",CMDS!V6="702 Structural (Class C, Slipformed)")</f>
        <v>0</v>
      </c>
      <c r="H34" s="989"/>
      <c r="I34" s="989"/>
    </row>
    <row r="35" spans="1:12" x14ac:dyDescent="0.2">
      <c r="A35" s="986" t="s">
        <v>388</v>
      </c>
      <c r="B35" s="986"/>
      <c r="C35" s="986"/>
      <c r="D35" s="986"/>
      <c r="E35" s="986"/>
      <c r="F35" s="986"/>
      <c r="G35" s="298">
        <f>IF(AND(G34=TRUE,OR(G36=TRUE,G38=TRUE)),(658-CMDS!E30)*100/658,0)</f>
        <v>0</v>
      </c>
      <c r="H35" s="298"/>
      <c r="I35" s="298"/>
    </row>
    <row r="36" spans="1:12" x14ac:dyDescent="0.2">
      <c r="A36" s="986" t="s">
        <v>382</v>
      </c>
      <c r="B36" s="986"/>
      <c r="C36" s="986"/>
      <c r="D36" s="986"/>
      <c r="E36" s="986"/>
      <c r="F36" s="986"/>
      <c r="G36" s="298" t="b">
        <f>AND(G34=TRUE,CMDS!E31&gt;0)</f>
        <v>0</v>
      </c>
      <c r="H36" s="298"/>
      <c r="I36" s="298"/>
    </row>
    <row r="37" spans="1:12" x14ac:dyDescent="0.2">
      <c r="A37" s="986" t="s">
        <v>389</v>
      </c>
      <c r="B37" s="986"/>
      <c r="C37" s="986"/>
      <c r="D37" s="986"/>
      <c r="E37" s="986"/>
      <c r="F37" s="986"/>
      <c r="G37" s="298">
        <f>IF(G36=TRUE,CMDS!E31/(658-CMDS!E30),0)</f>
        <v>0</v>
      </c>
      <c r="H37" s="298"/>
      <c r="I37" s="298"/>
    </row>
    <row r="38" spans="1:12" x14ac:dyDescent="0.2">
      <c r="A38" s="986" t="s">
        <v>396</v>
      </c>
      <c r="B38" s="986"/>
      <c r="C38" s="986"/>
      <c r="D38" s="986"/>
      <c r="E38" s="986"/>
      <c r="F38" s="986"/>
      <c r="G38" s="298" t="b">
        <f>AND(G34=TRUE,CMDS!E32&gt;0)</f>
        <v>0</v>
      </c>
      <c r="H38" s="298"/>
      <c r="I38" s="298"/>
    </row>
    <row r="39" spans="1:12" x14ac:dyDescent="0.2">
      <c r="A39" s="986" t="s">
        <v>397</v>
      </c>
      <c r="B39" s="986"/>
      <c r="C39" s="986"/>
      <c r="D39" s="986"/>
      <c r="E39" s="986"/>
      <c r="F39" s="986"/>
      <c r="G39" s="298">
        <f>IF(G38=TRUE,CMDS!E32/(658-CMDS!E30),0)</f>
        <v>0</v>
      </c>
      <c r="H39" s="298"/>
      <c r="I39" s="298"/>
    </row>
    <row r="41" spans="1:12" x14ac:dyDescent="0.2">
      <c r="A41" s="988" t="s">
        <v>4883</v>
      </c>
      <c r="B41" s="988"/>
      <c r="C41" s="988"/>
      <c r="D41" s="988"/>
      <c r="E41" s="988"/>
      <c r="F41" s="988"/>
      <c r="G41" s="989" t="b">
        <f>OR(CMDS!V6="702 Structural (Class A)",CMDS!V6="702 Structural (Class A, Slipformed)")</f>
        <v>0</v>
      </c>
      <c r="H41" s="989"/>
      <c r="I41" s="989"/>
    </row>
    <row r="42" spans="1:12" x14ac:dyDescent="0.2">
      <c r="A42" s="986" t="s">
        <v>386</v>
      </c>
      <c r="B42" s="986"/>
      <c r="C42" s="986"/>
      <c r="D42" s="986"/>
      <c r="E42" s="986"/>
      <c r="F42" s="986"/>
      <c r="G42" s="298" t="b">
        <v>1</v>
      </c>
      <c r="H42" s="298"/>
      <c r="I42" s="298"/>
    </row>
    <row r="43" spans="1:12" x14ac:dyDescent="0.2">
      <c r="A43" s="986" t="s">
        <v>387</v>
      </c>
      <c r="B43" s="986"/>
      <c r="C43" s="986"/>
      <c r="D43" s="986"/>
      <c r="E43" s="986"/>
      <c r="F43" s="986"/>
      <c r="G43" s="298" t="e">
        <f>IF(G42=TRUE,CMDS!E33*100/(CMDS!E30+CMDS!E31+CMDS!E32+CMDS!E33),0)</f>
        <v>#DIV/0!</v>
      </c>
      <c r="H43" s="298"/>
      <c r="I43" s="298"/>
    </row>
    <row r="44" spans="1:12" x14ac:dyDescent="0.2">
      <c r="A44" s="986" t="s">
        <v>396</v>
      </c>
      <c r="B44" s="986"/>
      <c r="C44" s="986"/>
      <c r="D44" s="986"/>
      <c r="E44" s="986"/>
      <c r="F44" s="986"/>
      <c r="G44" s="298" t="b">
        <f>IF(AND(G41=TRUE,CMDS!E32&gt;0),TRUE,FALSE)</f>
        <v>0</v>
      </c>
      <c r="H44" s="298"/>
      <c r="I44" s="298"/>
    </row>
    <row r="45" spans="1:12" x14ac:dyDescent="0.2">
      <c r="A45" s="986" t="s">
        <v>398</v>
      </c>
      <c r="B45" s="986"/>
      <c r="C45" s="986"/>
      <c r="D45" s="986"/>
      <c r="E45" s="986"/>
      <c r="F45" s="986"/>
      <c r="G45" s="987">
        <f>IF(G44=TRUE,CMDS!E32*100/CMDS!E30+CMDS!E31,0)</f>
        <v>0</v>
      </c>
      <c r="H45" s="987"/>
      <c r="I45" s="987"/>
    </row>
    <row r="47" spans="1:12" x14ac:dyDescent="0.2">
      <c r="A47" t="s">
        <v>399</v>
      </c>
      <c r="H47" s="19">
        <v>6.5</v>
      </c>
      <c r="L47" s="4" t="s">
        <v>400</v>
      </c>
    </row>
    <row r="48" spans="1:12" x14ac:dyDescent="0.2">
      <c r="H48" s="19">
        <v>7</v>
      </c>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40625" defaultRowHeight="12.75" x14ac:dyDescent="0.2"/>
  <cols>
    <col min="1" max="1" width="79.85546875" customWidth="1"/>
    <col min="2" max="2" width="9.140625" style="135" customWidth="1"/>
    <col min="3" max="3" width="6.28515625" style="135" customWidth="1"/>
    <col min="4" max="4" width="6.85546875" style="135" customWidth="1"/>
    <col min="5" max="5" width="46.140625" customWidth="1"/>
    <col min="6" max="6" width="30.28515625" customWidth="1"/>
    <col min="7" max="8" width="6.85546875" customWidth="1"/>
    <col min="9" max="16384" width="9.140625" style="108"/>
  </cols>
  <sheetData>
    <row r="1" spans="1:6" ht="12.75" customHeight="1" x14ac:dyDescent="0.2">
      <c r="A1" t="str">
        <f t="shared" ref="A1:A75" si="0">E1&amp;"  "&amp;C1&amp;"  "&amp;F1&amp;"  "&amp;D1</f>
        <v>AGGREGATE INDUSTRIES  2410  EDWARDSBURG, MI  2410</v>
      </c>
      <c r="B1" s="133" t="s">
        <v>401</v>
      </c>
      <c r="C1" s="129">
        <v>2410</v>
      </c>
      <c r="D1" s="133">
        <v>2410</v>
      </c>
      <c r="E1" s="130" t="s">
        <v>402</v>
      </c>
      <c r="F1" s="130" t="s">
        <v>403</v>
      </c>
    </row>
    <row r="2" spans="1:6" ht="12.75" customHeight="1" x14ac:dyDescent="0.2">
      <c r="A2" t="str">
        <f t="shared" si="0"/>
        <v>AMERICAN AGGREGATES, INC.  2408  NILES, MI  2408</v>
      </c>
      <c r="B2" s="133" t="s">
        <v>404</v>
      </c>
      <c r="C2" s="129">
        <v>2408</v>
      </c>
      <c r="D2" s="133">
        <v>2408</v>
      </c>
      <c r="E2" s="130" t="s">
        <v>405</v>
      </c>
      <c r="F2" s="130" t="s">
        <v>406</v>
      </c>
    </row>
    <row r="3" spans="1:6" ht="12.75" customHeight="1" x14ac:dyDescent="0.2">
      <c r="A3" t="str">
        <f t="shared" si="0"/>
        <v>AMERICAN AGGREGATES, INC.  2973  NILES, MI  2408</v>
      </c>
      <c r="B3" s="133" t="s">
        <v>407</v>
      </c>
      <c r="C3" s="129">
        <v>2973</v>
      </c>
      <c r="D3" s="133">
        <v>2408</v>
      </c>
      <c r="E3" s="130" t="s">
        <v>405</v>
      </c>
      <c r="F3" s="130" t="s">
        <v>406</v>
      </c>
    </row>
    <row r="4" spans="1:6" ht="12.75" customHeight="1" x14ac:dyDescent="0.2">
      <c r="A4" t="str">
        <f t="shared" si="0"/>
        <v>AUDUBON SAND &amp; GRAVEL   0151  HENDERSON, KY  0151</v>
      </c>
      <c r="B4" s="133" t="s">
        <v>408</v>
      </c>
      <c r="C4" s="131" t="s">
        <v>409</v>
      </c>
      <c r="D4" s="134" t="s">
        <v>409</v>
      </c>
      <c r="E4" s="130" t="s">
        <v>410</v>
      </c>
      <c r="F4" s="130" t="s">
        <v>411</v>
      </c>
    </row>
    <row r="5" spans="1:6" ht="12.75" customHeight="1" x14ac:dyDescent="0.2">
      <c r="A5" t="str">
        <f t="shared" si="0"/>
        <v>BARRETT PAVING MATERIALS, INC.  2334  RICHMOND, IN.  2334</v>
      </c>
      <c r="B5" s="133" t="s">
        <v>412</v>
      </c>
      <c r="C5" s="129">
        <v>2334</v>
      </c>
      <c r="D5" s="133">
        <v>2334</v>
      </c>
      <c r="E5" s="130" t="s">
        <v>413</v>
      </c>
      <c r="F5" s="130" t="s">
        <v>414</v>
      </c>
    </row>
    <row r="6" spans="1:6" ht="12.75" customHeight="1" x14ac:dyDescent="0.2">
      <c r="A6" t="str">
        <f t="shared" si="0"/>
        <v>BEAVER MATERIALS  2381  NOBLESVILLE, IN.  2381</v>
      </c>
      <c r="B6" s="133" t="s">
        <v>415</v>
      </c>
      <c r="C6" s="129">
        <v>2381</v>
      </c>
      <c r="D6" s="133">
        <v>2381</v>
      </c>
      <c r="E6" s="130" t="s">
        <v>416</v>
      </c>
      <c r="F6" s="130" t="s">
        <v>417</v>
      </c>
    </row>
    <row r="7" spans="1:6" ht="12.75" customHeight="1" x14ac:dyDescent="0.2">
      <c r="A7" t="str">
        <f t="shared" si="0"/>
        <v>BEAVER MATERIALS  2578  WAVERLY, IN  2578</v>
      </c>
      <c r="B7" s="133" t="s">
        <v>418</v>
      </c>
      <c r="C7" s="129">
        <v>2578</v>
      </c>
      <c r="D7" s="133">
        <v>2578</v>
      </c>
      <c r="E7" s="130" t="s">
        <v>416</v>
      </c>
      <c r="F7" s="130" t="s">
        <v>419</v>
      </c>
    </row>
    <row r="8" spans="1:6" ht="12.75" customHeight="1" x14ac:dyDescent="0.2">
      <c r="A8" t="str">
        <f t="shared" si="0"/>
        <v>BEEMSTERBOER SLAG CORP.  2781  HAMMOND, IN  2781</v>
      </c>
      <c r="B8" s="133" t="s">
        <v>420</v>
      </c>
      <c r="C8" s="129">
        <v>2781</v>
      </c>
      <c r="D8" s="133">
        <v>2781</v>
      </c>
      <c r="E8" s="130" t="s">
        <v>421</v>
      </c>
      <c r="F8" s="130" t="s">
        <v>422</v>
      </c>
    </row>
    <row r="9" spans="1:6" ht="12.75" customHeight="1" x14ac:dyDescent="0.2">
      <c r="A9" t="str">
        <f t="shared" si="0"/>
        <v>BEEMSTERBOER-SOUTH SHORE SLAG  2473  HAMMOMD, IN  2473</v>
      </c>
      <c r="B9" s="133" t="s">
        <v>423</v>
      </c>
      <c r="C9" s="129">
        <v>2473</v>
      </c>
      <c r="D9" s="133">
        <v>2473</v>
      </c>
      <c r="E9" s="130" t="s">
        <v>424</v>
      </c>
      <c r="F9" s="130" t="s">
        <v>425</v>
      </c>
    </row>
    <row r="10" spans="1:6" ht="12.75" customHeight="1" x14ac:dyDescent="0.2">
      <c r="A10" t="str">
        <f t="shared" si="0"/>
        <v>BROOKFIELD SAND AND GRAVEL  2787  ACTON, IN  2787</v>
      </c>
      <c r="B10" s="133" t="s">
        <v>426</v>
      </c>
      <c r="C10" s="129">
        <v>2787</v>
      </c>
      <c r="D10" s="133">
        <v>2787</v>
      </c>
      <c r="E10" s="130" t="s">
        <v>427</v>
      </c>
      <c r="F10" s="130" t="s">
        <v>428</v>
      </c>
    </row>
    <row r="11" spans="1:6" ht="12.75" customHeight="1" x14ac:dyDescent="0.2">
      <c r="A11" t="str">
        <f t="shared" si="0"/>
        <v>BROOKS CONSTRUCTION CO., INC.  2986  FORT WAYNE, IN  2986</v>
      </c>
      <c r="B11" s="133" t="s">
        <v>429</v>
      </c>
      <c r="C11" s="129">
        <v>2986</v>
      </c>
      <c r="D11" s="133">
        <v>2986</v>
      </c>
      <c r="E11" s="130" t="s">
        <v>430</v>
      </c>
      <c r="F11" s="130" t="s">
        <v>431</v>
      </c>
    </row>
    <row r="12" spans="1:6" ht="12.75" customHeight="1" x14ac:dyDescent="0.2">
      <c r="A12" t="str">
        <f t="shared" si="0"/>
        <v>BUNNELL, JAMES INC.  2512  CLEVES, OHIO  2512</v>
      </c>
      <c r="B12" s="133" t="s">
        <v>432</v>
      </c>
      <c r="C12" s="129">
        <v>2512</v>
      </c>
      <c r="D12" s="133">
        <v>2512</v>
      </c>
      <c r="E12" s="130" t="s">
        <v>433</v>
      </c>
      <c r="F12" s="130" t="s">
        <v>434</v>
      </c>
    </row>
    <row r="13" spans="1:6" ht="12.75" customHeight="1" x14ac:dyDescent="0.2">
      <c r="A13" t="str">
        <f t="shared" si="0"/>
        <v>BUTLER MILL SERVICE  2772  BUTLER, IN  2772</v>
      </c>
      <c r="B13" s="133" t="s">
        <v>435</v>
      </c>
      <c r="C13" s="129">
        <v>2772</v>
      </c>
      <c r="D13" s="133">
        <v>2772</v>
      </c>
      <c r="E13" s="130" t="s">
        <v>436</v>
      </c>
      <c r="F13" s="130" t="s">
        <v>437</v>
      </c>
    </row>
    <row r="14" spans="1:6" ht="12.75" customHeight="1" x14ac:dyDescent="0.2">
      <c r="A14" t="str">
        <f t="shared" si="0"/>
        <v>CALDWELL GRAVEL SALES INC.  2329  MORRISTOWN, IN  2329</v>
      </c>
      <c r="B14" s="133" t="s">
        <v>438</v>
      </c>
      <c r="C14" s="129">
        <v>2329</v>
      </c>
      <c r="D14" s="133">
        <v>2329</v>
      </c>
      <c r="E14" s="130" t="s">
        <v>439</v>
      </c>
      <c r="F14" s="130" t="s">
        <v>440</v>
      </c>
    </row>
    <row r="15" spans="1:6" ht="12.75" customHeight="1" x14ac:dyDescent="0.2">
      <c r="A15" t="str">
        <f t="shared" si="0"/>
        <v>CAVE QUARRIES, INC.  2641  PAOLI, IN.  2641</v>
      </c>
      <c r="B15" s="133" t="s">
        <v>441</v>
      </c>
      <c r="C15" s="129">
        <v>2641</v>
      </c>
      <c r="D15" s="133">
        <v>2641</v>
      </c>
      <c r="E15" s="130" t="s">
        <v>442</v>
      </c>
      <c r="F15" s="130" t="s">
        <v>443</v>
      </c>
    </row>
    <row r="16" spans="1:6" ht="12.75" customHeight="1" x14ac:dyDescent="0.2">
      <c r="A16" t="str">
        <f t="shared" si="0"/>
        <v>CAVE/CALCAR QUARRIES, INC.  2643  PAOLI, IN.  2641</v>
      </c>
      <c r="B16" s="133" t="s">
        <v>444</v>
      </c>
      <c r="C16" s="129">
        <v>2643</v>
      </c>
      <c r="D16" s="133">
        <v>2641</v>
      </c>
      <c r="E16" s="130" t="s">
        <v>445</v>
      </c>
      <c r="F16" s="130" t="s">
        <v>443</v>
      </c>
    </row>
    <row r="17" spans="1:6" ht="12.75" customHeight="1" x14ac:dyDescent="0.2">
      <c r="A17" t="str">
        <f t="shared" si="0"/>
        <v>CAVE/CALCAR QUARRIES, INC.  2643  PAOLI, IN.  2643</v>
      </c>
      <c r="B17" s="133" t="s">
        <v>444</v>
      </c>
      <c r="C17" s="129">
        <v>2643</v>
      </c>
      <c r="D17" s="133">
        <v>2643</v>
      </c>
      <c r="E17" s="130" t="s">
        <v>445</v>
      </c>
      <c r="F17" s="130" t="s">
        <v>443</v>
      </c>
    </row>
    <row r="18" spans="1:6" ht="12.75" customHeight="1" x14ac:dyDescent="0.2">
      <c r="A18" t="str">
        <f t="shared" si="0"/>
        <v>Clifford Aggregates  2743  LIGONIER, IN  2743</v>
      </c>
      <c r="B18" s="133" t="s">
        <v>446</v>
      </c>
      <c r="C18" s="129">
        <v>2743</v>
      </c>
      <c r="D18" s="133">
        <v>2743</v>
      </c>
      <c r="E18" s="130" t="s">
        <v>447</v>
      </c>
      <c r="F18" s="130" t="s">
        <v>448</v>
      </c>
    </row>
    <row r="19" spans="1:6" ht="12.75" customHeight="1" x14ac:dyDescent="0.2">
      <c r="A19" t="str">
        <f t="shared" si="0"/>
        <v>Clifford Aggregates  2248  KENDALLVILLE, IN.  2248</v>
      </c>
      <c r="B19" s="133" t="s">
        <v>449</v>
      </c>
      <c r="C19" s="129">
        <v>2248</v>
      </c>
      <c r="D19" s="133">
        <v>2248</v>
      </c>
      <c r="E19" s="130" t="s">
        <v>447</v>
      </c>
      <c r="F19" s="130" t="s">
        <v>450</v>
      </c>
    </row>
    <row r="20" spans="1:6" ht="12.75" customHeight="1" x14ac:dyDescent="0.2">
      <c r="A20" t="str">
        <f t="shared" si="0"/>
        <v>Clifford Aggregates  2247  SOUTH MILFORD, IN.  2283</v>
      </c>
      <c r="B20" s="133" t="s">
        <v>451</v>
      </c>
      <c r="C20" s="129">
        <v>2247</v>
      </c>
      <c r="D20" s="133">
        <v>2283</v>
      </c>
      <c r="E20" s="130" t="s">
        <v>447</v>
      </c>
      <c r="F20" s="130" t="s">
        <v>452</v>
      </c>
    </row>
    <row r="21" spans="1:6" ht="12.75" customHeight="1" x14ac:dyDescent="0.2">
      <c r="A21" t="str">
        <f t="shared" si="0"/>
        <v>Clifford Aggregates  2283  SOUTH MILFORD, IN.  2283</v>
      </c>
      <c r="B21" s="133" t="s">
        <v>453</v>
      </c>
      <c r="C21" s="129">
        <v>2283</v>
      </c>
      <c r="D21" s="133">
        <v>2283</v>
      </c>
      <c r="E21" s="130" t="s">
        <v>447</v>
      </c>
      <c r="F21" s="130" t="s">
        <v>452</v>
      </c>
    </row>
    <row r="22" spans="1:6" ht="12.75" customHeight="1" x14ac:dyDescent="0.2">
      <c r="A22" t="str">
        <f t="shared" si="0"/>
        <v>Clifford Aggregates  2283  SOUTH MILFORD, IN.  2283</v>
      </c>
      <c r="B22" s="133" t="s">
        <v>453</v>
      </c>
      <c r="C22" s="129">
        <v>2283</v>
      </c>
      <c r="D22" s="133">
        <v>2283</v>
      </c>
      <c r="E22" s="130" t="s">
        <v>447</v>
      </c>
      <c r="F22" s="130" t="s">
        <v>452</v>
      </c>
    </row>
    <row r="23" spans="1:6" ht="12.75" customHeight="1" x14ac:dyDescent="0.2">
      <c r="A23" t="str">
        <f t="shared" si="0"/>
        <v>Clifford Aggregates  2763  ANGOLA, IN  2763</v>
      </c>
      <c r="B23" s="133" t="s">
        <v>454</v>
      </c>
      <c r="C23" s="129">
        <v>2763</v>
      </c>
      <c r="D23" s="133">
        <v>2763</v>
      </c>
      <c r="E23" s="130" t="s">
        <v>447</v>
      </c>
      <c r="F23" s="130" t="s">
        <v>455</v>
      </c>
    </row>
    <row r="24" spans="1:6" ht="12.75" customHeight="1" x14ac:dyDescent="0.2">
      <c r="A24" t="str">
        <f t="shared" si="0"/>
        <v>Clifford Aggregates  2247  AUBURN, IN.  2247</v>
      </c>
      <c r="B24" s="133" t="s">
        <v>451</v>
      </c>
      <c r="C24" s="129">
        <v>2247</v>
      </c>
      <c r="D24" s="133">
        <v>2247</v>
      </c>
      <c r="E24" s="130" t="s">
        <v>447</v>
      </c>
      <c r="F24" s="130" t="s">
        <v>456</v>
      </c>
    </row>
    <row r="25" spans="1:6" ht="12.75" customHeight="1" x14ac:dyDescent="0.2">
      <c r="A25" t="str">
        <f t="shared" si="0"/>
        <v>COUNTY LINE SAND AND GRAVEL  2387  KOKOMO, IN.  2387</v>
      </c>
      <c r="B25" s="133" t="s">
        <v>457</v>
      </c>
      <c r="C25" s="129">
        <v>2387</v>
      </c>
      <c r="D25" s="133">
        <v>2387</v>
      </c>
      <c r="E25" s="130" t="s">
        <v>458</v>
      </c>
      <c r="F25" s="130" t="s">
        <v>459</v>
      </c>
    </row>
    <row r="26" spans="1:6" ht="12.75" customHeight="1" x14ac:dyDescent="0.2">
      <c r="A26" t="str">
        <f t="shared" si="0"/>
        <v>E. S. WAGNER CO.  9998  ORGEON, OH  9998</v>
      </c>
      <c r="B26" s="133" t="s">
        <v>460</v>
      </c>
      <c r="C26" s="129">
        <v>9998</v>
      </c>
      <c r="D26" s="133">
        <v>9998</v>
      </c>
      <c r="E26" s="130" t="s">
        <v>461</v>
      </c>
      <c r="F26" s="130" t="s">
        <v>462</v>
      </c>
    </row>
    <row r="27" spans="1:6" ht="12.75" customHeight="1" x14ac:dyDescent="0.2">
      <c r="A27" t="str">
        <f t="shared" si="0"/>
        <v>ELKHART COUNTY GRAVEL, INC.  2206  MILFORD, IN.  2206</v>
      </c>
      <c r="B27" s="133" t="s">
        <v>463</v>
      </c>
      <c r="C27" s="129">
        <v>2206</v>
      </c>
      <c r="D27" s="133">
        <v>2206</v>
      </c>
      <c r="E27" s="130" t="s">
        <v>464</v>
      </c>
      <c r="F27" s="130" t="s">
        <v>465</v>
      </c>
    </row>
    <row r="28" spans="1:6" ht="12.75" customHeight="1" x14ac:dyDescent="0.2">
      <c r="A28" t="str">
        <f t="shared" si="0"/>
        <v>ELKHART COUNTY GRAVEL, INC.  2718  WARSAW, IN.  2718</v>
      </c>
      <c r="B28" s="133" t="s">
        <v>466</v>
      </c>
      <c r="C28" s="129">
        <v>2718</v>
      </c>
      <c r="D28" s="133">
        <v>2718</v>
      </c>
      <c r="E28" s="130" t="s">
        <v>464</v>
      </c>
      <c r="F28" s="130" t="s">
        <v>467</v>
      </c>
    </row>
    <row r="29" spans="1:6" ht="12.75" customHeight="1" x14ac:dyDescent="0.2">
      <c r="A29" t="str">
        <f t="shared" si="0"/>
        <v>ELKHART COUNTY GRAVEL-PLANT 1  2789  MIDDLEBURY, IN  2789</v>
      </c>
      <c r="B29" s="133" t="s">
        <v>468</v>
      </c>
      <c r="C29" s="129">
        <v>2789</v>
      </c>
      <c r="D29" s="133">
        <v>2789</v>
      </c>
      <c r="E29" s="130" t="s">
        <v>469</v>
      </c>
      <c r="F29" s="130" t="s">
        <v>470</v>
      </c>
    </row>
    <row r="30" spans="1:6" ht="12.75" customHeight="1" x14ac:dyDescent="0.2">
      <c r="A30" t="str">
        <f t="shared" si="0"/>
        <v>ELKHART COUNTY GRAVEL-PLANT 2  2700  MIDDLEBURY, IN.  2700</v>
      </c>
      <c r="B30" s="133" t="s">
        <v>471</v>
      </c>
      <c r="C30" s="129">
        <v>2700</v>
      </c>
      <c r="D30" s="133">
        <v>2700</v>
      </c>
      <c r="E30" s="130" t="s">
        <v>472</v>
      </c>
      <c r="F30" s="130" t="s">
        <v>473</v>
      </c>
    </row>
    <row r="31" spans="1:6" ht="12.75" customHeight="1" x14ac:dyDescent="0.2">
      <c r="A31" t="str">
        <f t="shared" si="0"/>
        <v>ELKHART COUNTY GRAVEL-PLANT 2  2973  MIDDLEBURY, IN.  2700</v>
      </c>
      <c r="B31" s="133" t="s">
        <v>407</v>
      </c>
      <c r="C31" s="129">
        <v>2973</v>
      </c>
      <c r="D31" s="133">
        <v>2700</v>
      </c>
      <c r="E31" s="130" t="s">
        <v>472</v>
      </c>
      <c r="F31" s="130" t="s">
        <v>473</v>
      </c>
    </row>
    <row r="32" spans="1:6" ht="12.75" customHeight="1" x14ac:dyDescent="0.2">
      <c r="A32" t="str">
        <f t="shared" si="0"/>
        <v>ENGINEERING AGGREGATES-PLANT1  2423  LOGANSPORT, IN.  2423</v>
      </c>
      <c r="B32" s="133" t="s">
        <v>474</v>
      </c>
      <c r="C32" s="129">
        <v>2423</v>
      </c>
      <c r="D32" s="133">
        <v>2423</v>
      </c>
      <c r="E32" s="130" t="s">
        <v>475</v>
      </c>
      <c r="F32" s="130" t="s">
        <v>476</v>
      </c>
    </row>
    <row r="33" spans="1:6" ht="12.75" customHeight="1" x14ac:dyDescent="0.2">
      <c r="A33" t="str">
        <f t="shared" si="0"/>
        <v>ENGINEERING AGGREGATES-PLANT3  0136  LOGANSPORT, IN  0136</v>
      </c>
      <c r="B33" s="133" t="s">
        <v>477</v>
      </c>
      <c r="C33" s="129" t="s">
        <v>478</v>
      </c>
      <c r="D33" s="133" t="s">
        <v>478</v>
      </c>
      <c r="E33" s="130" t="s">
        <v>479</v>
      </c>
      <c r="F33" s="130" t="s">
        <v>480</v>
      </c>
    </row>
    <row r="34" spans="1:6" ht="12.75" customHeight="1" x14ac:dyDescent="0.2">
      <c r="A34" t="str">
        <f t="shared" si="0"/>
        <v>ESHELMAN EXCAVATING  2758  KENDALLVILLE, IN  2758</v>
      </c>
      <c r="B34" s="133" t="s">
        <v>481</v>
      </c>
      <c r="C34" s="129">
        <v>2758</v>
      </c>
      <c r="D34" s="133">
        <v>2758</v>
      </c>
      <c r="E34" s="130" t="s">
        <v>482</v>
      </c>
      <c r="F34" s="130" t="s">
        <v>483</v>
      </c>
    </row>
    <row r="35" spans="1:6" ht="12.75" customHeight="1" x14ac:dyDescent="0.2">
      <c r="A35" t="str">
        <f t="shared" si="0"/>
        <v>EVANSVILLE MATERIALS, INC.  2632  EVANSVILLE, IN.  2632</v>
      </c>
      <c r="B35" s="133" t="s">
        <v>484</v>
      </c>
      <c r="C35" s="129">
        <v>2632</v>
      </c>
      <c r="D35" s="133">
        <v>2632</v>
      </c>
      <c r="E35" s="130" t="s">
        <v>485</v>
      </c>
      <c r="F35" s="130" t="s">
        <v>486</v>
      </c>
    </row>
    <row r="36" spans="1:6" ht="12.75" customHeight="1" x14ac:dyDescent="0.2">
      <c r="A36" t="str">
        <f t="shared" si="0"/>
        <v>EVANSVILLE MATERIALS, INC.  2969  EVANSVILLE, IN.  2632</v>
      </c>
      <c r="B36" s="133" t="s">
        <v>487</v>
      </c>
      <c r="C36" s="129">
        <v>2969</v>
      </c>
      <c r="D36" s="133">
        <v>2632</v>
      </c>
      <c r="E36" s="130" t="s">
        <v>485</v>
      </c>
      <c r="F36" s="130" t="s">
        <v>486</v>
      </c>
    </row>
    <row r="37" spans="1:6" ht="12.75" customHeight="1" x14ac:dyDescent="0.2">
      <c r="A37" t="str">
        <f t="shared" si="0"/>
        <v>EVANSVILLE MATERIALS, INC.  2970  EVANSVILLE, IN.  2632</v>
      </c>
      <c r="B37" s="133" t="s">
        <v>488</v>
      </c>
      <c r="C37" s="129">
        <v>2970</v>
      </c>
      <c r="D37" s="133">
        <v>2632</v>
      </c>
      <c r="E37" s="130" t="s">
        <v>485</v>
      </c>
      <c r="F37" s="130" t="s">
        <v>486</v>
      </c>
    </row>
    <row r="38" spans="1:6" ht="12.75" customHeight="1" x14ac:dyDescent="0.2">
      <c r="A38" t="str">
        <f t="shared" si="0"/>
        <v>EVANSVILLE MATERIALS, INC.  2971  EVANSVILLE, IN.  2632</v>
      </c>
      <c r="B38" s="133" t="s">
        <v>489</v>
      </c>
      <c r="C38" s="129">
        <v>2971</v>
      </c>
      <c r="D38" s="133">
        <v>2632</v>
      </c>
      <c r="E38" s="130" t="s">
        <v>485</v>
      </c>
      <c r="F38" s="130" t="s">
        <v>486</v>
      </c>
    </row>
    <row r="39" spans="1:6" ht="12.75" customHeight="1" x14ac:dyDescent="0.2">
      <c r="A39" t="str">
        <f t="shared" si="0"/>
        <v>EVANSVILLE MATERIALS, INC.  2972  EVANSVILLE, IN.  2632</v>
      </c>
      <c r="B39" s="133" t="s">
        <v>490</v>
      </c>
      <c r="C39" s="129">
        <v>2972</v>
      </c>
      <c r="D39" s="133">
        <v>2632</v>
      </c>
      <c r="E39" s="130" t="s">
        <v>485</v>
      </c>
      <c r="F39" s="130" t="s">
        <v>486</v>
      </c>
    </row>
    <row r="40" spans="1:6" ht="12.75" customHeight="1" x14ac:dyDescent="0.2">
      <c r="A40" t="str">
        <f t="shared" si="0"/>
        <v>EVANSVILLE MATERIALS, INC.  2974  EVANSVILLE, IN.  2632</v>
      </c>
      <c r="B40" s="133" t="s">
        <v>491</v>
      </c>
      <c r="C40" s="129">
        <v>2974</v>
      </c>
      <c r="D40" s="133">
        <v>2632</v>
      </c>
      <c r="E40" s="130" t="s">
        <v>485</v>
      </c>
      <c r="F40" s="130" t="s">
        <v>486</v>
      </c>
    </row>
    <row r="41" spans="1:6" ht="12.75" customHeight="1" x14ac:dyDescent="0.2">
      <c r="A41" t="str">
        <f t="shared" si="0"/>
        <v>GIBSON COUNTY SAND AND GRAVEL  2688  OWENSVILLE, IN  2688</v>
      </c>
      <c r="B41" s="133" t="s">
        <v>492</v>
      </c>
      <c r="C41" s="129">
        <v>2688</v>
      </c>
      <c r="D41" s="133">
        <v>2688</v>
      </c>
      <c r="E41" s="130" t="s">
        <v>493</v>
      </c>
      <c r="F41" s="130" t="s">
        <v>494</v>
      </c>
    </row>
    <row r="42" spans="1:6" ht="12.75" customHeight="1" x14ac:dyDescent="0.2">
      <c r="A42" t="str">
        <f t="shared" si="0"/>
        <v>HARRISON SAND AND GRAVEL CO.  2509  METAMORA, IN.  2509</v>
      </c>
      <c r="B42" s="133" t="s">
        <v>495</v>
      </c>
      <c r="C42" s="129">
        <v>2509</v>
      </c>
      <c r="D42" s="133">
        <v>2509</v>
      </c>
      <c r="E42" s="130" t="s">
        <v>496</v>
      </c>
      <c r="F42" s="130" t="s">
        <v>497</v>
      </c>
    </row>
    <row r="43" spans="1:6" ht="12.75" customHeight="1" x14ac:dyDescent="0.2">
      <c r="A43" t="str">
        <f t="shared" si="0"/>
        <v>HARRISON SAND AND GRAVEL CO.  2510  METAMORA, IN.  2509</v>
      </c>
      <c r="B43" s="133" t="s">
        <v>498</v>
      </c>
      <c r="C43" s="129">
        <v>2510</v>
      </c>
      <c r="D43" s="133">
        <v>2509</v>
      </c>
      <c r="E43" s="130" t="s">
        <v>496</v>
      </c>
      <c r="F43" s="130" t="s">
        <v>497</v>
      </c>
    </row>
    <row r="44" spans="1:6" ht="12.75" customHeight="1" x14ac:dyDescent="0.2">
      <c r="A44" t="str">
        <f t="shared" si="0"/>
        <v>HARRISON SAND AND GRAVEL CO.  2514  NEW TRENTON, IN.  2514</v>
      </c>
      <c r="B44" s="133" t="s">
        <v>499</v>
      </c>
      <c r="C44" s="129" t="s">
        <v>500</v>
      </c>
      <c r="D44" s="133" t="s">
        <v>500</v>
      </c>
      <c r="E44" s="130" t="s">
        <v>496</v>
      </c>
      <c r="F44" s="130" t="s">
        <v>501</v>
      </c>
    </row>
    <row r="45" spans="1:6" ht="12.75" customHeight="1" x14ac:dyDescent="0.2">
      <c r="A45" t="str">
        <f t="shared" si="0"/>
        <v>HASTIE MINING AND TRUCKING  2609  CAVE-IN-ROCK, IL.  2609</v>
      </c>
      <c r="B45" s="133" t="s">
        <v>502</v>
      </c>
      <c r="C45" s="129">
        <v>2609</v>
      </c>
      <c r="D45" s="133">
        <v>2609</v>
      </c>
      <c r="E45" s="130" t="s">
        <v>503</v>
      </c>
      <c r="F45" s="130" t="s">
        <v>504</v>
      </c>
    </row>
    <row r="46" spans="1:6" ht="12.75" customHeight="1" x14ac:dyDescent="0.2">
      <c r="A46" t="str">
        <f t="shared" si="0"/>
        <v>HAYNES SAND AND GRAVEL  2238  FT. WAYNE, IN  2797</v>
      </c>
      <c r="B46" s="133" t="s">
        <v>505</v>
      </c>
      <c r="C46" s="129">
        <v>2238</v>
      </c>
      <c r="D46" s="133">
        <v>2797</v>
      </c>
      <c r="E46" s="130" t="s">
        <v>506</v>
      </c>
      <c r="F46" s="130" t="s">
        <v>507</v>
      </c>
    </row>
    <row r="47" spans="1:6" ht="12.75" customHeight="1" x14ac:dyDescent="0.2">
      <c r="A47" t="str">
        <f t="shared" si="0"/>
        <v>HAYNES SAND AND GRAVEL  2797  FT. WAYNE, IN  2797</v>
      </c>
      <c r="B47" s="133" t="s">
        <v>508</v>
      </c>
      <c r="C47" s="129">
        <v>2797</v>
      </c>
      <c r="D47" s="133">
        <v>2797</v>
      </c>
      <c r="E47" s="130" t="s">
        <v>506</v>
      </c>
      <c r="F47" s="130" t="s">
        <v>507</v>
      </c>
    </row>
    <row r="48" spans="1:6" ht="12.75" customHeight="1" x14ac:dyDescent="0.2">
      <c r="A48" t="str">
        <f t="shared" si="0"/>
        <v>HECKETT/MULTISERV  2977  GHENT, KY  2775</v>
      </c>
      <c r="B48" s="133" t="s">
        <v>509</v>
      </c>
      <c r="C48" s="129">
        <v>2977</v>
      </c>
      <c r="D48" s="133">
        <v>2775</v>
      </c>
      <c r="E48" s="130" t="s">
        <v>510</v>
      </c>
      <c r="F48" s="130" t="s">
        <v>511</v>
      </c>
    </row>
    <row r="49" spans="1:6" ht="12.75" customHeight="1" x14ac:dyDescent="0.2">
      <c r="A49" t="str">
        <f t="shared" si="0"/>
        <v>Heidelberg Materials Midwest   2562  SALEM, IN.  2562</v>
      </c>
      <c r="B49" s="133" t="s">
        <v>512</v>
      </c>
      <c r="C49" s="129">
        <v>2562</v>
      </c>
      <c r="D49" s="133">
        <v>2562</v>
      </c>
      <c r="E49" s="130" t="s">
        <v>513</v>
      </c>
      <c r="F49" s="130" t="s">
        <v>514</v>
      </c>
    </row>
    <row r="50" spans="1:6" ht="12.75" customHeight="1" x14ac:dyDescent="0.2">
      <c r="A50" t="str">
        <f t="shared" si="0"/>
        <v>Heidelberg Materials Midwest   2135  PUTNAMVILLE, IN  2135</v>
      </c>
      <c r="B50" s="133" t="s">
        <v>515</v>
      </c>
      <c r="C50" s="129">
        <v>2135</v>
      </c>
      <c r="D50" s="133">
        <v>2135</v>
      </c>
      <c r="E50" s="130" t="s">
        <v>513</v>
      </c>
      <c r="F50" s="130" t="s">
        <v>516</v>
      </c>
    </row>
    <row r="51" spans="1:6" ht="12.75" customHeight="1" x14ac:dyDescent="0.2">
      <c r="A51" t="str">
        <f t="shared" si="0"/>
        <v>Heidelberg Materials Midwest   2232  ANGOLA, IN.  2240</v>
      </c>
      <c r="B51" s="133" t="s">
        <v>517</v>
      </c>
      <c r="C51" s="129">
        <v>2232</v>
      </c>
      <c r="D51" s="133">
        <v>2240</v>
      </c>
      <c r="E51" s="130" t="s">
        <v>513</v>
      </c>
      <c r="F51" s="130" t="s">
        <v>518</v>
      </c>
    </row>
    <row r="52" spans="1:6" ht="12.75" customHeight="1" x14ac:dyDescent="0.2">
      <c r="A52" t="str">
        <f t="shared" si="0"/>
        <v>Heidelberg Materials Midwest   2312  PUTNAMVILLE, IN  2135</v>
      </c>
      <c r="B52" s="133" t="s">
        <v>519</v>
      </c>
      <c r="C52" s="129">
        <v>2312</v>
      </c>
      <c r="D52" s="133">
        <v>2135</v>
      </c>
      <c r="E52" s="130" t="s">
        <v>513</v>
      </c>
      <c r="F52" s="130" t="s">
        <v>516</v>
      </c>
    </row>
    <row r="53" spans="1:6" ht="12.75" customHeight="1" x14ac:dyDescent="0.2">
      <c r="A53" t="str">
        <f t="shared" si="0"/>
        <v>Heidelberg Materials Midwest- AGGROCK  2783  SELLERSBURG, IN  2783</v>
      </c>
      <c r="B53" s="133" t="s">
        <v>520</v>
      </c>
      <c r="C53" s="129">
        <v>2783</v>
      </c>
      <c r="D53" s="133">
        <v>2783</v>
      </c>
      <c r="E53" s="130" t="s">
        <v>521</v>
      </c>
      <c r="F53" s="130" t="s">
        <v>522</v>
      </c>
    </row>
    <row r="54" spans="1:6" ht="12.75" customHeight="1" x14ac:dyDescent="0.2">
      <c r="A54" t="str">
        <f t="shared" si="0"/>
        <v>Heidelberg Materials Midwest  - ARDMORE  2206  FORT WAYNE, IN.  2232</v>
      </c>
      <c r="B54" s="133" t="s">
        <v>463</v>
      </c>
      <c r="C54" s="129">
        <v>2206</v>
      </c>
      <c r="D54" s="133">
        <v>2232</v>
      </c>
      <c r="E54" s="130" t="s">
        <v>523</v>
      </c>
      <c r="F54" s="130" t="s">
        <v>524</v>
      </c>
    </row>
    <row r="55" spans="1:6" ht="12.75" customHeight="1" x14ac:dyDescent="0.2">
      <c r="A55" t="str">
        <f t="shared" si="0"/>
        <v>Heidelberg Materials Midwest  - ARDMORE  2217  FORT WAYNE, IN.  2232</v>
      </c>
      <c r="B55" s="133" t="s">
        <v>525</v>
      </c>
      <c r="C55" s="129">
        <v>2217</v>
      </c>
      <c r="D55" s="133">
        <v>2232</v>
      </c>
      <c r="E55" s="130" t="s">
        <v>523</v>
      </c>
      <c r="F55" s="130" t="s">
        <v>524</v>
      </c>
    </row>
    <row r="56" spans="1:6" ht="12.75" customHeight="1" x14ac:dyDescent="0.2">
      <c r="A56" t="str">
        <f t="shared" si="0"/>
        <v>Heidelberg Materials Midwest  - ARDMORE  2232  FORT WAYNE, IN.  2232</v>
      </c>
      <c r="B56" s="133" t="s">
        <v>526</v>
      </c>
      <c r="C56" s="129">
        <v>2232</v>
      </c>
      <c r="D56" s="133">
        <v>2232</v>
      </c>
      <c r="E56" s="130" t="s">
        <v>523</v>
      </c>
      <c r="F56" s="130" t="s">
        <v>524</v>
      </c>
    </row>
    <row r="57" spans="1:6" ht="12.75" customHeight="1" x14ac:dyDescent="0.2">
      <c r="A57" t="str">
        <f t="shared" si="0"/>
        <v>Heidelberg Materials Midwest  - ARDMORE  2237  FORT WAYNE, IN.  2232</v>
      </c>
      <c r="B57" s="133" t="s">
        <v>527</v>
      </c>
      <c r="C57" s="129">
        <v>2237</v>
      </c>
      <c r="D57" s="133">
        <v>2232</v>
      </c>
      <c r="E57" s="130" t="s">
        <v>523</v>
      </c>
      <c r="F57" s="130" t="s">
        <v>524</v>
      </c>
    </row>
    <row r="58" spans="1:6" ht="12.75" customHeight="1" x14ac:dyDescent="0.2">
      <c r="A58" t="str">
        <f t="shared" si="0"/>
        <v>Heidelberg Materials Midwest  - ARDMORE  2240  FORT WAYNE, IN.  2232</v>
      </c>
      <c r="B58" s="133" t="s">
        <v>517</v>
      </c>
      <c r="C58" s="129">
        <v>2240</v>
      </c>
      <c r="D58" s="133">
        <v>2232</v>
      </c>
      <c r="E58" s="130" t="s">
        <v>523</v>
      </c>
      <c r="F58" s="130" t="s">
        <v>524</v>
      </c>
    </row>
    <row r="59" spans="1:6" ht="12.75" customHeight="1" x14ac:dyDescent="0.2">
      <c r="A59" t="str">
        <f t="shared" si="0"/>
        <v>Heidelberg Materials Midwest  - ARDMORE  2283  FORT WAYNE, IN.  2232</v>
      </c>
      <c r="B59" s="133" t="s">
        <v>453</v>
      </c>
      <c r="C59" s="129">
        <v>2283</v>
      </c>
      <c r="D59" s="133">
        <v>2232</v>
      </c>
      <c r="E59" s="130" t="s">
        <v>523</v>
      </c>
      <c r="F59" s="130" t="s">
        <v>524</v>
      </c>
    </row>
    <row r="60" spans="1:6" ht="12.75" customHeight="1" x14ac:dyDescent="0.2">
      <c r="A60" t="str">
        <f t="shared" si="0"/>
        <v>Heidelberg Materials Midwest  - ARDMORE  2743  FORT WAYNE, IN.  2232</v>
      </c>
      <c r="B60" s="133" t="s">
        <v>446</v>
      </c>
      <c r="C60" s="129">
        <v>2743</v>
      </c>
      <c r="D60" s="133">
        <v>2232</v>
      </c>
      <c r="E60" s="130" t="s">
        <v>523</v>
      </c>
      <c r="F60" s="130" t="s">
        <v>524</v>
      </c>
    </row>
    <row r="61" spans="1:6" ht="12.75" customHeight="1" x14ac:dyDescent="0.2">
      <c r="A61" t="str">
        <f t="shared" si="0"/>
        <v>Heidelberg Materials Midwest  - ATKINS  2573  JEFFERSONVILLE, IN.  2573</v>
      </c>
      <c r="B61" s="133" t="s">
        <v>528</v>
      </c>
      <c r="C61" s="129">
        <v>2573</v>
      </c>
      <c r="D61" s="133">
        <v>2573</v>
      </c>
      <c r="E61" s="130" t="s">
        <v>529</v>
      </c>
      <c r="F61" s="130" t="s">
        <v>530</v>
      </c>
    </row>
    <row r="62" spans="1:6" ht="12.75" customHeight="1" x14ac:dyDescent="0.2">
      <c r="A62" t="str">
        <f t="shared" si="0"/>
        <v>Heidelberg Materials Midwest -MILNER  2764  BUNKER HILL, IN  2764</v>
      </c>
      <c r="B62" s="133" t="s">
        <v>531</v>
      </c>
      <c r="C62" s="129">
        <v>2764</v>
      </c>
      <c r="D62" s="133">
        <v>2764</v>
      </c>
      <c r="E62" s="130" t="s">
        <v>532</v>
      </c>
      <c r="F62" s="130" t="s">
        <v>533</v>
      </c>
    </row>
    <row r="63" spans="1:6" ht="12.75" customHeight="1" x14ac:dyDescent="0.2">
      <c r="A63" t="str">
        <f t="shared" si="0"/>
        <v>Heidelberg Materials Midwest -MILNER  2973  BUNKER HILL, IN  2764</v>
      </c>
      <c r="B63" s="133" t="s">
        <v>407</v>
      </c>
      <c r="C63" s="129">
        <v>2973</v>
      </c>
      <c r="D63" s="133">
        <v>2764</v>
      </c>
      <c r="E63" s="130" t="s">
        <v>532</v>
      </c>
      <c r="F63" s="130" t="s">
        <v>533</v>
      </c>
    </row>
    <row r="64" spans="1:6" ht="12.75" customHeight="1" x14ac:dyDescent="0.2">
      <c r="A64" t="str">
        <f t="shared" si="0"/>
        <v>Heidelberg Materials Midwest - SCOTT CO.  2563  BLOCHER, IN.  2563</v>
      </c>
      <c r="B64" s="133" t="s">
        <v>534</v>
      </c>
      <c r="C64" s="129">
        <v>2563</v>
      </c>
      <c r="D64" s="133">
        <v>2563</v>
      </c>
      <c r="E64" s="130" t="s">
        <v>535</v>
      </c>
      <c r="F64" s="130" t="s">
        <v>536</v>
      </c>
    </row>
    <row r="65" spans="1:6" ht="12.75" customHeight="1" x14ac:dyDescent="0.2">
      <c r="A65" t="str">
        <f t="shared" si="0"/>
        <v>Heidelberg Materials Midwest  - WOODBURN 2  2237  EDGERTON, IN.  2237</v>
      </c>
      <c r="B65" s="133" t="s">
        <v>527</v>
      </c>
      <c r="C65" s="129">
        <v>2237</v>
      </c>
      <c r="D65" s="133">
        <v>2237</v>
      </c>
      <c r="E65" s="130" t="s">
        <v>537</v>
      </c>
      <c r="F65" s="130" t="s">
        <v>538</v>
      </c>
    </row>
    <row r="66" spans="1:6" ht="12.75" customHeight="1" x14ac:dyDescent="0.2">
      <c r="A66" t="str">
        <f t="shared" si="0"/>
        <v>Heidelberg Materials Midwest  - WOODBURN 2  2749  EDGERTON, IN.  2237</v>
      </c>
      <c r="B66" s="133" t="s">
        <v>539</v>
      </c>
      <c r="C66" s="129">
        <v>2749</v>
      </c>
      <c r="D66" s="133">
        <v>2237</v>
      </c>
      <c r="E66" s="130" t="s">
        <v>537</v>
      </c>
      <c r="F66" s="130" t="s">
        <v>538</v>
      </c>
    </row>
    <row r="67" spans="1:6" ht="12.75" customHeight="1" x14ac:dyDescent="0.2">
      <c r="A67" t="str">
        <f t="shared" si="0"/>
        <v>Heidelberg Materials Midwest -COOPERS  2575  JEFFERSONVILLE, IN.  2575</v>
      </c>
      <c r="B67" s="133" t="s">
        <v>540</v>
      </c>
      <c r="C67" s="129">
        <v>2575</v>
      </c>
      <c r="D67" s="133">
        <v>2575</v>
      </c>
      <c r="E67" s="130" t="s">
        <v>541</v>
      </c>
      <c r="F67" s="130" t="s">
        <v>530</v>
      </c>
    </row>
    <row r="68" spans="1:6" ht="12.75" customHeight="1" x14ac:dyDescent="0.2">
      <c r="A68" t="str">
        <f t="shared" si="0"/>
        <v>Heidelberg Materials Midwest -HARDING ST.  2312  INDIANAPOLIS, IN.  2312</v>
      </c>
      <c r="B68" s="133" t="s">
        <v>519</v>
      </c>
      <c r="C68" s="129">
        <v>2312</v>
      </c>
      <c r="D68" s="133">
        <v>2312</v>
      </c>
      <c r="E68" s="130" t="s">
        <v>542</v>
      </c>
      <c r="F68" s="130" t="s">
        <v>543</v>
      </c>
    </row>
    <row r="69" spans="1:6" ht="12.75" customHeight="1" x14ac:dyDescent="0.2">
      <c r="A69" t="str">
        <f t="shared" si="0"/>
        <v>Heidelberg Materials Midwest -HARDING ST.  2409  INDIANAPOLIS, IN.  2312</v>
      </c>
      <c r="B69" s="133" t="s">
        <v>544</v>
      </c>
      <c r="C69" s="129">
        <v>2409</v>
      </c>
      <c r="D69" s="133">
        <v>2312</v>
      </c>
      <c r="E69" s="130" t="s">
        <v>542</v>
      </c>
      <c r="F69" s="130" t="s">
        <v>543</v>
      </c>
    </row>
    <row r="70" spans="1:6" ht="12.75" customHeight="1" x14ac:dyDescent="0.2">
      <c r="A70" t="str">
        <f t="shared" si="0"/>
        <v>Heidelberg Materials Midwest  2551  NORTH VERNON, IN.  2551</v>
      </c>
      <c r="B70" s="133" t="s">
        <v>545</v>
      </c>
      <c r="C70" s="129">
        <v>2551</v>
      </c>
      <c r="D70" s="133">
        <v>2551</v>
      </c>
      <c r="E70" s="130" t="s">
        <v>546</v>
      </c>
      <c r="F70" s="130" t="s">
        <v>547</v>
      </c>
    </row>
    <row r="71" spans="1:6" ht="12.75" customHeight="1" x14ac:dyDescent="0.2">
      <c r="A71" t="str">
        <f t="shared" si="0"/>
        <v>Heidelberg Materials Midwest  2552  VERSAILLES, IN.  2552</v>
      </c>
      <c r="B71" s="133" t="s">
        <v>548</v>
      </c>
      <c r="C71" s="129">
        <v>2552</v>
      </c>
      <c r="D71" s="133">
        <v>2552</v>
      </c>
      <c r="E71" s="130" t="s">
        <v>546</v>
      </c>
      <c r="F71" s="130" t="s">
        <v>549</v>
      </c>
    </row>
    <row r="72" spans="1:6" ht="12.75" customHeight="1" x14ac:dyDescent="0.2">
      <c r="A72" t="str">
        <f t="shared" si="0"/>
        <v>Heidelberg Materials Midwest  2556  HAYDEN, IN.  2556</v>
      </c>
      <c r="B72" s="133" t="s">
        <v>550</v>
      </c>
      <c r="C72" s="129">
        <v>2556</v>
      </c>
      <c r="D72" s="133">
        <v>2556</v>
      </c>
      <c r="E72" s="130" t="s">
        <v>546</v>
      </c>
      <c r="F72" s="130" t="s">
        <v>551</v>
      </c>
    </row>
    <row r="73" spans="1:6" ht="12.75" customHeight="1" x14ac:dyDescent="0.2">
      <c r="A73" t="str">
        <f t="shared" si="0"/>
        <v>Heidelberg Materials Midwest  2977  VERSAILLES, IN.  2552</v>
      </c>
      <c r="B73" s="133" t="s">
        <v>509</v>
      </c>
      <c r="C73" s="129">
        <v>2977</v>
      </c>
      <c r="D73" s="133">
        <v>2552</v>
      </c>
      <c r="E73" s="130" t="s">
        <v>546</v>
      </c>
      <c r="F73" s="130" t="s">
        <v>549</v>
      </c>
    </row>
    <row r="74" spans="1:6" ht="12.75" customHeight="1" x14ac:dyDescent="0.2">
      <c r="A74" t="str">
        <f t="shared" si="0"/>
        <v>Heidelberg Materials Midwest  2409  MONON, IN  2409</v>
      </c>
      <c r="B74" s="133" t="s">
        <v>544</v>
      </c>
      <c r="C74" s="129">
        <v>2409</v>
      </c>
      <c r="D74" s="133">
        <v>2409</v>
      </c>
      <c r="E74" s="130" t="s">
        <v>546</v>
      </c>
      <c r="F74" s="130" t="s">
        <v>552</v>
      </c>
    </row>
    <row r="75" spans="1:6" ht="12.75" customHeight="1" x14ac:dyDescent="0.2">
      <c r="A75" t="str">
        <f t="shared" si="0"/>
        <v>Heidelberg Materials Midwest  2440  FRANCESVILLE, IN.  2440</v>
      </c>
      <c r="B75" s="133" t="s">
        <v>553</v>
      </c>
      <c r="C75" s="129">
        <v>2440</v>
      </c>
      <c r="D75" s="133">
        <v>2440</v>
      </c>
      <c r="E75" s="130" t="s">
        <v>546</v>
      </c>
      <c r="F75" s="130" t="s">
        <v>554</v>
      </c>
    </row>
    <row r="76" spans="1:6" ht="12.75" customHeight="1" x14ac:dyDescent="0.2">
      <c r="A76" t="str">
        <f t="shared" ref="A76:A126" si="1">E76&amp;"  "&amp;C76&amp;"  "&amp;F76&amp;"  "&amp;D76</f>
        <v>Heidelberg Materials Midwest  2472  THORNTON, IL  2472</v>
      </c>
      <c r="B76" s="133" t="s">
        <v>555</v>
      </c>
      <c r="C76" s="129">
        <v>2472</v>
      </c>
      <c r="D76" s="133">
        <v>2472</v>
      </c>
      <c r="E76" s="130" t="s">
        <v>546</v>
      </c>
      <c r="F76" s="130" t="s">
        <v>556</v>
      </c>
    </row>
    <row r="77" spans="1:6" ht="12.75" customHeight="1" x14ac:dyDescent="0.2">
      <c r="A77" t="str">
        <f t="shared" si="1"/>
        <v>Heidelberg Materials Midwest  2973  THORNTON, IL  2472</v>
      </c>
      <c r="B77" s="133" t="s">
        <v>407</v>
      </c>
      <c r="C77" s="129">
        <v>2973</v>
      </c>
      <c r="D77" s="133">
        <v>2472</v>
      </c>
      <c r="E77" s="130" t="s">
        <v>546</v>
      </c>
      <c r="F77" s="130" t="s">
        <v>556</v>
      </c>
    </row>
    <row r="78" spans="1:6" ht="12.75" customHeight="1" x14ac:dyDescent="0.2">
      <c r="A78" t="str">
        <f t="shared" si="1"/>
        <v>HERITAGE AGGREGATE  2642  SPRINGVILLE, IN.  2642</v>
      </c>
      <c r="B78" s="133" t="s">
        <v>557</v>
      </c>
      <c r="C78" s="129">
        <v>2642</v>
      </c>
      <c r="D78" s="133">
        <v>2642</v>
      </c>
      <c r="E78" s="130" t="s">
        <v>558</v>
      </c>
      <c r="F78" s="130" t="s">
        <v>559</v>
      </c>
    </row>
    <row r="79" spans="1:6" ht="12.75" customHeight="1" x14ac:dyDescent="0.2">
      <c r="A79" t="str">
        <f t="shared" si="1"/>
        <v>IMI - NEW GREENWOOD  2792  GREENWOOD, IN  2792</v>
      </c>
      <c r="B79" s="133" t="s">
        <v>560</v>
      </c>
      <c r="C79" s="129">
        <v>2792</v>
      </c>
      <c r="D79" s="133">
        <v>2792</v>
      </c>
      <c r="E79" s="130" t="s">
        <v>561</v>
      </c>
      <c r="F79" s="130" t="s">
        <v>562</v>
      </c>
    </row>
    <row r="80" spans="1:6" ht="12.75" customHeight="1" x14ac:dyDescent="0.2">
      <c r="A80" t="str">
        <f t="shared" si="1"/>
        <v>IMI - NEW GREENWOOD  2792  GREENWOOD, IN  2792</v>
      </c>
      <c r="B80" s="133" t="s">
        <v>560</v>
      </c>
      <c r="C80" s="129">
        <v>2792</v>
      </c>
      <c r="D80" s="133">
        <v>2792</v>
      </c>
      <c r="E80" s="130" t="s">
        <v>561</v>
      </c>
      <c r="F80" s="130" t="s">
        <v>562</v>
      </c>
    </row>
    <row r="81" spans="1:6" ht="12.75" customHeight="1" x14ac:dyDescent="0.2">
      <c r="A81" t="str">
        <f t="shared" si="1"/>
        <v>INDIAN CREEK QUARRIES, LLC  2689  WILLIAMS, IN  2689</v>
      </c>
      <c r="B81" s="133" t="s">
        <v>563</v>
      </c>
      <c r="C81" s="129">
        <v>2689</v>
      </c>
      <c r="D81" s="133">
        <v>2689</v>
      </c>
      <c r="E81" s="130" t="s">
        <v>564</v>
      </c>
      <c r="F81" s="130" t="s">
        <v>565</v>
      </c>
    </row>
    <row r="82" spans="1:6" ht="12.75" customHeight="1" x14ac:dyDescent="0.2">
      <c r="A82" t="str">
        <f t="shared" si="1"/>
        <v>INTERSTATE SAND AND GRAVEL CO.  2164  WILLAMSPORT, IN  2164</v>
      </c>
      <c r="B82" s="133" t="s">
        <v>566</v>
      </c>
      <c r="C82" s="129">
        <v>2164</v>
      </c>
      <c r="D82" s="133">
        <v>2164</v>
      </c>
      <c r="E82" s="130" t="s">
        <v>567</v>
      </c>
      <c r="F82" s="130" t="s">
        <v>568</v>
      </c>
    </row>
    <row r="83" spans="1:6" ht="12.75" customHeight="1" x14ac:dyDescent="0.2">
      <c r="A83" t="str">
        <f t="shared" si="1"/>
        <v>INTERSTATE SAND AND GRAVEL CO.  2445  WILLAMSPORT, IN  2164</v>
      </c>
      <c r="B83" s="133" t="s">
        <v>569</v>
      </c>
      <c r="C83" s="129">
        <v>2445</v>
      </c>
      <c r="D83" s="133">
        <v>2164</v>
      </c>
      <c r="E83" s="130" t="s">
        <v>567</v>
      </c>
      <c r="F83" s="130" t="s">
        <v>568</v>
      </c>
    </row>
    <row r="84" spans="1:6" ht="12.75" customHeight="1" x14ac:dyDescent="0.2">
      <c r="A84" t="str">
        <f t="shared" si="1"/>
        <v>IRVING BROTHERS GRAVEL CO.  2341  GAS CITY, IN.  2341</v>
      </c>
      <c r="B84" s="133" t="s">
        <v>570</v>
      </c>
      <c r="C84" s="129">
        <v>2341</v>
      </c>
      <c r="D84" s="133">
        <v>2341</v>
      </c>
      <c r="E84" s="130" t="s">
        <v>571</v>
      </c>
      <c r="F84" s="130" t="s">
        <v>572</v>
      </c>
    </row>
    <row r="85" spans="1:6" ht="12.75" customHeight="1" x14ac:dyDescent="0.2">
      <c r="A85" t="str">
        <f t="shared" si="1"/>
        <v>IRVING MATERIALS - FALL CREEK  0063  FORTVILLE, IN  0063</v>
      </c>
      <c r="B85" s="133" t="s">
        <v>573</v>
      </c>
      <c r="C85" s="131" t="s">
        <v>574</v>
      </c>
      <c r="D85" s="134" t="s">
        <v>574</v>
      </c>
      <c r="E85" s="130" t="s">
        <v>575</v>
      </c>
      <c r="F85" s="130" t="s">
        <v>576</v>
      </c>
    </row>
    <row r="86" spans="1:6" ht="12.75" customHeight="1" x14ac:dyDescent="0.2">
      <c r="A86" t="str">
        <f t="shared" si="1"/>
        <v>IRVING MATERIALS INC  2362  MUNCIE, IN.  2362</v>
      </c>
      <c r="B86" s="133" t="s">
        <v>577</v>
      </c>
      <c r="C86" s="129">
        <v>2362</v>
      </c>
      <c r="D86" s="133">
        <v>2362</v>
      </c>
      <c r="E86" s="130" t="s">
        <v>578</v>
      </c>
      <c r="F86" s="130" t="s">
        <v>579</v>
      </c>
    </row>
    <row r="87" spans="1:6" ht="12.75" customHeight="1" x14ac:dyDescent="0.2">
      <c r="A87" t="str">
        <f t="shared" si="1"/>
        <v>IRVING MATERIALS INC  2561  BROWNSTOWN, IN.  2561</v>
      </c>
      <c r="B87" s="133" t="s">
        <v>580</v>
      </c>
      <c r="C87" s="129">
        <v>2561</v>
      </c>
      <c r="D87" s="133">
        <v>2561</v>
      </c>
      <c r="E87" s="130" t="s">
        <v>578</v>
      </c>
      <c r="F87" s="130" t="s">
        <v>581</v>
      </c>
    </row>
    <row r="88" spans="1:6" ht="12.75" customHeight="1" x14ac:dyDescent="0.2">
      <c r="A88" t="str">
        <f t="shared" si="1"/>
        <v>IRVING MATERIALS INC.-STONEY CREEK  2359  NOBLESVILLE, IN.  2359</v>
      </c>
      <c r="B88" s="133" t="s">
        <v>582</v>
      </c>
      <c r="C88" s="129">
        <v>2359</v>
      </c>
      <c r="D88" s="133">
        <v>2359</v>
      </c>
      <c r="E88" s="130" t="s">
        <v>583</v>
      </c>
      <c r="F88" s="130" t="s">
        <v>417</v>
      </c>
    </row>
    <row r="89" spans="1:6" ht="12.75" customHeight="1" x14ac:dyDescent="0.2">
      <c r="A89" t="str">
        <f t="shared" si="1"/>
        <v>IRVING MATERIALS, INC  2211  HUNTINGTON, IN.  2211</v>
      </c>
      <c r="B89" s="133" t="s">
        <v>584</v>
      </c>
      <c r="C89" s="129">
        <v>2211</v>
      </c>
      <c r="D89" s="133">
        <v>2211</v>
      </c>
      <c r="E89" s="130" t="s">
        <v>585</v>
      </c>
      <c r="F89" s="130" t="s">
        <v>586</v>
      </c>
    </row>
    <row r="90" spans="1:6" ht="12.75" customHeight="1" x14ac:dyDescent="0.2">
      <c r="A90" t="str">
        <f t="shared" si="1"/>
        <v>IRVING MATERIALS, INC  2254  HUNTINGTON, IN.  2211</v>
      </c>
      <c r="B90" s="133" t="s">
        <v>587</v>
      </c>
      <c r="C90" s="129">
        <v>2254</v>
      </c>
      <c r="D90" s="133">
        <v>2211</v>
      </c>
      <c r="E90" s="130" t="s">
        <v>585</v>
      </c>
      <c r="F90" s="130" t="s">
        <v>586</v>
      </c>
    </row>
    <row r="91" spans="1:6" ht="12.75" customHeight="1" x14ac:dyDescent="0.2">
      <c r="A91" t="str">
        <f t="shared" si="1"/>
        <v>IRVING MATERIALS, INC.  2254  PERU, IN.  2254</v>
      </c>
      <c r="B91" s="133" t="s">
        <v>587</v>
      </c>
      <c r="C91" s="129">
        <v>2254</v>
      </c>
      <c r="D91" s="133">
        <v>2254</v>
      </c>
      <c r="E91" s="130" t="s">
        <v>588</v>
      </c>
      <c r="F91" s="130" t="s">
        <v>589</v>
      </c>
    </row>
    <row r="92" spans="1:6" ht="12.75" customHeight="1" x14ac:dyDescent="0.2">
      <c r="A92" t="str">
        <f t="shared" si="1"/>
        <v>IRVING MATERIALS, INC.  2254  PERU, IN.  2254</v>
      </c>
      <c r="B92" s="133" t="s">
        <v>587</v>
      </c>
      <c r="C92" s="129">
        <v>2254</v>
      </c>
      <c r="D92" s="133">
        <v>2254</v>
      </c>
      <c r="E92" s="130" t="s">
        <v>588</v>
      </c>
      <c r="F92" s="130" t="s">
        <v>589</v>
      </c>
    </row>
    <row r="93" spans="1:6" ht="15" customHeight="1" x14ac:dyDescent="0.2">
      <c r="A93" t="str">
        <f t="shared" si="1"/>
        <v>IRVING MATERIALS, INC.  2254  PLYMOUTH, IN.  2431</v>
      </c>
      <c r="B93" s="133" t="s">
        <v>587</v>
      </c>
      <c r="C93" s="129">
        <v>2254</v>
      </c>
      <c r="D93" s="133">
        <v>2431</v>
      </c>
      <c r="E93" s="130" t="s">
        <v>588</v>
      </c>
      <c r="F93" s="130" t="s">
        <v>590</v>
      </c>
    </row>
    <row r="94" spans="1:6" ht="12.75" customHeight="1" x14ac:dyDescent="0.2">
      <c r="A94" t="str">
        <f t="shared" si="1"/>
        <v>IRVING MATERIALS, INC.  2254  SWAYZEE, IN.  2355</v>
      </c>
      <c r="B94" s="133" t="s">
        <v>587</v>
      </c>
      <c r="C94" s="129">
        <v>2254</v>
      </c>
      <c r="D94" s="133">
        <v>2355</v>
      </c>
      <c r="E94" s="130" t="s">
        <v>588</v>
      </c>
      <c r="F94" s="130" t="s">
        <v>591</v>
      </c>
    </row>
    <row r="95" spans="1:6" ht="15" customHeight="1" x14ac:dyDescent="0.2">
      <c r="A95" t="str">
        <f t="shared" si="1"/>
        <v>IRVING MATERIALS, INC.  2262  BLUFFTON, IN.  2262</v>
      </c>
      <c r="B95" s="133" t="s">
        <v>592</v>
      </c>
      <c r="C95" s="129">
        <v>2262</v>
      </c>
      <c r="D95" s="133">
        <v>2262</v>
      </c>
      <c r="E95" s="130" t="s">
        <v>588</v>
      </c>
      <c r="F95" s="130" t="s">
        <v>593</v>
      </c>
    </row>
    <row r="96" spans="1:6" ht="12.75" customHeight="1" x14ac:dyDescent="0.2">
      <c r="A96" t="str">
        <f t="shared" si="1"/>
        <v>IRVING MATERIALS, INC.  2306  ANDERSON, IN  2306</v>
      </c>
      <c r="B96" s="133" t="s">
        <v>594</v>
      </c>
      <c r="C96" s="129">
        <v>2306</v>
      </c>
      <c r="D96" s="133">
        <v>2306</v>
      </c>
      <c r="E96" s="130" t="s">
        <v>588</v>
      </c>
      <c r="F96" s="130" t="s">
        <v>595</v>
      </c>
    </row>
    <row r="97" spans="1:6" ht="15" customHeight="1" x14ac:dyDescent="0.2">
      <c r="A97" t="str">
        <f t="shared" si="1"/>
        <v>IRVING MATERIALS, INC.  2324  MC CORDSVILLE, IN.  2324</v>
      </c>
      <c r="B97" s="133" t="s">
        <v>596</v>
      </c>
      <c r="C97" s="129">
        <v>2324</v>
      </c>
      <c r="D97" s="133">
        <v>2324</v>
      </c>
      <c r="E97" s="130" t="s">
        <v>588</v>
      </c>
      <c r="F97" s="130" t="s">
        <v>597</v>
      </c>
    </row>
    <row r="98" spans="1:6" ht="12.75" customHeight="1" x14ac:dyDescent="0.2">
      <c r="A98" t="str">
        <f t="shared" si="1"/>
        <v>IRVING MATERIALS, INC.  2333  CAMBRIDGE CITY, IN.  2333</v>
      </c>
      <c r="B98" s="133" t="s">
        <v>598</v>
      </c>
      <c r="C98" s="129">
        <v>2333</v>
      </c>
      <c r="D98" s="133">
        <v>2333</v>
      </c>
      <c r="E98" s="130" t="s">
        <v>588</v>
      </c>
      <c r="F98" s="130" t="s">
        <v>599</v>
      </c>
    </row>
    <row r="99" spans="1:6" ht="15" customHeight="1" x14ac:dyDescent="0.2">
      <c r="A99" t="str">
        <f t="shared" si="1"/>
        <v>IRVING MATERIALS, INC.  2338  CONNERSVILLE, IN.  2338</v>
      </c>
      <c r="B99" s="133" t="s">
        <v>600</v>
      </c>
      <c r="C99" s="129">
        <v>2338</v>
      </c>
      <c r="D99" s="133">
        <v>2338</v>
      </c>
      <c r="E99" s="130" t="s">
        <v>588</v>
      </c>
      <c r="F99" s="130" t="s">
        <v>601</v>
      </c>
    </row>
    <row r="100" spans="1:6" ht="12.75" customHeight="1" x14ac:dyDescent="0.2">
      <c r="A100" t="str">
        <f t="shared" si="1"/>
        <v>IRVING MATERIALS, INC.  2347  NEW CASTLE, IN  2347</v>
      </c>
      <c r="B100" s="133" t="s">
        <v>602</v>
      </c>
      <c r="C100" s="129">
        <v>2347</v>
      </c>
      <c r="D100" s="133">
        <v>2347</v>
      </c>
      <c r="E100" s="130" t="s">
        <v>588</v>
      </c>
      <c r="F100" s="130" t="s">
        <v>603</v>
      </c>
    </row>
    <row r="101" spans="1:6" ht="12.75" customHeight="1" x14ac:dyDescent="0.2">
      <c r="A101" t="str">
        <f t="shared" si="1"/>
        <v>IRVING MATERIALS, INC.  2348  PENDLETON, IN.  2348</v>
      </c>
      <c r="B101" s="133" t="s">
        <v>604</v>
      </c>
      <c r="C101" s="129">
        <v>2348</v>
      </c>
      <c r="D101" s="133">
        <v>2348</v>
      </c>
      <c r="E101" s="130" t="s">
        <v>588</v>
      </c>
      <c r="F101" s="130" t="s">
        <v>605</v>
      </c>
    </row>
    <row r="102" spans="1:6" ht="15" customHeight="1" x14ac:dyDescent="0.2">
      <c r="A102" t="str">
        <f t="shared" si="1"/>
        <v>IRVING MATERIALS, INC.  2355  SWAYZEE, IN.  2355</v>
      </c>
      <c r="B102" s="133" t="s">
        <v>606</v>
      </c>
      <c r="C102" s="129">
        <v>2355</v>
      </c>
      <c r="D102" s="133">
        <v>2355</v>
      </c>
      <c r="E102" s="130" t="s">
        <v>588</v>
      </c>
      <c r="F102" s="130" t="s">
        <v>591</v>
      </c>
    </row>
    <row r="103" spans="1:6" ht="15" customHeight="1" x14ac:dyDescent="0.2">
      <c r="A103" t="str">
        <f t="shared" si="1"/>
        <v>IRVING MATERIALS, INC.  2362  NEW CASTLE, IN  2347</v>
      </c>
      <c r="B103" s="133" t="s">
        <v>577</v>
      </c>
      <c r="C103" s="129">
        <v>2362</v>
      </c>
      <c r="D103" s="133">
        <v>2347</v>
      </c>
      <c r="E103" s="130" t="s">
        <v>588</v>
      </c>
      <c r="F103" s="130" t="s">
        <v>603</v>
      </c>
    </row>
    <row r="104" spans="1:6" ht="12.75" customHeight="1" x14ac:dyDescent="0.2">
      <c r="A104" t="str">
        <f t="shared" si="1"/>
        <v>IRVING MATERIALS, INC.  2367  MONTPELIER, IN.  2367</v>
      </c>
      <c r="B104" s="133" t="s">
        <v>607</v>
      </c>
      <c r="C104" s="129">
        <v>2367</v>
      </c>
      <c r="D104" s="133">
        <v>2367</v>
      </c>
      <c r="E104" s="130" t="s">
        <v>588</v>
      </c>
      <c r="F104" s="130" t="s">
        <v>608</v>
      </c>
    </row>
    <row r="105" spans="1:6" ht="15" customHeight="1" x14ac:dyDescent="0.2">
      <c r="A105" t="str">
        <f t="shared" si="1"/>
        <v>IRVING MATERIALS, INC.  2431  PERU, IN.  2254</v>
      </c>
      <c r="B105" s="133" t="s">
        <v>609</v>
      </c>
      <c r="C105" s="129">
        <v>2431</v>
      </c>
      <c r="D105" s="133">
        <v>2254</v>
      </c>
      <c r="E105" s="130" t="s">
        <v>588</v>
      </c>
      <c r="F105" s="130" t="s">
        <v>589</v>
      </c>
    </row>
    <row r="106" spans="1:6" ht="12.75" customHeight="1" x14ac:dyDescent="0.2">
      <c r="A106" t="str">
        <f t="shared" si="1"/>
        <v>IRVING MATERIALS, INC.  2431  PERU, IN.  2254</v>
      </c>
      <c r="B106" s="133" t="s">
        <v>609</v>
      </c>
      <c r="C106" s="129">
        <v>2431</v>
      </c>
      <c r="D106" s="133">
        <v>2254</v>
      </c>
      <c r="E106" s="130" t="s">
        <v>588</v>
      </c>
      <c r="F106" s="130" t="s">
        <v>589</v>
      </c>
    </row>
    <row r="107" spans="1:6" ht="15" customHeight="1" x14ac:dyDescent="0.2">
      <c r="A107" t="str">
        <f t="shared" si="1"/>
        <v>IRVING MATERIALS, INC.  2431  PLYMOUTH, IN.  2431</v>
      </c>
      <c r="B107" s="133" t="s">
        <v>609</v>
      </c>
      <c r="C107" s="129">
        <v>2431</v>
      </c>
      <c r="D107" s="133">
        <v>2431</v>
      </c>
      <c r="E107" s="130" t="s">
        <v>588</v>
      </c>
      <c r="F107" s="130" t="s">
        <v>590</v>
      </c>
    </row>
    <row r="108" spans="1:6" ht="12.75" customHeight="1" x14ac:dyDescent="0.2">
      <c r="A108" t="str">
        <f t="shared" si="1"/>
        <v>IRVING MATERIALS, INC.  2431  PLYMOUTH, IN.  2431</v>
      </c>
      <c r="B108" s="133" t="s">
        <v>609</v>
      </c>
      <c r="C108" s="129">
        <v>2431</v>
      </c>
      <c r="D108" s="133">
        <v>2431</v>
      </c>
      <c r="E108" s="130" t="s">
        <v>588</v>
      </c>
      <c r="F108" s="130" t="s">
        <v>590</v>
      </c>
    </row>
    <row r="109" spans="1:6" ht="15" customHeight="1" x14ac:dyDescent="0.2">
      <c r="A109" t="str">
        <f t="shared" si="1"/>
        <v>IRVING MATERIALS, INC.  2431  PLYMOUTH, IN.  2431</v>
      </c>
      <c r="B109" s="133" t="s">
        <v>609</v>
      </c>
      <c r="C109" s="129">
        <v>2431</v>
      </c>
      <c r="D109" s="133">
        <v>2431</v>
      </c>
      <c r="E109" s="130" t="s">
        <v>588</v>
      </c>
      <c r="F109" s="130" t="s">
        <v>590</v>
      </c>
    </row>
    <row r="110" spans="1:6" ht="12.75" customHeight="1" x14ac:dyDescent="0.2">
      <c r="A110" t="str">
        <f t="shared" si="1"/>
        <v>IRVING MATERIALS, INC.  2498  BLUFFTON, IN.  2262</v>
      </c>
      <c r="B110" s="133" t="s">
        <v>610</v>
      </c>
      <c r="C110" s="129">
        <v>2498</v>
      </c>
      <c r="D110" s="133">
        <v>2262</v>
      </c>
      <c r="E110" s="130" t="s">
        <v>588</v>
      </c>
      <c r="F110" s="130" t="s">
        <v>593</v>
      </c>
    </row>
    <row r="111" spans="1:6" ht="15" customHeight="1" x14ac:dyDescent="0.2">
      <c r="A111" t="str">
        <f t="shared" si="1"/>
        <v>IRVING MATERIALS, INC.  2542  SELLERSBURG, IN.  2542</v>
      </c>
      <c r="B111" s="133" t="s">
        <v>611</v>
      </c>
      <c r="C111" s="129">
        <v>2542</v>
      </c>
      <c r="D111" s="133">
        <v>2542</v>
      </c>
      <c r="E111" s="130" t="s">
        <v>588</v>
      </c>
      <c r="F111" s="130" t="s">
        <v>612</v>
      </c>
    </row>
    <row r="112" spans="1:6" ht="12.75" customHeight="1" x14ac:dyDescent="0.2">
      <c r="A112" t="str">
        <f t="shared" si="1"/>
        <v>IRVING MATERIALS, INC.  2570  WALESBORO, IN  2570</v>
      </c>
      <c r="B112" s="133" t="s">
        <v>613</v>
      </c>
      <c r="C112" s="129">
        <v>2570</v>
      </c>
      <c r="D112" s="133">
        <v>2570</v>
      </c>
      <c r="E112" s="130" t="s">
        <v>588</v>
      </c>
      <c r="F112" s="130" t="s">
        <v>614</v>
      </c>
    </row>
    <row r="113" spans="1:6" ht="15" customHeight="1" x14ac:dyDescent="0.2">
      <c r="A113" t="str">
        <f t="shared" si="1"/>
        <v>IRVING MATERIALS, INC.  2572  CORYDON, IN.  2572</v>
      </c>
      <c r="B113" s="133" t="s">
        <v>615</v>
      </c>
      <c r="C113" s="129">
        <v>2572</v>
      </c>
      <c r="D113" s="133">
        <v>2572</v>
      </c>
      <c r="E113" s="130" t="s">
        <v>588</v>
      </c>
      <c r="F113" s="130" t="s">
        <v>616</v>
      </c>
    </row>
    <row r="114" spans="1:6" ht="15" customHeight="1" x14ac:dyDescent="0.2">
      <c r="A114" t="str">
        <f t="shared" si="1"/>
        <v>IRVING MATERIALS, INC.  2977  SELLERSBURG, IN.  2542</v>
      </c>
      <c r="B114" s="133" t="s">
        <v>509</v>
      </c>
      <c r="C114" s="129">
        <v>2977</v>
      </c>
      <c r="D114" s="133">
        <v>2542</v>
      </c>
      <c r="E114" s="130" t="s">
        <v>588</v>
      </c>
      <c r="F114" s="130" t="s">
        <v>612</v>
      </c>
    </row>
    <row r="115" spans="1:6" ht="15" customHeight="1" x14ac:dyDescent="0.2">
      <c r="A115" t="str">
        <f t="shared" si="1"/>
        <v>IRVING MATERIALS, INC.-UPLAND  0124  MUNCIE, IN.  0124</v>
      </c>
      <c r="B115" s="133" t="s">
        <v>617</v>
      </c>
      <c r="C115" s="129" t="s">
        <v>618</v>
      </c>
      <c r="D115" s="133" t="s">
        <v>618</v>
      </c>
      <c r="E115" s="130" t="s">
        <v>619</v>
      </c>
      <c r="F115" s="130" t="s">
        <v>579</v>
      </c>
    </row>
    <row r="116" spans="1:6" ht="15" customHeight="1" x14ac:dyDescent="0.2">
      <c r="A116" t="str">
        <f t="shared" si="1"/>
        <v>JOHNSON CONSTRUCTION MATERIALS  2784  NEW WASHINGTON, IN  2784</v>
      </c>
      <c r="B116" s="133" t="s">
        <v>620</v>
      </c>
      <c r="C116" s="129">
        <v>2784</v>
      </c>
      <c r="D116" s="133">
        <v>2784</v>
      </c>
      <c r="E116" s="130" t="s">
        <v>621</v>
      </c>
      <c r="F116" s="130" t="s">
        <v>622</v>
      </c>
    </row>
    <row r="117" spans="1:6" ht="15" customHeight="1" x14ac:dyDescent="0.2">
      <c r="A117" t="str">
        <f t="shared" si="1"/>
        <v>JONES AND SONS - STAR POINT  2641  VINCENNES, IN  2686</v>
      </c>
      <c r="B117" s="133" t="s">
        <v>441</v>
      </c>
      <c r="C117" s="129">
        <v>2641</v>
      </c>
      <c r="D117" s="133">
        <v>2686</v>
      </c>
      <c r="E117" s="130" t="s">
        <v>623</v>
      </c>
      <c r="F117" s="130" t="s">
        <v>624</v>
      </c>
    </row>
    <row r="118" spans="1:6" ht="15" customHeight="1" x14ac:dyDescent="0.2">
      <c r="A118" t="str">
        <f t="shared" si="1"/>
        <v>JONES AND SONS - STAR POINT  2686  VINCENNES, IN  2686</v>
      </c>
      <c r="B118" s="133" t="s">
        <v>625</v>
      </c>
      <c r="C118" s="129">
        <v>2686</v>
      </c>
      <c r="D118" s="133">
        <v>2686</v>
      </c>
      <c r="E118" s="130" t="s">
        <v>623</v>
      </c>
      <c r="F118" s="130" t="s">
        <v>624</v>
      </c>
    </row>
    <row r="119" spans="1:6" ht="15" customHeight="1" x14ac:dyDescent="0.2">
      <c r="A119" t="str">
        <f t="shared" si="1"/>
        <v>KNOX COUNTY SAND AND GRAVEL  2651  VINCENNES, IN.  2651</v>
      </c>
      <c r="B119" s="133" t="s">
        <v>626</v>
      </c>
      <c r="C119" s="129">
        <v>2651</v>
      </c>
      <c r="D119" s="133">
        <v>2651</v>
      </c>
      <c r="E119" s="130" t="s">
        <v>627</v>
      </c>
      <c r="F119" s="130" t="s">
        <v>628</v>
      </c>
    </row>
    <row r="120" spans="1:6" ht="15" customHeight="1" x14ac:dyDescent="0.2">
      <c r="A120" t="str">
        <f t="shared" si="1"/>
        <v>KOKOMO GRAVEL, INC.  2794  PERU, IN  2794</v>
      </c>
      <c r="B120" s="133" t="s">
        <v>629</v>
      </c>
      <c r="C120" s="129">
        <v>2794</v>
      </c>
      <c r="D120" s="133">
        <v>2794</v>
      </c>
      <c r="E120" s="130" t="s">
        <v>630</v>
      </c>
      <c r="F120" s="130" t="s">
        <v>631</v>
      </c>
    </row>
    <row r="121" spans="1:6" ht="15" customHeight="1" x14ac:dyDescent="0.2">
      <c r="A121" t="str">
        <f t="shared" si="1"/>
        <v>LANDMARK MATERIALS, LLC  0106  WALKERTON, IN  0106</v>
      </c>
      <c r="B121" s="133" t="s">
        <v>632</v>
      </c>
      <c r="C121" s="131" t="s">
        <v>633</v>
      </c>
      <c r="D121" s="134" t="s">
        <v>633</v>
      </c>
      <c r="E121" s="130" t="s">
        <v>634</v>
      </c>
      <c r="F121" s="130" t="s">
        <v>635</v>
      </c>
    </row>
    <row r="122" spans="1:6" ht="15" customHeight="1" x14ac:dyDescent="0.2">
      <c r="A122" t="str">
        <f t="shared" si="1"/>
        <v>LEESBURG SAND AND GRAVEL  2217  LEESBURG, IN.  2217</v>
      </c>
      <c r="B122" s="133" t="s">
        <v>525</v>
      </c>
      <c r="C122" s="129">
        <v>2217</v>
      </c>
      <c r="D122" s="133">
        <v>2217</v>
      </c>
      <c r="E122" s="130" t="s">
        <v>636</v>
      </c>
      <c r="F122" s="130" t="s">
        <v>637</v>
      </c>
    </row>
    <row r="123" spans="1:6" ht="15" customHeight="1" x14ac:dyDescent="0.2">
      <c r="A123" t="str">
        <f t="shared" si="1"/>
        <v>LINCOLN PARK STONE  2113  PUTNAMVILLE, IN  2180</v>
      </c>
      <c r="B123" s="133" t="s">
        <v>638</v>
      </c>
      <c r="C123" s="129">
        <v>2113</v>
      </c>
      <c r="D123" s="133">
        <v>2180</v>
      </c>
      <c r="E123" s="130" t="s">
        <v>639</v>
      </c>
      <c r="F123" s="130" t="s">
        <v>516</v>
      </c>
    </row>
    <row r="124" spans="1:6" ht="15" customHeight="1" x14ac:dyDescent="0.2">
      <c r="A124" t="str">
        <f t="shared" si="1"/>
        <v>LINCOLN PARK STONE  2163  PUTNAMVILLE, IN  2180</v>
      </c>
      <c r="B124" s="133" t="s">
        <v>640</v>
      </c>
      <c r="C124" s="129">
        <v>2163</v>
      </c>
      <c r="D124" s="133">
        <v>2180</v>
      </c>
      <c r="E124" s="130" t="s">
        <v>639</v>
      </c>
      <c r="F124" s="130" t="s">
        <v>516</v>
      </c>
    </row>
    <row r="125" spans="1:6" ht="15" customHeight="1" x14ac:dyDescent="0.2">
      <c r="A125" t="str">
        <f t="shared" si="1"/>
        <v>LINCOLN PARK STONE  2180  PUTNAMVILLE, IN  2180</v>
      </c>
      <c r="B125" s="133" t="s">
        <v>641</v>
      </c>
      <c r="C125" s="129">
        <v>2180</v>
      </c>
      <c r="D125" s="133">
        <v>2180</v>
      </c>
      <c r="E125" s="130" t="s">
        <v>639</v>
      </c>
      <c r="F125" s="130" t="s">
        <v>516</v>
      </c>
    </row>
    <row r="126" spans="1:6" ht="15" customHeight="1" x14ac:dyDescent="0.2">
      <c r="A126" t="str">
        <f t="shared" si="1"/>
        <v>LINCOLN PARK STONE  2793  GOSPORT, IN  2793</v>
      </c>
      <c r="B126" s="133" t="s">
        <v>642</v>
      </c>
      <c r="C126" s="129">
        <v>2793</v>
      </c>
      <c r="D126" s="133">
        <v>2793</v>
      </c>
      <c r="E126" s="130" t="s">
        <v>639</v>
      </c>
      <c r="F126" s="130" t="s">
        <v>643</v>
      </c>
    </row>
    <row r="127" spans="1:6" ht="12.75" customHeight="1" x14ac:dyDescent="0.2">
      <c r="A127" t="str">
        <f t="shared" ref="A127:A190" si="2">E127&amp;"  "&amp;C127&amp;"  "&amp;F127&amp;"  "&amp;D127</f>
        <v>LITER'S QUARRY   2569  LOCKPORT, KY  2569</v>
      </c>
      <c r="B127" s="133" t="s">
        <v>644</v>
      </c>
      <c r="C127" s="129">
        <v>2569</v>
      </c>
      <c r="D127" s="133">
        <v>2569</v>
      </c>
      <c r="E127" s="130" t="s">
        <v>645</v>
      </c>
      <c r="F127" s="130" t="s">
        <v>646</v>
      </c>
    </row>
    <row r="128" spans="1:6" ht="12.75" customHeight="1" x14ac:dyDescent="0.2">
      <c r="A128" t="str">
        <f t="shared" si="2"/>
        <v>M &amp; H PRODUCTS  0128  GHENT, KY  0128</v>
      </c>
      <c r="B128" s="133" t="s">
        <v>647</v>
      </c>
      <c r="C128" s="131" t="s">
        <v>648</v>
      </c>
      <c r="D128" s="134" t="s">
        <v>648</v>
      </c>
      <c r="E128" s="130" t="s">
        <v>649</v>
      </c>
      <c r="F128" s="130" t="s">
        <v>511</v>
      </c>
    </row>
    <row r="129" spans="1:6" ht="12.75" customHeight="1" x14ac:dyDescent="0.2">
      <c r="A129" t="str">
        <f t="shared" si="2"/>
        <v>MARTIN MARIETTA   2157  CLOVERDALE, IN.  2157</v>
      </c>
      <c r="B129" s="133" t="s">
        <v>650</v>
      </c>
      <c r="C129" s="129">
        <v>2157</v>
      </c>
      <c r="D129" s="133">
        <v>2157</v>
      </c>
      <c r="E129" s="130" t="s">
        <v>651</v>
      </c>
      <c r="F129" s="130" t="s">
        <v>652</v>
      </c>
    </row>
    <row r="130" spans="1:6" ht="12.75" customHeight="1" x14ac:dyDescent="0.2">
      <c r="A130" t="str">
        <f t="shared" si="2"/>
        <v>MARTIN MARIETTA   2519  ROSS, OH.  2519</v>
      </c>
      <c r="B130" s="133" t="s">
        <v>653</v>
      </c>
      <c r="C130" s="129">
        <v>2519</v>
      </c>
      <c r="D130" s="133">
        <v>2519</v>
      </c>
      <c r="E130" s="130" t="s">
        <v>651</v>
      </c>
      <c r="F130" s="130" t="s">
        <v>654</v>
      </c>
    </row>
    <row r="131" spans="1:6" ht="12.75" customHeight="1" x14ac:dyDescent="0.2">
      <c r="A131" t="str">
        <f t="shared" si="2"/>
        <v>MARTIN MARIETTA  2314  NOBLESVILLE, IN  2389</v>
      </c>
      <c r="B131" s="133" t="s">
        <v>655</v>
      </c>
      <c r="C131" s="129">
        <v>2314</v>
      </c>
      <c r="D131" s="133">
        <v>2389</v>
      </c>
      <c r="E131" s="130" t="s">
        <v>656</v>
      </c>
      <c r="F131" s="130" t="s">
        <v>657</v>
      </c>
    </row>
    <row r="132" spans="1:6" ht="12.75" customHeight="1" x14ac:dyDescent="0.2">
      <c r="A132" t="str">
        <f t="shared" si="2"/>
        <v>MARTIN MARIETTA  2353  KOKOMO, IN.  2353</v>
      </c>
      <c r="B132" s="133" t="s">
        <v>658</v>
      </c>
      <c r="C132" s="129">
        <v>2353</v>
      </c>
      <c r="D132" s="133">
        <v>2353</v>
      </c>
      <c r="E132" s="130" t="s">
        <v>656</v>
      </c>
      <c r="F132" s="130" t="s">
        <v>459</v>
      </c>
    </row>
    <row r="133" spans="1:6" ht="12.75" customHeight="1" x14ac:dyDescent="0.2">
      <c r="A133" t="str">
        <f t="shared" si="2"/>
        <v>MARTIN MARIETTA  2389  NOBLESVILLE, IN  2389</v>
      </c>
      <c r="B133" s="133" t="s">
        <v>659</v>
      </c>
      <c r="C133" s="129">
        <v>2389</v>
      </c>
      <c r="D133" s="133">
        <v>2389</v>
      </c>
      <c r="E133" s="130" t="s">
        <v>656</v>
      </c>
      <c r="F133" s="130" t="s">
        <v>657</v>
      </c>
    </row>
    <row r="134" spans="1:6" ht="12.75" customHeight="1" x14ac:dyDescent="0.2">
      <c r="A134" t="str">
        <f t="shared" si="2"/>
        <v>MARTIN MARIETTA  2522  WAVERLY, IN.  2522</v>
      </c>
      <c r="B134" s="133" t="s">
        <v>660</v>
      </c>
      <c r="C134" s="129">
        <v>2522</v>
      </c>
      <c r="D134" s="133">
        <v>2522</v>
      </c>
      <c r="E134" s="130" t="s">
        <v>656</v>
      </c>
      <c r="F134" s="130" t="s">
        <v>661</v>
      </c>
    </row>
    <row r="135" spans="1:6" ht="12.75" customHeight="1" x14ac:dyDescent="0.2">
      <c r="A135" t="str">
        <f t="shared" si="2"/>
        <v>MARTIN MARIETTA  2762  RUSSIAVILLE, IN  2762</v>
      </c>
      <c r="B135" s="133" t="s">
        <v>662</v>
      </c>
      <c r="C135" s="129">
        <v>2762</v>
      </c>
      <c r="D135" s="133">
        <v>2762</v>
      </c>
      <c r="E135" s="130" t="s">
        <v>656</v>
      </c>
      <c r="F135" s="130" t="s">
        <v>663</v>
      </c>
    </row>
    <row r="136" spans="1:6" ht="12.75" customHeight="1" x14ac:dyDescent="0.2">
      <c r="A136" t="str">
        <f t="shared" si="2"/>
        <v>MARTIN MARIETTA - 96TH STREET  2311  INDIANAPOLIS, IN.  2311</v>
      </c>
      <c r="B136" s="133" t="s">
        <v>664</v>
      </c>
      <c r="C136" s="129">
        <v>2311</v>
      </c>
      <c r="D136" s="133">
        <v>2311</v>
      </c>
      <c r="E136" s="130" t="s">
        <v>665</v>
      </c>
      <c r="F136" s="130" t="s">
        <v>543</v>
      </c>
    </row>
    <row r="137" spans="1:6" ht="12.75" customHeight="1" x14ac:dyDescent="0.2">
      <c r="A137" t="str">
        <f t="shared" si="2"/>
        <v>MARTIN MARIETTA - JOHNSON COUNTY NATURAL SAND  2985  GREENWORD IN.   2985</v>
      </c>
      <c r="B137" s="133" t="s">
        <v>666</v>
      </c>
      <c r="C137" s="129" t="s">
        <v>667</v>
      </c>
      <c r="D137" s="133" t="s">
        <v>667</v>
      </c>
      <c r="E137" s="130" t="s">
        <v>668</v>
      </c>
      <c r="F137" s="130" t="s">
        <v>669</v>
      </c>
    </row>
    <row r="138" spans="1:6" ht="12.75" customHeight="1" x14ac:dyDescent="0.2">
      <c r="A138" t="str">
        <f t="shared" si="2"/>
        <v>MARTIN MARIETTA - KENTUCKY AVE  2314  CLOVERDALE, IN.  2157</v>
      </c>
      <c r="B138" s="133" t="s">
        <v>655</v>
      </c>
      <c r="C138" s="129">
        <v>2314</v>
      </c>
      <c r="D138" s="133">
        <v>2157</v>
      </c>
      <c r="E138" s="130" t="s">
        <v>670</v>
      </c>
      <c r="F138" s="130" t="s">
        <v>652</v>
      </c>
    </row>
    <row r="139" spans="1:6" ht="12.75" customHeight="1" x14ac:dyDescent="0.2">
      <c r="A139" t="str">
        <f t="shared" si="2"/>
        <v>MARTIN MARIETTA - KENTUCKY AVE  2314  INDIANAPOLIS, IN.  2314</v>
      </c>
      <c r="B139" s="133" t="s">
        <v>655</v>
      </c>
      <c r="C139" s="129">
        <v>2314</v>
      </c>
      <c r="D139" s="133">
        <v>2314</v>
      </c>
      <c r="E139" s="130" t="s">
        <v>670</v>
      </c>
      <c r="F139" s="130" t="s">
        <v>543</v>
      </c>
    </row>
    <row r="140" spans="1:6" ht="12.75" customHeight="1" x14ac:dyDescent="0.2">
      <c r="A140" t="str">
        <f t="shared" si="2"/>
        <v>MARTIN MARIETTA - RIVER RD  2303  CARMEL, IN.  2303</v>
      </c>
      <c r="B140" s="133" t="s">
        <v>671</v>
      </c>
      <c r="C140" s="129">
        <v>2303</v>
      </c>
      <c r="D140" s="133">
        <v>2303</v>
      </c>
      <c r="E140" s="130" t="s">
        <v>672</v>
      </c>
      <c r="F140" s="130" t="s">
        <v>673</v>
      </c>
    </row>
    <row r="141" spans="1:6" ht="12.75" customHeight="1" x14ac:dyDescent="0.2">
      <c r="A141" t="str">
        <f t="shared" si="2"/>
        <v>MARTIN MARIETTA-BELMONT  2310  INDIANAPOLIS, IN.  2310</v>
      </c>
      <c r="B141" s="133" t="s">
        <v>674</v>
      </c>
      <c r="C141" s="129">
        <v>2310</v>
      </c>
      <c r="D141" s="133">
        <v>2310</v>
      </c>
      <c r="E141" s="130" t="s">
        <v>675</v>
      </c>
      <c r="F141" s="130" t="s">
        <v>543</v>
      </c>
    </row>
    <row r="142" spans="1:6" ht="12.75" customHeight="1" x14ac:dyDescent="0.2">
      <c r="A142" t="str">
        <f t="shared" si="2"/>
        <v>MARTIN MARIETTA-E-TOWN S AND G  2506  HARRISON, OH  2506</v>
      </c>
      <c r="B142" s="133" t="s">
        <v>676</v>
      </c>
      <c r="C142" s="129">
        <v>2506</v>
      </c>
      <c r="D142" s="133">
        <v>2506</v>
      </c>
      <c r="E142" s="130" t="s">
        <v>677</v>
      </c>
      <c r="F142" s="130" t="s">
        <v>678</v>
      </c>
    </row>
    <row r="143" spans="1:6" ht="12.75" customHeight="1" x14ac:dyDescent="0.2">
      <c r="A143" t="str">
        <f t="shared" si="2"/>
        <v>MELVIN ST CO KILBY RAILYARD  0142  CINCINNATI, OH  0040</v>
      </c>
      <c r="B143" s="133" t="s">
        <v>679</v>
      </c>
      <c r="C143" s="129" t="s">
        <v>680</v>
      </c>
      <c r="D143" s="133" t="s">
        <v>681</v>
      </c>
      <c r="E143" s="130" t="s">
        <v>682</v>
      </c>
      <c r="F143" s="130" t="s">
        <v>683</v>
      </c>
    </row>
    <row r="144" spans="1:6" ht="12.75" customHeight="1" x14ac:dyDescent="0.2">
      <c r="A144" t="str">
        <f t="shared" si="2"/>
        <v>MICHIANA AGGREGATE, INC.  2495  NILES, MI  2495</v>
      </c>
      <c r="B144" s="133" t="s">
        <v>684</v>
      </c>
      <c r="C144" s="129">
        <v>2495</v>
      </c>
      <c r="D144" s="133">
        <v>2495</v>
      </c>
      <c r="E144" s="130" t="s">
        <v>685</v>
      </c>
      <c r="F144" s="130" t="s">
        <v>406</v>
      </c>
    </row>
    <row r="145" spans="1:6" ht="12.75" customHeight="1" x14ac:dyDescent="0.2">
      <c r="A145" t="str">
        <f t="shared" si="2"/>
        <v>MILESTONE PLANT 43  0056  CRAWFORDSVILLE, IN  0056</v>
      </c>
      <c r="B145" s="133" t="s">
        <v>686</v>
      </c>
      <c r="C145" s="131" t="s">
        <v>687</v>
      </c>
      <c r="D145" s="134" t="s">
        <v>687</v>
      </c>
      <c r="E145" s="130" t="s">
        <v>688</v>
      </c>
      <c r="F145" s="130" t="s">
        <v>689</v>
      </c>
    </row>
    <row r="146" spans="1:6" ht="12.75" customHeight="1" x14ac:dyDescent="0.2">
      <c r="A146" t="str">
        <f t="shared" si="2"/>
        <v>MOOSE LAKE AGGREGATE  2771  NILES, MI  2771</v>
      </c>
      <c r="B146" s="133" t="s">
        <v>690</v>
      </c>
      <c r="C146" s="129">
        <v>2771</v>
      </c>
      <c r="D146" s="133">
        <v>2771</v>
      </c>
      <c r="E146" s="130" t="s">
        <v>691</v>
      </c>
      <c r="F146" s="130" t="s">
        <v>406</v>
      </c>
    </row>
    <row r="147" spans="1:6" ht="12.75" customHeight="1" x14ac:dyDescent="0.2">
      <c r="A147" t="str">
        <f t="shared" si="2"/>
        <v>MULTISERV STEEL DYNAMICS  2186  PITTSBORO, IN  2186</v>
      </c>
      <c r="B147" s="133" t="s">
        <v>692</v>
      </c>
      <c r="C147" s="129">
        <v>2186</v>
      </c>
      <c r="D147" s="133">
        <v>2186</v>
      </c>
      <c r="E147" s="130" t="s">
        <v>693</v>
      </c>
      <c r="F147" s="130" t="s">
        <v>694</v>
      </c>
    </row>
    <row r="148" spans="1:6" ht="12.75" customHeight="1" x14ac:dyDescent="0.2">
      <c r="A148" t="str">
        <f t="shared" si="2"/>
        <v>MULZER - EVANSVILLE IN  2974  CAPE SANDY, IN.  2621</v>
      </c>
      <c r="B148" s="133" t="s">
        <v>491</v>
      </c>
      <c r="C148" s="129">
        <v>2974</v>
      </c>
      <c r="D148" s="133">
        <v>2621</v>
      </c>
      <c r="E148" s="130" t="s">
        <v>695</v>
      </c>
      <c r="F148" s="130" t="s">
        <v>696</v>
      </c>
    </row>
    <row r="149" spans="1:6" ht="12.75" customHeight="1" x14ac:dyDescent="0.2">
      <c r="A149" t="str">
        <f t="shared" si="2"/>
        <v>MULZER - LEAVENWORTH IN  2624  CAPE SANDY, IN.  2621</v>
      </c>
      <c r="B149" s="133" t="s">
        <v>697</v>
      </c>
      <c r="C149" s="129">
        <v>2624</v>
      </c>
      <c r="D149" s="133">
        <v>2621</v>
      </c>
      <c r="E149" s="130" t="s">
        <v>698</v>
      </c>
      <c r="F149" s="130" t="s">
        <v>696</v>
      </c>
    </row>
    <row r="150" spans="1:6" ht="12.75" customHeight="1" x14ac:dyDescent="0.2">
      <c r="A150" t="str">
        <f t="shared" si="2"/>
        <v>MULZER - NEWBURGH IN  2970  CAPE SANDY, IN.  2621</v>
      </c>
      <c r="B150" s="133" t="s">
        <v>488</v>
      </c>
      <c r="C150" s="129">
        <v>2970</v>
      </c>
      <c r="D150" s="133">
        <v>2621</v>
      </c>
      <c r="E150" s="130" t="s">
        <v>699</v>
      </c>
      <c r="F150" s="130" t="s">
        <v>696</v>
      </c>
    </row>
    <row r="151" spans="1:6" ht="12.75" customHeight="1" x14ac:dyDescent="0.2">
      <c r="A151" t="str">
        <f t="shared" si="2"/>
        <v>MULZER - TELL CITY IN  2972  CAPE SANDY, IN.  2621</v>
      </c>
      <c r="B151" s="133" t="s">
        <v>490</v>
      </c>
      <c r="C151" s="129">
        <v>2972</v>
      </c>
      <c r="D151" s="133">
        <v>2621</v>
      </c>
      <c r="E151" s="130" t="s">
        <v>700</v>
      </c>
      <c r="F151" s="130" t="s">
        <v>696</v>
      </c>
    </row>
    <row r="152" spans="1:6" ht="12.75" customHeight="1" x14ac:dyDescent="0.2">
      <c r="A152" t="str">
        <f t="shared" si="2"/>
        <v>MULZER (EVANSVILLE MATERIALS)  2632  CAPE SANDY, IN.  2621</v>
      </c>
      <c r="B152" s="133" t="s">
        <v>484</v>
      </c>
      <c r="C152" s="129">
        <v>2632</v>
      </c>
      <c r="D152" s="133">
        <v>2621</v>
      </c>
      <c r="E152" s="130" t="s">
        <v>701</v>
      </c>
      <c r="F152" s="130" t="s">
        <v>696</v>
      </c>
    </row>
    <row r="153" spans="1:6" ht="12.75" customHeight="1" x14ac:dyDescent="0.2">
      <c r="A153" t="str">
        <f t="shared" si="2"/>
        <v>MULZER CRUSHED STONE   2682  ABYDEL, IN  2682</v>
      </c>
      <c r="B153" s="133" t="s">
        <v>702</v>
      </c>
      <c r="C153" s="129">
        <v>2682</v>
      </c>
      <c r="D153" s="133">
        <v>2682</v>
      </c>
      <c r="E153" s="130" t="s">
        <v>703</v>
      </c>
      <c r="F153" s="130" t="s">
        <v>704</v>
      </c>
    </row>
    <row r="154" spans="1:6" ht="12.75" customHeight="1" x14ac:dyDescent="0.2">
      <c r="A154" t="str">
        <f t="shared" si="2"/>
        <v>MULZER CRUSHED STONE  2540  CHARLESTOWN, IN.  2540</v>
      </c>
      <c r="B154" s="133" t="s">
        <v>705</v>
      </c>
      <c r="C154" s="129">
        <v>2540</v>
      </c>
      <c r="D154" s="133">
        <v>2540</v>
      </c>
      <c r="E154" s="130" t="s">
        <v>706</v>
      </c>
      <c r="F154" s="130" t="s">
        <v>707</v>
      </c>
    </row>
    <row r="155" spans="1:6" ht="12.75" customHeight="1" x14ac:dyDescent="0.2">
      <c r="A155" t="str">
        <f t="shared" si="2"/>
        <v>MULZER CRUSHED STONE  2572  GRIFFIN, IN.  2631</v>
      </c>
      <c r="B155" s="133" t="s">
        <v>615</v>
      </c>
      <c r="C155" s="129">
        <v>2572</v>
      </c>
      <c r="D155" s="133">
        <v>2631</v>
      </c>
      <c r="E155" s="130" t="s">
        <v>706</v>
      </c>
      <c r="F155" s="130" t="s">
        <v>708</v>
      </c>
    </row>
    <row r="156" spans="1:6" ht="12.75" customHeight="1" x14ac:dyDescent="0.2">
      <c r="A156" t="str">
        <f t="shared" si="2"/>
        <v>MULZER CRUSHED STONE  2631  GRIFFIN, IN.  2631</v>
      </c>
      <c r="B156" s="133" t="s">
        <v>709</v>
      </c>
      <c r="C156" s="129">
        <v>2631</v>
      </c>
      <c r="D156" s="133">
        <v>2631</v>
      </c>
      <c r="E156" s="130" t="s">
        <v>706</v>
      </c>
      <c r="F156" s="130" t="s">
        <v>708</v>
      </c>
    </row>
    <row r="157" spans="1:6" ht="12.75" customHeight="1" x14ac:dyDescent="0.2">
      <c r="A157" t="str">
        <f t="shared" si="2"/>
        <v>MULZER CRUSHED STONE  2632  GRIFFIN, IN.  2631</v>
      </c>
      <c r="B157" s="133" t="s">
        <v>484</v>
      </c>
      <c r="C157" s="129">
        <v>2632</v>
      </c>
      <c r="D157" s="133">
        <v>2631</v>
      </c>
      <c r="E157" s="130" t="s">
        <v>706</v>
      </c>
      <c r="F157" s="130" t="s">
        <v>708</v>
      </c>
    </row>
    <row r="158" spans="1:6" ht="12.75" customHeight="1" x14ac:dyDescent="0.2">
      <c r="A158" t="str">
        <f t="shared" si="2"/>
        <v>MULZER CRUSHED STONE  2969  GRIFFIN, IN.  2631</v>
      </c>
      <c r="B158" s="133" t="s">
        <v>487</v>
      </c>
      <c r="C158" s="129">
        <v>2969</v>
      </c>
      <c r="D158" s="133">
        <v>2631</v>
      </c>
      <c r="E158" s="130" t="s">
        <v>706</v>
      </c>
      <c r="F158" s="130" t="s">
        <v>708</v>
      </c>
    </row>
    <row r="159" spans="1:6" ht="12.75" customHeight="1" x14ac:dyDescent="0.2">
      <c r="A159" t="str">
        <f t="shared" si="2"/>
        <v>MULZER CRUSHED STONE  2969  NEW AMSTERDAM, IN  2776</v>
      </c>
      <c r="B159" s="133" t="s">
        <v>487</v>
      </c>
      <c r="C159" s="129">
        <v>2969</v>
      </c>
      <c r="D159" s="133">
        <v>2776</v>
      </c>
      <c r="E159" s="130" t="s">
        <v>706</v>
      </c>
      <c r="F159" s="130" t="s">
        <v>710</v>
      </c>
    </row>
    <row r="160" spans="1:6" ht="12.75" customHeight="1" x14ac:dyDescent="0.2">
      <c r="A160" t="str">
        <f t="shared" si="2"/>
        <v>MULZER CRUSHED STONE  2970  CHARLESTOWN, IN.  2540</v>
      </c>
      <c r="B160" s="133" t="s">
        <v>488</v>
      </c>
      <c r="C160" s="129">
        <v>2970</v>
      </c>
      <c r="D160" s="133">
        <v>2540</v>
      </c>
      <c r="E160" s="130" t="s">
        <v>706</v>
      </c>
      <c r="F160" s="130" t="s">
        <v>707</v>
      </c>
    </row>
    <row r="161" spans="1:6" ht="12.75" customHeight="1" x14ac:dyDescent="0.2">
      <c r="A161" t="str">
        <f t="shared" si="2"/>
        <v>MULZER CRUSHED STONE  2970  CHARLESTOWN, IN.  2540</v>
      </c>
      <c r="B161" s="133" t="s">
        <v>488</v>
      </c>
      <c r="C161" s="129">
        <v>2970</v>
      </c>
      <c r="D161" s="133">
        <v>2540</v>
      </c>
      <c r="E161" s="130" t="s">
        <v>706</v>
      </c>
      <c r="F161" s="130" t="s">
        <v>707</v>
      </c>
    </row>
    <row r="162" spans="1:6" ht="12.75" customHeight="1" x14ac:dyDescent="0.2">
      <c r="A162" t="str">
        <f t="shared" si="2"/>
        <v>MULZER CRUSHED STONE  2970  GRIFFIN, IN.  2631</v>
      </c>
      <c r="B162" s="133" t="s">
        <v>488</v>
      </c>
      <c r="C162" s="129">
        <v>2970</v>
      </c>
      <c r="D162" s="133">
        <v>2631</v>
      </c>
      <c r="E162" s="130" t="s">
        <v>706</v>
      </c>
      <c r="F162" s="130" t="s">
        <v>708</v>
      </c>
    </row>
    <row r="163" spans="1:6" ht="12.75" customHeight="1" x14ac:dyDescent="0.2">
      <c r="A163" t="str">
        <f t="shared" si="2"/>
        <v>MULZER CRUSHED STONE  2970  NEW AMSTERDAM, IN  2776</v>
      </c>
      <c r="B163" s="133" t="s">
        <v>488</v>
      </c>
      <c r="C163" s="129">
        <v>2970</v>
      </c>
      <c r="D163" s="133">
        <v>2776</v>
      </c>
      <c r="E163" s="130" t="s">
        <v>706</v>
      </c>
      <c r="F163" s="130" t="s">
        <v>710</v>
      </c>
    </row>
    <row r="164" spans="1:6" ht="12.75" customHeight="1" x14ac:dyDescent="0.2">
      <c r="A164" t="str">
        <f t="shared" si="2"/>
        <v>MULZER CRUSHED STONE  2970  NEW AMSTERDAM, IN  2776</v>
      </c>
      <c r="B164" s="133" t="s">
        <v>488</v>
      </c>
      <c r="C164" s="129">
        <v>2970</v>
      </c>
      <c r="D164" s="133">
        <v>2776</v>
      </c>
      <c r="E164" s="130" t="s">
        <v>706</v>
      </c>
      <c r="F164" s="130" t="s">
        <v>710</v>
      </c>
    </row>
    <row r="165" spans="1:6" x14ac:dyDescent="0.2">
      <c r="A165" t="str">
        <f t="shared" si="2"/>
        <v>MULZER CRUSHED STONE  2971  NEW AMSTERDAM, IN  2776</v>
      </c>
      <c r="B165" s="133" t="s">
        <v>489</v>
      </c>
      <c r="C165" s="129">
        <v>2971</v>
      </c>
      <c r="D165" s="133">
        <v>2776</v>
      </c>
      <c r="E165" s="130" t="s">
        <v>706</v>
      </c>
      <c r="F165" s="130" t="s">
        <v>710</v>
      </c>
    </row>
    <row r="166" spans="1:6" x14ac:dyDescent="0.2">
      <c r="A166" t="str">
        <f t="shared" si="2"/>
        <v>MULZER CRUSHED STONE  2972  CHARLESTOWN, IN.  2540</v>
      </c>
      <c r="B166" s="133" t="s">
        <v>490</v>
      </c>
      <c r="C166" s="129">
        <v>2972</v>
      </c>
      <c r="D166" s="133">
        <v>2540</v>
      </c>
      <c r="E166" s="130" t="s">
        <v>706</v>
      </c>
      <c r="F166" s="130" t="s">
        <v>707</v>
      </c>
    </row>
    <row r="167" spans="1:6" x14ac:dyDescent="0.2">
      <c r="A167" t="str">
        <f t="shared" si="2"/>
        <v>MULZER CRUSHED STONE  2972  NEW AMSTERDAM, IN  2776</v>
      </c>
      <c r="B167" s="133" t="s">
        <v>490</v>
      </c>
      <c r="C167" s="129">
        <v>2972</v>
      </c>
      <c r="D167" s="133">
        <v>2776</v>
      </c>
      <c r="E167" s="130" t="s">
        <v>706</v>
      </c>
      <c r="F167" s="130" t="s">
        <v>710</v>
      </c>
    </row>
    <row r="168" spans="1:6" x14ac:dyDescent="0.2">
      <c r="A168" t="str">
        <f t="shared" si="2"/>
        <v>MULZER CRUSHED STONE  2974  CHARLESTOWN, IN.  2540</v>
      </c>
      <c r="B168" s="133" t="s">
        <v>491</v>
      </c>
      <c r="C168" s="129">
        <v>2974</v>
      </c>
      <c r="D168" s="133">
        <v>2540</v>
      </c>
      <c r="E168" s="130" t="s">
        <v>706</v>
      </c>
      <c r="F168" s="130" t="s">
        <v>707</v>
      </c>
    </row>
    <row r="169" spans="1:6" x14ac:dyDescent="0.2">
      <c r="A169" t="str">
        <f t="shared" si="2"/>
        <v>MULZER CRUSHED STONE  2974  GRIFFIN, IN.  2631</v>
      </c>
      <c r="B169" s="133" t="s">
        <v>491</v>
      </c>
      <c r="C169" s="129">
        <v>2974</v>
      </c>
      <c r="D169" s="133">
        <v>2631</v>
      </c>
      <c r="E169" s="130" t="s">
        <v>706</v>
      </c>
      <c r="F169" s="130" t="s">
        <v>708</v>
      </c>
    </row>
    <row r="170" spans="1:6" x14ac:dyDescent="0.2">
      <c r="A170" t="str">
        <f t="shared" si="2"/>
        <v>MULZER CRUSHED STONE CO.  2624  LEAVENWORTH, IN.  2624</v>
      </c>
      <c r="B170" s="133" t="s">
        <v>697</v>
      </c>
      <c r="C170" s="129">
        <v>2624</v>
      </c>
      <c r="D170" s="133">
        <v>2624</v>
      </c>
      <c r="E170" s="130" t="s">
        <v>711</v>
      </c>
      <c r="F170" s="130" t="s">
        <v>712</v>
      </c>
    </row>
    <row r="171" spans="1:6" x14ac:dyDescent="0.2">
      <c r="A171" t="str">
        <f t="shared" si="2"/>
        <v>MULZER CRUSHED STONE CO.  2646  ENGLISH, IN.  2646</v>
      </c>
      <c r="B171" s="133" t="s">
        <v>713</v>
      </c>
      <c r="C171" s="129">
        <v>2646</v>
      </c>
      <c r="D171" s="133">
        <v>2646</v>
      </c>
      <c r="E171" s="130" t="s">
        <v>711</v>
      </c>
      <c r="F171" s="130" t="s">
        <v>714</v>
      </c>
    </row>
    <row r="172" spans="1:6" x14ac:dyDescent="0.2">
      <c r="A172" t="str">
        <f t="shared" si="2"/>
        <v>MULZER CRUSHED STONE CO.  2972  ENGLISH, IN.  2646</v>
      </c>
      <c r="B172" s="133" t="s">
        <v>490</v>
      </c>
      <c r="C172" s="129">
        <v>2972</v>
      </c>
      <c r="D172" s="133">
        <v>2646</v>
      </c>
      <c r="E172" s="130" t="s">
        <v>711</v>
      </c>
      <c r="F172" s="130" t="s">
        <v>714</v>
      </c>
    </row>
    <row r="173" spans="1:6" x14ac:dyDescent="0.2">
      <c r="A173" t="str">
        <f t="shared" si="2"/>
        <v>MULZER CRUSHED STONE CO.  2972  LEAVENWORTH, IN.  2624</v>
      </c>
      <c r="B173" s="133" t="s">
        <v>490</v>
      </c>
      <c r="C173" s="129">
        <v>2972</v>
      </c>
      <c r="D173" s="133">
        <v>2624</v>
      </c>
      <c r="E173" s="130" t="s">
        <v>711</v>
      </c>
      <c r="F173" s="130" t="s">
        <v>712</v>
      </c>
    </row>
    <row r="174" spans="1:6" x14ac:dyDescent="0.2">
      <c r="A174" t="str">
        <f t="shared" si="2"/>
        <v>MULZER CRUSHED STONE I-164 PIT  2632  EVANSVILLE, IN.  2668</v>
      </c>
      <c r="B174" s="133" t="s">
        <v>484</v>
      </c>
      <c r="C174" s="129">
        <v>2632</v>
      </c>
      <c r="D174" s="133">
        <v>2668</v>
      </c>
      <c r="E174" s="130" t="s">
        <v>715</v>
      </c>
      <c r="F174" s="130" t="s">
        <v>486</v>
      </c>
    </row>
    <row r="175" spans="1:6" x14ac:dyDescent="0.2">
      <c r="A175" t="str">
        <f t="shared" si="2"/>
        <v>MULZER CRUSHED STONE I-164 PIT  2668  EVANSVILLE, IN.  2668</v>
      </c>
      <c r="B175" s="133" t="s">
        <v>716</v>
      </c>
      <c r="C175" s="129">
        <v>2668</v>
      </c>
      <c r="D175" s="133">
        <v>2668</v>
      </c>
      <c r="E175" s="130" t="s">
        <v>715</v>
      </c>
      <c r="F175" s="130" t="s">
        <v>486</v>
      </c>
    </row>
    <row r="176" spans="1:6" x14ac:dyDescent="0.2">
      <c r="A176" t="str">
        <f t="shared" si="2"/>
        <v>MULZER CRUSHED STONE I-164 PIT  2970  EVANSVILLE, IN.  2668</v>
      </c>
      <c r="B176" s="133" t="s">
        <v>488</v>
      </c>
      <c r="C176" s="129">
        <v>2970</v>
      </c>
      <c r="D176" s="133">
        <v>2668</v>
      </c>
      <c r="E176" s="130" t="s">
        <v>715</v>
      </c>
      <c r="F176" s="130" t="s">
        <v>486</v>
      </c>
    </row>
    <row r="177" spans="1:6" x14ac:dyDescent="0.2">
      <c r="A177" t="str">
        <f t="shared" si="2"/>
        <v>MULZER CRUSHED STONE I-164 PIT  2974  EVANSVILLE, IN.  2668</v>
      </c>
      <c r="B177" s="133" t="s">
        <v>491</v>
      </c>
      <c r="C177" s="129">
        <v>2974</v>
      </c>
      <c r="D177" s="133">
        <v>2668</v>
      </c>
      <c r="E177" s="130" t="s">
        <v>715</v>
      </c>
      <c r="F177" s="130" t="s">
        <v>486</v>
      </c>
    </row>
    <row r="178" spans="1:6" x14ac:dyDescent="0.2">
      <c r="A178" t="str">
        <f t="shared" si="2"/>
        <v>MULZER- MT. VERNON IN  2969  CAPE SANDY, IN.  2621</v>
      </c>
      <c r="B178" s="133" t="s">
        <v>487</v>
      </c>
      <c r="C178" s="129">
        <v>2969</v>
      </c>
      <c r="D178" s="133">
        <v>2621</v>
      </c>
      <c r="E178" s="130" t="s">
        <v>717</v>
      </c>
      <c r="F178" s="130" t="s">
        <v>696</v>
      </c>
    </row>
    <row r="179" spans="1:6" x14ac:dyDescent="0.2">
      <c r="A179" t="str">
        <f t="shared" si="2"/>
        <v>MULZER- ROCKPORT IN  2971  CAPE SANDY, IN.  2621</v>
      </c>
      <c r="B179" s="133" t="s">
        <v>489</v>
      </c>
      <c r="C179" s="129">
        <v>2971</v>
      </c>
      <c r="D179" s="133">
        <v>2621</v>
      </c>
      <c r="E179" s="130" t="s">
        <v>718</v>
      </c>
      <c r="F179" s="130" t="s">
        <v>696</v>
      </c>
    </row>
    <row r="180" spans="1:6" x14ac:dyDescent="0.2">
      <c r="A180" t="str">
        <f t="shared" si="2"/>
        <v>NEW POINT STONE - HARRIS CITY  2533  GREENSBURG, IN.  2533</v>
      </c>
      <c r="B180" s="133" t="s">
        <v>719</v>
      </c>
      <c r="C180" s="129">
        <v>2533</v>
      </c>
      <c r="D180" s="133">
        <v>2533</v>
      </c>
      <c r="E180" s="130" t="s">
        <v>720</v>
      </c>
      <c r="F180" s="130" t="s">
        <v>721</v>
      </c>
    </row>
    <row r="181" spans="1:6" x14ac:dyDescent="0.2">
      <c r="A181" t="str">
        <f t="shared" si="2"/>
        <v>NEW POINT STONE CO   2538  ST. PAUL, IN.  2538</v>
      </c>
      <c r="B181" s="133" t="s">
        <v>722</v>
      </c>
      <c r="C181" s="129">
        <v>2538</v>
      </c>
      <c r="D181" s="133">
        <v>2538</v>
      </c>
      <c r="E181" s="130" t="s">
        <v>723</v>
      </c>
      <c r="F181" s="130" t="s">
        <v>724</v>
      </c>
    </row>
    <row r="182" spans="1:6" x14ac:dyDescent="0.2">
      <c r="A182" t="str">
        <f t="shared" si="2"/>
        <v>NEW POINT STONE CO - NAPOLEON  2537  BATESVILLE, IN  2537</v>
      </c>
      <c r="B182" s="133" t="s">
        <v>725</v>
      </c>
      <c r="C182" s="129">
        <v>2537</v>
      </c>
      <c r="D182" s="133">
        <v>2537</v>
      </c>
      <c r="E182" s="130" t="s">
        <v>726</v>
      </c>
      <c r="F182" s="130" t="s">
        <v>727</v>
      </c>
    </row>
    <row r="183" spans="1:6" x14ac:dyDescent="0.2">
      <c r="A183" t="str">
        <f t="shared" si="2"/>
        <v>NEW POINT STONE CO - NEW POINT  2536  GREENSBURG, IN  2536</v>
      </c>
      <c r="B183" s="133" t="s">
        <v>728</v>
      </c>
      <c r="C183" s="129">
        <v>2536</v>
      </c>
      <c r="D183" s="133">
        <v>2536</v>
      </c>
      <c r="E183" s="130" t="s">
        <v>729</v>
      </c>
      <c r="F183" s="130" t="s">
        <v>730</v>
      </c>
    </row>
    <row r="184" spans="1:6" x14ac:dyDescent="0.2">
      <c r="A184" t="str">
        <f t="shared" si="2"/>
        <v>NEW POINT STONE CO-DERBYSHIRE  2510  LAUREL, IN.  2510</v>
      </c>
      <c r="B184" s="133" t="s">
        <v>731</v>
      </c>
      <c r="C184" s="129">
        <v>2510</v>
      </c>
      <c r="D184" s="133">
        <v>2510</v>
      </c>
      <c r="E184" s="130" t="s">
        <v>732</v>
      </c>
      <c r="F184" s="130" t="s">
        <v>733</v>
      </c>
    </row>
    <row r="185" spans="1:6" x14ac:dyDescent="0.2">
      <c r="A185" t="str">
        <f t="shared" si="2"/>
        <v>NIBLOCK EXCAVATING AND ASPHALT  2207  KIMMEL, IN  2207</v>
      </c>
      <c r="B185" s="133" t="s">
        <v>734</v>
      </c>
      <c r="C185" s="129">
        <v>2207</v>
      </c>
      <c r="D185" s="133">
        <v>2207</v>
      </c>
      <c r="E185" s="130" t="s">
        <v>735</v>
      </c>
      <c r="F185" s="130" t="s">
        <v>736</v>
      </c>
    </row>
    <row r="186" spans="1:6" x14ac:dyDescent="0.2">
      <c r="A186" t="str">
        <f t="shared" si="2"/>
        <v>NIBLOCK EXCAVATING INC  2273  BRISTOL, IN.  2273</v>
      </c>
      <c r="B186" s="133" t="s">
        <v>737</v>
      </c>
      <c r="C186" s="129">
        <v>2273</v>
      </c>
      <c r="D186" s="133">
        <v>2273</v>
      </c>
      <c r="E186" s="130" t="s">
        <v>738</v>
      </c>
      <c r="F186" s="130" t="s">
        <v>739</v>
      </c>
    </row>
    <row r="187" spans="1:6" x14ac:dyDescent="0.2">
      <c r="A187" t="str">
        <f t="shared" si="2"/>
        <v>NORTH AMERICAN LIME-243 QUARRY  0041  CLOVERDALE, IN  0041</v>
      </c>
      <c r="B187" s="133" t="s">
        <v>740</v>
      </c>
      <c r="C187" s="131" t="s">
        <v>741</v>
      </c>
      <c r="D187" s="134" t="s">
        <v>741</v>
      </c>
      <c r="E187" s="130" t="s">
        <v>742</v>
      </c>
      <c r="F187" s="130" t="s">
        <v>743</v>
      </c>
    </row>
    <row r="188" spans="1:6" x14ac:dyDescent="0.2">
      <c r="A188" t="str">
        <f t="shared" si="2"/>
        <v>NORTHERN KENTUCKY AGGREGATES  2528  PETERSBURG, KY  2528</v>
      </c>
      <c r="B188" s="133" t="s">
        <v>744</v>
      </c>
      <c r="C188" s="129">
        <v>2528</v>
      </c>
      <c r="D188" s="133">
        <v>2528</v>
      </c>
      <c r="E188" s="130" t="s">
        <v>745</v>
      </c>
      <c r="F188" s="130" t="s">
        <v>746</v>
      </c>
    </row>
    <row r="189" spans="1:6" x14ac:dyDescent="0.2">
      <c r="A189" t="str">
        <f t="shared" si="2"/>
        <v>NUGENT SAND COMPANY  2553  MILTON, KY.  2553</v>
      </c>
      <c r="B189" s="133" t="s">
        <v>747</v>
      </c>
      <c r="C189" s="129">
        <v>2553</v>
      </c>
      <c r="D189" s="133">
        <v>2553</v>
      </c>
      <c r="E189" s="130" t="s">
        <v>748</v>
      </c>
      <c r="F189" s="130" t="s">
        <v>749</v>
      </c>
    </row>
    <row r="190" spans="1:6" x14ac:dyDescent="0.2">
      <c r="A190" t="str">
        <f t="shared" si="2"/>
        <v>NUGENT SAND COMPANY  2576  LOUISVILLE, KY.  2576</v>
      </c>
      <c r="B190" s="133" t="s">
        <v>750</v>
      </c>
      <c r="C190" s="129">
        <v>2576</v>
      </c>
      <c r="D190" s="133">
        <v>2576</v>
      </c>
      <c r="E190" s="130" t="s">
        <v>748</v>
      </c>
      <c r="F190" s="130" t="s">
        <v>751</v>
      </c>
    </row>
    <row r="191" spans="1:6" x14ac:dyDescent="0.2">
      <c r="A191" t="str">
        <f t="shared" ref="A191:A254" si="3">E191&amp;"  "&amp;C191&amp;"  "&amp;F191&amp;"  "&amp;D191</f>
        <v>NUGENT SAND COMPANY  2576  MILTON, KY.  2553</v>
      </c>
      <c r="B191" s="133" t="s">
        <v>750</v>
      </c>
      <c r="C191" s="129">
        <v>2576</v>
      </c>
      <c r="D191" s="133">
        <v>2553</v>
      </c>
      <c r="E191" s="130" t="s">
        <v>748</v>
      </c>
      <c r="F191" s="130" t="s">
        <v>749</v>
      </c>
    </row>
    <row r="192" spans="1:6" x14ac:dyDescent="0.2">
      <c r="A192" t="str">
        <f t="shared" si="3"/>
        <v>NUGENT SAND COMPANY  2590  COLUMBUS, IN.  2590</v>
      </c>
      <c r="B192" s="133" t="s">
        <v>752</v>
      </c>
      <c r="C192" s="129">
        <v>2590</v>
      </c>
      <c r="D192" s="133">
        <v>2590</v>
      </c>
      <c r="E192" s="130" t="s">
        <v>748</v>
      </c>
      <c r="F192" s="130" t="s">
        <v>753</v>
      </c>
    </row>
    <row r="193" spans="1:6" x14ac:dyDescent="0.2">
      <c r="A193" t="str">
        <f t="shared" si="3"/>
        <v>OLD PRAIRIE PRODUCTS, INC.  2702  ANGOLA, IN.  2702</v>
      </c>
      <c r="B193" s="133" t="s">
        <v>754</v>
      </c>
      <c r="C193" s="129">
        <v>2702</v>
      </c>
      <c r="D193" s="133">
        <v>2702</v>
      </c>
      <c r="E193" s="130" t="s">
        <v>755</v>
      </c>
      <c r="F193" s="130" t="s">
        <v>518</v>
      </c>
    </row>
    <row r="194" spans="1:6" x14ac:dyDescent="0.2">
      <c r="A194" t="str">
        <f t="shared" si="3"/>
        <v>OLD PRAIRIE PRODUCTS, INC.  2706  FT. WAYNE, IN.  2706</v>
      </c>
      <c r="B194" s="133" t="s">
        <v>756</v>
      </c>
      <c r="C194" s="129">
        <v>2706</v>
      </c>
      <c r="D194" s="133">
        <v>2706</v>
      </c>
      <c r="E194" s="130" t="s">
        <v>755</v>
      </c>
      <c r="F194" s="130" t="s">
        <v>757</v>
      </c>
    </row>
    <row r="195" spans="1:6" x14ac:dyDescent="0.2">
      <c r="A195" t="str">
        <f t="shared" si="3"/>
        <v>PHOENIX SERVICES, LLC  0045  PORTAGE, IN.  2451</v>
      </c>
      <c r="B195" s="133" t="s">
        <v>758</v>
      </c>
      <c r="C195" s="131" t="s">
        <v>759</v>
      </c>
      <c r="D195" s="133">
        <v>2451</v>
      </c>
      <c r="E195" s="130" t="s">
        <v>760</v>
      </c>
      <c r="F195" s="130" t="s">
        <v>761</v>
      </c>
    </row>
    <row r="196" spans="1:6" x14ac:dyDescent="0.2">
      <c r="A196" t="str">
        <f t="shared" si="3"/>
        <v>PHOENIX SERVICES, LLC  2414  PORTAGE, IN.  2451</v>
      </c>
      <c r="B196" s="133" t="s">
        <v>762</v>
      </c>
      <c r="C196" s="129">
        <v>2414</v>
      </c>
      <c r="D196" s="133">
        <v>2451</v>
      </c>
      <c r="E196" s="130" t="s">
        <v>760</v>
      </c>
      <c r="F196" s="130" t="s">
        <v>761</v>
      </c>
    </row>
    <row r="197" spans="1:6" x14ac:dyDescent="0.2">
      <c r="A197" t="str">
        <f t="shared" si="3"/>
        <v>PHOENIX SERVICES, LLC  2451  PORTAGE, IN.  2451</v>
      </c>
      <c r="B197" s="133" t="s">
        <v>763</v>
      </c>
      <c r="C197" s="129">
        <v>2451</v>
      </c>
      <c r="D197" s="133">
        <v>2451</v>
      </c>
      <c r="E197" s="130" t="s">
        <v>760</v>
      </c>
      <c r="F197" s="130" t="s">
        <v>761</v>
      </c>
    </row>
    <row r="198" spans="1:6" x14ac:dyDescent="0.2">
      <c r="A198" t="str">
        <f t="shared" si="3"/>
        <v>PHOENIX SERVICES, LLC  2478  EAST CHICAGO, IN.  2478</v>
      </c>
      <c r="B198" s="133" t="s">
        <v>764</v>
      </c>
      <c r="C198" s="129">
        <v>2478</v>
      </c>
      <c r="D198" s="133">
        <v>2478</v>
      </c>
      <c r="E198" s="130" t="s">
        <v>760</v>
      </c>
      <c r="F198" s="130" t="s">
        <v>765</v>
      </c>
    </row>
    <row r="199" spans="1:6" x14ac:dyDescent="0.2">
      <c r="A199" t="str">
        <f t="shared" si="3"/>
        <v>PHOENIX SERVICES, LLC  2791  UNIONVILLE, PA  2791</v>
      </c>
      <c r="B199" s="133" t="s">
        <v>766</v>
      </c>
      <c r="C199" s="129">
        <v>2791</v>
      </c>
      <c r="D199" s="133">
        <v>2791</v>
      </c>
      <c r="E199" s="130" t="s">
        <v>760</v>
      </c>
      <c r="F199" s="130" t="s">
        <v>767</v>
      </c>
    </row>
    <row r="200" spans="1:6" x14ac:dyDescent="0.2">
      <c r="A200" t="str">
        <f t="shared" si="3"/>
        <v>PRAIRIE MATERIALS, INC.  2979  PAXTON, IL  2979</v>
      </c>
      <c r="B200" s="133" t="s">
        <v>768</v>
      </c>
      <c r="C200" s="129">
        <v>2979</v>
      </c>
      <c r="D200" s="133">
        <v>2979</v>
      </c>
      <c r="E200" s="130" t="s">
        <v>769</v>
      </c>
      <c r="F200" s="130" t="s">
        <v>770</v>
      </c>
    </row>
    <row r="201" spans="1:6" x14ac:dyDescent="0.2">
      <c r="A201" t="str">
        <f t="shared" si="3"/>
        <v>PRO-AGR INC.  2165  CAYUGA, IN.  2165</v>
      </c>
      <c r="B201" s="133" t="s">
        <v>771</v>
      </c>
      <c r="C201" s="129">
        <v>2165</v>
      </c>
      <c r="D201" s="133">
        <v>2165</v>
      </c>
      <c r="E201" s="130" t="s">
        <v>772</v>
      </c>
      <c r="F201" s="130" t="s">
        <v>773</v>
      </c>
    </row>
    <row r="202" spans="1:6" x14ac:dyDescent="0.2">
      <c r="A202" t="str">
        <f t="shared" si="3"/>
        <v>PURDY MATERIALS  2181  LAFAYETTE, IN  2181</v>
      </c>
      <c r="B202" s="133" t="s">
        <v>774</v>
      </c>
      <c r="C202" s="129">
        <v>2181</v>
      </c>
      <c r="D202" s="133">
        <v>2181</v>
      </c>
      <c r="E202" s="130" t="s">
        <v>775</v>
      </c>
      <c r="F202" s="130" t="s">
        <v>776</v>
      </c>
    </row>
    <row r="203" spans="1:6" x14ac:dyDescent="0.2">
      <c r="A203" t="str">
        <f t="shared" si="3"/>
        <v>PURDY MATERIALS INC.  2109  LAFAYETTE, IN  2109</v>
      </c>
      <c r="B203" s="133" t="s">
        <v>777</v>
      </c>
      <c r="C203" s="129">
        <v>2109</v>
      </c>
      <c r="D203" s="133">
        <v>2109</v>
      </c>
      <c r="E203" s="130" t="s">
        <v>778</v>
      </c>
      <c r="F203" s="130" t="s">
        <v>776</v>
      </c>
    </row>
    <row r="204" spans="1:6" x14ac:dyDescent="0.2">
      <c r="A204" t="str">
        <f t="shared" si="3"/>
        <v>R. SMITH and SONS  0091  ALLEGAN, MI  0091</v>
      </c>
      <c r="B204" s="133" t="s">
        <v>779</v>
      </c>
      <c r="C204" s="131" t="s">
        <v>780</v>
      </c>
      <c r="D204" s="134" t="s">
        <v>780</v>
      </c>
      <c r="E204" s="130" t="s">
        <v>781</v>
      </c>
      <c r="F204" s="130" t="s">
        <v>782</v>
      </c>
    </row>
    <row r="205" spans="1:6" x14ac:dyDescent="0.2">
      <c r="A205" t="str">
        <f t="shared" si="3"/>
        <v>R. SMITH and SONS  2294  ANGOLA, IN  2294</v>
      </c>
      <c r="B205" s="133" t="s">
        <v>783</v>
      </c>
      <c r="C205" s="129">
        <v>2294</v>
      </c>
      <c r="D205" s="133">
        <v>2294</v>
      </c>
      <c r="E205" s="130" t="s">
        <v>781</v>
      </c>
      <c r="F205" s="130" t="s">
        <v>455</v>
      </c>
    </row>
    <row r="206" spans="1:6" x14ac:dyDescent="0.2">
      <c r="A206" t="str">
        <f t="shared" si="3"/>
        <v>RIETH RILEY CONSTRUCTION CO.  2498  SOUTH BEND, IN  2498</v>
      </c>
      <c r="B206" s="133" t="s">
        <v>610</v>
      </c>
      <c r="C206" s="129">
        <v>2498</v>
      </c>
      <c r="D206" s="133">
        <v>2498</v>
      </c>
      <c r="E206" s="130" t="s">
        <v>784</v>
      </c>
      <c r="F206" s="130" t="s">
        <v>785</v>
      </c>
    </row>
    <row r="207" spans="1:6" x14ac:dyDescent="0.2">
      <c r="A207" t="str">
        <f t="shared" si="3"/>
        <v>RIETH RILEY MATERIALS  2779  MOORESVILLE, IN  2779</v>
      </c>
      <c r="B207" s="133" t="s">
        <v>786</v>
      </c>
      <c r="C207" s="129">
        <v>2779</v>
      </c>
      <c r="D207" s="133">
        <v>2779</v>
      </c>
      <c r="E207" s="130" t="s">
        <v>787</v>
      </c>
      <c r="F207" s="130" t="s">
        <v>788</v>
      </c>
    </row>
    <row r="208" spans="1:6" x14ac:dyDescent="0.2">
      <c r="A208" t="str">
        <f t="shared" si="3"/>
        <v>RIETH-RILEY CONSTRUCTION CO.,  2987  GARY, IN  2987</v>
      </c>
      <c r="B208" s="133" t="s">
        <v>789</v>
      </c>
      <c r="C208" s="129">
        <v>2987</v>
      </c>
      <c r="D208" s="133">
        <v>2987</v>
      </c>
      <c r="E208" s="130" t="s">
        <v>790</v>
      </c>
      <c r="F208" s="130" t="s">
        <v>791</v>
      </c>
    </row>
    <row r="209" spans="1:6" x14ac:dyDescent="0.2">
      <c r="A209" t="str">
        <f t="shared" si="3"/>
        <v>ROBERTSON CRUSHED STONE  2543  MILLTOWN, IN.  2543</v>
      </c>
      <c r="B209" s="133" t="s">
        <v>792</v>
      </c>
      <c r="C209" s="129">
        <v>2543</v>
      </c>
      <c r="D209" s="133">
        <v>2543</v>
      </c>
      <c r="E209" s="130" t="s">
        <v>793</v>
      </c>
      <c r="F209" s="130" t="s">
        <v>794</v>
      </c>
    </row>
    <row r="210" spans="1:6" x14ac:dyDescent="0.2">
      <c r="A210" t="str">
        <f t="shared" si="3"/>
        <v>ROCK BOTTOM GRAVEL PRODUCTS  2799  PLEASANT LAKE, IN  2799</v>
      </c>
      <c r="B210" s="133" t="s">
        <v>795</v>
      </c>
      <c r="C210" s="129">
        <v>2799</v>
      </c>
      <c r="D210" s="133">
        <v>2799</v>
      </c>
      <c r="E210" s="130" t="s">
        <v>796</v>
      </c>
      <c r="F210" s="130" t="s">
        <v>797</v>
      </c>
    </row>
    <row r="211" spans="1:6" x14ac:dyDescent="0.2">
      <c r="A211" t="str">
        <f t="shared" si="3"/>
        <v>ROCK CREEK STONE QUARRY  0021  BLUFFTON, IN  0021</v>
      </c>
      <c r="B211" s="133" t="s">
        <v>798</v>
      </c>
      <c r="C211" s="131" t="s">
        <v>799</v>
      </c>
      <c r="D211" s="134" t="s">
        <v>799</v>
      </c>
      <c r="E211" s="130" t="s">
        <v>800</v>
      </c>
      <c r="F211" s="130" t="s">
        <v>801</v>
      </c>
    </row>
    <row r="212" spans="1:6" x14ac:dyDescent="0.2">
      <c r="A212" t="str">
        <f t="shared" si="3"/>
        <v>ROGERS GROUP   2521  BLOOMINGTON, IN.  2521</v>
      </c>
      <c r="B212" s="133" t="s">
        <v>802</v>
      </c>
      <c r="C212" s="129">
        <v>2521</v>
      </c>
      <c r="D212" s="133">
        <v>2521</v>
      </c>
      <c r="E212" s="130" t="s">
        <v>803</v>
      </c>
      <c r="F212" s="130" t="s">
        <v>804</v>
      </c>
    </row>
    <row r="213" spans="1:6" x14ac:dyDescent="0.2">
      <c r="A213" t="str">
        <f t="shared" si="3"/>
        <v>ROGERS GROUP   2523  BLOOMINGTON, IN.  2521</v>
      </c>
      <c r="B213" s="133" t="s">
        <v>805</v>
      </c>
      <c r="C213" s="129">
        <v>2523</v>
      </c>
      <c r="D213" s="133">
        <v>2521</v>
      </c>
      <c r="E213" s="130" t="s">
        <v>803</v>
      </c>
      <c r="F213" s="130" t="s">
        <v>804</v>
      </c>
    </row>
    <row r="214" spans="1:6" x14ac:dyDescent="0.2">
      <c r="A214" t="str">
        <f t="shared" si="3"/>
        <v>ROGERS GROUP  2164  KENTLAND, IN.  2445</v>
      </c>
      <c r="B214" s="133" t="s">
        <v>566</v>
      </c>
      <c r="C214" s="129">
        <v>2164</v>
      </c>
      <c r="D214" s="133">
        <v>2445</v>
      </c>
      <c r="E214" s="130" t="s">
        <v>806</v>
      </c>
      <c r="F214" s="130" t="s">
        <v>807</v>
      </c>
    </row>
    <row r="215" spans="1:6" x14ac:dyDescent="0.2">
      <c r="A215" t="str">
        <f t="shared" si="3"/>
        <v>ROGERS GROUP  2445  KENTLAND, IN.  2445</v>
      </c>
      <c r="B215" s="133" t="s">
        <v>569</v>
      </c>
      <c r="C215" s="129">
        <v>2445</v>
      </c>
      <c r="D215" s="133">
        <v>2445</v>
      </c>
      <c r="E215" s="130" t="s">
        <v>806</v>
      </c>
      <c r="F215" s="130" t="s">
        <v>807</v>
      </c>
    </row>
    <row r="216" spans="1:6" x14ac:dyDescent="0.2">
      <c r="A216" t="str">
        <f t="shared" si="3"/>
        <v>ROGERS GROUP  2524  SPRINGVILLE, IN.  2524</v>
      </c>
      <c r="B216" s="133" t="s">
        <v>808</v>
      </c>
      <c r="C216" s="129">
        <v>2524</v>
      </c>
      <c r="D216" s="133">
        <v>2524</v>
      </c>
      <c r="E216" s="130" t="s">
        <v>806</v>
      </c>
      <c r="F216" s="130" t="s">
        <v>559</v>
      </c>
    </row>
    <row r="217" spans="1:6" x14ac:dyDescent="0.2">
      <c r="A217" t="str">
        <f t="shared" si="3"/>
        <v>ROGERS GROUP  2645  MITCHELL, IN.  2645</v>
      </c>
      <c r="B217" s="133" t="s">
        <v>809</v>
      </c>
      <c r="C217" s="129">
        <v>2645</v>
      </c>
      <c r="D217" s="133">
        <v>2645</v>
      </c>
      <c r="E217" s="130" t="s">
        <v>806</v>
      </c>
      <c r="F217" s="130" t="s">
        <v>810</v>
      </c>
    </row>
    <row r="218" spans="1:6" x14ac:dyDescent="0.2">
      <c r="A218" t="str">
        <f t="shared" si="3"/>
        <v>ROGERS GROUP  2651  MITCHELL, IN.  2645</v>
      </c>
      <c r="B218" s="133" t="s">
        <v>626</v>
      </c>
      <c r="C218" s="129">
        <v>2651</v>
      </c>
      <c r="D218" s="133">
        <v>2645</v>
      </c>
      <c r="E218" s="130" t="s">
        <v>806</v>
      </c>
      <c r="F218" s="130" t="s">
        <v>810</v>
      </c>
    </row>
    <row r="219" spans="1:6" x14ac:dyDescent="0.2">
      <c r="A219" t="str">
        <f t="shared" si="3"/>
        <v>ROGERS GROUP INC. JEFF.CO. ST.  2580  LOUISVILLE, KY.  2580</v>
      </c>
      <c r="B219" s="133" t="s">
        <v>811</v>
      </c>
      <c r="C219" s="129">
        <v>2580</v>
      </c>
      <c r="D219" s="133">
        <v>2580</v>
      </c>
      <c r="E219" s="130" t="s">
        <v>812</v>
      </c>
      <c r="F219" s="130" t="s">
        <v>751</v>
      </c>
    </row>
    <row r="220" spans="1:6" x14ac:dyDescent="0.2">
      <c r="A220" t="str">
        <f t="shared" si="3"/>
        <v>ROGERS GROUP, INC - VICTOR  2796  BLOOMINGTON, IN  2796</v>
      </c>
      <c r="B220" s="133" t="s">
        <v>813</v>
      </c>
      <c r="C220" s="129">
        <v>2796</v>
      </c>
      <c r="D220" s="133">
        <v>2796</v>
      </c>
      <c r="E220" s="130" t="s">
        <v>814</v>
      </c>
      <c r="F220" s="130" t="s">
        <v>815</v>
      </c>
    </row>
    <row r="221" spans="1:6" x14ac:dyDescent="0.2">
      <c r="A221" t="str">
        <f t="shared" si="3"/>
        <v>ROGERS GROUP-MORGAN CO.  2521  MARTINSVILLE, IN.  2523</v>
      </c>
      <c r="B221" s="133" t="s">
        <v>802</v>
      </c>
      <c r="C221" s="129">
        <v>2521</v>
      </c>
      <c r="D221" s="133">
        <v>2523</v>
      </c>
      <c r="E221" s="130" t="s">
        <v>816</v>
      </c>
      <c r="F221" s="130" t="s">
        <v>817</v>
      </c>
    </row>
    <row r="222" spans="1:6" x14ac:dyDescent="0.2">
      <c r="A222" t="str">
        <f t="shared" si="3"/>
        <v>ROGERS GROUP-MORGAN CO.  2523  MARTINSVILLE, IN.  2523</v>
      </c>
      <c r="B222" s="133" t="s">
        <v>805</v>
      </c>
      <c r="C222" s="129">
        <v>2523</v>
      </c>
      <c r="D222" s="133">
        <v>2523</v>
      </c>
      <c r="E222" s="130" t="s">
        <v>816</v>
      </c>
      <c r="F222" s="130" t="s">
        <v>817</v>
      </c>
    </row>
    <row r="223" spans="1:6" x14ac:dyDescent="0.2">
      <c r="A223" t="str">
        <f t="shared" si="3"/>
        <v>ROGERS GROUP-OLDHAM CO. STONE  2503  CRESTWOOD, KY.  2503</v>
      </c>
      <c r="B223" s="133" t="s">
        <v>818</v>
      </c>
      <c r="C223" s="129">
        <v>2503</v>
      </c>
      <c r="D223" s="133">
        <v>2503</v>
      </c>
      <c r="E223" s="130" t="s">
        <v>819</v>
      </c>
      <c r="F223" s="130" t="s">
        <v>820</v>
      </c>
    </row>
    <row r="224" spans="1:6" x14ac:dyDescent="0.2">
      <c r="A224" t="str">
        <f t="shared" si="3"/>
        <v>ROSKOVENSKY CONCRETE AND GRAV.  2111  CLINTON, IN.  2111</v>
      </c>
      <c r="B224" s="133" t="s">
        <v>821</v>
      </c>
      <c r="C224" s="129">
        <v>2111</v>
      </c>
      <c r="D224" s="133">
        <v>2111</v>
      </c>
      <c r="E224" s="130" t="s">
        <v>822</v>
      </c>
      <c r="F224" s="130" t="s">
        <v>823</v>
      </c>
    </row>
    <row r="225" spans="1:6" x14ac:dyDescent="0.2">
      <c r="A225" t="str">
        <f t="shared" si="3"/>
        <v>RUSH COUNTY STONE COMPANY  2322  MILROY, IN.  2322</v>
      </c>
      <c r="B225" s="133" t="s">
        <v>824</v>
      </c>
      <c r="C225" s="129">
        <v>2322</v>
      </c>
      <c r="D225" s="133">
        <v>2322</v>
      </c>
      <c r="E225" s="130" t="s">
        <v>825</v>
      </c>
      <c r="F225" s="130" t="s">
        <v>826</v>
      </c>
    </row>
    <row r="226" spans="1:6" x14ac:dyDescent="0.2">
      <c r="A226" t="str">
        <f t="shared" si="3"/>
        <v>S AND G EXC. - MORRIS/LOMBARDI  2113  TERRE HAUTE, IN.  2113</v>
      </c>
      <c r="B226" s="133" t="s">
        <v>638</v>
      </c>
      <c r="C226" s="129">
        <v>2113</v>
      </c>
      <c r="D226" s="133">
        <v>2113</v>
      </c>
      <c r="E226" s="130" t="s">
        <v>827</v>
      </c>
      <c r="F226" s="130" t="s">
        <v>828</v>
      </c>
    </row>
    <row r="227" spans="1:6" x14ac:dyDescent="0.2">
      <c r="A227" t="str">
        <f t="shared" si="3"/>
        <v>S AND G EXC. - MORRIS/LOMBARDI  2180  TERRE HAUTE, IN.  2113</v>
      </c>
      <c r="B227" s="133" t="s">
        <v>641</v>
      </c>
      <c r="C227" s="129">
        <v>2180</v>
      </c>
      <c r="D227" s="133">
        <v>2113</v>
      </c>
      <c r="E227" s="130" t="s">
        <v>827</v>
      </c>
      <c r="F227" s="130" t="s">
        <v>828</v>
      </c>
    </row>
    <row r="228" spans="1:6" x14ac:dyDescent="0.2">
      <c r="A228" t="str">
        <f t="shared" si="3"/>
        <v>S AND G EXC. - MORRIS/LOMBARDI  2793  TERRE HAUTE, IN.  2113</v>
      </c>
      <c r="B228" s="133" t="s">
        <v>642</v>
      </c>
      <c r="C228" s="129">
        <v>2793</v>
      </c>
      <c r="D228" s="133">
        <v>2113</v>
      </c>
      <c r="E228" s="130" t="s">
        <v>827</v>
      </c>
      <c r="F228" s="130" t="s">
        <v>828</v>
      </c>
    </row>
    <row r="229" spans="1:6" x14ac:dyDescent="0.2">
      <c r="A229" t="str">
        <f t="shared" si="3"/>
        <v>S AND G EXCAVATING  2163  MONTEZUMA, IN.  2163</v>
      </c>
      <c r="B229" s="133" t="s">
        <v>640</v>
      </c>
      <c r="C229" s="129">
        <v>2163</v>
      </c>
      <c r="D229" s="133">
        <v>2163</v>
      </c>
      <c r="E229" s="130" t="s">
        <v>829</v>
      </c>
      <c r="F229" s="130" t="s">
        <v>830</v>
      </c>
    </row>
    <row r="230" spans="1:6" x14ac:dyDescent="0.2">
      <c r="A230" t="str">
        <f t="shared" si="3"/>
        <v>SAGAMORE SAND AND GRAVEL  2777  DALEVILLE, IN  2777</v>
      </c>
      <c r="B230" s="133" t="s">
        <v>831</v>
      </c>
      <c r="C230" s="129">
        <v>2777</v>
      </c>
      <c r="D230" s="133">
        <v>2777</v>
      </c>
      <c r="E230" s="130" t="s">
        <v>832</v>
      </c>
      <c r="F230" s="130" t="s">
        <v>833</v>
      </c>
    </row>
    <row r="231" spans="1:6" x14ac:dyDescent="0.2">
      <c r="A231" t="str">
        <f t="shared" si="3"/>
        <v>SandG EXCAVATING, INC./KERNS PIT  0086  TERRE HAUTE, IN  0086</v>
      </c>
      <c r="B231" s="133" t="s">
        <v>834</v>
      </c>
      <c r="C231" s="131" t="s">
        <v>835</v>
      </c>
      <c r="D231" s="134" t="s">
        <v>835</v>
      </c>
      <c r="E231" s="130" t="s">
        <v>836</v>
      </c>
      <c r="F231" s="130" t="s">
        <v>837</v>
      </c>
    </row>
    <row r="232" spans="1:6" x14ac:dyDescent="0.2">
      <c r="A232" t="str">
        <f t="shared" si="3"/>
        <v>SEGAL SAND AND GRAVEL  2427  DELPHI, IN.  2427</v>
      </c>
      <c r="B232" s="133" t="s">
        <v>838</v>
      </c>
      <c r="C232" s="129">
        <v>2427</v>
      </c>
      <c r="D232" s="133">
        <v>2427</v>
      </c>
      <c r="E232" s="130" t="s">
        <v>839</v>
      </c>
      <c r="F232" s="130" t="s">
        <v>840</v>
      </c>
    </row>
    <row r="233" spans="1:6" x14ac:dyDescent="0.2">
      <c r="A233" t="str">
        <f t="shared" si="3"/>
        <v>SHELBY MATERIALS  2399  SHELBYVILLE, IN  2399</v>
      </c>
      <c r="B233" s="133" t="s">
        <v>841</v>
      </c>
      <c r="C233" s="129">
        <v>2399</v>
      </c>
      <c r="D233" s="133">
        <v>2399</v>
      </c>
      <c r="E233" s="130" t="s">
        <v>842</v>
      </c>
      <c r="F233" s="130" t="s">
        <v>843</v>
      </c>
    </row>
    <row r="234" spans="1:6" x14ac:dyDescent="0.2">
      <c r="A234" t="str">
        <f t="shared" si="3"/>
        <v>SHELBY MATERIALS  2534  EDINBURG, IN.  2534</v>
      </c>
      <c r="B234" s="133" t="s">
        <v>844</v>
      </c>
      <c r="C234" s="129">
        <v>2534</v>
      </c>
      <c r="D234" s="133">
        <v>2534</v>
      </c>
      <c r="E234" s="130" t="s">
        <v>842</v>
      </c>
      <c r="F234" s="130" t="s">
        <v>845</v>
      </c>
    </row>
    <row r="235" spans="1:6" x14ac:dyDescent="0.2">
      <c r="A235" t="str">
        <f t="shared" si="3"/>
        <v>SOUTH LAKE STONE  0057  HEBRON, IN  0057</v>
      </c>
      <c r="B235" s="133" t="s">
        <v>846</v>
      </c>
      <c r="C235" s="131" t="s">
        <v>847</v>
      </c>
      <c r="D235" s="134" t="s">
        <v>847</v>
      </c>
      <c r="E235" s="130" t="s">
        <v>848</v>
      </c>
      <c r="F235" s="130" t="s">
        <v>849</v>
      </c>
    </row>
    <row r="236" spans="1:6" x14ac:dyDescent="0.2">
      <c r="A236" t="str">
        <f t="shared" si="3"/>
        <v>SPEEDWAY SAND AND GRAVEL, INC  2295  DISKO, IN.  2295</v>
      </c>
      <c r="B236" s="133" t="s">
        <v>850</v>
      </c>
      <c r="C236" s="129">
        <v>2295</v>
      </c>
      <c r="D236" s="133">
        <v>2295</v>
      </c>
      <c r="E236" s="130" t="s">
        <v>851</v>
      </c>
      <c r="F236" s="130" t="s">
        <v>852</v>
      </c>
    </row>
    <row r="237" spans="1:6" x14ac:dyDescent="0.2">
      <c r="A237" t="str">
        <f t="shared" si="3"/>
        <v>SPEEDWAY SAND AND GRAVEL, INC.  0112  FORT WAYNE, IN  0112</v>
      </c>
      <c r="B237" s="133" t="s">
        <v>853</v>
      </c>
      <c r="C237" s="131" t="s">
        <v>854</v>
      </c>
      <c r="D237" s="134" t="s">
        <v>854</v>
      </c>
      <c r="E237" s="130" t="s">
        <v>855</v>
      </c>
      <c r="F237" s="130" t="s">
        <v>431</v>
      </c>
    </row>
    <row r="238" spans="1:6" x14ac:dyDescent="0.2">
      <c r="A238" t="str">
        <f t="shared" si="3"/>
        <v>SPEEDWAY SAND AND GRAVEL, INC.  2701  SOUTH WHITLEY, IN.  2701</v>
      </c>
      <c r="B238" s="133" t="s">
        <v>856</v>
      </c>
      <c r="C238" s="129">
        <v>2701</v>
      </c>
      <c r="D238" s="133">
        <v>2701</v>
      </c>
      <c r="E238" s="130" t="s">
        <v>855</v>
      </c>
      <c r="F238" s="130" t="s">
        <v>857</v>
      </c>
    </row>
    <row r="239" spans="1:6" x14ac:dyDescent="0.2">
      <c r="A239" t="str">
        <f t="shared" si="3"/>
        <v>SPEEDWAY SAND AND GRAVEL, INC.  2703  FORT WAYNE, IN  2703</v>
      </c>
      <c r="B239" s="133" t="s">
        <v>858</v>
      </c>
      <c r="C239" s="129">
        <v>2703</v>
      </c>
      <c r="D239" s="133">
        <v>2703</v>
      </c>
      <c r="E239" s="130" t="s">
        <v>855</v>
      </c>
      <c r="F239" s="130" t="s">
        <v>431</v>
      </c>
    </row>
    <row r="240" spans="1:6" x14ac:dyDescent="0.2">
      <c r="A240" t="str">
        <f t="shared" si="3"/>
        <v>SPRAY SAND AND GRAVEL  2591  SEYMOUR, IN.  2591</v>
      </c>
      <c r="B240" s="133" t="s">
        <v>859</v>
      </c>
      <c r="C240" s="129">
        <v>2591</v>
      </c>
      <c r="D240" s="133">
        <v>2591</v>
      </c>
      <c r="E240" s="130" t="s">
        <v>860</v>
      </c>
      <c r="F240" s="130" t="s">
        <v>861</v>
      </c>
    </row>
    <row r="241" spans="1:6" x14ac:dyDescent="0.2">
      <c r="A241" t="str">
        <f t="shared" si="3"/>
        <v>STAFFORD GRAVEL, INC.  2749  BUTLER, IN  2749</v>
      </c>
      <c r="B241" s="133" t="s">
        <v>539</v>
      </c>
      <c r="C241" s="129">
        <v>2749</v>
      </c>
      <c r="D241" s="133">
        <v>2749</v>
      </c>
      <c r="E241" s="130" t="s">
        <v>862</v>
      </c>
      <c r="F241" s="130" t="s">
        <v>437</v>
      </c>
    </row>
    <row r="242" spans="1:6" x14ac:dyDescent="0.2">
      <c r="A242" t="str">
        <f t="shared" si="3"/>
        <v>STOCKBERGER TRUCKING, INC  2439  PLYMOUTH, IN  2439</v>
      </c>
      <c r="B242" s="133" t="s">
        <v>863</v>
      </c>
      <c r="C242" s="129">
        <v>2439</v>
      </c>
      <c r="D242" s="133">
        <v>2439</v>
      </c>
      <c r="E242" s="130" t="s">
        <v>864</v>
      </c>
      <c r="F242" s="130" t="s">
        <v>865</v>
      </c>
    </row>
    <row r="243" spans="1:6" x14ac:dyDescent="0.2">
      <c r="A243" t="str">
        <f t="shared" si="3"/>
        <v>STONE STREET QUARRIES, INC  2238  POE, IN.  2238</v>
      </c>
      <c r="B243" s="133" t="s">
        <v>866</v>
      </c>
      <c r="C243" s="129">
        <v>2238</v>
      </c>
      <c r="D243" s="133">
        <v>2238</v>
      </c>
      <c r="E243" s="130" t="s">
        <v>867</v>
      </c>
      <c r="F243" s="130" t="s">
        <v>868</v>
      </c>
    </row>
    <row r="244" spans="1:6" x14ac:dyDescent="0.2">
      <c r="A244" t="str">
        <f t="shared" si="3"/>
        <v>STONE STREET QUARRIES, INC  2797  POE, IN.  2238</v>
      </c>
      <c r="B244" s="133" t="s">
        <v>508</v>
      </c>
      <c r="C244" s="129">
        <v>2797</v>
      </c>
      <c r="D244" s="133">
        <v>2238</v>
      </c>
      <c r="E244" s="130" t="s">
        <v>867</v>
      </c>
      <c r="F244" s="130" t="s">
        <v>868</v>
      </c>
    </row>
    <row r="245" spans="1:6" x14ac:dyDescent="0.2">
      <c r="A245" t="str">
        <f t="shared" si="3"/>
        <v>STONECO, CELINA DIVISION  2723  CELINA, OH.  2723</v>
      </c>
      <c r="B245" s="133" t="s">
        <v>869</v>
      </c>
      <c r="C245" s="129">
        <v>2723</v>
      </c>
      <c r="D245" s="133">
        <v>2723</v>
      </c>
      <c r="E245" s="130" t="s">
        <v>870</v>
      </c>
      <c r="F245" s="130" t="s">
        <v>871</v>
      </c>
    </row>
    <row r="246" spans="1:6" x14ac:dyDescent="0.2">
      <c r="A246" t="str">
        <f t="shared" si="3"/>
        <v>U. S. AGGREGATES - PLEAS MILLS  2267  DECATUR, IN.  2267</v>
      </c>
      <c r="B246" s="133" t="s">
        <v>872</v>
      </c>
      <c r="C246" s="129">
        <v>2267</v>
      </c>
      <c r="D246" s="133">
        <v>2267</v>
      </c>
      <c r="E246" s="130" t="s">
        <v>873</v>
      </c>
      <c r="F246" s="130" t="s">
        <v>874</v>
      </c>
    </row>
    <row r="247" spans="1:6" x14ac:dyDescent="0.2">
      <c r="A247" t="str">
        <f t="shared" si="3"/>
        <v>U. S. AGGREGATES INC  2266  LINN GROVE, IN.  2266</v>
      </c>
      <c r="B247" s="133" t="s">
        <v>875</v>
      </c>
      <c r="C247" s="129">
        <v>2266</v>
      </c>
      <c r="D247" s="133">
        <v>2266</v>
      </c>
      <c r="E247" s="130" t="s">
        <v>876</v>
      </c>
      <c r="F247" s="130" t="s">
        <v>877</v>
      </c>
    </row>
    <row r="248" spans="1:6" x14ac:dyDescent="0.2">
      <c r="A248" t="str">
        <f t="shared" si="3"/>
        <v>U. S. AGGREGATES INC  2449  LOWELL, IN.  2449</v>
      </c>
      <c r="B248" s="133" t="s">
        <v>878</v>
      </c>
      <c r="C248" s="129">
        <v>2449</v>
      </c>
      <c r="D248" s="133">
        <v>2449</v>
      </c>
      <c r="E248" s="130" t="s">
        <v>876</v>
      </c>
      <c r="F248" s="130" t="s">
        <v>879</v>
      </c>
    </row>
    <row r="249" spans="1:6" x14ac:dyDescent="0.2">
      <c r="A249" t="str">
        <f t="shared" si="3"/>
        <v>U.S AGGREGATES INC.  2183  FRANCESVILLE, IN.  2461</v>
      </c>
      <c r="B249" s="133" t="s">
        <v>880</v>
      </c>
      <c r="C249" s="129">
        <v>2183</v>
      </c>
      <c r="D249" s="133">
        <v>2461</v>
      </c>
      <c r="E249" s="130" t="s">
        <v>881</v>
      </c>
      <c r="F249" s="130" t="s">
        <v>554</v>
      </c>
    </row>
    <row r="250" spans="1:6" x14ac:dyDescent="0.2">
      <c r="A250" t="str">
        <f t="shared" si="3"/>
        <v>U.S AGGREGATES INC.  2183  FRANCESVILLE, IN.  2461</v>
      </c>
      <c r="B250" s="133" t="s">
        <v>880</v>
      </c>
      <c r="C250" s="129">
        <v>2183</v>
      </c>
      <c r="D250" s="133">
        <v>2461</v>
      </c>
      <c r="E250" s="130" t="s">
        <v>881</v>
      </c>
      <c r="F250" s="130" t="s">
        <v>554</v>
      </c>
    </row>
    <row r="251" spans="1:6" x14ac:dyDescent="0.2">
      <c r="A251" t="str">
        <f t="shared" si="3"/>
        <v>U.S AGGREGATES INC.  2183  MONON, IN.  2428</v>
      </c>
      <c r="B251" s="133" t="s">
        <v>880</v>
      </c>
      <c r="C251" s="129">
        <v>2183</v>
      </c>
      <c r="D251" s="133">
        <v>2428</v>
      </c>
      <c r="E251" s="130" t="s">
        <v>881</v>
      </c>
      <c r="F251" s="130" t="s">
        <v>882</v>
      </c>
    </row>
    <row r="252" spans="1:6" x14ac:dyDescent="0.2">
      <c r="A252" t="str">
        <f t="shared" si="3"/>
        <v>U.S AGGREGATES INC.  2183  MONON, IN.  2428</v>
      </c>
      <c r="B252" s="133" t="s">
        <v>880</v>
      </c>
      <c r="C252" s="129">
        <v>2183</v>
      </c>
      <c r="D252" s="133">
        <v>2428</v>
      </c>
      <c r="E252" s="130" t="s">
        <v>881</v>
      </c>
      <c r="F252" s="130" t="s">
        <v>882</v>
      </c>
    </row>
    <row r="253" spans="1:6" x14ac:dyDescent="0.2">
      <c r="A253" t="str">
        <f t="shared" si="3"/>
        <v>U.S AGGREGATES INC.  2183  MONON, IN.  2428</v>
      </c>
      <c r="B253" s="133" t="s">
        <v>880</v>
      </c>
      <c r="C253" s="129">
        <v>2183</v>
      </c>
      <c r="D253" s="133">
        <v>2428</v>
      </c>
      <c r="E253" s="130" t="s">
        <v>881</v>
      </c>
      <c r="F253" s="130" t="s">
        <v>882</v>
      </c>
    </row>
    <row r="254" spans="1:6" x14ac:dyDescent="0.2">
      <c r="A254" t="str">
        <f t="shared" si="3"/>
        <v>U.S AGGREGATES INC.  2421  FRANCESVILLE, IN.  2461</v>
      </c>
      <c r="B254" s="133" t="s">
        <v>883</v>
      </c>
      <c r="C254" s="129">
        <v>2421</v>
      </c>
      <c r="D254" s="133">
        <v>2461</v>
      </c>
      <c r="E254" s="130" t="s">
        <v>881</v>
      </c>
      <c r="F254" s="130" t="s">
        <v>554</v>
      </c>
    </row>
    <row r="255" spans="1:6" x14ac:dyDescent="0.2">
      <c r="A255" t="str">
        <f t="shared" ref="A255:A292" si="4">E255&amp;"  "&amp;C255&amp;"  "&amp;F255&amp;"  "&amp;D255</f>
        <v>U.S AGGREGATES INC.  2428  FRANCESVILLE, IN.  2461</v>
      </c>
      <c r="B255" s="133" t="s">
        <v>884</v>
      </c>
      <c r="C255" s="129">
        <v>2428</v>
      </c>
      <c r="D255" s="133">
        <v>2461</v>
      </c>
      <c r="E255" s="130" t="s">
        <v>881</v>
      </c>
      <c r="F255" s="130" t="s">
        <v>554</v>
      </c>
    </row>
    <row r="256" spans="1:6" x14ac:dyDescent="0.2">
      <c r="A256" t="str">
        <f t="shared" si="4"/>
        <v>U.S AGGREGATES INC.  2428  MONON, IN.  2428</v>
      </c>
      <c r="B256" s="133" t="s">
        <v>884</v>
      </c>
      <c r="C256" s="129">
        <v>2428</v>
      </c>
      <c r="D256" s="133">
        <v>2428</v>
      </c>
      <c r="E256" s="130" t="s">
        <v>881</v>
      </c>
      <c r="F256" s="130" t="s">
        <v>882</v>
      </c>
    </row>
    <row r="257" spans="1:6" x14ac:dyDescent="0.2">
      <c r="A257" t="str">
        <f t="shared" si="4"/>
        <v>U.S AGGREGATES INC.  2449  FRANCESVILLE, IN.  2461</v>
      </c>
      <c r="B257" s="133" t="s">
        <v>878</v>
      </c>
      <c r="C257" s="129">
        <v>2449</v>
      </c>
      <c r="D257" s="133">
        <v>2461</v>
      </c>
      <c r="E257" s="130" t="s">
        <v>881</v>
      </c>
      <c r="F257" s="130" t="s">
        <v>554</v>
      </c>
    </row>
    <row r="258" spans="1:6" x14ac:dyDescent="0.2">
      <c r="A258" t="str">
        <f t="shared" si="4"/>
        <v>U.S AGGREGATES INC.  2461  FRANCESVILLE, IN.  2461</v>
      </c>
      <c r="B258" s="133" t="s">
        <v>885</v>
      </c>
      <c r="C258" s="129">
        <v>2461</v>
      </c>
      <c r="D258" s="133">
        <v>2461</v>
      </c>
      <c r="E258" s="130" t="s">
        <v>881</v>
      </c>
      <c r="F258" s="130" t="s">
        <v>554</v>
      </c>
    </row>
    <row r="259" spans="1:6" x14ac:dyDescent="0.2">
      <c r="A259" t="str">
        <f t="shared" si="4"/>
        <v>U.S. AGG.INC,-DELPHI LIMESTONE  2136  DELPHI, IN.  2421</v>
      </c>
      <c r="B259" s="133" t="s">
        <v>886</v>
      </c>
      <c r="C259" s="129">
        <v>2136</v>
      </c>
      <c r="D259" s="133">
        <v>2421</v>
      </c>
      <c r="E259" s="130" t="s">
        <v>887</v>
      </c>
      <c r="F259" s="130" t="s">
        <v>840</v>
      </c>
    </row>
    <row r="260" spans="1:6" x14ac:dyDescent="0.2">
      <c r="A260" t="str">
        <f t="shared" si="4"/>
        <v>U.S. AGG.INC,-DELPHI LIMESTONE  2421  DELPHI, IN.  2421</v>
      </c>
      <c r="B260" s="133" t="s">
        <v>883</v>
      </c>
      <c r="C260" s="129">
        <v>2421</v>
      </c>
      <c r="D260" s="133">
        <v>2421</v>
      </c>
      <c r="E260" s="130" t="s">
        <v>887</v>
      </c>
      <c r="F260" s="130" t="s">
        <v>840</v>
      </c>
    </row>
    <row r="261" spans="1:6" x14ac:dyDescent="0.2">
      <c r="A261" t="str">
        <f t="shared" si="4"/>
        <v>U.S. AGG.INC,-DELPHI LIMESTONE  2785  DELPHI, IN.  2421</v>
      </c>
      <c r="B261" s="133" t="s">
        <v>888</v>
      </c>
      <c r="C261" s="129">
        <v>2785</v>
      </c>
      <c r="D261" s="133">
        <v>2421</v>
      </c>
      <c r="E261" s="130" t="s">
        <v>887</v>
      </c>
      <c r="F261" s="130" t="s">
        <v>840</v>
      </c>
    </row>
    <row r="262" spans="1:6" x14ac:dyDescent="0.2">
      <c r="A262" t="str">
        <f t="shared" si="4"/>
        <v>U.S. AGGREGATES - WAVERY  2780  MOORESVILLE, IN  2780</v>
      </c>
      <c r="B262" s="133" t="s">
        <v>889</v>
      </c>
      <c r="C262" s="129">
        <v>2780</v>
      </c>
      <c r="D262" s="133">
        <v>2780</v>
      </c>
      <c r="E262" s="130" t="s">
        <v>890</v>
      </c>
      <c r="F262" s="130" t="s">
        <v>788</v>
      </c>
    </row>
    <row r="263" spans="1:6" x14ac:dyDescent="0.2">
      <c r="A263" t="str">
        <f t="shared" si="4"/>
        <v>U.S. AGGREGATES- THRELKELD PIT  2785  THORNTOWN, IN  2785</v>
      </c>
      <c r="B263" s="133" t="s">
        <v>888</v>
      </c>
      <c r="C263" s="129">
        <v>2785</v>
      </c>
      <c r="D263" s="133">
        <v>2785</v>
      </c>
      <c r="E263" s="130" t="s">
        <v>891</v>
      </c>
      <c r="F263" s="130" t="s">
        <v>892</v>
      </c>
    </row>
    <row r="264" spans="1:6" x14ac:dyDescent="0.2">
      <c r="A264" t="str">
        <f t="shared" si="4"/>
        <v>U.S. AGGREGATES, INC  2980  PERKINSVILLE, IN  2980</v>
      </c>
      <c r="B264" s="133" t="s">
        <v>893</v>
      </c>
      <c r="C264" s="129">
        <v>2980</v>
      </c>
      <c r="D264" s="133">
        <v>2980</v>
      </c>
      <c r="E264" s="130" t="s">
        <v>894</v>
      </c>
      <c r="F264" s="130" t="s">
        <v>895</v>
      </c>
    </row>
    <row r="265" spans="1:6" x14ac:dyDescent="0.2">
      <c r="A265" t="str">
        <f t="shared" si="4"/>
        <v>U.S. AGGREGATES, INC.  2136  CRAWFORDSVILLE, IN  2136</v>
      </c>
      <c r="B265" s="133" t="s">
        <v>886</v>
      </c>
      <c r="C265" s="129">
        <v>2136</v>
      </c>
      <c r="D265" s="133">
        <v>2136</v>
      </c>
      <c r="E265" s="130" t="s">
        <v>896</v>
      </c>
      <c r="F265" s="130" t="s">
        <v>689</v>
      </c>
    </row>
    <row r="266" spans="1:6" x14ac:dyDescent="0.2">
      <c r="A266" t="str">
        <f t="shared" si="4"/>
        <v>U.S. AGGREGATES, INC.  2143  THORNTOWN, IN.  2143</v>
      </c>
      <c r="B266" s="133" t="s">
        <v>897</v>
      </c>
      <c r="C266" s="129">
        <v>2143</v>
      </c>
      <c r="D266" s="133">
        <v>2143</v>
      </c>
      <c r="E266" s="130" t="s">
        <v>896</v>
      </c>
      <c r="F266" s="130" t="s">
        <v>898</v>
      </c>
    </row>
    <row r="267" spans="1:6" x14ac:dyDescent="0.2">
      <c r="A267" t="str">
        <f t="shared" si="4"/>
        <v>U.S. AGGREGATES, INC.  2183  CRAWFORDSVILLE, IN  2136</v>
      </c>
      <c r="B267" s="133" t="s">
        <v>880</v>
      </c>
      <c r="C267" s="129">
        <v>2183</v>
      </c>
      <c r="D267" s="133">
        <v>2136</v>
      </c>
      <c r="E267" s="130" t="s">
        <v>896</v>
      </c>
      <c r="F267" s="130" t="s">
        <v>689</v>
      </c>
    </row>
    <row r="268" spans="1:6" x14ac:dyDescent="0.2">
      <c r="A268" t="str">
        <f t="shared" si="4"/>
        <v>U.S. AGGREGATES, INC.  2183  THORNTOWN, IN.  2143</v>
      </c>
      <c r="B268" s="133" t="s">
        <v>880</v>
      </c>
      <c r="C268" s="129">
        <v>2183</v>
      </c>
      <c r="D268" s="133">
        <v>2143</v>
      </c>
      <c r="E268" s="130" t="s">
        <v>896</v>
      </c>
      <c r="F268" s="130" t="s">
        <v>898</v>
      </c>
    </row>
    <row r="269" spans="1:6" x14ac:dyDescent="0.2">
      <c r="A269" t="str">
        <f t="shared" si="4"/>
        <v>U.S. AGGREGATES, INC.  2331  RICHMOND, IN.  2331</v>
      </c>
      <c r="B269" s="133" t="s">
        <v>899</v>
      </c>
      <c r="C269" s="129">
        <v>2331</v>
      </c>
      <c r="D269" s="133">
        <v>2331</v>
      </c>
      <c r="E269" s="130" t="s">
        <v>896</v>
      </c>
      <c r="F269" s="130" t="s">
        <v>414</v>
      </c>
    </row>
    <row r="270" spans="1:6" x14ac:dyDescent="0.2">
      <c r="A270" t="str">
        <f t="shared" si="4"/>
        <v>U.S. AGGREGATES, INC.  2361  PORTLAND, IN.  2361</v>
      </c>
      <c r="B270" s="133" t="s">
        <v>900</v>
      </c>
      <c r="C270" s="129">
        <v>2361</v>
      </c>
      <c r="D270" s="133">
        <v>2361</v>
      </c>
      <c r="E270" s="130" t="s">
        <v>896</v>
      </c>
      <c r="F270" s="130" t="s">
        <v>901</v>
      </c>
    </row>
    <row r="271" spans="1:6" x14ac:dyDescent="0.2">
      <c r="A271" t="str">
        <f t="shared" si="4"/>
        <v>U.S. AGGREGATES, INC.  2363  RIDGEVILLE, IN.  2363</v>
      </c>
      <c r="B271" s="133" t="s">
        <v>902</v>
      </c>
      <c r="C271" s="129">
        <v>2363</v>
      </c>
      <c r="D271" s="133">
        <v>2363</v>
      </c>
      <c r="E271" s="130" t="s">
        <v>896</v>
      </c>
      <c r="F271" s="130" t="s">
        <v>903</v>
      </c>
    </row>
    <row r="272" spans="1:6" x14ac:dyDescent="0.2">
      <c r="A272" t="str">
        <f t="shared" si="4"/>
        <v>U.S. AGGREGATES, INC.  2535  COLUMBUS, IN.  2535</v>
      </c>
      <c r="B272" s="133" t="s">
        <v>904</v>
      </c>
      <c r="C272" s="129">
        <v>2535</v>
      </c>
      <c r="D272" s="133">
        <v>2535</v>
      </c>
      <c r="E272" s="130" t="s">
        <v>896</v>
      </c>
      <c r="F272" s="130" t="s">
        <v>753</v>
      </c>
    </row>
    <row r="273" spans="1:6" x14ac:dyDescent="0.2">
      <c r="A273" t="str">
        <f t="shared" si="4"/>
        <v>U.S. AGGREGATES, INC. - CAVE  2531  FLAT ROCK, IN.  2531</v>
      </c>
      <c r="B273" s="133" t="s">
        <v>905</v>
      </c>
      <c r="C273" s="129">
        <v>2531</v>
      </c>
      <c r="D273" s="133">
        <v>2531</v>
      </c>
      <c r="E273" s="130" t="s">
        <v>906</v>
      </c>
      <c r="F273" s="130" t="s">
        <v>907</v>
      </c>
    </row>
    <row r="274" spans="1:6" x14ac:dyDescent="0.2">
      <c r="A274" t="str">
        <f t="shared" si="4"/>
        <v>U.S.AGGREGATES INC-SWISHER RD  2136  BATTLEGROUND, IN  2183</v>
      </c>
      <c r="B274" s="133" t="s">
        <v>886</v>
      </c>
      <c r="C274" s="129">
        <v>2136</v>
      </c>
      <c r="D274" s="133">
        <v>2183</v>
      </c>
      <c r="E274" s="130" t="s">
        <v>908</v>
      </c>
      <c r="F274" s="130" t="s">
        <v>909</v>
      </c>
    </row>
    <row r="275" spans="1:6" x14ac:dyDescent="0.2">
      <c r="A275" t="str">
        <f t="shared" si="4"/>
        <v>U.S.AGGREGATES INC-SWISHER RD  2143  BATTLEGROUND, IN  2183</v>
      </c>
      <c r="B275" s="133" t="s">
        <v>897</v>
      </c>
      <c r="C275" s="129">
        <v>2143</v>
      </c>
      <c r="D275" s="133">
        <v>2183</v>
      </c>
      <c r="E275" s="130" t="s">
        <v>908</v>
      </c>
      <c r="F275" s="130" t="s">
        <v>909</v>
      </c>
    </row>
    <row r="276" spans="1:6" x14ac:dyDescent="0.2">
      <c r="A276" t="str">
        <f t="shared" si="4"/>
        <v>U.S.AGGREGATES INC-SWISHER RD  2183  BATTLEGROUND, IN  2183</v>
      </c>
      <c r="B276" s="134" t="s">
        <v>880</v>
      </c>
      <c r="C276" s="129" t="s">
        <v>910</v>
      </c>
      <c r="D276" s="133" t="s">
        <v>910</v>
      </c>
      <c r="E276" s="130" t="s">
        <v>908</v>
      </c>
      <c r="F276" s="130" t="s">
        <v>909</v>
      </c>
    </row>
    <row r="277" spans="1:6" x14ac:dyDescent="0.2">
      <c r="A277" t="str">
        <f t="shared" si="4"/>
        <v>UNKNOWN SOURCE  2572    9996</v>
      </c>
      <c r="B277" s="133" t="s">
        <v>615</v>
      </c>
      <c r="C277" s="129">
        <v>2572</v>
      </c>
      <c r="D277" s="133">
        <v>9996</v>
      </c>
      <c r="E277" s="130" t="s">
        <v>911</v>
      </c>
      <c r="F277" s="132"/>
    </row>
    <row r="278" spans="1:6" x14ac:dyDescent="0.2">
      <c r="A278" t="str">
        <f t="shared" si="4"/>
        <v>VCNA PRAIRIE AGGREGATE   0097  LOWELL, IN  0097</v>
      </c>
      <c r="B278" s="133" t="s">
        <v>912</v>
      </c>
      <c r="C278" s="131" t="s">
        <v>913</v>
      </c>
      <c r="D278" s="134" t="s">
        <v>913</v>
      </c>
      <c r="E278" s="130" t="s">
        <v>914</v>
      </c>
      <c r="F278" s="130" t="s">
        <v>915</v>
      </c>
    </row>
    <row r="279" spans="1:6" x14ac:dyDescent="0.2">
      <c r="A279" t="str">
        <f t="shared" si="4"/>
        <v>VCNA PRAIRIE AGGREGATE, IN,INC  2687  BLOOMFIELD, IN  2687</v>
      </c>
      <c r="B279" s="133" t="s">
        <v>916</v>
      </c>
      <c r="C279" s="129">
        <v>2687</v>
      </c>
      <c r="D279" s="133">
        <v>2687</v>
      </c>
      <c r="E279" s="130" t="s">
        <v>917</v>
      </c>
      <c r="F279" s="130" t="s">
        <v>918</v>
      </c>
    </row>
    <row r="280" spans="1:6" x14ac:dyDescent="0.2">
      <c r="A280" t="str">
        <f t="shared" si="4"/>
        <v>VCNA PRAIRIE AGGREGATE, IN,INC  2788  WAVERLY, IN  2788</v>
      </c>
      <c r="B280" s="133" t="s">
        <v>919</v>
      </c>
      <c r="C280" s="129">
        <v>2788</v>
      </c>
      <c r="D280" s="133">
        <v>2788</v>
      </c>
      <c r="E280" s="130" t="s">
        <v>917</v>
      </c>
      <c r="F280" s="130" t="s">
        <v>419</v>
      </c>
    </row>
    <row r="281" spans="1:6" x14ac:dyDescent="0.2">
      <c r="A281" t="str">
        <f t="shared" si="4"/>
        <v>VULCAN MATERIALS  2477  KANKAKEE, ILL.  2477</v>
      </c>
      <c r="B281" s="133" t="s">
        <v>920</v>
      </c>
      <c r="C281" s="129">
        <v>2477</v>
      </c>
      <c r="D281" s="133">
        <v>2477</v>
      </c>
      <c r="E281" s="130" t="s">
        <v>921</v>
      </c>
      <c r="F281" s="130" t="s">
        <v>922</v>
      </c>
    </row>
    <row r="282" spans="1:6" x14ac:dyDescent="0.2">
      <c r="A282" t="str">
        <f t="shared" si="4"/>
        <v>VULCAN MATERIALS CO HARRISON  2546  CORYDON, IN.  2546</v>
      </c>
      <c r="B282" s="133" t="s">
        <v>923</v>
      </c>
      <c r="C282" s="129">
        <v>2546</v>
      </c>
      <c r="D282" s="133">
        <v>2546</v>
      </c>
      <c r="E282" s="130" t="s">
        <v>924</v>
      </c>
      <c r="F282" s="130" t="s">
        <v>616</v>
      </c>
    </row>
    <row r="283" spans="1:6" x14ac:dyDescent="0.2">
      <c r="A283" t="str">
        <f t="shared" si="4"/>
        <v>WABASH SAND AND GRAVEL  2174  WILLIAMSPORT, IN.  2174</v>
      </c>
      <c r="B283" s="133" t="s">
        <v>925</v>
      </c>
      <c r="C283" s="129">
        <v>2174</v>
      </c>
      <c r="D283" s="133">
        <v>2174</v>
      </c>
      <c r="E283" s="130" t="s">
        <v>926</v>
      </c>
      <c r="F283" s="130" t="s">
        <v>927</v>
      </c>
    </row>
    <row r="284" spans="1:6" x14ac:dyDescent="0.2">
      <c r="A284" t="str">
        <f t="shared" si="4"/>
        <v>WARD STONE, LLC  2798  FLAT ROCK, IN  2798</v>
      </c>
      <c r="B284" s="133" t="s">
        <v>928</v>
      </c>
      <c r="C284" s="129">
        <v>2798</v>
      </c>
      <c r="D284" s="133">
        <v>2798</v>
      </c>
      <c r="E284" s="130" t="s">
        <v>929</v>
      </c>
      <c r="F284" s="130" t="s">
        <v>930</v>
      </c>
    </row>
    <row r="285" spans="1:6" x14ac:dyDescent="0.2">
      <c r="A285" t="str">
        <f t="shared" si="4"/>
        <v>WATSON GRAVEL INC - PLANT #2  2786  HARRISON, OH.  2786</v>
      </c>
      <c r="B285" s="133" t="s">
        <v>931</v>
      </c>
      <c r="C285" s="129">
        <v>2786</v>
      </c>
      <c r="D285" s="133">
        <v>2786</v>
      </c>
      <c r="E285" s="130" t="s">
        <v>932</v>
      </c>
      <c r="F285" s="130" t="s">
        <v>933</v>
      </c>
    </row>
    <row r="286" spans="1:6" x14ac:dyDescent="0.2">
      <c r="A286" t="str">
        <f t="shared" si="4"/>
        <v>WEST PLAINS MINING/KENTNER CRE  0077  WABASH, IN  0077</v>
      </c>
      <c r="B286" s="133" t="s">
        <v>934</v>
      </c>
      <c r="C286" s="131" t="s">
        <v>935</v>
      </c>
      <c r="D286" s="134" t="s">
        <v>935</v>
      </c>
      <c r="E286" s="130" t="s">
        <v>936</v>
      </c>
      <c r="F286" s="130" t="s">
        <v>937</v>
      </c>
    </row>
    <row r="287" spans="1:6" x14ac:dyDescent="0.2">
      <c r="A287" t="str">
        <f t="shared" si="4"/>
        <v>WHITE RIVER GRAVEL CO., INC.  2782  WAVERLY, IN  2782</v>
      </c>
      <c r="B287" s="133" t="s">
        <v>938</v>
      </c>
      <c r="C287" s="129">
        <v>2782</v>
      </c>
      <c r="D287" s="133">
        <v>2782</v>
      </c>
      <c r="E287" s="130" t="s">
        <v>939</v>
      </c>
      <c r="F287" s="130" t="s">
        <v>419</v>
      </c>
    </row>
    <row r="288" spans="1:6" x14ac:dyDescent="0.2">
      <c r="A288" t="str">
        <f t="shared" si="4"/>
        <v>WHITESVILLE MILL SERVICE  2110  CRAWFORDSVILLE, IN  2110</v>
      </c>
      <c r="B288" s="133" t="s">
        <v>940</v>
      </c>
      <c r="C288" s="129">
        <v>2110</v>
      </c>
      <c r="D288" s="133">
        <v>2110</v>
      </c>
      <c r="E288" s="130" t="s">
        <v>941</v>
      </c>
      <c r="F288" s="130" t="s">
        <v>689</v>
      </c>
    </row>
    <row r="289" spans="1:6" x14ac:dyDescent="0.2">
      <c r="A289" t="str">
        <f t="shared" si="4"/>
        <v>WILHELM GRAVEL, CO. INC.  2245  WATERLOO, IN.  2245</v>
      </c>
      <c r="B289" s="133" t="s">
        <v>942</v>
      </c>
      <c r="C289" s="129">
        <v>2245</v>
      </c>
      <c r="D289" s="133">
        <v>2245</v>
      </c>
      <c r="E289" s="130" t="s">
        <v>943</v>
      </c>
      <c r="F289" s="130" t="s">
        <v>944</v>
      </c>
    </row>
    <row r="290" spans="1:6" x14ac:dyDescent="0.2">
      <c r="A290" t="str">
        <f t="shared" si="4"/>
        <v>YAGER MATERIALS, INC.  2638  OWENSBORO, KY.  2638</v>
      </c>
      <c r="B290" s="133" t="s">
        <v>945</v>
      </c>
      <c r="C290" s="129">
        <v>2638</v>
      </c>
      <c r="D290" s="133">
        <v>2638</v>
      </c>
      <c r="E290" s="130" t="s">
        <v>946</v>
      </c>
      <c r="F290" s="130" t="s">
        <v>947</v>
      </c>
    </row>
    <row r="291" spans="1:6" x14ac:dyDescent="0.2">
      <c r="A291" t="str">
        <f t="shared" si="4"/>
        <v>YAGER MATERIALS, INC.  2970  OWENSBORO, KY.  2638</v>
      </c>
      <c r="B291" s="133" t="s">
        <v>488</v>
      </c>
      <c r="C291" s="129">
        <v>2970</v>
      </c>
      <c r="D291" s="133">
        <v>2638</v>
      </c>
      <c r="E291" s="130" t="s">
        <v>946</v>
      </c>
      <c r="F291" s="130" t="s">
        <v>947</v>
      </c>
    </row>
    <row r="292" spans="1:6" x14ac:dyDescent="0.2">
      <c r="A292" t="str">
        <f t="shared" si="4"/>
        <v>YELLOW CREEK GRAVEL SERVICES  0125  GOSHEN, IN  0125</v>
      </c>
      <c r="B292" s="133" t="s">
        <v>948</v>
      </c>
      <c r="C292" s="129" t="s">
        <v>949</v>
      </c>
      <c r="D292" s="133" t="s">
        <v>949</v>
      </c>
      <c r="E292" s="130" t="s">
        <v>950</v>
      </c>
      <c r="F292" s="130" t="s">
        <v>951</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1"/>
  <sheetViews>
    <sheetView topLeftCell="A20" workbookViewId="0">
      <selection activeCell="G42" sqref="G42"/>
    </sheetView>
  </sheetViews>
  <sheetFormatPr defaultRowHeight="12.75" x14ac:dyDescent="0.2"/>
  <cols>
    <col min="1" max="1" width="82.28515625" style="41" customWidth="1"/>
    <col min="2" max="2" width="9" style="44" customWidth="1"/>
    <col min="3" max="3" width="9.140625" customWidth="1"/>
  </cols>
  <sheetData>
    <row r="1" spans="1:2" ht="13.5" x14ac:dyDescent="0.2">
      <c r="A1" s="43" t="s">
        <v>952</v>
      </c>
      <c r="B1" s="42" t="s">
        <v>953</v>
      </c>
    </row>
    <row r="2" spans="1:2" ht="13.5" x14ac:dyDescent="0.2">
      <c r="A2" s="43" t="s">
        <v>954</v>
      </c>
      <c r="B2" s="42">
        <v>118350</v>
      </c>
    </row>
    <row r="3" spans="1:2" ht="13.5" x14ac:dyDescent="0.2">
      <c r="A3" s="43" t="s">
        <v>955</v>
      </c>
      <c r="B3" s="42" t="s">
        <v>956</v>
      </c>
    </row>
    <row r="4" spans="1:2" ht="13.5" x14ac:dyDescent="0.2">
      <c r="A4" s="43" t="s">
        <v>957</v>
      </c>
      <c r="B4" s="42" t="s">
        <v>958</v>
      </c>
    </row>
    <row r="5" spans="1:2" ht="13.5" x14ac:dyDescent="0.2">
      <c r="A5" s="43" t="s">
        <v>959</v>
      </c>
      <c r="B5" s="42" t="s">
        <v>960</v>
      </c>
    </row>
    <row r="6" spans="1:2" ht="13.5" x14ac:dyDescent="0.2">
      <c r="A6" s="43" t="s">
        <v>961</v>
      </c>
      <c r="B6" s="42" t="s">
        <v>962</v>
      </c>
    </row>
    <row r="7" spans="1:2" ht="13.5" x14ac:dyDescent="0.2">
      <c r="A7" s="43" t="s">
        <v>182</v>
      </c>
      <c r="B7" s="42" t="s">
        <v>963</v>
      </c>
    </row>
    <row r="8" spans="1:2" ht="13.5" x14ac:dyDescent="0.2">
      <c r="A8" s="43" t="s">
        <v>964</v>
      </c>
      <c r="B8" s="42" t="s">
        <v>965</v>
      </c>
    </row>
    <row r="9" spans="1:2" ht="13.5" x14ac:dyDescent="0.2">
      <c r="A9" s="43" t="s">
        <v>966</v>
      </c>
      <c r="B9" s="42" t="s">
        <v>967</v>
      </c>
    </row>
    <row r="10" spans="1:2" ht="13.5" x14ac:dyDescent="0.2">
      <c r="A10" s="43" t="s">
        <v>968</v>
      </c>
      <c r="B10" s="42" t="s">
        <v>969</v>
      </c>
    </row>
    <row r="11" spans="1:2" ht="13.5" x14ac:dyDescent="0.2">
      <c r="A11" s="45" t="s">
        <v>970</v>
      </c>
      <c r="B11" s="178" t="s">
        <v>971</v>
      </c>
    </row>
    <row r="12" spans="1:2" ht="13.5" x14ac:dyDescent="0.2">
      <c r="A12" s="43" t="s">
        <v>972</v>
      </c>
      <c r="B12" s="42" t="s">
        <v>973</v>
      </c>
    </row>
    <row r="13" spans="1:2" ht="13.5" x14ac:dyDescent="0.2">
      <c r="A13" s="43" t="s">
        <v>974</v>
      </c>
      <c r="B13" s="42" t="s">
        <v>975</v>
      </c>
    </row>
    <row r="14" spans="1:2" ht="13.5" x14ac:dyDescent="0.2">
      <c r="A14" s="43" t="s">
        <v>976</v>
      </c>
      <c r="B14" s="42" t="s">
        <v>977</v>
      </c>
    </row>
    <row r="15" spans="1:2" ht="13.5" x14ac:dyDescent="0.2">
      <c r="A15" s="43" t="s">
        <v>978</v>
      </c>
      <c r="B15" s="42" t="s">
        <v>979</v>
      </c>
    </row>
    <row r="16" spans="1:2" ht="13.5" x14ac:dyDescent="0.2">
      <c r="A16" s="43" t="s">
        <v>980</v>
      </c>
      <c r="B16" s="42" t="s">
        <v>981</v>
      </c>
    </row>
    <row r="17" spans="1:2" ht="13.5" x14ac:dyDescent="0.2">
      <c r="A17" s="43" t="s">
        <v>982</v>
      </c>
      <c r="B17" s="44">
        <v>158351</v>
      </c>
    </row>
    <row r="18" spans="1:2" ht="13.5" x14ac:dyDescent="0.2">
      <c r="A18" s="43" t="s">
        <v>983</v>
      </c>
      <c r="B18" s="42" t="s">
        <v>984</v>
      </c>
    </row>
    <row r="19" spans="1:2" ht="13.5" x14ac:dyDescent="0.2">
      <c r="A19" s="43" t="s">
        <v>985</v>
      </c>
      <c r="B19" s="44">
        <v>118370</v>
      </c>
    </row>
    <row r="20" spans="1:2" ht="13.5" x14ac:dyDescent="0.2">
      <c r="A20" s="43" t="s">
        <v>986</v>
      </c>
      <c r="B20" s="42" t="s">
        <v>987</v>
      </c>
    </row>
    <row r="21" spans="1:2" ht="13.5" x14ac:dyDescent="0.2">
      <c r="A21" s="43" t="s">
        <v>988</v>
      </c>
      <c r="B21" s="42" t="s">
        <v>989</v>
      </c>
    </row>
    <row r="22" spans="1:2" ht="13.5" x14ac:dyDescent="0.2">
      <c r="A22" s="43" t="s">
        <v>990</v>
      </c>
      <c r="B22" s="42" t="s">
        <v>991</v>
      </c>
    </row>
    <row r="23" spans="1:2" ht="13.5" x14ac:dyDescent="0.2">
      <c r="A23" s="43" t="s">
        <v>992</v>
      </c>
      <c r="B23" s="42" t="s">
        <v>993</v>
      </c>
    </row>
    <row r="24" spans="1:2" ht="13.5" x14ac:dyDescent="0.2">
      <c r="A24" s="43" t="s">
        <v>994</v>
      </c>
      <c r="B24" s="42" t="s">
        <v>995</v>
      </c>
    </row>
    <row r="25" spans="1:2" ht="13.5" x14ac:dyDescent="0.2">
      <c r="A25" s="43" t="s">
        <v>1804</v>
      </c>
      <c r="B25" s="42" t="s">
        <v>1803</v>
      </c>
    </row>
    <row r="26" spans="1:2" ht="13.5" x14ac:dyDescent="0.2">
      <c r="A26" s="43" t="s">
        <v>1802</v>
      </c>
      <c r="B26" s="42" t="s">
        <v>1801</v>
      </c>
    </row>
    <row r="27" spans="1:2" ht="13.5" x14ac:dyDescent="0.2">
      <c r="A27" s="43" t="s">
        <v>996</v>
      </c>
      <c r="B27" s="42" t="s">
        <v>997</v>
      </c>
    </row>
    <row r="28" spans="1:2" ht="13.5" x14ac:dyDescent="0.2">
      <c r="A28" s="43" t="s">
        <v>998</v>
      </c>
      <c r="B28" s="42" t="s">
        <v>999</v>
      </c>
    </row>
    <row r="29" spans="1:2" ht="13.5" x14ac:dyDescent="0.2">
      <c r="A29" s="43" t="s">
        <v>1795</v>
      </c>
      <c r="B29" s="42" t="s">
        <v>1796</v>
      </c>
    </row>
    <row r="30" spans="1:2" ht="13.5" x14ac:dyDescent="0.2">
      <c r="A30" s="43" t="s">
        <v>1000</v>
      </c>
      <c r="B30" s="42" t="s">
        <v>1001</v>
      </c>
    </row>
    <row r="31" spans="1:2" ht="13.5" x14ac:dyDescent="0.2">
      <c r="A31" s="43" t="s">
        <v>1002</v>
      </c>
      <c r="B31" s="44">
        <v>118360</v>
      </c>
    </row>
    <row r="32" spans="1:2" ht="13.5" x14ac:dyDescent="0.2">
      <c r="A32" s="43" t="s">
        <v>1003</v>
      </c>
      <c r="B32" s="44" t="s">
        <v>1004</v>
      </c>
    </row>
    <row r="33" spans="1:2" ht="13.5" x14ac:dyDescent="0.2">
      <c r="A33" s="43" t="s">
        <v>4909</v>
      </c>
      <c r="B33" s="44" t="s">
        <v>4910</v>
      </c>
    </row>
    <row r="34" spans="1:2" ht="13.5" x14ac:dyDescent="0.2">
      <c r="A34" s="43" t="s">
        <v>1005</v>
      </c>
      <c r="B34" s="42" t="s">
        <v>1006</v>
      </c>
    </row>
    <row r="35" spans="1:2" ht="13.5" x14ac:dyDescent="0.2">
      <c r="A35" s="45" t="s">
        <v>1007</v>
      </c>
      <c r="B35" s="42" t="s">
        <v>1008</v>
      </c>
    </row>
    <row r="36" spans="1:2" ht="13.5" x14ac:dyDescent="0.2">
      <c r="A36" s="45" t="s">
        <v>1009</v>
      </c>
      <c r="B36" s="42" t="s">
        <v>1010</v>
      </c>
    </row>
    <row r="37" spans="1:2" ht="13.5" x14ac:dyDescent="0.2">
      <c r="A37" s="45" t="s">
        <v>1011</v>
      </c>
      <c r="B37" s="42" t="s">
        <v>1012</v>
      </c>
    </row>
    <row r="38" spans="1:2" ht="13.5" x14ac:dyDescent="0.2">
      <c r="A38" s="118" t="s">
        <v>1013</v>
      </c>
      <c r="B38" s="42"/>
    </row>
    <row r="39" spans="1:2" x14ac:dyDescent="0.2">
      <c r="A39" s="47" t="s">
        <v>1014</v>
      </c>
      <c r="B39" s="48" t="s">
        <v>1015</v>
      </c>
    </row>
    <row r="40" spans="1:2" x14ac:dyDescent="0.2">
      <c r="A40" s="47" t="s">
        <v>1016</v>
      </c>
      <c r="B40" s="46">
        <v>118150</v>
      </c>
    </row>
    <row r="41" spans="1:2" x14ac:dyDescent="0.2">
      <c r="A41" s="47" t="s">
        <v>1017</v>
      </c>
      <c r="B41" s="48" t="s">
        <v>1018</v>
      </c>
    </row>
    <row r="42" spans="1:2" x14ac:dyDescent="0.2">
      <c r="A42" s="47" t="s">
        <v>1019</v>
      </c>
      <c r="B42" s="46">
        <v>178150</v>
      </c>
    </row>
    <row r="43" spans="1:2" x14ac:dyDescent="0.2">
      <c r="A43" s="47" t="s">
        <v>1020</v>
      </c>
      <c r="B43" s="46">
        <v>148150</v>
      </c>
    </row>
    <row r="44" spans="1:2" x14ac:dyDescent="0.2">
      <c r="A44" s="47" t="s">
        <v>1021</v>
      </c>
      <c r="B44" s="46">
        <v>178155</v>
      </c>
    </row>
    <row r="45" spans="1:2" x14ac:dyDescent="0.2">
      <c r="A45" s="47" t="s">
        <v>1022</v>
      </c>
      <c r="B45" s="48" t="s">
        <v>1023</v>
      </c>
    </row>
    <row r="46" spans="1:2" x14ac:dyDescent="0.2">
      <c r="A46" s="47" t="s">
        <v>1024</v>
      </c>
      <c r="B46" s="46">
        <v>158111</v>
      </c>
    </row>
    <row r="47" spans="1:2" x14ac:dyDescent="0.2">
      <c r="A47" s="47" t="s">
        <v>1025</v>
      </c>
      <c r="B47" s="48" t="s">
        <v>1026</v>
      </c>
    </row>
    <row r="48" spans="1:2" x14ac:dyDescent="0.2">
      <c r="A48" s="117" t="s">
        <v>1027</v>
      </c>
      <c r="B48" s="46"/>
    </row>
    <row r="49" spans="1:2" x14ac:dyDescent="0.2">
      <c r="A49" s="47" t="s">
        <v>1028</v>
      </c>
      <c r="B49" s="46" t="s">
        <v>1029</v>
      </c>
    </row>
    <row r="50" spans="1:2" x14ac:dyDescent="0.2">
      <c r="A50" s="47" t="s">
        <v>1030</v>
      </c>
      <c r="B50" s="46">
        <v>178110</v>
      </c>
    </row>
    <row r="51" spans="1:2" x14ac:dyDescent="0.2">
      <c r="A51" s="47" t="s">
        <v>1031</v>
      </c>
      <c r="B51" s="46">
        <v>178120</v>
      </c>
    </row>
    <row r="52" spans="1:2" x14ac:dyDescent="0.2">
      <c r="A52" s="47" t="s">
        <v>1032</v>
      </c>
      <c r="B52" s="46">
        <v>178160</v>
      </c>
    </row>
    <row r="53" spans="1:2" x14ac:dyDescent="0.2">
      <c r="A53" s="47" t="s">
        <v>1033</v>
      </c>
      <c r="B53" s="46">
        <v>178165</v>
      </c>
    </row>
    <row r="54" spans="1:2" x14ac:dyDescent="0.2">
      <c r="A54" s="47" t="s">
        <v>1034</v>
      </c>
      <c r="B54" s="46">
        <v>168150</v>
      </c>
    </row>
    <row r="55" spans="1:2" x14ac:dyDescent="0.2">
      <c r="A55" s="47" t="s">
        <v>1035</v>
      </c>
      <c r="B55" s="46">
        <v>178152</v>
      </c>
    </row>
    <row r="56" spans="1:2" x14ac:dyDescent="0.2">
      <c r="A56" s="47" t="s">
        <v>1036</v>
      </c>
      <c r="B56" s="46" t="s">
        <v>1037</v>
      </c>
    </row>
    <row r="57" spans="1:2" x14ac:dyDescent="0.2">
      <c r="A57" s="47" t="s">
        <v>1038</v>
      </c>
      <c r="B57" s="48" t="s">
        <v>1039</v>
      </c>
    </row>
    <row r="58" spans="1:2" x14ac:dyDescent="0.2">
      <c r="A58" s="47" t="s">
        <v>1040</v>
      </c>
      <c r="B58" s="48" t="s">
        <v>1041</v>
      </c>
    </row>
    <row r="59" spans="1:2" x14ac:dyDescent="0.2">
      <c r="A59" s="47" t="s">
        <v>1791</v>
      </c>
      <c r="B59" s="48" t="s">
        <v>1792</v>
      </c>
    </row>
    <row r="60" spans="1:2" x14ac:dyDescent="0.2">
      <c r="A60" s="47" t="s">
        <v>1042</v>
      </c>
      <c r="B60" s="48" t="s">
        <v>1043</v>
      </c>
    </row>
    <row r="61" spans="1:2" x14ac:dyDescent="0.2">
      <c r="A61" s="117" t="s">
        <v>1044</v>
      </c>
      <c r="B61" s="46"/>
    </row>
    <row r="62" spans="1:2" x14ac:dyDescent="0.2">
      <c r="A62" s="47" t="s">
        <v>1045</v>
      </c>
      <c r="B62" s="48" t="s">
        <v>1046</v>
      </c>
    </row>
    <row r="63" spans="1:2" x14ac:dyDescent="0.2">
      <c r="A63" s="47" t="s">
        <v>1047</v>
      </c>
      <c r="B63" s="48" t="s">
        <v>1048</v>
      </c>
    </row>
    <row r="64" spans="1:2" x14ac:dyDescent="0.2">
      <c r="A64" s="47" t="s">
        <v>1049</v>
      </c>
      <c r="B64" s="48" t="s">
        <v>1050</v>
      </c>
    </row>
    <row r="65" spans="1:2" x14ac:dyDescent="0.2">
      <c r="A65" s="47" t="s">
        <v>1051</v>
      </c>
      <c r="B65" s="46">
        <v>178175</v>
      </c>
    </row>
    <row r="66" spans="1:2" x14ac:dyDescent="0.2">
      <c r="A66" s="47" t="s">
        <v>1052</v>
      </c>
      <c r="B66" s="48" t="s">
        <v>1053</v>
      </c>
    </row>
    <row r="67" spans="1:2" x14ac:dyDescent="0.2">
      <c r="A67" s="47" t="s">
        <v>1054</v>
      </c>
      <c r="B67" s="48" t="s">
        <v>1055</v>
      </c>
    </row>
    <row r="68" spans="1:2" x14ac:dyDescent="0.2">
      <c r="A68" s="117" t="s">
        <v>1056</v>
      </c>
      <c r="B68" s="48"/>
    </row>
    <row r="69" spans="1:2" x14ac:dyDescent="0.2">
      <c r="A69" s="47" t="s">
        <v>1057</v>
      </c>
      <c r="B69" s="48" t="s">
        <v>1058</v>
      </c>
    </row>
    <row r="70" spans="1:2" x14ac:dyDescent="0.2">
      <c r="A70" s="47" t="s">
        <v>1059</v>
      </c>
      <c r="B70" s="46">
        <v>178162</v>
      </c>
    </row>
    <row r="71" spans="1:2" x14ac:dyDescent="0.2">
      <c r="A71" s="47" t="s">
        <v>1060</v>
      </c>
      <c r="B71" s="46">
        <v>168165</v>
      </c>
    </row>
    <row r="72" spans="1:2" x14ac:dyDescent="0.2">
      <c r="A72" s="47" t="s">
        <v>1061</v>
      </c>
      <c r="B72" s="46" t="s">
        <v>995</v>
      </c>
    </row>
    <row r="73" spans="1:2" x14ac:dyDescent="0.2">
      <c r="A73" s="47" t="s">
        <v>1062</v>
      </c>
      <c r="B73" s="46">
        <v>108153</v>
      </c>
    </row>
    <row r="74" spans="1:2" x14ac:dyDescent="0.2">
      <c r="A74" s="47" t="s">
        <v>1063</v>
      </c>
      <c r="B74" s="46" t="s">
        <v>1064</v>
      </c>
    </row>
    <row r="75" spans="1:2" x14ac:dyDescent="0.2">
      <c r="A75" s="47" t="s">
        <v>1065</v>
      </c>
      <c r="B75" s="46">
        <v>178163</v>
      </c>
    </row>
    <row r="76" spans="1:2" x14ac:dyDescent="0.2">
      <c r="A76" s="47" t="s">
        <v>1066</v>
      </c>
      <c r="B76" s="48" t="s">
        <v>1067</v>
      </c>
    </row>
    <row r="77" spans="1:2" x14ac:dyDescent="0.2">
      <c r="A77" s="47" t="s">
        <v>1068</v>
      </c>
      <c r="B77" s="46">
        <v>148160</v>
      </c>
    </row>
    <row r="78" spans="1:2" x14ac:dyDescent="0.2">
      <c r="A78" s="47" t="s">
        <v>1069</v>
      </c>
      <c r="B78" s="46" t="s">
        <v>1070</v>
      </c>
    </row>
    <row r="79" spans="1:2" x14ac:dyDescent="0.2">
      <c r="A79" s="117" t="s">
        <v>1071</v>
      </c>
      <c r="B79" s="46"/>
    </row>
    <row r="80" spans="1:2" x14ac:dyDescent="0.2">
      <c r="A80" s="47" t="s">
        <v>1072</v>
      </c>
      <c r="B80" s="48" t="s">
        <v>1073</v>
      </c>
    </row>
    <row r="81" spans="1:2" x14ac:dyDescent="0.2">
      <c r="A81" s="47" t="s">
        <v>1074</v>
      </c>
      <c r="B81" s="48" t="s">
        <v>1075</v>
      </c>
    </row>
  </sheetData>
  <sheetProtection algorithmName="SHA-512" hashValue="N0JehvzKIgVFVnm2NZakkIPTXEmyL7mD23rIuUYxvg6pDlJyZhs4tA8JQJE0ix7hMAc01ywNFK6xQEgs/wSk2g==" saltValue="8dgNdsxn6jzvvlySyLB4eg==" spinCount="100000" sheet="1" objects="1" scenarios="1" selectLockedCells="1" selectUnlockedCells="1"/>
  <pageMargins left="0.7" right="0.7" top="0.75" bottom="0.75" header="0.3" footer="0.3"/>
  <pageSetup orientation="portrait" r:id="rId1"/>
  <ignoredErrors>
    <ignoredError sqref="B1 B61:B69 B74 B76:B1048576 B58 B50:B51 B10:B12 B23:B24 B4:B8 B34:B40 B28 B30:B32 B41:B47 B48 B52:B5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customXml/itemProps3.xml><?xml version="1.0" encoding="utf-8"?>
<ds:datastoreItem xmlns:ds="http://schemas.openxmlformats.org/officeDocument/2006/customXml" ds:itemID="{EFCD4FBD-8E23-4999-9496-88DFE8C78E96}">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2024-02-16T19:03:08Z</cp:lastPrinted>
  <dcterms:created xsi:type="dcterms:W3CDTF">2005-02-10T20:23:45Z</dcterms:created>
  <dcterms:modified xsi:type="dcterms:W3CDTF">2024-07-01T17:31:07Z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